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tables/table10.xml" ContentType="application/vnd.openxmlformats-officedocument.spreadsheetml.table+xml"/>
  <Override PartName="/xl/drawings/drawing8.xml" ContentType="application/vnd.openxmlformats-officedocument.drawing+xml"/>
  <Override PartName="/xl/ctrlProps/ctrlProp19.xml" ContentType="application/vnd.ms-excel.controlproperties+xml"/>
  <Override PartName="/xl/pivotTables/pivotTable9.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OPERACIONES\Desktop\PASS V2\"/>
    </mc:Choice>
  </mc:AlternateContent>
  <xr:revisionPtr revIDLastSave="0" documentId="13_ncr:1_{96942D08-B35A-474D-8D31-12E51C6E7077}" xr6:coauthVersionLast="47" xr6:coauthVersionMax="47" xr10:uidLastSave="{00000000-0000-0000-0000-000000000000}"/>
  <workbookProtection workbookAlgorithmName="SHA-512" workbookHashValue="fWqEUWW6WKbjIhUehKCdRpKkpoEaS1P+f8L4ES8ND6uIcgs3V/6tGRaEk5k3Szq16Op/3ejV3rMzvKmtW0DDbA==" workbookSaltValue="wbmbD1b+Yl1xGKqrx4yguA==" workbookSpinCount="100000" lockStructure="1"/>
  <bookViews>
    <workbookView xWindow="-108" yWindow="-108" windowWidth="19416" windowHeight="10416" firstSheet="5" activeTab="7" xr2:uid="{00000000-000D-0000-FFFF-FFFF00000000}"/>
  </bookViews>
  <sheets>
    <sheet name="VEHICULO BLINDADOS" sheetId="94" state="hidden" r:id="rId1"/>
    <sheet name="TABLAS DINAMICAS" sheetId="33" r:id="rId2"/>
    <sheet name="COP ESTE" sheetId="93" state="hidden" r:id="rId3"/>
    <sheet name="ESCUADRONES OPERATIVOS" sheetId="90" state="hidden" r:id="rId4"/>
    <sheet name="13" sheetId="88" state="hidden" r:id="rId5"/>
    <sheet name="Panel de Trabajo" sheetId="32" r:id="rId6"/>
    <sheet name="PROYECTIVO" sheetId="79" state="hidden" r:id="rId7"/>
    <sheet name="DISTRIBUCION DIARIA" sheetId="1" r:id="rId8"/>
    <sheet name="Actividades" sheetId="87" r:id="rId9"/>
    <sheet name="Tabla de Servicio" sheetId="76" state="hidden" r:id="rId10"/>
    <sheet name="TABLA DE SERVICIO FUN" sheetId="78" state="hidden" r:id="rId11"/>
    <sheet name="ULTIMO FORM. F.E" sheetId="36" r:id="rId12"/>
    <sheet name="DESP.OPER." sheetId="37" r:id="rId13"/>
    <sheet name="Ingreso" sheetId="41" state="hidden" r:id="rId14"/>
    <sheet name="Inicio" sheetId="42" state="hidden" r:id="rId15"/>
    <sheet name="Datos" sheetId="31" r:id="rId16"/>
    <sheet name="DISTRIBUCION PDF" sheetId="40" state="hidden" r:id="rId17"/>
    <sheet name="Registros" sheetId="43" r:id="rId18"/>
    <sheet name="Agregar Funcionario" sheetId="73" state="hidden" r:id="rId19"/>
    <sheet name="PROYECTIVO_SEMANAL" sheetId="81" state="hidden" r:id="rId20"/>
  </sheets>
  <functionGroups builtInGroupCount="19"/>
  <externalReferences>
    <externalReference r:id="rId21"/>
  </externalReferences>
  <definedNames>
    <definedName name="_xlnm._FilterDatabase" localSheetId="4" hidden="1">'13'!$A$1:$N$468</definedName>
    <definedName name="_xlnm._FilterDatabase" localSheetId="12" hidden="1">DESP.OPER.!$E$15:$J$15</definedName>
    <definedName name="_xlnm._FilterDatabase" localSheetId="7" hidden="1">'DISTRIBUCION DIARIA'!$A$3:$T$481</definedName>
    <definedName name="_xlnm._FilterDatabase" localSheetId="6" hidden="1">PROYECTIVO!$A$1:$I$118</definedName>
    <definedName name="_xlnm._FilterDatabase" localSheetId="19" hidden="1">PROYECTIVO_SEMANAL!$A$1:$M$87</definedName>
    <definedName name="_xlnm._FilterDatabase" localSheetId="10" hidden="1">'TABLA DE SERVICIO FUN'!$B$1:$AL$132</definedName>
    <definedName name="_xlnm.Print_Area" localSheetId="4">'13'!$D$1:$L$468</definedName>
    <definedName name="_xlnm.Print_Area" localSheetId="8">Actividades!$A$1:$B$111</definedName>
    <definedName name="_xlnm.Print_Area" localSheetId="12">DESP.OPER.!$A$1:$Y$62</definedName>
    <definedName name="_xlnm.Print_Area" localSheetId="16">'DISTRIBUCION PDF'!$B$1:$J$612</definedName>
    <definedName name="_xlnm.Print_Area" localSheetId="3">'ESCUADRONES OPERATIVOS'!$A$1:$P$97</definedName>
    <definedName name="_xlnm.Print_Area" localSheetId="5">'Panel de Trabajo'!$A$1:$O$127</definedName>
    <definedName name="_xlnm.Print_Area" localSheetId="6">PROYECTIVO!$C$1:$G$118</definedName>
    <definedName name="_xlnm.Print_Area" localSheetId="19">PROYECTIVO_SEMANAL!$C$1:$M$87</definedName>
    <definedName name="_xlnm.Print_Area" localSheetId="10">'TABLA DE SERVICIO FUN'!$D$1:$AJ$132</definedName>
    <definedName name="_xlnm.Print_Area" localSheetId="11">'ULTIMO FORM. F.E'!$A$1:$AL$35</definedName>
    <definedName name="DESTINACIONES" localSheetId="10">[1]Datos!$X$3:$X$266</definedName>
    <definedName name="DESTINACIONES">Datos!$X$3:$X$359</definedName>
    <definedName name="DISPOSITIVOS" localSheetId="4">BD_PRINCIPAL[[#All],[DOTACIÓN ACTUAL]:[GRADO]]</definedName>
    <definedName name="DISPOSITIVOS" localSheetId="10">[1]!BD_PRINCIPAL[[#All],[DOTACIÓN ACTUAL]:[GRADO]]</definedName>
    <definedName name="DISPOSITIVOS">BD_PRINCIPAL[[#All],[DOTACIÓN ACTUAL]:[GRADO]]</definedName>
    <definedName name="ENCUADRE_DISPOSITIVOS_MENORES" localSheetId="10">[1]Datos!$O$3:$P$114</definedName>
    <definedName name="ENCUADRE_DISPOSITIVOS_MENORES">Datos!$O$3:$P$136</definedName>
    <definedName name="ENCUADRE_ESCALAFON" localSheetId="10">[1]Datos!$Q$3:$R$8</definedName>
    <definedName name="ENCUADRE_ESCALAFON">Datos!$Q$3:$R$9</definedName>
    <definedName name="ENCUADRE_PTR" localSheetId="10">[1]Datos!$F$3:$G$29</definedName>
    <definedName name="ENCUADRE_PTR">Datos!$F$3:$G$42</definedName>
    <definedName name="ENCUADRE_PTR_A_JEFES" localSheetId="10">[1]Datos!$H$3:$I$29</definedName>
    <definedName name="ENCUADRE_PTR_A_JEFES">Datos!$H$3:$I$42</definedName>
    <definedName name="ESCUADRONES">Datos!$AB$3:$AF$13</definedName>
    <definedName name="GENERO" localSheetId="10">[1]Datos!$AA$3:$AA$4</definedName>
    <definedName name="GENERO">Datos!$AA$3:$AA$4</definedName>
    <definedName name="HORA" localSheetId="10">[1]Datos!$L$3:$L$100</definedName>
    <definedName name="HORA">Datos!$L$3:$L$100</definedName>
    <definedName name="JEFES_1" localSheetId="4">BD_PRINCIPAL[[DOTACIÓN ACTUAL]:[OBSERVACIÓN DISTRIBUCIÓN]]</definedName>
    <definedName name="JEFES_1" localSheetId="10">[1]!BD_PRINCIPAL[[DOTACIÓN ACTUAL]:[OBSERVACIÓN DISTRIBUCIÓN]]</definedName>
    <definedName name="JEFES_1">BD_PRINCIPAL[[DOTACIÓN ACTUAL]:[OBSERVACIÓN DISTRIBUCIÓN]]</definedName>
    <definedName name="JEFES_2" localSheetId="4">BD_PRINCIPAL[[DOTACIÓN]:[OBSERVACIÓN DISTRIBUCIÓN]]</definedName>
    <definedName name="JEFES_2" localSheetId="10">[1]!BD_PRINCIPAL[[DOTACIÓN]:[OBSERVACIÓN DISTRIBUCIÓN]]</definedName>
    <definedName name="JEFES_2">BD_PRINCIPAL[[DOTACIÓN]:[OBSERVACIÓN DISTRIBUCIÓN]]</definedName>
    <definedName name="LICENCIAS_FERIADO_PERMISO" localSheetId="10">[1]Datos!$J$3:$K$28</definedName>
    <definedName name="LICENCIAS_FERIADO_PERMISO">Datos!$J$3:$K$29</definedName>
    <definedName name="ORDEN1" localSheetId="10">[1]Datos!$R$3:$S$8</definedName>
    <definedName name="ORDEN1">Datos!$R$3:$S$9</definedName>
    <definedName name="ORDEN2" localSheetId="10">[1]Datos!$T$3:$W$266</definedName>
    <definedName name="ORDEN2">Datos!$T$3:$W$343</definedName>
    <definedName name="ORDEN3" localSheetId="10">[1]Datos!$C$3:$D$16</definedName>
    <definedName name="ORDEN3">Datos!$C$3:$D$17</definedName>
    <definedName name="ORDENYPINTURA">Datos!$T$3:$U$343</definedName>
    <definedName name="PANELDETRABAJO" localSheetId="10">'[1]Panel de Trabajo'!$C$5:$K$105</definedName>
    <definedName name="PANELDETRABAJO">'Panel de Trabajo'!$C$5:$K$162</definedName>
    <definedName name="PROYECTO_CHARLY" localSheetId="10">'[1]Panel de Trabajo'!$B$1:$C$99</definedName>
    <definedName name="PROYECTO_CHARLY">'Panel de Trabajo'!$B$14:$C$134</definedName>
    <definedName name="PROYECTO_DELTA" localSheetId="10">'[1]Panel de Trabajo'!$A$1:$C$98</definedName>
    <definedName name="PROYECTO_DELTA">'Panel de Trabajo'!$A$41:$C$84</definedName>
    <definedName name="PROYECTO_PINO">Datos!$AI$3:$AJ$202</definedName>
    <definedName name="REPARTICION" localSheetId="10">[1]Datos!$E$3:$E$6</definedName>
    <definedName name="REPARTICION">Datos!$E$3:$E$6</definedName>
    <definedName name="TABLA_PARA_ROL">'Tabla de Servicio'!$DY$10:$DZ$150</definedName>
    <definedName name="TabladeServicio" localSheetId="10">'[1]Tabla de Servicio'!$A$11:$DT$97</definedName>
    <definedName name="TabladeServicio">'Tabla de Servicio'!$A$11:$DT$150</definedName>
    <definedName name="TIPO">Datos!$X$3:$Y$286</definedName>
    <definedName name="TURNOS" localSheetId="10">[1]Datos!$M$3:$M$21</definedName>
    <definedName name="TURNOS">Datos!$M$3:$M$21</definedName>
    <definedName name="TURNOS_OPERATIVIDAD" localSheetId="10">[1]Datos!$M$3:$N$21</definedName>
    <definedName name="TURNOS_OPERATIVIDAD">Datos!$M$3:$N$21</definedName>
    <definedName name="TURNOS_SERVICIOS" localSheetId="10">'[1]Panel de Trabajo'!$C$5:$K$142</definedName>
    <definedName name="TURNOS_SERVICIOS">'Panel de Trabajo'!$C$5:$K$162</definedName>
    <definedName name="VEH." localSheetId="10">[1]Datos!$B$3:$B$86</definedName>
    <definedName name="VEH.">Datos!$B$3:$B$86</definedName>
    <definedName name="VEHICULOS_BLINDADOS">'VEHICULO BLINDADOS'!$A$2:$B$100</definedName>
  </definedNames>
  <calcPr calcId="191029"/>
  <pivotCaches>
    <pivotCache cacheId="351" r:id="rId22"/>
  </pivotCaches>
</workbook>
</file>

<file path=xl/calcChain.xml><?xml version="1.0" encoding="utf-8"?>
<calcChain xmlns="http://schemas.openxmlformats.org/spreadsheetml/2006/main">
  <c r="AA4" i="1" l="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E15" i="37" l="1"/>
  <c r="A42" i="32" l="1"/>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64" i="32"/>
  <c r="B65" i="32"/>
  <c r="B66" i="32"/>
  <c r="B67" i="32"/>
  <c r="B68" i="32"/>
  <c r="B69" i="32"/>
  <c r="B70" i="32"/>
  <c r="B71" i="32"/>
  <c r="B72" i="32"/>
  <c r="B73" i="32"/>
  <c r="B74"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8" i="32"/>
  <c r="B109" i="32"/>
  <c r="B110" i="32"/>
  <c r="B111" i="32"/>
  <c r="B112" i="32"/>
  <c r="B113" i="32"/>
  <c r="B114" i="32"/>
  <c r="B115" i="32"/>
  <c r="B116" i="32"/>
  <c r="B117" i="32"/>
  <c r="B118" i="32"/>
  <c r="B119" i="32"/>
  <c r="B120" i="32"/>
  <c r="B121" i="32"/>
  <c r="B122" i="32"/>
  <c r="B123" i="32"/>
  <c r="B124" i="32"/>
  <c r="B125" i="32"/>
  <c r="B126" i="32"/>
  <c r="B127" i="32"/>
  <c r="B128" i="32"/>
  <c r="B129" i="32"/>
  <c r="B130" i="32"/>
  <c r="B131" i="32"/>
  <c r="B132" i="32"/>
  <c r="B133" i="32"/>
  <c r="B134" i="32"/>
  <c r="A106" i="88" l="1"/>
  <c r="F97" i="88" l="1"/>
  <c r="I97" i="88"/>
  <c r="J97" i="88"/>
  <c r="L97" i="88"/>
  <c r="A102" i="88" l="1"/>
  <c r="N26" i="36"/>
  <c r="H15" i="37"/>
  <c r="L442" i="88" l="1"/>
  <c r="K442" i="88"/>
  <c r="J442" i="88"/>
  <c r="I442" i="88"/>
  <c r="H442" i="88"/>
  <c r="G442" i="88"/>
  <c r="F442" i="88"/>
  <c r="E442" i="88"/>
  <c r="J31" i="32" l="1"/>
  <c r="J32" i="32"/>
  <c r="J33" i="32"/>
  <c r="J34" i="32"/>
  <c r="D29" i="32" l="1"/>
  <c r="W281" i="1" l="1"/>
  <c r="X281" i="1"/>
  <c r="Y281" i="1"/>
  <c r="Z281" i="1"/>
  <c r="W274" i="1"/>
  <c r="X274" i="1"/>
  <c r="Y274" i="1"/>
  <c r="Z274" i="1"/>
  <c r="W266" i="1"/>
  <c r="X266" i="1"/>
  <c r="Y266" i="1"/>
  <c r="Z266" i="1"/>
  <c r="W258" i="1"/>
  <c r="X258" i="1"/>
  <c r="Y258" i="1"/>
  <c r="Z258" i="1"/>
  <c r="W263" i="1"/>
  <c r="X263" i="1"/>
  <c r="Y263" i="1"/>
  <c r="Z263" i="1"/>
  <c r="J124" i="88" l="1"/>
  <c r="I124" i="88"/>
  <c r="F124" i="88"/>
  <c r="L124" i="88"/>
  <c r="C34" i="88"/>
  <c r="L34" i="88"/>
  <c r="K34" i="88"/>
  <c r="J34" i="88"/>
  <c r="I34" i="88"/>
  <c r="H34" i="88"/>
  <c r="G34" i="88"/>
  <c r="F34" i="88"/>
  <c r="E34" i="88"/>
  <c r="C35" i="88"/>
  <c r="A49" i="88"/>
  <c r="A146" i="88" l="1"/>
  <c r="A408" i="88"/>
  <c r="A409" i="88"/>
  <c r="A407" i="88"/>
  <c r="A403" i="88"/>
  <c r="W260" i="1" l="1"/>
  <c r="X260" i="1"/>
  <c r="Y260" i="1"/>
  <c r="Z260" i="1"/>
  <c r="W278" i="1"/>
  <c r="X278" i="1"/>
  <c r="Y278" i="1"/>
  <c r="Z278" i="1"/>
  <c r="W264" i="1"/>
  <c r="X264" i="1"/>
  <c r="Y264" i="1"/>
  <c r="Z264" i="1"/>
  <c r="W270" i="1"/>
  <c r="X270" i="1"/>
  <c r="Y270" i="1"/>
  <c r="Z270" i="1"/>
  <c r="W271" i="1"/>
  <c r="X271" i="1"/>
  <c r="Y271" i="1"/>
  <c r="Z271" i="1"/>
  <c r="W284" i="1"/>
  <c r="X284" i="1"/>
  <c r="Y284" i="1"/>
  <c r="Z284" i="1"/>
  <c r="W275" i="1"/>
  <c r="X275" i="1"/>
  <c r="Y275" i="1"/>
  <c r="Z275" i="1"/>
  <c r="W255" i="1"/>
  <c r="X255" i="1"/>
  <c r="Y255" i="1"/>
  <c r="Z255" i="1"/>
  <c r="W273" i="1"/>
  <c r="X273" i="1"/>
  <c r="Y273" i="1"/>
  <c r="Z273" i="1"/>
  <c r="W286" i="1"/>
  <c r="X286" i="1"/>
  <c r="Y286" i="1"/>
  <c r="Z286" i="1"/>
  <c r="W277" i="1"/>
  <c r="X277" i="1"/>
  <c r="Y277" i="1"/>
  <c r="Z277" i="1"/>
  <c r="W282" i="1"/>
  <c r="X282" i="1"/>
  <c r="Y282" i="1"/>
  <c r="Z282" i="1"/>
  <c r="W287" i="1"/>
  <c r="X287" i="1"/>
  <c r="Y287" i="1"/>
  <c r="Z287" i="1"/>
  <c r="W259" i="1"/>
  <c r="X259" i="1"/>
  <c r="Y259" i="1"/>
  <c r="Z259" i="1"/>
  <c r="W283" i="1"/>
  <c r="X283" i="1"/>
  <c r="Y283" i="1"/>
  <c r="Z283" i="1"/>
  <c r="W285" i="1"/>
  <c r="X285" i="1"/>
  <c r="Y285" i="1"/>
  <c r="Z285" i="1"/>
  <c r="W262" i="1"/>
  <c r="X262" i="1"/>
  <c r="Y262" i="1"/>
  <c r="Z262" i="1"/>
  <c r="W265" i="1"/>
  <c r="X265" i="1"/>
  <c r="Y265" i="1"/>
  <c r="Z265" i="1"/>
  <c r="W272" i="1"/>
  <c r="X272" i="1"/>
  <c r="Y272" i="1"/>
  <c r="Z272" i="1"/>
  <c r="W288" i="1"/>
  <c r="X288" i="1"/>
  <c r="Y288" i="1"/>
  <c r="Z288" i="1"/>
  <c r="W269" i="1"/>
  <c r="X269" i="1"/>
  <c r="Y269" i="1"/>
  <c r="Z269" i="1"/>
  <c r="W256" i="1"/>
  <c r="X256" i="1"/>
  <c r="Y256" i="1"/>
  <c r="Z256" i="1"/>
  <c r="W268" i="1"/>
  <c r="X268" i="1"/>
  <c r="Y268" i="1"/>
  <c r="Z268" i="1"/>
  <c r="W280" i="1"/>
  <c r="X280" i="1"/>
  <c r="Y280" i="1"/>
  <c r="Z280" i="1"/>
  <c r="W257" i="1"/>
  <c r="X257" i="1"/>
  <c r="Y257" i="1"/>
  <c r="Z257" i="1"/>
  <c r="L88" i="88" l="1"/>
  <c r="J88" i="88"/>
  <c r="I88" i="88"/>
  <c r="A41" i="32"/>
  <c r="D21" i="32"/>
  <c r="D22" i="32"/>
  <c r="D23" i="32"/>
  <c r="D24" i="32"/>
  <c r="D25" i="32"/>
  <c r="D26" i="32"/>
  <c r="D27" i="32"/>
  <c r="D28" i="32"/>
  <c r="D30" i="32"/>
  <c r="D31" i="32"/>
  <c r="D32" i="32"/>
  <c r="D33" i="32"/>
  <c r="D34" i="32"/>
  <c r="D35" i="32"/>
  <c r="D36" i="32"/>
  <c r="D37" i="32"/>
  <c r="D38" i="32"/>
  <c r="D39" i="32"/>
  <c r="D40" i="32"/>
  <c r="D41" i="32"/>
  <c r="D42" i="32"/>
  <c r="D43" i="32"/>
  <c r="D44" i="32"/>
  <c r="D45" i="32"/>
  <c r="D46" i="32"/>
  <c r="D47" i="32"/>
  <c r="D48" i="32"/>
  <c r="D49" i="32"/>
  <c r="D50" i="32"/>
  <c r="F136" i="88" l="1"/>
  <c r="I136" i="88"/>
  <c r="J136" i="88"/>
  <c r="L136" i="88"/>
  <c r="F95" i="88"/>
  <c r="I95" i="88"/>
  <c r="J95" i="88"/>
  <c r="L95" i="88"/>
  <c r="F96" i="88"/>
  <c r="I96" i="88"/>
  <c r="J96" i="88"/>
  <c r="L96" i="88"/>
  <c r="W424" i="1" l="1"/>
  <c r="X424" i="1"/>
  <c r="Y424" i="1"/>
  <c r="Z424" i="1"/>
  <c r="W351" i="1"/>
  <c r="X351" i="1"/>
  <c r="Y351" i="1"/>
  <c r="Z351" i="1"/>
  <c r="L146" i="88" l="1"/>
  <c r="J146" i="88"/>
  <c r="I146" i="88"/>
  <c r="F146" i="88"/>
  <c r="J63" i="32" l="1"/>
  <c r="L439" i="88" l="1"/>
  <c r="K439" i="88"/>
  <c r="J439" i="88"/>
  <c r="I439" i="88"/>
  <c r="H439" i="88"/>
  <c r="G439" i="88"/>
  <c r="F439" i="88"/>
  <c r="E439" i="88"/>
  <c r="A98" i="88" l="1"/>
  <c r="A145" i="88" l="1"/>
  <c r="A148" i="88" l="1"/>
  <c r="L155" i="88" l="1"/>
  <c r="J155" i="88"/>
  <c r="I155" i="88"/>
  <c r="F155" i="88"/>
  <c r="A155" i="88"/>
  <c r="T10" i="36"/>
  <c r="L105" i="88" l="1"/>
  <c r="J105" i="88"/>
  <c r="I105" i="88"/>
  <c r="F105" i="88"/>
  <c r="A105" i="88"/>
  <c r="A48" i="88" l="1"/>
  <c r="F50" i="88" l="1"/>
  <c r="I50" i="88"/>
  <c r="J50" i="88"/>
  <c r="L50" i="88"/>
  <c r="F48" i="88"/>
  <c r="I48" i="88"/>
  <c r="J48" i="88"/>
  <c r="L48" i="88"/>
  <c r="F49" i="88"/>
  <c r="I49" i="88"/>
  <c r="J49" i="88"/>
  <c r="L49" i="88"/>
  <c r="L398" i="88"/>
  <c r="J398" i="88"/>
  <c r="I398" i="88"/>
  <c r="F398" i="88"/>
  <c r="L116" i="88" l="1"/>
  <c r="J116" i="88"/>
  <c r="F116" i="88"/>
  <c r="I116" i="88"/>
  <c r="L407" i="88" l="1"/>
  <c r="J407" i="88"/>
  <c r="I407" i="88"/>
  <c r="F407" i="88"/>
  <c r="N10" i="36"/>
  <c r="O10" i="36"/>
  <c r="F154" i="88" l="1"/>
  <c r="I154" i="88"/>
  <c r="J154" i="88"/>
  <c r="L154" i="88"/>
  <c r="A154" i="88"/>
  <c r="L118" i="88"/>
  <c r="J118" i="88"/>
  <c r="I118" i="88"/>
  <c r="F118" i="88"/>
  <c r="E46" i="88"/>
  <c r="F153" i="88"/>
  <c r="I153" i="88"/>
  <c r="J153" i="88"/>
  <c r="L153" i="88"/>
  <c r="A107" i="88"/>
  <c r="L428" i="88"/>
  <c r="J428" i="88"/>
  <c r="I428" i="88"/>
  <c r="F428" i="88"/>
  <c r="L129" i="88"/>
  <c r="J129" i="88"/>
  <c r="I129" i="88"/>
  <c r="F129" i="88"/>
  <c r="F107" i="88"/>
  <c r="I107" i="88"/>
  <c r="J107" i="88"/>
  <c r="L107" i="88"/>
  <c r="F98" i="88"/>
  <c r="I98" i="88"/>
  <c r="J98" i="88"/>
  <c r="L98" i="88"/>
  <c r="L128" i="88"/>
  <c r="J128" i="88"/>
  <c r="I128" i="88"/>
  <c r="F128" i="88"/>
  <c r="L138" i="88"/>
  <c r="J138" i="88"/>
  <c r="I138" i="88"/>
  <c r="F138" i="88"/>
  <c r="U10" i="36"/>
  <c r="A88" i="88" l="1"/>
  <c r="F88" i="88"/>
  <c r="A438" i="88"/>
  <c r="L438" i="88"/>
  <c r="J438" i="88"/>
  <c r="I438" i="88"/>
  <c r="F438" i="88"/>
  <c r="L430" i="88"/>
  <c r="J430" i="88"/>
  <c r="I430" i="88"/>
  <c r="F430" i="88"/>
  <c r="A119" i="88"/>
  <c r="L145" i="88" l="1"/>
  <c r="J145" i="88"/>
  <c r="I145" i="88"/>
  <c r="F145" i="88"/>
  <c r="W480" i="1" l="1"/>
  <c r="X480" i="1"/>
  <c r="Y480" i="1"/>
  <c r="Z480" i="1"/>
  <c r="L350" i="88" l="1"/>
  <c r="J350" i="88"/>
  <c r="I350" i="88"/>
  <c r="F350" i="88"/>
  <c r="L427" i="88"/>
  <c r="J427" i="88"/>
  <c r="I427" i="88"/>
  <c r="F427" i="88"/>
  <c r="L426" i="88"/>
  <c r="J426" i="88"/>
  <c r="I426" i="88"/>
  <c r="F426" i="88"/>
  <c r="L103" i="88" l="1"/>
  <c r="J103" i="88"/>
  <c r="I103" i="88"/>
  <c r="F103" i="88"/>
  <c r="A103" i="88"/>
  <c r="A46" i="88"/>
  <c r="L46" i="88"/>
  <c r="J22" i="32"/>
  <c r="V26" i="36"/>
  <c r="F46" i="88" l="1"/>
  <c r="I46" i="88"/>
  <c r="J46" i="88"/>
  <c r="K46" i="88"/>
  <c r="F425" i="88" l="1"/>
  <c r="I425" i="88"/>
  <c r="J425" i="88"/>
  <c r="L425" i="88"/>
  <c r="L424" i="88"/>
  <c r="J424" i="88"/>
  <c r="I424" i="88"/>
  <c r="F424" i="88"/>
  <c r="F106" i="88"/>
  <c r="I106" i="88"/>
  <c r="J106" i="88"/>
  <c r="L106" i="88"/>
  <c r="A101" i="88"/>
  <c r="F101" i="88"/>
  <c r="I101" i="88"/>
  <c r="J101" i="88"/>
  <c r="L101" i="88"/>
  <c r="F437" i="88"/>
  <c r="I437" i="88"/>
  <c r="J437" i="88"/>
  <c r="L437" i="88"/>
  <c r="L436" i="88"/>
  <c r="J436" i="88"/>
  <c r="I436" i="88"/>
  <c r="F436" i="88"/>
  <c r="A436" i="88"/>
  <c r="F410" i="88" l="1"/>
  <c r="I410" i="88"/>
  <c r="J410" i="88"/>
  <c r="L410" i="88"/>
  <c r="F411" i="88"/>
  <c r="I411" i="88"/>
  <c r="J411" i="88"/>
  <c r="L411" i="88"/>
  <c r="I117" i="88" l="1"/>
  <c r="L117" i="88"/>
  <c r="L406" i="88"/>
  <c r="J406" i="88"/>
  <c r="I406" i="88"/>
  <c r="F406" i="88"/>
  <c r="L405" i="88"/>
  <c r="J405" i="88"/>
  <c r="I405" i="88"/>
  <c r="F405" i="88"/>
  <c r="K5" i="37"/>
  <c r="K10" i="36"/>
  <c r="C26" i="36"/>
  <c r="H10" i="36"/>
  <c r="R10" i="36"/>
  <c r="D26" i="36"/>
  <c r="L10" i="36"/>
  <c r="T26" i="36"/>
  <c r="L26" i="36"/>
  <c r="F10" i="36"/>
  <c r="I10" i="36"/>
  <c r="Q10" i="36"/>
  <c r="X5" i="37"/>
  <c r="K26" i="36"/>
  <c r="R26" i="36"/>
  <c r="E10" i="36"/>
  <c r="Z10" i="36"/>
  <c r="J117" i="88" l="1"/>
  <c r="F117" i="88"/>
  <c r="L150" i="88" l="1"/>
  <c r="F152" i="88"/>
  <c r="I152" i="88"/>
  <c r="J152" i="88"/>
  <c r="L152" i="88"/>
  <c r="F148" i="88"/>
  <c r="I148" i="88"/>
  <c r="J148" i="88"/>
  <c r="L148" i="88"/>
  <c r="F147" i="88"/>
  <c r="I147" i="88"/>
  <c r="J147" i="88"/>
  <c r="L147" i="88"/>
  <c r="F109" i="88"/>
  <c r="I109" i="88"/>
  <c r="J109" i="88"/>
  <c r="L109" i="88"/>
  <c r="F127" i="88"/>
  <c r="I127" i="88"/>
  <c r="J127" i="88"/>
  <c r="L127" i="88"/>
  <c r="F45" i="88"/>
  <c r="I45" i="88"/>
  <c r="J45" i="88"/>
  <c r="L45" i="88"/>
  <c r="F435" i="88"/>
  <c r="I435" i="88"/>
  <c r="J435" i="88"/>
  <c r="L435" i="88"/>
  <c r="F404" i="88"/>
  <c r="I404" i="88"/>
  <c r="J404" i="88"/>
  <c r="L404" i="88"/>
  <c r="I150" i="88" l="1"/>
  <c r="F150" i="88"/>
  <c r="J150" i="88"/>
  <c r="J102" i="88"/>
  <c r="F102" i="88"/>
  <c r="I102" i="88"/>
  <c r="AF10" i="36"/>
  <c r="AF11" i="36" l="1"/>
  <c r="A431" i="88" l="1"/>
  <c r="L422" i="88" l="1"/>
  <c r="J422" i="88"/>
  <c r="I422" i="88"/>
  <c r="F422" i="88"/>
  <c r="L421" i="88"/>
  <c r="J421" i="88"/>
  <c r="I421" i="88"/>
  <c r="F421" i="88"/>
  <c r="L420" i="88"/>
  <c r="J420" i="88"/>
  <c r="I420" i="88"/>
  <c r="F420" i="88"/>
  <c r="L419" i="88"/>
  <c r="J419" i="88"/>
  <c r="I419" i="88"/>
  <c r="F419" i="88"/>
  <c r="L418" i="88"/>
  <c r="J418" i="88"/>
  <c r="I418" i="88"/>
  <c r="F418" i="88"/>
  <c r="F119" i="88"/>
  <c r="I119" i="88"/>
  <c r="J119" i="88"/>
  <c r="L119" i="88"/>
  <c r="L137" i="88"/>
  <c r="J137" i="88"/>
  <c r="I137" i="88"/>
  <c r="F137" i="88"/>
  <c r="L402" i="88"/>
  <c r="L401" i="88"/>
  <c r="L400" i="88"/>
  <c r="L399" i="88"/>
  <c r="L397" i="88"/>
  <c r="L396" i="88"/>
  <c r="L395" i="88"/>
  <c r="L393" i="88"/>
  <c r="J402" i="88"/>
  <c r="I402" i="88"/>
  <c r="J401" i="88"/>
  <c r="I401" i="88"/>
  <c r="J400" i="88"/>
  <c r="I400" i="88"/>
  <c r="J399" i="88"/>
  <c r="I399" i="88"/>
  <c r="J397" i="88"/>
  <c r="I397" i="88"/>
  <c r="J396" i="88"/>
  <c r="I396" i="88"/>
  <c r="J395" i="88"/>
  <c r="I395" i="88"/>
  <c r="J393" i="88"/>
  <c r="I393" i="88"/>
  <c r="F402" i="88"/>
  <c r="F401" i="88"/>
  <c r="F400" i="88"/>
  <c r="F399" i="88"/>
  <c r="F397" i="88"/>
  <c r="F396" i="88"/>
  <c r="F395" i="88"/>
  <c r="F393" i="88"/>
  <c r="L403" i="88"/>
  <c r="L391" i="88"/>
  <c r="W28" i="1" l="1"/>
  <c r="X28" i="1"/>
  <c r="Y28" i="1"/>
  <c r="Z28" i="1"/>
  <c r="A45" i="88" l="1"/>
  <c r="A359" i="88"/>
  <c r="A368" i="88"/>
  <c r="A360" i="88"/>
  <c r="D468" i="88" l="1"/>
  <c r="I11" i="88" l="1"/>
  <c r="W276" i="1" l="1"/>
  <c r="X276" i="1"/>
  <c r="Y276" i="1"/>
  <c r="Z276" i="1"/>
  <c r="W62" i="1"/>
  <c r="X62" i="1"/>
  <c r="Y62" i="1"/>
  <c r="Z62" i="1"/>
  <c r="W334" i="1"/>
  <c r="X334" i="1"/>
  <c r="Y334" i="1"/>
  <c r="Z334" i="1"/>
  <c r="W72" i="1" l="1"/>
  <c r="X72" i="1"/>
  <c r="Y72" i="1"/>
  <c r="Z72" i="1"/>
  <c r="W398" i="1" l="1"/>
  <c r="X398" i="1"/>
  <c r="Y398" i="1"/>
  <c r="Z398" i="1"/>
  <c r="W86" i="1" l="1"/>
  <c r="X86" i="1"/>
  <c r="Y86" i="1"/>
  <c r="Z86" i="1"/>
  <c r="W95" i="1" l="1"/>
  <c r="X95" i="1"/>
  <c r="Y95" i="1"/>
  <c r="Z95" i="1"/>
  <c r="W63" i="1" l="1"/>
  <c r="X63" i="1"/>
  <c r="Y63" i="1"/>
  <c r="Z63" i="1"/>
  <c r="W237" i="1" l="1"/>
  <c r="X237" i="1"/>
  <c r="Y237" i="1"/>
  <c r="Z237" i="1"/>
  <c r="W174" i="1"/>
  <c r="X174" i="1"/>
  <c r="Y174" i="1"/>
  <c r="Z174" i="1"/>
  <c r="DX150" i="76" l="1"/>
  <c r="DX149" i="76"/>
  <c r="DX137" i="76"/>
  <c r="DX138" i="76"/>
  <c r="DX139" i="76"/>
  <c r="DX140" i="76"/>
  <c r="DX141" i="76"/>
  <c r="DX142" i="76"/>
  <c r="DX143" i="76"/>
  <c r="DX144" i="76"/>
  <c r="DX145" i="76"/>
  <c r="DX146" i="76"/>
  <c r="DX147" i="76"/>
  <c r="DX136" i="76"/>
  <c r="DX113" i="76"/>
  <c r="DX114" i="76"/>
  <c r="DX115" i="76"/>
  <c r="DX116" i="76"/>
  <c r="DX117" i="76"/>
  <c r="DX118" i="76"/>
  <c r="DX119" i="76"/>
  <c r="DX120" i="76"/>
  <c r="DX121" i="76"/>
  <c r="DX122" i="76"/>
  <c r="DX123" i="76"/>
  <c r="DX124" i="76"/>
  <c r="DX125" i="76"/>
  <c r="DX126" i="76"/>
  <c r="DX127" i="76"/>
  <c r="DX128" i="76"/>
  <c r="DX129" i="76"/>
  <c r="DX130" i="76"/>
  <c r="DX131" i="76"/>
  <c r="DX132" i="76"/>
  <c r="DX133" i="76"/>
  <c r="DX134" i="76"/>
  <c r="DX112" i="76"/>
  <c r="DX55" i="76"/>
  <c r="DX56" i="76"/>
  <c r="DX57" i="76"/>
  <c r="DX58" i="76"/>
  <c r="DX59" i="76"/>
  <c r="DX60" i="76"/>
  <c r="DX61" i="76"/>
  <c r="DX62" i="76"/>
  <c r="DX63" i="76"/>
  <c r="DX64" i="76"/>
  <c r="DX65" i="76"/>
  <c r="DX66" i="76"/>
  <c r="DX67" i="76"/>
  <c r="DX68" i="76"/>
  <c r="DX69" i="76"/>
  <c r="DX70" i="76"/>
  <c r="DX71" i="76"/>
  <c r="DX72" i="76"/>
  <c r="DX73" i="76"/>
  <c r="DX74" i="76"/>
  <c r="DX75" i="76"/>
  <c r="DX76" i="76"/>
  <c r="DX77" i="76"/>
  <c r="DX78" i="76"/>
  <c r="DX79" i="76"/>
  <c r="DX80" i="76"/>
  <c r="DX81" i="76"/>
  <c r="DX82" i="76"/>
  <c r="DX83" i="76"/>
  <c r="DX84" i="76"/>
  <c r="DX85" i="76"/>
  <c r="DX86" i="76"/>
  <c r="DX87" i="76"/>
  <c r="DX88" i="76"/>
  <c r="DX89" i="76"/>
  <c r="DX90" i="76"/>
  <c r="DX91" i="76"/>
  <c r="DX92" i="76"/>
  <c r="DX93" i="76"/>
  <c r="DX94" i="76"/>
  <c r="DX95" i="76"/>
  <c r="DX96" i="76"/>
  <c r="DX97" i="76"/>
  <c r="DX98" i="76"/>
  <c r="DX99" i="76"/>
  <c r="DX100" i="76"/>
  <c r="DX101" i="76"/>
  <c r="DX102" i="76"/>
  <c r="DX103" i="76"/>
  <c r="DX104" i="76"/>
  <c r="DX105" i="76"/>
  <c r="DX106" i="76"/>
  <c r="DX107" i="76"/>
  <c r="DX108" i="76"/>
  <c r="DX109" i="76"/>
  <c r="DX110" i="76"/>
  <c r="DX54" i="76"/>
  <c r="DX24" i="76"/>
  <c r="DX25" i="76"/>
  <c r="DX26" i="76"/>
  <c r="DX27" i="76"/>
  <c r="DX28" i="76"/>
  <c r="DX29" i="76"/>
  <c r="DX30" i="76"/>
  <c r="DX31" i="76"/>
  <c r="DX32" i="76"/>
  <c r="DX33" i="76"/>
  <c r="DX34" i="76"/>
  <c r="DX35" i="76"/>
  <c r="DX36" i="76"/>
  <c r="DX37" i="76"/>
  <c r="DX38" i="76"/>
  <c r="DX39" i="76"/>
  <c r="DX40" i="76"/>
  <c r="DX41" i="76"/>
  <c r="DX42" i="76"/>
  <c r="DX43" i="76"/>
  <c r="DX44" i="76"/>
  <c r="DX45" i="76"/>
  <c r="DX46" i="76"/>
  <c r="DX47" i="76"/>
  <c r="DX48" i="76"/>
  <c r="DX49" i="76"/>
  <c r="DX50" i="76"/>
  <c r="DX51" i="76"/>
  <c r="DX52" i="76"/>
  <c r="DX23" i="76"/>
  <c r="DX18" i="76"/>
  <c r="DX19" i="76"/>
  <c r="DX20" i="76"/>
  <c r="DX21" i="76"/>
  <c r="DX17" i="76"/>
  <c r="DX12" i="76"/>
  <c r="DX13" i="76"/>
  <c r="DX14" i="76"/>
  <c r="DX15" i="76"/>
  <c r="DX11" i="76"/>
  <c r="W147" i="1" l="1"/>
  <c r="X147" i="1"/>
  <c r="Y147" i="1"/>
  <c r="Z147" i="1"/>
  <c r="W326" i="1"/>
  <c r="X326" i="1"/>
  <c r="Y326" i="1"/>
  <c r="Z326" i="1"/>
  <c r="W56" i="1" l="1"/>
  <c r="X56" i="1"/>
  <c r="Y56" i="1"/>
  <c r="Z56" i="1"/>
  <c r="W148" i="1"/>
  <c r="X148" i="1"/>
  <c r="Y148" i="1"/>
  <c r="Z148" i="1"/>
  <c r="W164" i="1"/>
  <c r="X164" i="1"/>
  <c r="Y164" i="1"/>
  <c r="Z164" i="1"/>
  <c r="W305" i="1"/>
  <c r="X305" i="1"/>
  <c r="Y305" i="1"/>
  <c r="Z305" i="1"/>
  <c r="W439" i="1"/>
  <c r="X439" i="1"/>
  <c r="Y439" i="1"/>
  <c r="Z439" i="1"/>
  <c r="W19" i="1" l="1"/>
  <c r="X19" i="1"/>
  <c r="Y19" i="1"/>
  <c r="Z19" i="1"/>
  <c r="W12" i="1" l="1"/>
  <c r="X12" i="1"/>
  <c r="Y12" i="1"/>
  <c r="Z12" i="1"/>
  <c r="W387" i="1" l="1"/>
  <c r="X387" i="1"/>
  <c r="Y387" i="1"/>
  <c r="Z387" i="1"/>
  <c r="W388" i="1" l="1"/>
  <c r="X388" i="1"/>
  <c r="Y388" i="1"/>
  <c r="Z388" i="1"/>
  <c r="W26" i="1" l="1"/>
  <c r="X26" i="1"/>
  <c r="Y26" i="1"/>
  <c r="Z26" i="1"/>
  <c r="J46" i="32" l="1"/>
  <c r="B48" i="76"/>
  <c r="J45" i="32"/>
  <c r="B47" i="76"/>
  <c r="J44" i="32"/>
  <c r="B46" i="76"/>
  <c r="J43" i="32"/>
  <c r="B45" i="76"/>
  <c r="J42" i="32"/>
  <c r="B44" i="76"/>
  <c r="J41" i="32"/>
  <c r="B43" i="76"/>
  <c r="E50" i="88"/>
  <c r="K49" i="88"/>
  <c r="E49" i="88"/>
  <c r="J36" i="32"/>
  <c r="J35" i="32"/>
  <c r="J38" i="32"/>
  <c r="J37" i="32"/>
  <c r="J39" i="32"/>
  <c r="J127" i="32"/>
  <c r="D127" i="32"/>
  <c r="B127" i="76" s="1"/>
  <c r="J126" i="32"/>
  <c r="D126" i="32"/>
  <c r="J129" i="32"/>
  <c r="D129" i="32"/>
  <c r="J128" i="32"/>
  <c r="D128" i="32"/>
  <c r="J131" i="32"/>
  <c r="D131" i="32"/>
  <c r="J130" i="32"/>
  <c r="D130" i="32"/>
  <c r="J133" i="32"/>
  <c r="D133" i="32"/>
  <c r="J132" i="32"/>
  <c r="D132" i="32"/>
  <c r="J134" i="32"/>
  <c r="D134" i="32"/>
  <c r="J104" i="32"/>
  <c r="K402" i="88" s="1"/>
  <c r="D104" i="32"/>
  <c r="J103" i="32"/>
  <c r="K401" i="88" s="1"/>
  <c r="D103" i="32"/>
  <c r="E401" i="88" s="1"/>
  <c r="J102" i="32"/>
  <c r="K400" i="88" s="1"/>
  <c r="D102" i="32"/>
  <c r="E400" i="88" s="1"/>
  <c r="J101" i="32"/>
  <c r="K399" i="88" s="1"/>
  <c r="D101" i="32"/>
  <c r="E399" i="88" s="1"/>
  <c r="J100" i="32"/>
  <c r="K397" i="88" s="1"/>
  <c r="D100" i="32"/>
  <c r="E397" i="88" s="1"/>
  <c r="J99" i="32"/>
  <c r="K396" i="88" s="1"/>
  <c r="D99" i="32"/>
  <c r="E396" i="88" s="1"/>
  <c r="J98" i="32"/>
  <c r="K395" i="88" s="1"/>
  <c r="D98" i="32"/>
  <c r="E395" i="88" s="1"/>
  <c r="J105" i="32"/>
  <c r="K405" i="88" s="1"/>
  <c r="D105" i="32"/>
  <c r="J106" i="32"/>
  <c r="K406" i="88" s="1"/>
  <c r="D106" i="32"/>
  <c r="J107" i="32"/>
  <c r="K407" i="88" s="1"/>
  <c r="D107" i="32"/>
  <c r="E407" i="88" s="1"/>
  <c r="J108" i="32"/>
  <c r="D108" i="32"/>
  <c r="J109" i="32"/>
  <c r="D109" i="32"/>
  <c r="K45" i="88" l="1"/>
  <c r="K50" i="88"/>
  <c r="B35" i="76"/>
  <c r="B106" i="76"/>
  <c r="E405" i="88"/>
  <c r="B107" i="76"/>
  <c r="E406" i="88"/>
  <c r="B104" i="76"/>
  <c r="B105" i="76"/>
  <c r="E402" i="88"/>
  <c r="B103" i="76"/>
  <c r="B128" i="76"/>
  <c r="B126" i="76"/>
  <c r="B129" i="76"/>
  <c r="B131" i="76"/>
  <c r="B130" i="76"/>
  <c r="B132" i="76"/>
  <c r="B134" i="76"/>
  <c r="B133" i="76"/>
  <c r="B99" i="76"/>
  <c r="W313" i="1"/>
  <c r="X313" i="1"/>
  <c r="Y313" i="1"/>
  <c r="Z313" i="1"/>
  <c r="W8" i="1" l="1"/>
  <c r="X8" i="1"/>
  <c r="Y8" i="1"/>
  <c r="Z8" i="1"/>
  <c r="W146" i="1" l="1"/>
  <c r="X146" i="1"/>
  <c r="Y146" i="1"/>
  <c r="Z146" i="1"/>
  <c r="W349" i="1" l="1"/>
  <c r="X349" i="1"/>
  <c r="Y349" i="1"/>
  <c r="Z349" i="1"/>
  <c r="K8" i="33"/>
  <c r="W430" i="1" l="1"/>
  <c r="X430" i="1"/>
  <c r="Y430" i="1"/>
  <c r="Z430" i="1"/>
  <c r="C87" i="81" l="1"/>
  <c r="D3" i="81"/>
  <c r="D5" i="81" s="1"/>
  <c r="A611" i="40"/>
  <c r="A610" i="40"/>
  <c r="A609" i="40"/>
  <c r="A608" i="40"/>
  <c r="A607" i="40"/>
  <c r="A606" i="40"/>
  <c r="A605" i="40"/>
  <c r="A604" i="40"/>
  <c r="A603" i="40"/>
  <c r="A602" i="40"/>
  <c r="A601" i="40"/>
  <c r="A600" i="40"/>
  <c r="A599" i="40"/>
  <c r="A598" i="40"/>
  <c r="A597" i="40"/>
  <c r="A596" i="40"/>
  <c r="A595" i="40"/>
  <c r="A594" i="40"/>
  <c r="A593" i="40"/>
  <c r="A592" i="40"/>
  <c r="A591" i="40"/>
  <c r="A590" i="40"/>
  <c r="A589" i="40"/>
  <c r="A588" i="40"/>
  <c r="A587" i="40"/>
  <c r="A586" i="40"/>
  <c r="A585" i="40"/>
  <c r="A584" i="40"/>
  <c r="A583" i="40"/>
  <c r="A582" i="40"/>
  <c r="A581" i="40"/>
  <c r="A580" i="40"/>
  <c r="A579" i="40"/>
  <c r="A578" i="40"/>
  <c r="A577" i="40"/>
  <c r="A576" i="40"/>
  <c r="A575" i="40"/>
  <c r="A574" i="40"/>
  <c r="A573" i="40"/>
  <c r="A572" i="40"/>
  <c r="A571" i="40"/>
  <c r="A570" i="40"/>
  <c r="A569" i="40"/>
  <c r="A568" i="40"/>
  <c r="A567" i="40"/>
  <c r="A566" i="40"/>
  <c r="A565" i="40"/>
  <c r="A564" i="40"/>
  <c r="A563" i="40"/>
  <c r="A562" i="40"/>
  <c r="A561" i="40"/>
  <c r="A560" i="40"/>
  <c r="A559" i="40"/>
  <c r="A558" i="40"/>
  <c r="A557" i="40"/>
  <c r="A556" i="40"/>
  <c r="A555" i="40"/>
  <c r="A554" i="40"/>
  <c r="A553" i="40"/>
  <c r="A552" i="40"/>
  <c r="A551" i="40"/>
  <c r="A550" i="40"/>
  <c r="A549" i="40"/>
  <c r="A548" i="40"/>
  <c r="A547" i="40"/>
  <c r="A546" i="40"/>
  <c r="A545" i="40"/>
  <c r="A544" i="40"/>
  <c r="A543" i="40"/>
  <c r="A542" i="40"/>
  <c r="A541" i="40"/>
  <c r="A540" i="40"/>
  <c r="A539" i="40"/>
  <c r="A538" i="40"/>
  <c r="A537" i="40"/>
  <c r="A536" i="40"/>
  <c r="A535" i="40"/>
  <c r="A534" i="40"/>
  <c r="A533" i="40"/>
  <c r="A532" i="40"/>
  <c r="A531" i="40"/>
  <c r="A530" i="40"/>
  <c r="A529" i="40"/>
  <c r="A528" i="40"/>
  <c r="A527" i="40"/>
  <c r="A526" i="40"/>
  <c r="A525" i="40"/>
  <c r="A524" i="40"/>
  <c r="A523" i="40"/>
  <c r="A522" i="40"/>
  <c r="A521" i="40"/>
  <c r="A520" i="40"/>
  <c r="A519" i="40"/>
  <c r="A518" i="40"/>
  <c r="A517" i="40"/>
  <c r="A516" i="40"/>
  <c r="A515" i="40"/>
  <c r="A514" i="40"/>
  <c r="A513" i="40"/>
  <c r="A512" i="40"/>
  <c r="A511" i="40"/>
  <c r="A510" i="40"/>
  <c r="A509" i="40"/>
  <c r="A508" i="40"/>
  <c r="A507" i="40"/>
  <c r="A506" i="40"/>
  <c r="A505" i="40"/>
  <c r="A504" i="40"/>
  <c r="A503" i="40"/>
  <c r="A502" i="40"/>
  <c r="A501" i="40"/>
  <c r="A500" i="40"/>
  <c r="A499" i="40"/>
  <c r="A498" i="40"/>
  <c r="A497" i="40"/>
  <c r="A496" i="40"/>
  <c r="A495" i="40"/>
  <c r="A494" i="40"/>
  <c r="A493" i="40"/>
  <c r="A492" i="40"/>
  <c r="A491" i="40"/>
  <c r="A490" i="40"/>
  <c r="A489" i="40"/>
  <c r="A488" i="40"/>
  <c r="A487" i="40"/>
  <c r="A486" i="40"/>
  <c r="A485" i="40"/>
  <c r="A484" i="40"/>
  <c r="A483" i="40"/>
  <c r="A482" i="40"/>
  <c r="A481" i="40"/>
  <c r="A480" i="40"/>
  <c r="A479" i="40"/>
  <c r="A478" i="40"/>
  <c r="A477" i="40"/>
  <c r="A476" i="40"/>
  <c r="A475" i="40"/>
  <c r="A474" i="40"/>
  <c r="A473" i="40"/>
  <c r="A472" i="40"/>
  <c r="A471" i="40"/>
  <c r="A470" i="40"/>
  <c r="A469" i="40"/>
  <c r="A468" i="40"/>
  <c r="A467" i="40"/>
  <c r="A466" i="40"/>
  <c r="A465" i="40"/>
  <c r="A464" i="40"/>
  <c r="A463" i="40"/>
  <c r="A462" i="40"/>
  <c r="A461" i="40"/>
  <c r="A460" i="40"/>
  <c r="A459" i="40"/>
  <c r="A458" i="40"/>
  <c r="A457" i="40"/>
  <c r="A456" i="40"/>
  <c r="A455" i="40"/>
  <c r="A454" i="40"/>
  <c r="A453" i="40"/>
  <c r="A452" i="40"/>
  <c r="A451" i="40"/>
  <c r="A450" i="40"/>
  <c r="A449" i="40"/>
  <c r="A448" i="40"/>
  <c r="A447" i="40"/>
  <c r="A446" i="40"/>
  <c r="A445" i="40"/>
  <c r="A444" i="40"/>
  <c r="A443" i="40"/>
  <c r="A442" i="40"/>
  <c r="A441" i="40"/>
  <c r="A440" i="40"/>
  <c r="A439" i="40"/>
  <c r="A438" i="40"/>
  <c r="A437" i="40"/>
  <c r="A436" i="40"/>
  <c r="A435" i="40"/>
  <c r="A434" i="40"/>
  <c r="A433" i="40"/>
  <c r="A432" i="40"/>
  <c r="A431" i="40"/>
  <c r="A430" i="40"/>
  <c r="A429" i="40"/>
  <c r="A428" i="40"/>
  <c r="A427" i="40"/>
  <c r="A426" i="40"/>
  <c r="A425" i="40"/>
  <c r="A424" i="40"/>
  <c r="A423" i="40"/>
  <c r="A422" i="40"/>
  <c r="A421" i="40"/>
  <c r="A420" i="40"/>
  <c r="A419" i="40"/>
  <c r="A418" i="40"/>
  <c r="A417" i="40"/>
  <c r="A416" i="40"/>
  <c r="A415" i="40"/>
  <c r="A414" i="40"/>
  <c r="A413" i="40"/>
  <c r="A412" i="40"/>
  <c r="A411" i="40"/>
  <c r="A410" i="40"/>
  <c r="A409" i="40"/>
  <c r="A408" i="40"/>
  <c r="A407" i="40"/>
  <c r="A406" i="40"/>
  <c r="A405" i="40"/>
  <c r="A404" i="40"/>
  <c r="A403" i="40"/>
  <c r="A402" i="40"/>
  <c r="A401" i="40"/>
  <c r="A400" i="40"/>
  <c r="A399" i="40"/>
  <c r="A398" i="40"/>
  <c r="A397" i="40"/>
  <c r="A396" i="40"/>
  <c r="A395" i="40"/>
  <c r="A394" i="40"/>
  <c r="A393" i="40"/>
  <c r="A392" i="40"/>
  <c r="A391" i="40"/>
  <c r="A390" i="40"/>
  <c r="A389" i="40"/>
  <c r="A388" i="40"/>
  <c r="A387" i="40"/>
  <c r="A386" i="40"/>
  <c r="A385" i="40"/>
  <c r="A384" i="40"/>
  <c r="A383" i="40"/>
  <c r="A382" i="40"/>
  <c r="A381" i="40"/>
  <c r="A380" i="40"/>
  <c r="A379" i="40"/>
  <c r="A378" i="40"/>
  <c r="A377" i="40"/>
  <c r="A376" i="40"/>
  <c r="A375" i="40"/>
  <c r="A374" i="40"/>
  <c r="A373" i="40"/>
  <c r="A372" i="40"/>
  <c r="A371" i="40"/>
  <c r="A370" i="40"/>
  <c r="A369" i="40"/>
  <c r="A368" i="40"/>
  <c r="A367" i="40"/>
  <c r="A366" i="40"/>
  <c r="A365" i="40"/>
  <c r="A364" i="40"/>
  <c r="A363" i="40"/>
  <c r="A362" i="40"/>
  <c r="A361" i="40"/>
  <c r="A360" i="40"/>
  <c r="A359" i="40"/>
  <c r="A358" i="40"/>
  <c r="A357" i="40"/>
  <c r="A356" i="40"/>
  <c r="A355" i="40"/>
  <c r="A354" i="40"/>
  <c r="A353" i="40"/>
  <c r="A352" i="40"/>
  <c r="A351" i="40"/>
  <c r="A350" i="40"/>
  <c r="A349" i="40"/>
  <c r="A348" i="40"/>
  <c r="A347" i="40"/>
  <c r="A346" i="40"/>
  <c r="A345" i="40"/>
  <c r="A344" i="40"/>
  <c r="A343" i="40"/>
  <c r="A342" i="40"/>
  <c r="A341" i="40"/>
  <c r="A340" i="40"/>
  <c r="A339" i="40"/>
  <c r="A338" i="40"/>
  <c r="A337" i="40"/>
  <c r="A336" i="40"/>
  <c r="A335" i="40"/>
  <c r="A334" i="40"/>
  <c r="A333" i="40"/>
  <c r="A332" i="40"/>
  <c r="A331" i="40"/>
  <c r="A330" i="40"/>
  <c r="A329" i="40"/>
  <c r="A328" i="40"/>
  <c r="A327" i="40"/>
  <c r="A326" i="40"/>
  <c r="A325" i="40"/>
  <c r="A324" i="40"/>
  <c r="A323" i="40"/>
  <c r="A322" i="40"/>
  <c r="A321" i="40"/>
  <c r="A320" i="40"/>
  <c r="A319" i="40"/>
  <c r="A318" i="40"/>
  <c r="A317" i="40"/>
  <c r="A316" i="40"/>
  <c r="A315" i="40"/>
  <c r="A314" i="40"/>
  <c r="A313" i="40"/>
  <c r="A312" i="40"/>
  <c r="A311" i="40"/>
  <c r="A310" i="40"/>
  <c r="A309" i="40"/>
  <c r="A308" i="40"/>
  <c r="A307" i="40"/>
  <c r="A306" i="40"/>
  <c r="A305" i="40"/>
  <c r="A304" i="40"/>
  <c r="A303" i="40"/>
  <c r="A302" i="40"/>
  <c r="A301" i="40"/>
  <c r="A300" i="40"/>
  <c r="A299" i="40"/>
  <c r="A298" i="40"/>
  <c r="A297" i="40"/>
  <c r="A296" i="40"/>
  <c r="A295" i="40"/>
  <c r="A294" i="40"/>
  <c r="A293" i="40"/>
  <c r="A292" i="40"/>
  <c r="A291" i="40"/>
  <c r="A290" i="40"/>
  <c r="A289" i="40"/>
  <c r="A288" i="40"/>
  <c r="A287" i="40"/>
  <c r="A286" i="40"/>
  <c r="A285" i="40"/>
  <c r="A284" i="40"/>
  <c r="A283" i="40"/>
  <c r="A282" i="40"/>
  <c r="A281" i="40"/>
  <c r="A280" i="40"/>
  <c r="A279" i="40"/>
  <c r="A278" i="40"/>
  <c r="A277" i="40"/>
  <c r="A276" i="40"/>
  <c r="A275" i="40"/>
  <c r="A274" i="40"/>
  <c r="A273" i="40"/>
  <c r="A272" i="40"/>
  <c r="A271" i="40"/>
  <c r="A270" i="40"/>
  <c r="A269" i="40"/>
  <c r="A268" i="40"/>
  <c r="A267" i="40"/>
  <c r="A266" i="40"/>
  <c r="A265" i="40"/>
  <c r="A264" i="40"/>
  <c r="A263" i="40"/>
  <c r="A262" i="40"/>
  <c r="A261" i="40"/>
  <c r="A260" i="40"/>
  <c r="A259" i="40"/>
  <c r="A258" i="40"/>
  <c r="A257" i="40"/>
  <c r="A256" i="40"/>
  <c r="A255" i="40"/>
  <c r="A254" i="40"/>
  <c r="A253" i="40"/>
  <c r="A252" i="40"/>
  <c r="A251" i="40"/>
  <c r="A250" i="40"/>
  <c r="A249" i="40"/>
  <c r="A248" i="40"/>
  <c r="A247" i="40"/>
  <c r="A246" i="40"/>
  <c r="A245" i="40"/>
  <c r="A244" i="40"/>
  <c r="A243" i="40"/>
  <c r="A242" i="40"/>
  <c r="A241" i="40"/>
  <c r="A240" i="40"/>
  <c r="A239" i="40"/>
  <c r="A238" i="40"/>
  <c r="A237" i="40"/>
  <c r="A236" i="40"/>
  <c r="A235" i="40"/>
  <c r="A234" i="40"/>
  <c r="A233" i="40"/>
  <c r="A232" i="40"/>
  <c r="A231" i="40"/>
  <c r="A230" i="40"/>
  <c r="A229" i="40"/>
  <c r="A228" i="40"/>
  <c r="A227" i="40"/>
  <c r="A226" i="40"/>
  <c r="A225" i="40"/>
  <c r="A224" i="40"/>
  <c r="A223" i="40"/>
  <c r="A222" i="40"/>
  <c r="A221" i="40"/>
  <c r="A220" i="40"/>
  <c r="A219" i="40"/>
  <c r="A218" i="40"/>
  <c r="A217" i="40"/>
  <c r="A216" i="40"/>
  <c r="A215" i="40"/>
  <c r="A214" i="40"/>
  <c r="A213" i="40"/>
  <c r="A212" i="40"/>
  <c r="A211" i="40"/>
  <c r="A210" i="40"/>
  <c r="A209" i="40"/>
  <c r="A208" i="40"/>
  <c r="A207" i="40"/>
  <c r="A206" i="40"/>
  <c r="A205" i="40"/>
  <c r="A204" i="40"/>
  <c r="A203" i="40"/>
  <c r="A202" i="40"/>
  <c r="A201" i="40"/>
  <c r="A200" i="40"/>
  <c r="A199" i="40"/>
  <c r="A198" i="40"/>
  <c r="A197" i="40"/>
  <c r="A196" i="40"/>
  <c r="A195" i="40"/>
  <c r="A194" i="40"/>
  <c r="A193" i="40"/>
  <c r="A192" i="40"/>
  <c r="A191" i="40"/>
  <c r="A190" i="40"/>
  <c r="A189" i="40"/>
  <c r="A188" i="40"/>
  <c r="A187" i="40"/>
  <c r="A186" i="40"/>
  <c r="A185" i="40"/>
  <c r="A184" i="40"/>
  <c r="A183" i="40"/>
  <c r="A182" i="40"/>
  <c r="A181" i="40"/>
  <c r="A180" i="40"/>
  <c r="A179" i="40"/>
  <c r="A178" i="40"/>
  <c r="A177" i="40"/>
  <c r="A176" i="40"/>
  <c r="A175" i="40"/>
  <c r="A174" i="40"/>
  <c r="A173" i="40"/>
  <c r="A172" i="40"/>
  <c r="A171" i="40"/>
  <c r="A170" i="40"/>
  <c r="A169" i="40"/>
  <c r="A168" i="40"/>
  <c r="A167" i="40"/>
  <c r="A166" i="40"/>
  <c r="A165" i="40"/>
  <c r="A164" i="40"/>
  <c r="A163" i="40"/>
  <c r="A162" i="40"/>
  <c r="A161" i="40"/>
  <c r="A160" i="40"/>
  <c r="A159" i="40"/>
  <c r="A158" i="40"/>
  <c r="A157" i="40"/>
  <c r="A156" i="40"/>
  <c r="A155" i="40"/>
  <c r="A154" i="40"/>
  <c r="A153" i="40"/>
  <c r="A152" i="40"/>
  <c r="A151" i="40"/>
  <c r="A150" i="40"/>
  <c r="A149" i="40"/>
  <c r="A148" i="40"/>
  <c r="A147" i="40"/>
  <c r="A146" i="40"/>
  <c r="A145" i="40"/>
  <c r="A144" i="40"/>
  <c r="A143" i="40"/>
  <c r="A142" i="40"/>
  <c r="A141" i="40"/>
  <c r="A140" i="40"/>
  <c r="A139" i="40"/>
  <c r="A138" i="40"/>
  <c r="A137" i="40"/>
  <c r="A136" i="40"/>
  <c r="A135" i="40"/>
  <c r="A134" i="40"/>
  <c r="A133" i="40"/>
  <c r="A132" i="40"/>
  <c r="A131" i="40"/>
  <c r="A130" i="40"/>
  <c r="A129" i="40"/>
  <c r="A128" i="40"/>
  <c r="A127" i="40"/>
  <c r="A126" i="40"/>
  <c r="A125" i="40"/>
  <c r="A124" i="40"/>
  <c r="A123" i="40"/>
  <c r="A122" i="40"/>
  <c r="A121" i="40"/>
  <c r="A120" i="40"/>
  <c r="A119" i="40"/>
  <c r="A118" i="40"/>
  <c r="A117" i="40"/>
  <c r="A116" i="40"/>
  <c r="A115" i="40"/>
  <c r="A114" i="40"/>
  <c r="A113" i="40"/>
  <c r="A112" i="40"/>
  <c r="A111" i="40"/>
  <c r="A110" i="40"/>
  <c r="A109" i="40"/>
  <c r="A108" i="40"/>
  <c r="A107" i="40"/>
  <c r="A106" i="40"/>
  <c r="A105" i="40"/>
  <c r="A104" i="40"/>
  <c r="A103" i="40"/>
  <c r="A102" i="40"/>
  <c r="A101" i="40"/>
  <c r="A100" i="40"/>
  <c r="A99" i="40"/>
  <c r="A98" i="40"/>
  <c r="A97" i="40"/>
  <c r="A96" i="40"/>
  <c r="A95" i="40"/>
  <c r="A94" i="40"/>
  <c r="A93" i="40"/>
  <c r="A92" i="40"/>
  <c r="A91" i="40"/>
  <c r="A90" i="40"/>
  <c r="A89" i="40"/>
  <c r="A88" i="40"/>
  <c r="A87" i="40"/>
  <c r="A86" i="40"/>
  <c r="A85" i="40"/>
  <c r="A84" i="40"/>
  <c r="A83" i="40"/>
  <c r="A82" i="40"/>
  <c r="A81" i="40"/>
  <c r="A80" i="40"/>
  <c r="A79" i="40"/>
  <c r="A78" i="40"/>
  <c r="A77" i="40"/>
  <c r="A76" i="40"/>
  <c r="A75" i="40"/>
  <c r="A74" i="40"/>
  <c r="A73" i="40"/>
  <c r="A72" i="40"/>
  <c r="A71" i="40"/>
  <c r="A70" i="40"/>
  <c r="A69" i="40"/>
  <c r="A68" i="40"/>
  <c r="A67" i="40"/>
  <c r="A66" i="40"/>
  <c r="A65" i="40"/>
  <c r="A64" i="40"/>
  <c r="A63" i="40"/>
  <c r="A62" i="40"/>
  <c r="A61" i="40"/>
  <c r="A60" i="40"/>
  <c r="A59" i="40"/>
  <c r="A58" i="40"/>
  <c r="A57" i="40"/>
  <c r="A56" i="40"/>
  <c r="A55" i="40"/>
  <c r="A54" i="40"/>
  <c r="A53" i="40"/>
  <c r="A52" i="40"/>
  <c r="A51" i="40"/>
  <c r="A50" i="40"/>
  <c r="A49" i="40"/>
  <c r="A48" i="40"/>
  <c r="A47" i="40"/>
  <c r="A46" i="40"/>
  <c r="A45" i="40"/>
  <c r="A44" i="40"/>
  <c r="A43" i="40"/>
  <c r="A42" i="40"/>
  <c r="A41" i="40"/>
  <c r="A40" i="40"/>
  <c r="A39" i="40"/>
  <c r="A38" i="40"/>
  <c r="A37" i="40"/>
  <c r="A36" i="40"/>
  <c r="A35" i="40"/>
  <c r="A34" i="40"/>
  <c r="A33" i="40"/>
  <c r="A32" i="40"/>
  <c r="A31" i="40"/>
  <c r="A30" i="40"/>
  <c r="A29" i="40"/>
  <c r="A28" i="40"/>
  <c r="A27" i="40"/>
  <c r="A26" i="40"/>
  <c r="A25" i="40"/>
  <c r="A24" i="40"/>
  <c r="A23" i="40"/>
  <c r="A22" i="40"/>
  <c r="A21" i="40"/>
  <c r="A20" i="40"/>
  <c r="A19" i="40"/>
  <c r="A18" i="40"/>
  <c r="A17" i="40"/>
  <c r="A16" i="40"/>
  <c r="A15" i="40"/>
  <c r="A14" i="40"/>
  <c r="A13" i="40"/>
  <c r="A12" i="40"/>
  <c r="AB19" i="31"/>
  <c r="AA19" i="31"/>
  <c r="AB18" i="31"/>
  <c r="AA18" i="31"/>
  <c r="AB17" i="31"/>
  <c r="AA17" i="31"/>
  <c r="C10" i="76"/>
  <c r="C9" i="76"/>
  <c r="E8" i="76"/>
  <c r="F4" i="41"/>
  <c r="F3" i="41"/>
  <c r="F2" i="41"/>
  <c r="H50" i="36"/>
  <c r="G50" i="36"/>
  <c r="F50" i="36"/>
  <c r="E50" i="36"/>
  <c r="D50" i="36"/>
  <c r="C50" i="36"/>
  <c r="J49" i="36"/>
  <c r="AD15" i="36" s="1"/>
  <c r="I49" i="36"/>
  <c r="AC15" i="36" s="1"/>
  <c r="J48" i="36"/>
  <c r="AD14" i="36" s="1"/>
  <c r="I48" i="36"/>
  <c r="AC14" i="36" s="1"/>
  <c r="J47" i="36"/>
  <c r="AD13" i="36" s="1"/>
  <c r="I47" i="36"/>
  <c r="AC13" i="36" s="1"/>
  <c r="J46" i="36"/>
  <c r="AD12" i="36" s="1"/>
  <c r="I46" i="36"/>
  <c r="AC12" i="36" s="1"/>
  <c r="J45" i="36"/>
  <c r="AD11" i="36" s="1"/>
  <c r="I45" i="36"/>
  <c r="AC11" i="36" s="1"/>
  <c r="J44" i="36"/>
  <c r="I44" i="36"/>
  <c r="J43" i="36"/>
  <c r="AD9" i="36" s="1"/>
  <c r="I43" i="36"/>
  <c r="AC9" i="36" s="1"/>
  <c r="J42" i="36"/>
  <c r="AD8" i="36" s="1"/>
  <c r="I42" i="36"/>
  <c r="AC8" i="36" s="1"/>
  <c r="J41" i="36"/>
  <c r="AD7" i="36" s="1"/>
  <c r="I41" i="36"/>
  <c r="AC7" i="36" s="1"/>
  <c r="J40" i="36"/>
  <c r="AD6" i="36" s="1"/>
  <c r="I40" i="36"/>
  <c r="AC6" i="36" s="1"/>
  <c r="J39" i="36"/>
  <c r="I39" i="36"/>
  <c r="AB32" i="36"/>
  <c r="AA32" i="36"/>
  <c r="Z32" i="36"/>
  <c r="Y32" i="36"/>
  <c r="X32" i="36"/>
  <c r="W32" i="36"/>
  <c r="V32" i="36"/>
  <c r="U32" i="36"/>
  <c r="Q32" i="36"/>
  <c r="P32" i="36"/>
  <c r="O32" i="36"/>
  <c r="J32" i="36"/>
  <c r="I32" i="36"/>
  <c r="H32" i="36"/>
  <c r="G32" i="36"/>
  <c r="AD31" i="36"/>
  <c r="AB15" i="36" s="1"/>
  <c r="AC31" i="36"/>
  <c r="AA15" i="36" s="1"/>
  <c r="AD30" i="36"/>
  <c r="AB14" i="36" s="1"/>
  <c r="AC30" i="36"/>
  <c r="AA14" i="36" s="1"/>
  <c r="AD29" i="36"/>
  <c r="AB13" i="36" s="1"/>
  <c r="AC29" i="36"/>
  <c r="AA13" i="36" s="1"/>
  <c r="AD28" i="36"/>
  <c r="AB12" i="36" s="1"/>
  <c r="AC28" i="36"/>
  <c r="AD27" i="36"/>
  <c r="AB11" i="36" s="1"/>
  <c r="AC27" i="36"/>
  <c r="AA11" i="36" s="1"/>
  <c r="AD25" i="36"/>
  <c r="AB9" i="36" s="1"/>
  <c r="AC25" i="36"/>
  <c r="AA9" i="36" s="1"/>
  <c r="AD24" i="36"/>
  <c r="AB8" i="36" s="1"/>
  <c r="AC24" i="36"/>
  <c r="AA8" i="36" s="1"/>
  <c r="AD23" i="36"/>
  <c r="AB7" i="36" s="1"/>
  <c r="AC23" i="36"/>
  <c r="AA7" i="36" s="1"/>
  <c r="AD22" i="36"/>
  <c r="AB6" i="36" s="1"/>
  <c r="AC22" i="36"/>
  <c r="AA6" i="36" s="1"/>
  <c r="AD21" i="36"/>
  <c r="AB5" i="36" s="1"/>
  <c r="AC21" i="36"/>
  <c r="AA5" i="36" s="1"/>
  <c r="AE16" i="36"/>
  <c r="X16" i="36"/>
  <c r="W16" i="36"/>
  <c r="V16" i="36"/>
  <c r="S16" i="36"/>
  <c r="P16" i="36"/>
  <c r="M16" i="36"/>
  <c r="J16" i="36"/>
  <c r="G16" i="36"/>
  <c r="D16" i="36"/>
  <c r="C16" i="36"/>
  <c r="AH15" i="36"/>
  <c r="AG15" i="36"/>
  <c r="AF15" i="36"/>
  <c r="AH14" i="36"/>
  <c r="AG14" i="36"/>
  <c r="AF14" i="36"/>
  <c r="AH13" i="36"/>
  <c r="AG13" i="36"/>
  <c r="AF13" i="36"/>
  <c r="AH12" i="36"/>
  <c r="AG12" i="36"/>
  <c r="AF12" i="36"/>
  <c r="AA12" i="36"/>
  <c r="AH11" i="36"/>
  <c r="AG11" i="36"/>
  <c r="AH10" i="36"/>
  <c r="AH9" i="36"/>
  <c r="AG9" i="36"/>
  <c r="AF9" i="36"/>
  <c r="AH8" i="36"/>
  <c r="AG8" i="36"/>
  <c r="AF8" i="36"/>
  <c r="AH7" i="36"/>
  <c r="AG7" i="36"/>
  <c r="AF7" i="36"/>
  <c r="AH6" i="36"/>
  <c r="AG6" i="36"/>
  <c r="AF6" i="36"/>
  <c r="AH5" i="36"/>
  <c r="AG5" i="36"/>
  <c r="AF5" i="36"/>
  <c r="Z481" i="1"/>
  <c r="Y481" i="1"/>
  <c r="X481" i="1"/>
  <c r="W481" i="1"/>
  <c r="Z479" i="1"/>
  <c r="Y479" i="1"/>
  <c r="X479" i="1"/>
  <c r="W479" i="1"/>
  <c r="Z478" i="1"/>
  <c r="Y478" i="1"/>
  <c r="X478" i="1"/>
  <c r="W478" i="1"/>
  <c r="Z476" i="1"/>
  <c r="Y476" i="1"/>
  <c r="X476" i="1"/>
  <c r="W476" i="1"/>
  <c r="Z477" i="1"/>
  <c r="Y477" i="1"/>
  <c r="X477" i="1"/>
  <c r="W477" i="1"/>
  <c r="Z475" i="1"/>
  <c r="Y475" i="1"/>
  <c r="X475" i="1"/>
  <c r="W475" i="1"/>
  <c r="Z474" i="1"/>
  <c r="Y474" i="1"/>
  <c r="X474" i="1"/>
  <c r="W474" i="1"/>
  <c r="Z473" i="1"/>
  <c r="Y473" i="1"/>
  <c r="X473" i="1"/>
  <c r="W473" i="1"/>
  <c r="Z472" i="1"/>
  <c r="Y472" i="1"/>
  <c r="X472" i="1"/>
  <c r="W472" i="1"/>
  <c r="Z469" i="1"/>
  <c r="Y469" i="1"/>
  <c r="X469" i="1"/>
  <c r="W469" i="1"/>
  <c r="Z464" i="1"/>
  <c r="Y464" i="1"/>
  <c r="X464" i="1"/>
  <c r="W464" i="1"/>
  <c r="Z470" i="1"/>
  <c r="Y470" i="1"/>
  <c r="X470" i="1"/>
  <c r="W470" i="1"/>
  <c r="Z468" i="1"/>
  <c r="Y468" i="1"/>
  <c r="X468" i="1"/>
  <c r="W468" i="1"/>
  <c r="Z467" i="1"/>
  <c r="Y467" i="1"/>
  <c r="X467" i="1"/>
  <c r="W467" i="1"/>
  <c r="Z466" i="1"/>
  <c r="Y466" i="1"/>
  <c r="X466" i="1"/>
  <c r="W466" i="1"/>
  <c r="Z465" i="1"/>
  <c r="Y465" i="1"/>
  <c r="X465" i="1"/>
  <c r="W465" i="1"/>
  <c r="Z463" i="1"/>
  <c r="Y463" i="1"/>
  <c r="X463" i="1"/>
  <c r="W463" i="1"/>
  <c r="Z462" i="1"/>
  <c r="Y462" i="1"/>
  <c r="X462" i="1"/>
  <c r="W462" i="1"/>
  <c r="Z460" i="1"/>
  <c r="Y460" i="1"/>
  <c r="X460" i="1"/>
  <c r="W460" i="1"/>
  <c r="Z461" i="1"/>
  <c r="Y461" i="1"/>
  <c r="X461" i="1"/>
  <c r="W461" i="1"/>
  <c r="Z459" i="1"/>
  <c r="Y459" i="1"/>
  <c r="X459" i="1"/>
  <c r="W459" i="1"/>
  <c r="Z458" i="1"/>
  <c r="Y458" i="1"/>
  <c r="X458" i="1"/>
  <c r="W458" i="1"/>
  <c r="Z457" i="1"/>
  <c r="Y457" i="1"/>
  <c r="X457" i="1"/>
  <c r="W457" i="1"/>
  <c r="Z471" i="1"/>
  <c r="Y471" i="1"/>
  <c r="X471" i="1"/>
  <c r="W471" i="1"/>
  <c r="Z456" i="1"/>
  <c r="Y456" i="1"/>
  <c r="X456" i="1"/>
  <c r="W456" i="1"/>
  <c r="Z455" i="1"/>
  <c r="Y455" i="1"/>
  <c r="X455" i="1"/>
  <c r="W455" i="1"/>
  <c r="Z454" i="1"/>
  <c r="Y454" i="1"/>
  <c r="X454" i="1"/>
  <c r="W454" i="1"/>
  <c r="Z453" i="1"/>
  <c r="Y453" i="1"/>
  <c r="X453" i="1"/>
  <c r="W453" i="1"/>
  <c r="Z451" i="1"/>
  <c r="Y451" i="1"/>
  <c r="X451" i="1"/>
  <c r="W451" i="1"/>
  <c r="Z452" i="1"/>
  <c r="Y452" i="1"/>
  <c r="X452" i="1"/>
  <c r="W452" i="1"/>
  <c r="Z450" i="1"/>
  <c r="Y450" i="1"/>
  <c r="X450" i="1"/>
  <c r="W450" i="1"/>
  <c r="Z444" i="1"/>
  <c r="Y444" i="1"/>
  <c r="X444" i="1"/>
  <c r="W444" i="1"/>
  <c r="Z449" i="1"/>
  <c r="Y449" i="1"/>
  <c r="X449" i="1"/>
  <c r="W449" i="1"/>
  <c r="Z448" i="1"/>
  <c r="Y448" i="1"/>
  <c r="X448" i="1"/>
  <c r="W448" i="1"/>
  <c r="Z447" i="1"/>
  <c r="Y447" i="1"/>
  <c r="X447" i="1"/>
  <c r="W447" i="1"/>
  <c r="Z108" i="1"/>
  <c r="Y108" i="1"/>
  <c r="X108" i="1"/>
  <c r="W108" i="1"/>
  <c r="Z446" i="1"/>
  <c r="Y446" i="1"/>
  <c r="X446" i="1"/>
  <c r="W446" i="1"/>
  <c r="Z445" i="1"/>
  <c r="Y445" i="1"/>
  <c r="X445" i="1"/>
  <c r="W445" i="1"/>
  <c r="Z443" i="1"/>
  <c r="Y443" i="1"/>
  <c r="X443" i="1"/>
  <c r="W443" i="1"/>
  <c r="Z442" i="1"/>
  <c r="Y442" i="1"/>
  <c r="X442" i="1"/>
  <c r="W442" i="1"/>
  <c r="Z441" i="1"/>
  <c r="Y441" i="1"/>
  <c r="X441" i="1"/>
  <c r="W441" i="1"/>
  <c r="Z440" i="1"/>
  <c r="Y440" i="1"/>
  <c r="X440" i="1"/>
  <c r="W440" i="1"/>
  <c r="Z436" i="1"/>
  <c r="Y436" i="1"/>
  <c r="X436" i="1"/>
  <c r="W436" i="1"/>
  <c r="Z437" i="1"/>
  <c r="Y437" i="1"/>
  <c r="X437" i="1"/>
  <c r="W437" i="1"/>
  <c r="Z435" i="1"/>
  <c r="Y435" i="1"/>
  <c r="X435" i="1"/>
  <c r="W435" i="1"/>
  <c r="Z434" i="1"/>
  <c r="Y434" i="1"/>
  <c r="X434" i="1"/>
  <c r="W434" i="1"/>
  <c r="Z433" i="1"/>
  <c r="Y433" i="1"/>
  <c r="X433" i="1"/>
  <c r="W433" i="1"/>
  <c r="Z432" i="1"/>
  <c r="Y432" i="1"/>
  <c r="X432" i="1"/>
  <c r="W432" i="1"/>
  <c r="Z431" i="1"/>
  <c r="Y431" i="1"/>
  <c r="X431" i="1"/>
  <c r="W431" i="1"/>
  <c r="Z427" i="1"/>
  <c r="Y427" i="1"/>
  <c r="X427" i="1"/>
  <c r="W427" i="1"/>
  <c r="Z429" i="1"/>
  <c r="Y429" i="1"/>
  <c r="X429" i="1"/>
  <c r="W429" i="1"/>
  <c r="Z428" i="1"/>
  <c r="Y428" i="1"/>
  <c r="X428" i="1"/>
  <c r="W428" i="1"/>
  <c r="Z426" i="1"/>
  <c r="Y426" i="1"/>
  <c r="X426" i="1"/>
  <c r="W426" i="1"/>
  <c r="Z347" i="1"/>
  <c r="Y347" i="1"/>
  <c r="X347" i="1"/>
  <c r="W347" i="1"/>
  <c r="Z60" i="1"/>
  <c r="Y60" i="1"/>
  <c r="X60" i="1"/>
  <c r="W60" i="1"/>
  <c r="Z59" i="1"/>
  <c r="Y59" i="1"/>
  <c r="X59" i="1"/>
  <c r="W59" i="1"/>
  <c r="Z422" i="1"/>
  <c r="Y422" i="1"/>
  <c r="X422" i="1"/>
  <c r="W422" i="1"/>
  <c r="Z421" i="1"/>
  <c r="Y421" i="1"/>
  <c r="X421" i="1"/>
  <c r="W421" i="1"/>
  <c r="Z346" i="1"/>
  <c r="Y346" i="1"/>
  <c r="X346" i="1"/>
  <c r="W346" i="1"/>
  <c r="Z344" i="1"/>
  <c r="Y344" i="1"/>
  <c r="X344" i="1"/>
  <c r="W344" i="1"/>
  <c r="Z232" i="1"/>
  <c r="Y232" i="1"/>
  <c r="X232" i="1"/>
  <c r="W232" i="1"/>
  <c r="Z65" i="1"/>
  <c r="Y65" i="1"/>
  <c r="X65" i="1"/>
  <c r="W65" i="1"/>
  <c r="Z89" i="1"/>
  <c r="Y89" i="1"/>
  <c r="X89" i="1"/>
  <c r="W89" i="1"/>
  <c r="Z13" i="1"/>
  <c r="Y13" i="1"/>
  <c r="X13" i="1"/>
  <c r="W13" i="1"/>
  <c r="Z393" i="1"/>
  <c r="Y393" i="1"/>
  <c r="X393" i="1"/>
  <c r="W393" i="1"/>
  <c r="Z377" i="1"/>
  <c r="Y377" i="1"/>
  <c r="X377" i="1"/>
  <c r="W377" i="1"/>
  <c r="Z332" i="1"/>
  <c r="Y332" i="1"/>
  <c r="X332" i="1"/>
  <c r="W332" i="1"/>
  <c r="Z253" i="1"/>
  <c r="Y253" i="1"/>
  <c r="X253" i="1"/>
  <c r="W253" i="1"/>
  <c r="Z224" i="1"/>
  <c r="Y224" i="1"/>
  <c r="X224" i="1"/>
  <c r="W224" i="1"/>
  <c r="Z36" i="1"/>
  <c r="Y36" i="1"/>
  <c r="X36" i="1"/>
  <c r="W36" i="1"/>
  <c r="Z40" i="1"/>
  <c r="Y40" i="1"/>
  <c r="X40" i="1"/>
  <c r="W40" i="1"/>
  <c r="Z378" i="1"/>
  <c r="Y378" i="1"/>
  <c r="X378" i="1"/>
  <c r="W378" i="1"/>
  <c r="Z30" i="1"/>
  <c r="Y30" i="1"/>
  <c r="X30" i="1"/>
  <c r="W30" i="1"/>
  <c r="Z365" i="1"/>
  <c r="Y365" i="1"/>
  <c r="X365" i="1"/>
  <c r="W365" i="1"/>
  <c r="Z152" i="1"/>
  <c r="Y152" i="1"/>
  <c r="X152" i="1"/>
  <c r="W152" i="1"/>
  <c r="Z410" i="1"/>
  <c r="Y410" i="1"/>
  <c r="X410" i="1"/>
  <c r="W410" i="1"/>
  <c r="Z416" i="1"/>
  <c r="Y416" i="1"/>
  <c r="X416" i="1"/>
  <c r="W416" i="1"/>
  <c r="Z409" i="1"/>
  <c r="Y409" i="1"/>
  <c r="X409" i="1"/>
  <c r="W409" i="1"/>
  <c r="Z408" i="1"/>
  <c r="Y408" i="1"/>
  <c r="X408" i="1"/>
  <c r="W408" i="1"/>
  <c r="Z407" i="1"/>
  <c r="Y407" i="1"/>
  <c r="X407" i="1"/>
  <c r="W407" i="1"/>
  <c r="Z175" i="1"/>
  <c r="Y175" i="1"/>
  <c r="X175" i="1"/>
  <c r="W175" i="1"/>
  <c r="Z113" i="1"/>
  <c r="Y113" i="1"/>
  <c r="X113" i="1"/>
  <c r="W113" i="1"/>
  <c r="Z404" i="1"/>
  <c r="Y404" i="1"/>
  <c r="X404" i="1"/>
  <c r="W404" i="1"/>
  <c r="Z292" i="1"/>
  <c r="Y292" i="1"/>
  <c r="X292" i="1"/>
  <c r="W292" i="1"/>
  <c r="Z79" i="1"/>
  <c r="Y79" i="1"/>
  <c r="X79" i="1"/>
  <c r="W79" i="1"/>
  <c r="Z383" i="1"/>
  <c r="Y383" i="1"/>
  <c r="X383" i="1"/>
  <c r="W383" i="1"/>
  <c r="Z397" i="1"/>
  <c r="Y397" i="1"/>
  <c r="X397" i="1"/>
  <c r="W397" i="1"/>
  <c r="Z396" i="1"/>
  <c r="Y396" i="1"/>
  <c r="X396" i="1"/>
  <c r="W396" i="1"/>
  <c r="Z395" i="1"/>
  <c r="Y395" i="1"/>
  <c r="X395" i="1"/>
  <c r="W395" i="1"/>
  <c r="Z311" i="1"/>
  <c r="Y311" i="1"/>
  <c r="X311" i="1"/>
  <c r="W311" i="1"/>
  <c r="Z118" i="1"/>
  <c r="Y118" i="1"/>
  <c r="X118" i="1"/>
  <c r="W118" i="1"/>
  <c r="Z97" i="1"/>
  <c r="Y97" i="1"/>
  <c r="X97" i="1"/>
  <c r="W97" i="1"/>
  <c r="Z400" i="1"/>
  <c r="Y400" i="1"/>
  <c r="X400" i="1"/>
  <c r="W400" i="1"/>
  <c r="Z380" i="1"/>
  <c r="Y380" i="1"/>
  <c r="X380" i="1"/>
  <c r="W380" i="1"/>
  <c r="Z392" i="1"/>
  <c r="Y392" i="1"/>
  <c r="X392" i="1"/>
  <c r="W392" i="1"/>
  <c r="Z34" i="1"/>
  <c r="Y34" i="1"/>
  <c r="X34" i="1"/>
  <c r="W34" i="1"/>
  <c r="Z22" i="1"/>
  <c r="Y22" i="1"/>
  <c r="X22" i="1"/>
  <c r="W22" i="1"/>
  <c r="Z150" i="1"/>
  <c r="Y150" i="1"/>
  <c r="X150" i="1"/>
  <c r="W150" i="1"/>
  <c r="Z140" i="1"/>
  <c r="Y140" i="1"/>
  <c r="X140" i="1"/>
  <c r="W140" i="1"/>
  <c r="Z338" i="1"/>
  <c r="Y338" i="1"/>
  <c r="X338" i="1"/>
  <c r="W338" i="1"/>
  <c r="Z197" i="1"/>
  <c r="Y197" i="1"/>
  <c r="X197" i="1"/>
  <c r="W197" i="1"/>
  <c r="Z291" i="1"/>
  <c r="Y291" i="1"/>
  <c r="X291" i="1"/>
  <c r="W291" i="1"/>
  <c r="Z297" i="1"/>
  <c r="Y297" i="1"/>
  <c r="X297" i="1"/>
  <c r="W297" i="1"/>
  <c r="Z125" i="1"/>
  <c r="Y125" i="1"/>
  <c r="X125" i="1"/>
  <c r="W125" i="1"/>
  <c r="Z371" i="1"/>
  <c r="Y371" i="1"/>
  <c r="X371" i="1"/>
  <c r="W371" i="1"/>
  <c r="Z37" i="1"/>
  <c r="Y37" i="1"/>
  <c r="X37" i="1"/>
  <c r="W37" i="1"/>
  <c r="Z226" i="1"/>
  <c r="Y226" i="1"/>
  <c r="X226" i="1"/>
  <c r="W226" i="1"/>
  <c r="Z390" i="1"/>
  <c r="Y390" i="1"/>
  <c r="X390" i="1"/>
  <c r="W390" i="1"/>
  <c r="Z417" i="1"/>
  <c r="Y417" i="1"/>
  <c r="X417" i="1"/>
  <c r="W417" i="1"/>
  <c r="Z96" i="1"/>
  <c r="Y96" i="1"/>
  <c r="X96" i="1"/>
  <c r="W96" i="1"/>
  <c r="Z234" i="1"/>
  <c r="Y234" i="1"/>
  <c r="X234" i="1"/>
  <c r="W234" i="1"/>
  <c r="Z369" i="1"/>
  <c r="Y369" i="1"/>
  <c r="X369" i="1"/>
  <c r="W369" i="1"/>
  <c r="Z367" i="1"/>
  <c r="Y367" i="1"/>
  <c r="X367" i="1"/>
  <c r="W367" i="1"/>
  <c r="Z366" i="1"/>
  <c r="Y366" i="1"/>
  <c r="X366" i="1"/>
  <c r="W366" i="1"/>
  <c r="Z364" i="1"/>
  <c r="Y364" i="1"/>
  <c r="X364" i="1"/>
  <c r="W364" i="1"/>
  <c r="Z362" i="1"/>
  <c r="Y362" i="1"/>
  <c r="X362" i="1"/>
  <c r="W362" i="1"/>
  <c r="Z361" i="1"/>
  <c r="Y361" i="1"/>
  <c r="X361" i="1"/>
  <c r="W361" i="1"/>
  <c r="Z360" i="1"/>
  <c r="Y360" i="1"/>
  <c r="X360" i="1"/>
  <c r="W360" i="1"/>
  <c r="Z142" i="1"/>
  <c r="Y142" i="1"/>
  <c r="X142" i="1"/>
  <c r="W142" i="1"/>
  <c r="Z358" i="1"/>
  <c r="Y358" i="1"/>
  <c r="X358" i="1"/>
  <c r="W358" i="1"/>
  <c r="Z356" i="1"/>
  <c r="Y356" i="1"/>
  <c r="X356" i="1"/>
  <c r="W356" i="1"/>
  <c r="Z355" i="1"/>
  <c r="Y355" i="1"/>
  <c r="X355" i="1"/>
  <c r="W355" i="1"/>
  <c r="Z354" i="1"/>
  <c r="Y354" i="1"/>
  <c r="X354" i="1"/>
  <c r="W354" i="1"/>
  <c r="Z352" i="1"/>
  <c r="Y352" i="1"/>
  <c r="X352" i="1"/>
  <c r="W352" i="1"/>
  <c r="Z353" i="1"/>
  <c r="Y353" i="1"/>
  <c r="X353" i="1"/>
  <c r="W353" i="1"/>
  <c r="Z350" i="1"/>
  <c r="Y350" i="1"/>
  <c r="X350" i="1"/>
  <c r="W350" i="1"/>
  <c r="Z415" i="1"/>
  <c r="Y415" i="1"/>
  <c r="X415" i="1"/>
  <c r="W415" i="1"/>
  <c r="Z345" i="1"/>
  <c r="Y345" i="1"/>
  <c r="X345" i="1"/>
  <c r="W345" i="1"/>
  <c r="Z58" i="1"/>
  <c r="Y58" i="1"/>
  <c r="X58" i="1"/>
  <c r="W58" i="1"/>
  <c r="Z341" i="1"/>
  <c r="Y341" i="1"/>
  <c r="X341" i="1"/>
  <c r="W341" i="1"/>
  <c r="Z340" i="1"/>
  <c r="Y340" i="1"/>
  <c r="X340" i="1"/>
  <c r="W340" i="1"/>
  <c r="Z225" i="1"/>
  <c r="Y225" i="1"/>
  <c r="X225" i="1"/>
  <c r="W225" i="1"/>
  <c r="Z335" i="1"/>
  <c r="Y335" i="1"/>
  <c r="X335" i="1"/>
  <c r="W335" i="1"/>
  <c r="Z244" i="1"/>
  <c r="Y244" i="1"/>
  <c r="X244" i="1"/>
  <c r="W244" i="1"/>
  <c r="Z423" i="1"/>
  <c r="Y423" i="1"/>
  <c r="X423" i="1"/>
  <c r="W423" i="1"/>
  <c r="Z107" i="1"/>
  <c r="Y107" i="1"/>
  <c r="X107" i="1"/>
  <c r="W107" i="1"/>
  <c r="Z314" i="1"/>
  <c r="Y314" i="1"/>
  <c r="X314" i="1"/>
  <c r="W314" i="1"/>
  <c r="Z331" i="1"/>
  <c r="Y331" i="1"/>
  <c r="X331" i="1"/>
  <c r="W331" i="1"/>
  <c r="Z330" i="1"/>
  <c r="Y330" i="1"/>
  <c r="X330" i="1"/>
  <c r="W330" i="1"/>
  <c r="Z329" i="1"/>
  <c r="Y329" i="1"/>
  <c r="X329" i="1"/>
  <c r="W329" i="1"/>
  <c r="Z328" i="1"/>
  <c r="Y328" i="1"/>
  <c r="X328" i="1"/>
  <c r="W328" i="1"/>
  <c r="Z161" i="1"/>
  <c r="Y161" i="1"/>
  <c r="X161" i="1"/>
  <c r="W161" i="1"/>
  <c r="Z320" i="1"/>
  <c r="Y320" i="1"/>
  <c r="X320" i="1"/>
  <c r="W320" i="1"/>
  <c r="Z322" i="1"/>
  <c r="Y322" i="1"/>
  <c r="X322" i="1"/>
  <c r="W322" i="1"/>
  <c r="Z321" i="1"/>
  <c r="Y321" i="1"/>
  <c r="X321" i="1"/>
  <c r="W321" i="1"/>
  <c r="Z324" i="1"/>
  <c r="Y324" i="1"/>
  <c r="X324" i="1"/>
  <c r="W324" i="1"/>
  <c r="Z323" i="1"/>
  <c r="Y323" i="1"/>
  <c r="X323" i="1"/>
  <c r="W323" i="1"/>
  <c r="Z319" i="1"/>
  <c r="Y319" i="1"/>
  <c r="X319" i="1"/>
  <c r="W319" i="1"/>
  <c r="Z318" i="1"/>
  <c r="Y318" i="1"/>
  <c r="X318" i="1"/>
  <c r="W318" i="1"/>
  <c r="Z317" i="1"/>
  <c r="Y317" i="1"/>
  <c r="X317" i="1"/>
  <c r="W317" i="1"/>
  <c r="Z316" i="1"/>
  <c r="Y316" i="1"/>
  <c r="X316" i="1"/>
  <c r="W316" i="1"/>
  <c r="Z315" i="1"/>
  <c r="Y315" i="1"/>
  <c r="X315" i="1"/>
  <c r="W315" i="1"/>
  <c r="Z289" i="1"/>
  <c r="Y289" i="1"/>
  <c r="X289" i="1"/>
  <c r="W289" i="1"/>
  <c r="Z312" i="1"/>
  <c r="Y312" i="1"/>
  <c r="X312" i="1"/>
  <c r="W312" i="1"/>
  <c r="Z103" i="1"/>
  <c r="Y103" i="1"/>
  <c r="X103" i="1"/>
  <c r="W103" i="1"/>
  <c r="Z373" i="1"/>
  <c r="Y373" i="1"/>
  <c r="X373" i="1"/>
  <c r="W373" i="1"/>
  <c r="Z309" i="1"/>
  <c r="Y309" i="1"/>
  <c r="X309" i="1"/>
  <c r="W309" i="1"/>
  <c r="Z307" i="1"/>
  <c r="Y307" i="1"/>
  <c r="X307" i="1"/>
  <c r="W307" i="1"/>
  <c r="Z294" i="1"/>
  <c r="Y294" i="1"/>
  <c r="X294" i="1"/>
  <c r="W294" i="1"/>
  <c r="Z394" i="1"/>
  <c r="Y394" i="1"/>
  <c r="X394" i="1"/>
  <c r="W394" i="1"/>
  <c r="Z425" i="1"/>
  <c r="Y425" i="1"/>
  <c r="X425" i="1"/>
  <c r="W425" i="1"/>
  <c r="Z308" i="1"/>
  <c r="Y308" i="1"/>
  <c r="X308" i="1"/>
  <c r="W308" i="1"/>
  <c r="Z306" i="1"/>
  <c r="Y306" i="1"/>
  <c r="X306" i="1"/>
  <c r="W306" i="1"/>
  <c r="Z339" i="1"/>
  <c r="Y339" i="1"/>
  <c r="X339" i="1"/>
  <c r="W339" i="1"/>
  <c r="Z325" i="1"/>
  <c r="Y325" i="1"/>
  <c r="X325" i="1"/>
  <c r="W325" i="1"/>
  <c r="Z303" i="1"/>
  <c r="Y303" i="1"/>
  <c r="X303" i="1"/>
  <c r="W303" i="1"/>
  <c r="Z302" i="1"/>
  <c r="Y302" i="1"/>
  <c r="X302" i="1"/>
  <c r="W302" i="1"/>
  <c r="Z310" i="1"/>
  <c r="Y310" i="1"/>
  <c r="X310" i="1"/>
  <c r="W310" i="1"/>
  <c r="Z300" i="1"/>
  <c r="Y300" i="1"/>
  <c r="X300" i="1"/>
  <c r="W300" i="1"/>
  <c r="Z299" i="1"/>
  <c r="Y299" i="1"/>
  <c r="X299" i="1"/>
  <c r="W299" i="1"/>
  <c r="Z298" i="1"/>
  <c r="Y298" i="1"/>
  <c r="X298" i="1"/>
  <c r="W298" i="1"/>
  <c r="Z399" i="1"/>
  <c r="Y399" i="1"/>
  <c r="X399" i="1"/>
  <c r="W399" i="1"/>
  <c r="Z296" i="1"/>
  <c r="Y296" i="1"/>
  <c r="X296" i="1"/>
  <c r="W296" i="1"/>
  <c r="Z295" i="1"/>
  <c r="Y295" i="1"/>
  <c r="X295" i="1"/>
  <c r="W295" i="1"/>
  <c r="Z370" i="1"/>
  <c r="Y370" i="1"/>
  <c r="X370" i="1"/>
  <c r="W370" i="1"/>
  <c r="Z293" i="1"/>
  <c r="Y293" i="1"/>
  <c r="X293" i="1"/>
  <c r="W293" i="1"/>
  <c r="Z290" i="1"/>
  <c r="Y290" i="1"/>
  <c r="X290" i="1"/>
  <c r="W290" i="1"/>
  <c r="Z55" i="1"/>
  <c r="Y55" i="1"/>
  <c r="X55" i="1"/>
  <c r="W55" i="1"/>
  <c r="Z158" i="1"/>
  <c r="Y158" i="1"/>
  <c r="X158" i="1"/>
  <c r="W158" i="1"/>
  <c r="Z47" i="1"/>
  <c r="Y47" i="1"/>
  <c r="X47" i="1"/>
  <c r="W47" i="1"/>
  <c r="Z261" i="1"/>
  <c r="Y261" i="1"/>
  <c r="X261" i="1"/>
  <c r="W261" i="1"/>
  <c r="Z46" i="1"/>
  <c r="Y46" i="1"/>
  <c r="X46" i="1"/>
  <c r="W46" i="1"/>
  <c r="Z132" i="1"/>
  <c r="Y132" i="1"/>
  <c r="X132" i="1"/>
  <c r="W132" i="1"/>
  <c r="Z52" i="1"/>
  <c r="Y52" i="1"/>
  <c r="X52" i="1"/>
  <c r="W52" i="1"/>
  <c r="Z188" i="1"/>
  <c r="Y188" i="1"/>
  <c r="X188" i="1"/>
  <c r="W188" i="1"/>
  <c r="Z102" i="1"/>
  <c r="Y102" i="1"/>
  <c r="X102" i="1"/>
  <c r="W102" i="1"/>
  <c r="Z210" i="1"/>
  <c r="Y210" i="1"/>
  <c r="X210" i="1"/>
  <c r="W210" i="1"/>
  <c r="Z25" i="1"/>
  <c r="Y25" i="1"/>
  <c r="X25" i="1"/>
  <c r="W25" i="1"/>
  <c r="Z7" i="1"/>
  <c r="Y7" i="1"/>
  <c r="X7" i="1"/>
  <c r="W7" i="1"/>
  <c r="Z27" i="1"/>
  <c r="Y27" i="1"/>
  <c r="X27" i="1"/>
  <c r="W27" i="1"/>
  <c r="Z9" i="1"/>
  <c r="Y9" i="1"/>
  <c r="X9" i="1"/>
  <c r="W9" i="1"/>
  <c r="Z93" i="1"/>
  <c r="Y93" i="1"/>
  <c r="X93" i="1"/>
  <c r="W93" i="1"/>
  <c r="Z412" i="1"/>
  <c r="Y412" i="1"/>
  <c r="X412" i="1"/>
  <c r="W412" i="1"/>
  <c r="Z127" i="1"/>
  <c r="Y127" i="1"/>
  <c r="X127" i="1"/>
  <c r="W127" i="1"/>
  <c r="Z218" i="1"/>
  <c r="Y218" i="1"/>
  <c r="X218" i="1"/>
  <c r="W218" i="1"/>
  <c r="Z149" i="1"/>
  <c r="Y149" i="1"/>
  <c r="X149" i="1"/>
  <c r="W149" i="1"/>
  <c r="Z134" i="1"/>
  <c r="Y134" i="1"/>
  <c r="X134" i="1"/>
  <c r="W134" i="1"/>
  <c r="Z401" i="1"/>
  <c r="Y401" i="1"/>
  <c r="X401" i="1"/>
  <c r="W401" i="1"/>
  <c r="Z195" i="1"/>
  <c r="Y195" i="1"/>
  <c r="X195" i="1"/>
  <c r="W195" i="1"/>
  <c r="Z242" i="1"/>
  <c r="Y242" i="1"/>
  <c r="X242" i="1"/>
  <c r="W242" i="1"/>
  <c r="Z38" i="1"/>
  <c r="Y38" i="1"/>
  <c r="X38" i="1"/>
  <c r="W38" i="1"/>
  <c r="Z249" i="1"/>
  <c r="Y249" i="1"/>
  <c r="X249" i="1"/>
  <c r="W249" i="1"/>
  <c r="Z212" i="1"/>
  <c r="Y212" i="1"/>
  <c r="X212" i="1"/>
  <c r="W212" i="1"/>
  <c r="Z251" i="1"/>
  <c r="Y251" i="1"/>
  <c r="X251" i="1"/>
  <c r="W251" i="1"/>
  <c r="Z201" i="1"/>
  <c r="Y201" i="1"/>
  <c r="X201" i="1"/>
  <c r="W201" i="1"/>
  <c r="Z99" i="1"/>
  <c r="Y99" i="1"/>
  <c r="X99" i="1"/>
  <c r="W99" i="1"/>
  <c r="Z247" i="1"/>
  <c r="Y247" i="1"/>
  <c r="X247" i="1"/>
  <c r="W247" i="1"/>
  <c r="Z279" i="1"/>
  <c r="Y279" i="1"/>
  <c r="X279" i="1"/>
  <c r="W279" i="1"/>
  <c r="Z245" i="1"/>
  <c r="Y245" i="1"/>
  <c r="X245" i="1"/>
  <c r="W245" i="1"/>
  <c r="Z243" i="1"/>
  <c r="Y243" i="1"/>
  <c r="X243" i="1"/>
  <c r="W243" i="1"/>
  <c r="Z92" i="1"/>
  <c r="Y92" i="1"/>
  <c r="X92" i="1"/>
  <c r="W92" i="1"/>
  <c r="Z420" i="1"/>
  <c r="Y420" i="1"/>
  <c r="X420" i="1"/>
  <c r="W420" i="1"/>
  <c r="Z363" i="1"/>
  <c r="Y363" i="1"/>
  <c r="X363" i="1"/>
  <c r="W363" i="1"/>
  <c r="Z238" i="1"/>
  <c r="Y238" i="1"/>
  <c r="X238" i="1"/>
  <c r="W238" i="1"/>
  <c r="Z105" i="1"/>
  <c r="Y105" i="1"/>
  <c r="X105" i="1"/>
  <c r="W105" i="1"/>
  <c r="Z187" i="1"/>
  <c r="Y187" i="1"/>
  <c r="X187" i="1"/>
  <c r="W187" i="1"/>
  <c r="Z219" i="1"/>
  <c r="Y219" i="1"/>
  <c r="X219" i="1"/>
  <c r="W219" i="1"/>
  <c r="Z382" i="1"/>
  <c r="Y382" i="1"/>
  <c r="X382" i="1"/>
  <c r="W382" i="1"/>
  <c r="Z233" i="1"/>
  <c r="Y233" i="1"/>
  <c r="X233" i="1"/>
  <c r="W233" i="1"/>
  <c r="Z231" i="1"/>
  <c r="Y231" i="1"/>
  <c r="X231" i="1"/>
  <c r="W231" i="1"/>
  <c r="Z406" i="1"/>
  <c r="Y406" i="1"/>
  <c r="X406" i="1"/>
  <c r="W406" i="1"/>
  <c r="Z182" i="1"/>
  <c r="Y182" i="1"/>
  <c r="X182" i="1"/>
  <c r="W182" i="1"/>
  <c r="Z384" i="1"/>
  <c r="Y384" i="1"/>
  <c r="X384" i="1"/>
  <c r="W384" i="1"/>
  <c r="Z229" i="1"/>
  <c r="Y229" i="1"/>
  <c r="X229" i="1"/>
  <c r="W229" i="1"/>
  <c r="Z304" i="1"/>
  <c r="Y304" i="1"/>
  <c r="X304" i="1"/>
  <c r="W304" i="1"/>
  <c r="Z85" i="1"/>
  <c r="Y85" i="1"/>
  <c r="X85" i="1"/>
  <c r="W85" i="1"/>
  <c r="Z230" i="1"/>
  <c r="Y230" i="1"/>
  <c r="X230" i="1"/>
  <c r="W230" i="1"/>
  <c r="Z215" i="1"/>
  <c r="Y215" i="1"/>
  <c r="X215" i="1"/>
  <c r="W215" i="1"/>
  <c r="Z342" i="1"/>
  <c r="Y342" i="1"/>
  <c r="X342" i="1"/>
  <c r="W342" i="1"/>
  <c r="Z223" i="1"/>
  <c r="Y223" i="1"/>
  <c r="X223" i="1"/>
  <c r="W223" i="1"/>
  <c r="Z248" i="1"/>
  <c r="Y248" i="1"/>
  <c r="X248" i="1"/>
  <c r="W248" i="1"/>
  <c r="Z222" i="1"/>
  <c r="Y222" i="1"/>
  <c r="X222" i="1"/>
  <c r="W222" i="1"/>
  <c r="Z220" i="1"/>
  <c r="Y220" i="1"/>
  <c r="X220" i="1"/>
  <c r="W220" i="1"/>
  <c r="Z391" i="1"/>
  <c r="Y391" i="1"/>
  <c r="X391" i="1"/>
  <c r="W391" i="1"/>
  <c r="Z241" i="1"/>
  <c r="Y241" i="1"/>
  <c r="X241" i="1"/>
  <c r="W241" i="1"/>
  <c r="Z90" i="1"/>
  <c r="Y90" i="1"/>
  <c r="X90" i="1"/>
  <c r="W90" i="1"/>
  <c r="Z405" i="1"/>
  <c r="Y405" i="1"/>
  <c r="X405" i="1"/>
  <c r="W405" i="1"/>
  <c r="Z216" i="1"/>
  <c r="Y216" i="1"/>
  <c r="X216" i="1"/>
  <c r="W216" i="1"/>
  <c r="Z214" i="1"/>
  <c r="Y214" i="1"/>
  <c r="X214" i="1"/>
  <c r="W214" i="1"/>
  <c r="Z235" i="1"/>
  <c r="Y235" i="1"/>
  <c r="X235" i="1"/>
  <c r="W235" i="1"/>
  <c r="Z211" i="1"/>
  <c r="Y211" i="1"/>
  <c r="X211" i="1"/>
  <c r="W211" i="1"/>
  <c r="Z167" i="1"/>
  <c r="Y167" i="1"/>
  <c r="X167" i="1"/>
  <c r="W167" i="1"/>
  <c r="Z419" i="1"/>
  <c r="Y419" i="1"/>
  <c r="X419" i="1"/>
  <c r="W419" i="1"/>
  <c r="Z208" i="1"/>
  <c r="Y208" i="1"/>
  <c r="X208" i="1"/>
  <c r="W208" i="1"/>
  <c r="Z205" i="1"/>
  <c r="Y205" i="1"/>
  <c r="X205" i="1"/>
  <c r="W205" i="1"/>
  <c r="Z209" i="1"/>
  <c r="Y209" i="1"/>
  <c r="X209" i="1"/>
  <c r="W209" i="1"/>
  <c r="Z190" i="1"/>
  <c r="Y190" i="1"/>
  <c r="X190" i="1"/>
  <c r="W190" i="1"/>
  <c r="Z204" i="1"/>
  <c r="Y204" i="1"/>
  <c r="X204" i="1"/>
  <c r="W204" i="1"/>
  <c r="Z203" i="1"/>
  <c r="Y203" i="1"/>
  <c r="X203" i="1"/>
  <c r="W203" i="1"/>
  <c r="Z202" i="1"/>
  <c r="Y202" i="1"/>
  <c r="X202" i="1"/>
  <c r="W202" i="1"/>
  <c r="Z200" i="1"/>
  <c r="Y200" i="1"/>
  <c r="X200" i="1"/>
  <c r="W200" i="1"/>
  <c r="Z240" i="1"/>
  <c r="Y240" i="1"/>
  <c r="X240" i="1"/>
  <c r="W240" i="1"/>
  <c r="Z199" i="1"/>
  <c r="Y199" i="1"/>
  <c r="X199" i="1"/>
  <c r="W199" i="1"/>
  <c r="Z198" i="1"/>
  <c r="Y198" i="1"/>
  <c r="X198" i="1"/>
  <c r="W198" i="1"/>
  <c r="Z333" i="1"/>
  <c r="Y333" i="1"/>
  <c r="X333" i="1"/>
  <c r="W333" i="1"/>
  <c r="Z227" i="1"/>
  <c r="Y227" i="1"/>
  <c r="X227" i="1"/>
  <c r="W227" i="1"/>
  <c r="Z196" i="1"/>
  <c r="Y196" i="1"/>
  <c r="X196" i="1"/>
  <c r="W196" i="1"/>
  <c r="Z194" i="1"/>
  <c r="Y194" i="1"/>
  <c r="X194" i="1"/>
  <c r="W194" i="1"/>
  <c r="Z191" i="1"/>
  <c r="Y191" i="1"/>
  <c r="X191" i="1"/>
  <c r="W191" i="1"/>
  <c r="Z207" i="1"/>
  <c r="Y207" i="1"/>
  <c r="X207" i="1"/>
  <c r="W207" i="1"/>
  <c r="Z189" i="1"/>
  <c r="Y189" i="1"/>
  <c r="X189" i="1"/>
  <c r="W189" i="1"/>
  <c r="Z438" i="1"/>
  <c r="Y438" i="1"/>
  <c r="X438" i="1"/>
  <c r="W438" i="1"/>
  <c r="Z54" i="1"/>
  <c r="Y54" i="1"/>
  <c r="X54" i="1"/>
  <c r="W54" i="1"/>
  <c r="Z186" i="1"/>
  <c r="Y186" i="1"/>
  <c r="X186" i="1"/>
  <c r="W186" i="1"/>
  <c r="Z183" i="1"/>
  <c r="Y183" i="1"/>
  <c r="X183" i="1"/>
  <c r="W183" i="1"/>
  <c r="Z166" i="1"/>
  <c r="Y166" i="1"/>
  <c r="X166" i="1"/>
  <c r="W166" i="1"/>
  <c r="Z181" i="1"/>
  <c r="Y181" i="1"/>
  <c r="X181" i="1"/>
  <c r="W181" i="1"/>
  <c r="Z180" i="1"/>
  <c r="Y180" i="1"/>
  <c r="X180" i="1"/>
  <c r="W180" i="1"/>
  <c r="Z254" i="1"/>
  <c r="Y254" i="1"/>
  <c r="X254" i="1"/>
  <c r="W254" i="1"/>
  <c r="Z185" i="1"/>
  <c r="Y185" i="1"/>
  <c r="X185" i="1"/>
  <c r="W185" i="1"/>
  <c r="Z15" i="1"/>
  <c r="Y15" i="1"/>
  <c r="X15" i="1"/>
  <c r="W15" i="1"/>
  <c r="Z131" i="1"/>
  <c r="Y131" i="1"/>
  <c r="X131" i="1"/>
  <c r="W131" i="1"/>
  <c r="Z179" i="1"/>
  <c r="Y179" i="1"/>
  <c r="X179" i="1"/>
  <c r="W179" i="1"/>
  <c r="Z178" i="1"/>
  <c r="Y178" i="1"/>
  <c r="X178" i="1"/>
  <c r="W178" i="1"/>
  <c r="Z177" i="1"/>
  <c r="Y177" i="1"/>
  <c r="X177" i="1"/>
  <c r="W177" i="1"/>
  <c r="Z176" i="1"/>
  <c r="Y176" i="1"/>
  <c r="X176" i="1"/>
  <c r="W176" i="1"/>
  <c r="Z343" i="1"/>
  <c r="Y343" i="1"/>
  <c r="X343" i="1"/>
  <c r="W343" i="1"/>
  <c r="Z192" i="1"/>
  <c r="Y192" i="1"/>
  <c r="X192" i="1"/>
  <c r="W192" i="1"/>
  <c r="Z64" i="1"/>
  <c r="Y64" i="1"/>
  <c r="X64" i="1"/>
  <c r="W64" i="1"/>
  <c r="Z246" i="1"/>
  <c r="Y246" i="1"/>
  <c r="X246" i="1"/>
  <c r="W246" i="1"/>
  <c r="Z172" i="1"/>
  <c r="Y172" i="1"/>
  <c r="X172" i="1"/>
  <c r="W172" i="1"/>
  <c r="Z171" i="1"/>
  <c r="Y171" i="1"/>
  <c r="X171" i="1"/>
  <c r="W171" i="1"/>
  <c r="Z170" i="1"/>
  <c r="Y170" i="1"/>
  <c r="X170" i="1"/>
  <c r="W170" i="1"/>
  <c r="Z169" i="1"/>
  <c r="Y169" i="1"/>
  <c r="X169" i="1"/>
  <c r="W169" i="1"/>
  <c r="Z168" i="1"/>
  <c r="Y168" i="1"/>
  <c r="X168" i="1"/>
  <c r="W168" i="1"/>
  <c r="Z165" i="1"/>
  <c r="Y165" i="1"/>
  <c r="X165" i="1"/>
  <c r="W165" i="1"/>
  <c r="Z163" i="1"/>
  <c r="Y163" i="1"/>
  <c r="X163" i="1"/>
  <c r="W163" i="1"/>
  <c r="Z267" i="1"/>
  <c r="Y267" i="1"/>
  <c r="X267" i="1"/>
  <c r="W267" i="1"/>
  <c r="Z160" i="1"/>
  <c r="Y160" i="1"/>
  <c r="X160" i="1"/>
  <c r="W160" i="1"/>
  <c r="Z413" i="1"/>
  <c r="Y413" i="1"/>
  <c r="X413" i="1"/>
  <c r="W413" i="1"/>
  <c r="Z159" i="1"/>
  <c r="Y159" i="1"/>
  <c r="X159" i="1"/>
  <c r="W159" i="1"/>
  <c r="Z156" i="1"/>
  <c r="Y156" i="1"/>
  <c r="X156" i="1"/>
  <c r="W156" i="1"/>
  <c r="Z154" i="1"/>
  <c r="Y154" i="1"/>
  <c r="X154" i="1"/>
  <c r="W154" i="1"/>
  <c r="Z402" i="1"/>
  <c r="Y402" i="1"/>
  <c r="X402" i="1"/>
  <c r="W402" i="1"/>
  <c r="Z155" i="1"/>
  <c r="Y155" i="1"/>
  <c r="X155" i="1"/>
  <c r="W155" i="1"/>
  <c r="Z153" i="1"/>
  <c r="Y153" i="1"/>
  <c r="X153" i="1"/>
  <c r="W153" i="1"/>
  <c r="Z143" i="1"/>
  <c r="Y143" i="1"/>
  <c r="X143" i="1"/>
  <c r="W143" i="1"/>
  <c r="Z151" i="1"/>
  <c r="Y151" i="1"/>
  <c r="X151" i="1"/>
  <c r="W151" i="1"/>
  <c r="Z206" i="1"/>
  <c r="Y206" i="1"/>
  <c r="X206" i="1"/>
  <c r="W206" i="1"/>
  <c r="Z372" i="1"/>
  <c r="Y372" i="1"/>
  <c r="X372" i="1"/>
  <c r="W372" i="1"/>
  <c r="Z217" i="1"/>
  <c r="Y217" i="1"/>
  <c r="X217" i="1"/>
  <c r="W217" i="1"/>
  <c r="Z11" i="1"/>
  <c r="Y11" i="1"/>
  <c r="X11" i="1"/>
  <c r="W11" i="1"/>
  <c r="Z71" i="1"/>
  <c r="Y71" i="1"/>
  <c r="X71" i="1"/>
  <c r="W71" i="1"/>
  <c r="Z57" i="1"/>
  <c r="Y57" i="1"/>
  <c r="X57" i="1"/>
  <c r="W57" i="1"/>
  <c r="Z141" i="1"/>
  <c r="Y141" i="1"/>
  <c r="X141" i="1"/>
  <c r="W141" i="1"/>
  <c r="Z138" i="1"/>
  <c r="Y138" i="1"/>
  <c r="X138" i="1"/>
  <c r="W138" i="1"/>
  <c r="Z137" i="1"/>
  <c r="Y137" i="1"/>
  <c r="X137" i="1"/>
  <c r="W137" i="1"/>
  <c r="Z411" i="1"/>
  <c r="Y411" i="1"/>
  <c r="X411" i="1"/>
  <c r="W411" i="1"/>
  <c r="Z135" i="1"/>
  <c r="Y135" i="1"/>
  <c r="X135" i="1"/>
  <c r="W135" i="1"/>
  <c r="Z49" i="1"/>
  <c r="Y49" i="1"/>
  <c r="X49" i="1"/>
  <c r="W49" i="1"/>
  <c r="Z139" i="1"/>
  <c r="Y139" i="1"/>
  <c r="X139" i="1"/>
  <c r="W139" i="1"/>
  <c r="Z228" i="1"/>
  <c r="Y228" i="1"/>
  <c r="X228" i="1"/>
  <c r="W228" i="1"/>
  <c r="Z130" i="1"/>
  <c r="Y130" i="1"/>
  <c r="X130" i="1"/>
  <c r="W130" i="1"/>
  <c r="Z129" i="1"/>
  <c r="Y129" i="1"/>
  <c r="X129" i="1"/>
  <c r="W129" i="1"/>
  <c r="Z144" i="1"/>
  <c r="Y144" i="1"/>
  <c r="X144" i="1"/>
  <c r="W144" i="1"/>
  <c r="Z368" i="1"/>
  <c r="Y368" i="1"/>
  <c r="X368" i="1"/>
  <c r="W368" i="1"/>
  <c r="Z157" i="1"/>
  <c r="Y157" i="1"/>
  <c r="X157" i="1"/>
  <c r="W157" i="1"/>
  <c r="Z10" i="1"/>
  <c r="Y10" i="1"/>
  <c r="X10" i="1"/>
  <c r="W10" i="1"/>
  <c r="Z126" i="1"/>
  <c r="Y126" i="1"/>
  <c r="X126" i="1"/>
  <c r="W126" i="1"/>
  <c r="Z124" i="1"/>
  <c r="Y124" i="1"/>
  <c r="X124" i="1"/>
  <c r="W124" i="1"/>
  <c r="Z301" i="1"/>
  <c r="Y301" i="1"/>
  <c r="X301" i="1"/>
  <c r="W301" i="1"/>
  <c r="Z136" i="1"/>
  <c r="Y136" i="1"/>
  <c r="X136" i="1"/>
  <c r="W136" i="1"/>
  <c r="Z193" i="1"/>
  <c r="Y193" i="1"/>
  <c r="X193" i="1"/>
  <c r="W193" i="1"/>
  <c r="Z123" i="1"/>
  <c r="Y123" i="1"/>
  <c r="X123" i="1"/>
  <c r="W123" i="1"/>
  <c r="Z122" i="1"/>
  <c r="Y122" i="1"/>
  <c r="X122" i="1"/>
  <c r="W122" i="1"/>
  <c r="Z184" i="1"/>
  <c r="Y184" i="1"/>
  <c r="X184" i="1"/>
  <c r="W184" i="1"/>
  <c r="Z337" i="1"/>
  <c r="Y337" i="1"/>
  <c r="X337" i="1"/>
  <c r="W337" i="1"/>
  <c r="Z403" i="1"/>
  <c r="Y403" i="1"/>
  <c r="X403" i="1"/>
  <c r="W403" i="1"/>
  <c r="Z162" i="1"/>
  <c r="Y162" i="1"/>
  <c r="X162" i="1"/>
  <c r="W162" i="1"/>
  <c r="Z119" i="1"/>
  <c r="Y119" i="1"/>
  <c r="X119" i="1"/>
  <c r="W119" i="1"/>
  <c r="Z117" i="1"/>
  <c r="Y117" i="1"/>
  <c r="X117" i="1"/>
  <c r="W117" i="1"/>
  <c r="Z116" i="1"/>
  <c r="Y116" i="1"/>
  <c r="X116" i="1"/>
  <c r="W116" i="1"/>
  <c r="Z376" i="1"/>
  <c r="Y376" i="1"/>
  <c r="X376" i="1"/>
  <c r="W376" i="1"/>
  <c r="Z115" i="1"/>
  <c r="Y115" i="1"/>
  <c r="X115" i="1"/>
  <c r="W115" i="1"/>
  <c r="Z114" i="1"/>
  <c r="Y114" i="1"/>
  <c r="X114" i="1"/>
  <c r="W114" i="1"/>
  <c r="Z336" i="1"/>
  <c r="Y336" i="1"/>
  <c r="X336" i="1"/>
  <c r="W336" i="1"/>
  <c r="Z112" i="1"/>
  <c r="Y112" i="1"/>
  <c r="X112" i="1"/>
  <c r="W112" i="1"/>
  <c r="Z111" i="1"/>
  <c r="Y111" i="1"/>
  <c r="X111" i="1"/>
  <c r="W111" i="1"/>
  <c r="Z110" i="1"/>
  <c r="Y110" i="1"/>
  <c r="X110" i="1"/>
  <c r="W110" i="1"/>
  <c r="Z109" i="1"/>
  <c r="Y109" i="1"/>
  <c r="X109" i="1"/>
  <c r="W109" i="1"/>
  <c r="Z250" i="1"/>
  <c r="Y250" i="1"/>
  <c r="X250" i="1"/>
  <c r="W250" i="1"/>
  <c r="Z106" i="1"/>
  <c r="Y106" i="1"/>
  <c r="X106" i="1"/>
  <c r="W106" i="1"/>
  <c r="Z73" i="1"/>
  <c r="Y73" i="1"/>
  <c r="X73" i="1"/>
  <c r="W73" i="1"/>
  <c r="Z239" i="1"/>
  <c r="Y239" i="1"/>
  <c r="X239" i="1"/>
  <c r="W239" i="1"/>
  <c r="Z104" i="1"/>
  <c r="Y104" i="1"/>
  <c r="X104" i="1"/>
  <c r="W104" i="1"/>
  <c r="Z145" i="1"/>
  <c r="Y145" i="1"/>
  <c r="X145" i="1"/>
  <c r="W145" i="1"/>
  <c r="Z348" i="1"/>
  <c r="Y348" i="1"/>
  <c r="X348" i="1"/>
  <c r="W348" i="1"/>
  <c r="Z101" i="1"/>
  <c r="Y101" i="1"/>
  <c r="X101" i="1"/>
  <c r="W101" i="1"/>
  <c r="Z385" i="1"/>
  <c r="Y385" i="1"/>
  <c r="X385" i="1"/>
  <c r="W385" i="1"/>
  <c r="Z252" i="1"/>
  <c r="Y252" i="1"/>
  <c r="X252" i="1"/>
  <c r="W252" i="1"/>
  <c r="Z98" i="1"/>
  <c r="Y98" i="1"/>
  <c r="X98" i="1"/>
  <c r="W98" i="1"/>
  <c r="Z381" i="1"/>
  <c r="Y381" i="1"/>
  <c r="X381" i="1"/>
  <c r="W381" i="1"/>
  <c r="Z94" i="1"/>
  <c r="Y94" i="1"/>
  <c r="X94" i="1"/>
  <c r="W94" i="1"/>
  <c r="Z236" i="1"/>
  <c r="Y236" i="1"/>
  <c r="X236" i="1"/>
  <c r="W236" i="1"/>
  <c r="Z14" i="1"/>
  <c r="Y14" i="1"/>
  <c r="X14" i="1"/>
  <c r="W14" i="1"/>
  <c r="Z91" i="1"/>
  <c r="Y91" i="1"/>
  <c r="X91" i="1"/>
  <c r="W91" i="1"/>
  <c r="Z83" i="1"/>
  <c r="Y83" i="1"/>
  <c r="X83" i="1"/>
  <c r="W83" i="1"/>
  <c r="Z82" i="1"/>
  <c r="Y82" i="1"/>
  <c r="X82" i="1"/>
  <c r="W82" i="1"/>
  <c r="Z121" i="1"/>
  <c r="Y121" i="1"/>
  <c r="X121" i="1"/>
  <c r="W121" i="1"/>
  <c r="Z213" i="1"/>
  <c r="Y213" i="1"/>
  <c r="X213" i="1"/>
  <c r="W213" i="1"/>
  <c r="Z88" i="1"/>
  <c r="Y88" i="1"/>
  <c r="X88" i="1"/>
  <c r="W88" i="1"/>
  <c r="Z414" i="1"/>
  <c r="Y414" i="1"/>
  <c r="X414" i="1"/>
  <c r="W414" i="1"/>
  <c r="Z84" i="1"/>
  <c r="Y84" i="1"/>
  <c r="X84" i="1"/>
  <c r="W84" i="1"/>
  <c r="Z133" i="1"/>
  <c r="Y133" i="1"/>
  <c r="X133" i="1"/>
  <c r="W133" i="1"/>
  <c r="Z221" i="1"/>
  <c r="Y221" i="1"/>
  <c r="X221" i="1"/>
  <c r="W221" i="1"/>
  <c r="Z81" i="1"/>
  <c r="Y81" i="1"/>
  <c r="X81" i="1"/>
  <c r="W81" i="1"/>
  <c r="Z80" i="1"/>
  <c r="Y80" i="1"/>
  <c r="X80" i="1"/>
  <c r="W80" i="1"/>
  <c r="Z74" i="1"/>
  <c r="Y74" i="1"/>
  <c r="X74" i="1"/>
  <c r="W74" i="1"/>
  <c r="Z78" i="1"/>
  <c r="Y78" i="1"/>
  <c r="X78" i="1"/>
  <c r="W78" i="1"/>
  <c r="Z87" i="1"/>
  <c r="Y87" i="1"/>
  <c r="X87" i="1"/>
  <c r="W87" i="1"/>
  <c r="Z77" i="1"/>
  <c r="Y77" i="1"/>
  <c r="X77" i="1"/>
  <c r="W77" i="1"/>
  <c r="Z379" i="1"/>
  <c r="Y379" i="1"/>
  <c r="X379" i="1"/>
  <c r="W379" i="1"/>
  <c r="Z75" i="1"/>
  <c r="Y75" i="1"/>
  <c r="X75" i="1"/>
  <c r="W75" i="1"/>
  <c r="Z357" i="1"/>
  <c r="Y357" i="1"/>
  <c r="X357" i="1"/>
  <c r="W357" i="1"/>
  <c r="Z70" i="1"/>
  <c r="Y70" i="1"/>
  <c r="X70" i="1"/>
  <c r="W70" i="1"/>
  <c r="Z69" i="1"/>
  <c r="Y69" i="1"/>
  <c r="X69" i="1"/>
  <c r="W69" i="1"/>
  <c r="Z67" i="1"/>
  <c r="Y67" i="1"/>
  <c r="X67" i="1"/>
  <c r="W67" i="1"/>
  <c r="Z68" i="1"/>
  <c r="Y68" i="1"/>
  <c r="X68" i="1"/>
  <c r="W68" i="1"/>
  <c r="Z66" i="1"/>
  <c r="Y66" i="1"/>
  <c r="X66" i="1"/>
  <c r="W66" i="1"/>
  <c r="Z76" i="1"/>
  <c r="Y76" i="1"/>
  <c r="X76" i="1"/>
  <c r="W76" i="1"/>
  <c r="Z120" i="1"/>
  <c r="Y120" i="1"/>
  <c r="X120" i="1"/>
  <c r="W120" i="1"/>
  <c r="Z61" i="1"/>
  <c r="Y61" i="1"/>
  <c r="X61" i="1"/>
  <c r="W61" i="1"/>
  <c r="Z53" i="1"/>
  <c r="Y53" i="1"/>
  <c r="X53" i="1"/>
  <c r="W53" i="1"/>
  <c r="Z327" i="1"/>
  <c r="Y327" i="1"/>
  <c r="X327" i="1"/>
  <c r="W327" i="1"/>
  <c r="Z32" i="1"/>
  <c r="Y32" i="1"/>
  <c r="X32" i="1"/>
  <c r="W32" i="1"/>
  <c r="Z51" i="1"/>
  <c r="Y51" i="1"/>
  <c r="X51" i="1"/>
  <c r="W51" i="1"/>
  <c r="Z50" i="1"/>
  <c r="Y50" i="1"/>
  <c r="X50" i="1"/>
  <c r="W50" i="1"/>
  <c r="Z48" i="1"/>
  <c r="Y48" i="1"/>
  <c r="X48" i="1"/>
  <c r="W48" i="1"/>
  <c r="Z45" i="1"/>
  <c r="Y45" i="1"/>
  <c r="X45" i="1"/>
  <c r="W45" i="1"/>
  <c r="Z44" i="1"/>
  <c r="Y44" i="1"/>
  <c r="X44" i="1"/>
  <c r="W44" i="1"/>
  <c r="Z43" i="1"/>
  <c r="Y43" i="1"/>
  <c r="X43" i="1"/>
  <c r="W43" i="1"/>
  <c r="Z42" i="1"/>
  <c r="Y42" i="1"/>
  <c r="X42" i="1"/>
  <c r="W42" i="1"/>
  <c r="Z39" i="1"/>
  <c r="Y39" i="1"/>
  <c r="X39" i="1"/>
  <c r="W39" i="1"/>
  <c r="Z100" i="1"/>
  <c r="Y100" i="1"/>
  <c r="X100" i="1"/>
  <c r="W100" i="1"/>
  <c r="Z374" i="1"/>
  <c r="Y374" i="1"/>
  <c r="X374" i="1"/>
  <c r="W374" i="1"/>
  <c r="Z41" i="1"/>
  <c r="Y41" i="1"/>
  <c r="X41" i="1"/>
  <c r="W41" i="1"/>
  <c r="Z128" i="1"/>
  <c r="Y128" i="1"/>
  <c r="X128" i="1"/>
  <c r="W128" i="1"/>
  <c r="Z35" i="1"/>
  <c r="Y35" i="1"/>
  <c r="X35" i="1"/>
  <c r="W35" i="1"/>
  <c r="Z386" i="1"/>
  <c r="Y386" i="1"/>
  <c r="X386" i="1"/>
  <c r="W386" i="1"/>
  <c r="Z418" i="1"/>
  <c r="Y418" i="1"/>
  <c r="X418" i="1"/>
  <c r="W418" i="1"/>
  <c r="Z359" i="1"/>
  <c r="Y359" i="1"/>
  <c r="X359" i="1"/>
  <c r="W359" i="1"/>
  <c r="Z31" i="1"/>
  <c r="Y31" i="1"/>
  <c r="X31" i="1"/>
  <c r="W31" i="1"/>
  <c r="Z29" i="1"/>
  <c r="Y29" i="1"/>
  <c r="X29" i="1"/>
  <c r="W29" i="1"/>
  <c r="Z375" i="1"/>
  <c r="Y375" i="1"/>
  <c r="X375" i="1"/>
  <c r="W375" i="1"/>
  <c r="Z24" i="1"/>
  <c r="Y24" i="1"/>
  <c r="X24" i="1"/>
  <c r="W24" i="1"/>
  <c r="Z23" i="1"/>
  <c r="Y23" i="1"/>
  <c r="X23" i="1"/>
  <c r="W23" i="1"/>
  <c r="Z173" i="1"/>
  <c r="Y173" i="1"/>
  <c r="X173" i="1"/>
  <c r="W173" i="1"/>
  <c r="Z389" i="1"/>
  <c r="Y389" i="1"/>
  <c r="X389" i="1"/>
  <c r="W389" i="1"/>
  <c r="Z33" i="1"/>
  <c r="Y33" i="1"/>
  <c r="X33" i="1"/>
  <c r="W33" i="1"/>
  <c r="Z21" i="1"/>
  <c r="Y21" i="1"/>
  <c r="X21" i="1"/>
  <c r="W21" i="1"/>
  <c r="Z20" i="1"/>
  <c r="Y20" i="1"/>
  <c r="X20" i="1"/>
  <c r="W20" i="1"/>
  <c r="Z18" i="1"/>
  <c r="Y18" i="1"/>
  <c r="X18" i="1"/>
  <c r="W18" i="1"/>
  <c r="Z17" i="1"/>
  <c r="Y17" i="1"/>
  <c r="X17" i="1"/>
  <c r="W17" i="1"/>
  <c r="Z16" i="1"/>
  <c r="Y16" i="1"/>
  <c r="X16" i="1"/>
  <c r="W16" i="1"/>
  <c r="Z6" i="1"/>
  <c r="Y6" i="1"/>
  <c r="X6" i="1"/>
  <c r="W6" i="1"/>
  <c r="Z5" i="1"/>
  <c r="Y5" i="1"/>
  <c r="X5" i="1"/>
  <c r="W5" i="1"/>
  <c r="Z4" i="1"/>
  <c r="Y4" i="1"/>
  <c r="X4" i="1"/>
  <c r="W4" i="1"/>
  <c r="AC2" i="1"/>
  <c r="AD2" i="1" s="1"/>
  <c r="AE2" i="1" s="1"/>
  <c r="AF2" i="1" s="1"/>
  <c r="AG2" i="1" s="1"/>
  <c r="AH2" i="1" s="1"/>
  <c r="AI2" i="1" s="1"/>
  <c r="AJ2" i="1" s="1"/>
  <c r="AK2" i="1" s="1"/>
  <c r="AL2" i="1" s="1"/>
  <c r="AM2" i="1" s="1"/>
  <c r="AN2" i="1" s="1"/>
  <c r="AO2" i="1" s="1"/>
  <c r="AP2" i="1" s="1"/>
  <c r="AQ2" i="1" s="1"/>
  <c r="AR2" i="1" s="1"/>
  <c r="AS2" i="1" s="1"/>
  <c r="AT2" i="1" s="1"/>
  <c r="AU2" i="1" s="1"/>
  <c r="AV2" i="1" s="1"/>
  <c r="AW2" i="1" s="1"/>
  <c r="AX2" i="1" s="1"/>
  <c r="AY2" i="1" s="1"/>
  <c r="AZ2" i="1" s="1"/>
  <c r="BA2" i="1" s="1"/>
  <c r="BB2" i="1" s="1"/>
  <c r="BC2" i="1" s="1"/>
  <c r="BD2" i="1" s="1"/>
  <c r="BE2" i="1" s="1"/>
  <c r="BF2" i="1" s="1"/>
  <c r="BG2" i="1" s="1"/>
  <c r="BH2" i="1" s="1"/>
  <c r="BI2" i="1" s="1"/>
  <c r="BJ2" i="1" s="1"/>
  <c r="BK2" i="1" s="1"/>
  <c r="BL2" i="1" s="1"/>
  <c r="S1" i="1"/>
  <c r="B1" i="1"/>
  <c r="C1" i="36" s="1"/>
  <c r="C118" i="79"/>
  <c r="E115" i="79"/>
  <c r="E114" i="79"/>
  <c r="E113" i="79"/>
  <c r="E112" i="79"/>
  <c r="E111" i="79"/>
  <c r="E110" i="79"/>
  <c r="E109" i="79"/>
  <c r="E108" i="79"/>
  <c r="E107" i="79"/>
  <c r="E106" i="79"/>
  <c r="E105" i="79"/>
  <c r="E104" i="79"/>
  <c r="E102" i="79"/>
  <c r="D102" i="79"/>
  <c r="A102" i="79" s="1"/>
  <c r="E101" i="79"/>
  <c r="E100" i="79"/>
  <c r="E99" i="79"/>
  <c r="E98" i="79"/>
  <c r="E97" i="79"/>
  <c r="E96" i="79"/>
  <c r="E95" i="79"/>
  <c r="E94" i="79"/>
  <c r="E93" i="79"/>
  <c r="E92" i="79"/>
  <c r="E91" i="79"/>
  <c r="E90" i="79"/>
  <c r="E89" i="79"/>
  <c r="E88" i="79"/>
  <c r="E87" i="79"/>
  <c r="E86" i="79"/>
  <c r="E84" i="79"/>
  <c r="E83" i="79"/>
  <c r="E82" i="79"/>
  <c r="E81" i="79"/>
  <c r="E79" i="79"/>
  <c r="E78" i="79"/>
  <c r="E77" i="79"/>
  <c r="E76" i="79"/>
  <c r="E75" i="79"/>
  <c r="E74" i="79"/>
  <c r="E72" i="79"/>
  <c r="E71" i="79"/>
  <c r="E70" i="79"/>
  <c r="E69" i="79"/>
  <c r="E68" i="79"/>
  <c r="E67" i="79"/>
  <c r="E65" i="79"/>
  <c r="E64" i="79"/>
  <c r="E63" i="79"/>
  <c r="E62" i="79"/>
  <c r="E61" i="79"/>
  <c r="E60" i="79"/>
  <c r="E58" i="79"/>
  <c r="E57" i="79"/>
  <c r="E56" i="79"/>
  <c r="E55" i="79"/>
  <c r="E54" i="79"/>
  <c r="E53" i="79"/>
  <c r="E51" i="79"/>
  <c r="E50" i="79"/>
  <c r="E49" i="79"/>
  <c r="E48" i="79"/>
  <c r="E47" i="79"/>
  <c r="E46" i="79"/>
  <c r="E44" i="79"/>
  <c r="E43" i="79"/>
  <c r="E42" i="79"/>
  <c r="E41" i="79"/>
  <c r="E40" i="79"/>
  <c r="E39" i="79"/>
  <c r="E37" i="79"/>
  <c r="E36" i="79"/>
  <c r="E35" i="79"/>
  <c r="E34" i="79"/>
  <c r="E33" i="79"/>
  <c r="E32" i="79"/>
  <c r="E29" i="79"/>
  <c r="E28" i="79"/>
  <c r="E27" i="79"/>
  <c r="E26" i="79"/>
  <c r="E25" i="79"/>
  <c r="E24" i="79"/>
  <c r="E23" i="79"/>
  <c r="E22" i="79"/>
  <c r="E21" i="79"/>
  <c r="E20" i="79"/>
  <c r="E19" i="79"/>
  <c r="E18" i="79"/>
  <c r="E17" i="79"/>
  <c r="E16" i="79"/>
  <c r="E15" i="79"/>
  <c r="E14" i="79"/>
  <c r="E13" i="79"/>
  <c r="E12" i="79"/>
  <c r="E10" i="79"/>
  <c r="E9" i="79"/>
  <c r="E8" i="79"/>
  <c r="E7" i="79"/>
  <c r="E6" i="79"/>
  <c r="J162" i="32"/>
  <c r="G162" i="32"/>
  <c r="D162" i="32"/>
  <c r="J161" i="32"/>
  <c r="G161" i="32"/>
  <c r="D161" i="32"/>
  <c r="J160" i="32"/>
  <c r="G160" i="32"/>
  <c r="D160" i="32"/>
  <c r="J157" i="32"/>
  <c r="D157" i="32"/>
  <c r="B147" i="76" s="1"/>
  <c r="J156" i="32"/>
  <c r="D156" i="32"/>
  <c r="E458" i="88" s="1"/>
  <c r="A458" i="88" s="1"/>
  <c r="J155" i="32"/>
  <c r="D155" i="32"/>
  <c r="B145" i="76" s="1"/>
  <c r="J154" i="32"/>
  <c r="D154" i="32"/>
  <c r="D112" i="79" s="1"/>
  <c r="J153" i="32"/>
  <c r="D153" i="32"/>
  <c r="J152" i="32"/>
  <c r="D152" i="32"/>
  <c r="B142" i="76" s="1"/>
  <c r="J151" i="32"/>
  <c r="D151" i="32"/>
  <c r="E453" i="88" s="1"/>
  <c r="A453" i="88" s="1"/>
  <c r="J150" i="32"/>
  <c r="D150" i="32"/>
  <c r="J149" i="32"/>
  <c r="D149" i="32"/>
  <c r="J148" i="32"/>
  <c r="D148" i="32"/>
  <c r="D106" i="79" s="1"/>
  <c r="J147" i="32"/>
  <c r="D147" i="32"/>
  <c r="E449" i="88" s="1"/>
  <c r="A449" i="88" s="1"/>
  <c r="J146" i="32"/>
  <c r="D146" i="32"/>
  <c r="B136" i="76" s="1"/>
  <c r="J143" i="32"/>
  <c r="K192" i="88" s="1"/>
  <c r="D143" i="32"/>
  <c r="E192" i="88" s="1"/>
  <c r="A192" i="88" s="1"/>
  <c r="J142" i="32"/>
  <c r="D142" i="32"/>
  <c r="B150" i="76" s="1"/>
  <c r="J141" i="32"/>
  <c r="D141" i="32"/>
  <c r="E443" i="88" s="1"/>
  <c r="D140" i="32"/>
  <c r="E446" i="88" s="1"/>
  <c r="J138" i="32"/>
  <c r="J137" i="32"/>
  <c r="D137" i="32"/>
  <c r="D100" i="79"/>
  <c r="A100" i="79" s="1"/>
  <c r="J125" i="32"/>
  <c r="D125" i="32"/>
  <c r="J124" i="32"/>
  <c r="D124" i="32"/>
  <c r="E438" i="88" s="1"/>
  <c r="J123" i="32"/>
  <c r="K436" i="88" s="1"/>
  <c r="D123" i="32"/>
  <c r="E436" i="88" s="1"/>
  <c r="J122" i="32"/>
  <c r="D122" i="32"/>
  <c r="B122" i="76" s="1"/>
  <c r="J121" i="32"/>
  <c r="D121" i="32"/>
  <c r="J120" i="32"/>
  <c r="K155" i="88" s="1"/>
  <c r="D120" i="32"/>
  <c r="E155" i="88" s="1"/>
  <c r="J119" i="32"/>
  <c r="D119" i="32"/>
  <c r="J118" i="32"/>
  <c r="D118" i="32"/>
  <c r="J117" i="32"/>
  <c r="D117" i="32"/>
  <c r="J116" i="32"/>
  <c r="K419" i="88" s="1"/>
  <c r="D116" i="32"/>
  <c r="J115" i="32"/>
  <c r="K107" i="88" s="1"/>
  <c r="D115" i="32"/>
  <c r="E107" i="88" s="1"/>
  <c r="J114" i="32"/>
  <c r="K98" i="88" s="1"/>
  <c r="D114" i="32"/>
  <c r="J113" i="32"/>
  <c r="D113" i="32"/>
  <c r="J112" i="32"/>
  <c r="K410" i="88" s="1"/>
  <c r="D112" i="32"/>
  <c r="E410" i="88" s="1"/>
  <c r="K393" i="88"/>
  <c r="D97" i="32"/>
  <c r="E393" i="88" s="1"/>
  <c r="J96" i="32"/>
  <c r="D96" i="32"/>
  <c r="J95" i="32"/>
  <c r="K398" i="88" s="1"/>
  <c r="D95" i="32"/>
  <c r="J94" i="32"/>
  <c r="D94" i="32"/>
  <c r="D79" i="79" s="1"/>
  <c r="A79" i="79" s="1"/>
  <c r="J93" i="32"/>
  <c r="D93" i="32"/>
  <c r="B94" i="76" s="1"/>
  <c r="J92" i="32"/>
  <c r="D92" i="32"/>
  <c r="D77" i="79" s="1"/>
  <c r="A77" i="79" s="1"/>
  <c r="J91" i="32"/>
  <c r="D91" i="32"/>
  <c r="J90" i="32"/>
  <c r="D90" i="32"/>
  <c r="E388" i="88" s="1"/>
  <c r="J89" i="32"/>
  <c r="D89" i="32"/>
  <c r="J88" i="32"/>
  <c r="D88" i="32"/>
  <c r="J87" i="32"/>
  <c r="K146" i="88" s="1"/>
  <c r="D87" i="32"/>
  <c r="E146" i="88" s="1"/>
  <c r="J86" i="32"/>
  <c r="D86" i="32"/>
  <c r="J85" i="32"/>
  <c r="D85" i="32"/>
  <c r="O73" i="32"/>
  <c r="J84" i="32"/>
  <c r="K383" i="88" s="1"/>
  <c r="D84" i="32"/>
  <c r="C52" i="90" s="1"/>
  <c r="J83" i="32"/>
  <c r="D83" i="32"/>
  <c r="E382" i="88" s="1"/>
  <c r="J82" i="32"/>
  <c r="D82" i="32"/>
  <c r="J81" i="32"/>
  <c r="D81" i="32"/>
  <c r="E380" i="88" s="1"/>
  <c r="J80" i="32"/>
  <c r="K379" i="88" s="1"/>
  <c r="D80" i="32"/>
  <c r="C47" i="90" s="1"/>
  <c r="J79" i="32"/>
  <c r="D79" i="32"/>
  <c r="D62" i="79" s="1"/>
  <c r="J78" i="32"/>
  <c r="K377" i="88" s="1"/>
  <c r="D78" i="32"/>
  <c r="E377" i="88" s="1"/>
  <c r="J77" i="32"/>
  <c r="D77" i="32"/>
  <c r="D60" i="79" s="1"/>
  <c r="J76" i="32"/>
  <c r="D76" i="32"/>
  <c r="J75" i="32"/>
  <c r="D75" i="32"/>
  <c r="C41" i="90" s="1"/>
  <c r="J74" i="32"/>
  <c r="D74" i="32"/>
  <c r="E124" i="88" s="1"/>
  <c r="J73" i="32"/>
  <c r="D73" i="32"/>
  <c r="D55" i="79" s="1"/>
  <c r="J72" i="32"/>
  <c r="K371" i="88" s="1"/>
  <c r="D72" i="32"/>
  <c r="E371" i="88" s="1"/>
  <c r="J71" i="32"/>
  <c r="K370" i="88" s="1"/>
  <c r="D71" i="32"/>
  <c r="C37" i="90" s="1"/>
  <c r="J70" i="32"/>
  <c r="D70" i="32"/>
  <c r="J69" i="32"/>
  <c r="D69" i="32"/>
  <c r="J68" i="32"/>
  <c r="D68" i="32"/>
  <c r="O56" i="32"/>
  <c r="J67" i="32"/>
  <c r="D67" i="32"/>
  <c r="C32" i="90" s="1"/>
  <c r="J66" i="32"/>
  <c r="D66" i="32"/>
  <c r="E365" i="88" s="1"/>
  <c r="J65" i="32"/>
  <c r="D65" i="32"/>
  <c r="C30" i="90" s="1"/>
  <c r="O53" i="32"/>
  <c r="J64" i="32"/>
  <c r="D64" i="32"/>
  <c r="K105" i="88"/>
  <c r="D63" i="32"/>
  <c r="E105" i="88" s="1"/>
  <c r="J62" i="32"/>
  <c r="D62" i="32"/>
  <c r="J61" i="32"/>
  <c r="D61" i="32"/>
  <c r="J60" i="32"/>
  <c r="K102" i="88" s="1"/>
  <c r="D60" i="32"/>
  <c r="E102" i="88" s="1"/>
  <c r="J59" i="32"/>
  <c r="K101" i="88" s="1"/>
  <c r="D59" i="32"/>
  <c r="E101" i="88" s="1"/>
  <c r="J58" i="32"/>
  <c r="K97" i="88" s="1"/>
  <c r="D58" i="32"/>
  <c r="E97" i="88" s="1"/>
  <c r="J57" i="32"/>
  <c r="K96" i="88" s="1"/>
  <c r="D57" i="32"/>
  <c r="J56" i="32"/>
  <c r="K95" i="88" s="1"/>
  <c r="D56" i="32"/>
  <c r="J55" i="32"/>
  <c r="K354" i="88" s="1"/>
  <c r="D55" i="32"/>
  <c r="E354" i="88" s="1"/>
  <c r="J54" i="32"/>
  <c r="D54" i="32"/>
  <c r="E353" i="88" s="1"/>
  <c r="J53" i="32"/>
  <c r="K352" i="88" s="1"/>
  <c r="D53" i="32"/>
  <c r="J50" i="32"/>
  <c r="J49" i="32"/>
  <c r="B51" i="76"/>
  <c r="J48" i="32"/>
  <c r="J47" i="32"/>
  <c r="B49" i="76"/>
  <c r="J40" i="32"/>
  <c r="C67" i="90"/>
  <c r="K48" i="88"/>
  <c r="E48" i="88"/>
  <c r="K88" i="88"/>
  <c r="E88" i="88"/>
  <c r="J30" i="32"/>
  <c r="J29" i="32"/>
  <c r="K150" i="88" s="1"/>
  <c r="E150" i="88"/>
  <c r="J28" i="32"/>
  <c r="J27" i="32"/>
  <c r="J26" i="32"/>
  <c r="J25" i="32"/>
  <c r="J24" i="32"/>
  <c r="J23" i="32"/>
  <c r="B24" i="76"/>
  <c r="J21" i="32"/>
  <c r="J18" i="32"/>
  <c r="D18" i="32"/>
  <c r="B21" i="76" s="1"/>
  <c r="J17" i="32"/>
  <c r="D17" i="32"/>
  <c r="E21" i="88" s="1"/>
  <c r="A21" i="88" s="1"/>
  <c r="J16" i="32"/>
  <c r="D16" i="32"/>
  <c r="B19" i="76" s="1"/>
  <c r="J15" i="32"/>
  <c r="D15" i="32"/>
  <c r="E19" i="88" s="1"/>
  <c r="A19" i="88" s="1"/>
  <c r="J14" i="32"/>
  <c r="D14" i="32"/>
  <c r="B17" i="76" s="1"/>
  <c r="B14" i="32"/>
  <c r="J11" i="32"/>
  <c r="D11" i="32"/>
  <c r="E16" i="88" s="1"/>
  <c r="J10" i="32"/>
  <c r="D10" i="32"/>
  <c r="E14" i="88" s="1"/>
  <c r="A14" i="88" s="1"/>
  <c r="J9" i="32"/>
  <c r="D9" i="32"/>
  <c r="E13" i="88" s="1"/>
  <c r="A13" i="88" s="1"/>
  <c r="J8" i="32"/>
  <c r="D8" i="32"/>
  <c r="E12" i="88" s="1"/>
  <c r="A12" i="88" s="1"/>
  <c r="J7" i="32"/>
  <c r="D7" i="32"/>
  <c r="B11" i="76" s="1"/>
  <c r="D3" i="32"/>
  <c r="I1" i="79" s="1"/>
  <c r="C3" i="79" s="1"/>
  <c r="L465" i="88"/>
  <c r="L464" i="88"/>
  <c r="L463" i="88"/>
  <c r="L459" i="88"/>
  <c r="F459" i="88"/>
  <c r="L458" i="88"/>
  <c r="F458" i="88"/>
  <c r="L457" i="88"/>
  <c r="F457" i="88"/>
  <c r="L456" i="88"/>
  <c r="F456" i="88"/>
  <c r="L455" i="88"/>
  <c r="F455" i="88"/>
  <c r="L454" i="88"/>
  <c r="F454" i="88"/>
  <c r="L453" i="88"/>
  <c r="F453" i="88"/>
  <c r="L452" i="88"/>
  <c r="F452" i="88"/>
  <c r="L451" i="88"/>
  <c r="F451" i="88"/>
  <c r="L450" i="88"/>
  <c r="F450" i="88"/>
  <c r="L449" i="88"/>
  <c r="F449" i="88"/>
  <c r="L448" i="88"/>
  <c r="F448" i="88"/>
  <c r="L446" i="88"/>
  <c r="K446" i="88"/>
  <c r="J446" i="88"/>
  <c r="I446" i="88"/>
  <c r="H446" i="88"/>
  <c r="G446" i="88"/>
  <c r="F446" i="88"/>
  <c r="L445" i="88"/>
  <c r="K445" i="88"/>
  <c r="J445" i="88"/>
  <c r="I445" i="88"/>
  <c r="H445" i="88"/>
  <c r="G445" i="88"/>
  <c r="F445" i="88"/>
  <c r="E445" i="88"/>
  <c r="L444" i="88"/>
  <c r="J444" i="88"/>
  <c r="I444" i="88"/>
  <c r="H444" i="88"/>
  <c r="F444" i="88"/>
  <c r="L443" i="88"/>
  <c r="J443" i="88"/>
  <c r="I443" i="88"/>
  <c r="H443" i="88"/>
  <c r="F443" i="88"/>
  <c r="L441" i="88"/>
  <c r="J441" i="88"/>
  <c r="I441" i="88"/>
  <c r="H441" i="88"/>
  <c r="G441" i="88"/>
  <c r="F441" i="88"/>
  <c r="L434" i="88"/>
  <c r="J434" i="88"/>
  <c r="I434" i="88"/>
  <c r="F434" i="88"/>
  <c r="L433" i="88"/>
  <c r="J433" i="88"/>
  <c r="I433" i="88"/>
  <c r="F433" i="88"/>
  <c r="L432" i="88"/>
  <c r="J432" i="88"/>
  <c r="I432" i="88"/>
  <c r="F432" i="88"/>
  <c r="L431" i="88"/>
  <c r="J431" i="88"/>
  <c r="I431" i="88"/>
  <c r="F431" i="88"/>
  <c r="L423" i="88"/>
  <c r="J423" i="88"/>
  <c r="I423" i="88"/>
  <c r="F423" i="88"/>
  <c r="L417" i="88"/>
  <c r="J417" i="88"/>
  <c r="I417" i="88"/>
  <c r="F417" i="88"/>
  <c r="L416" i="88"/>
  <c r="J416" i="88"/>
  <c r="I416" i="88"/>
  <c r="F416" i="88"/>
  <c r="L415" i="88"/>
  <c r="J415" i="88"/>
  <c r="I415" i="88"/>
  <c r="F415" i="88"/>
  <c r="L414" i="88"/>
  <c r="J414" i="88"/>
  <c r="I414" i="88"/>
  <c r="F414" i="88"/>
  <c r="L413" i="88"/>
  <c r="J413" i="88"/>
  <c r="I413" i="88"/>
  <c r="F413" i="88"/>
  <c r="L412" i="88"/>
  <c r="J412" i="88"/>
  <c r="I412" i="88"/>
  <c r="F412" i="88"/>
  <c r="J403" i="88"/>
  <c r="I403" i="88"/>
  <c r="F403" i="88"/>
  <c r="L394" i="88"/>
  <c r="J394" i="88"/>
  <c r="I394" i="88"/>
  <c r="F394" i="88"/>
  <c r="L392" i="88"/>
  <c r="J392" i="88"/>
  <c r="I392" i="88"/>
  <c r="F392" i="88"/>
  <c r="J391" i="88"/>
  <c r="I391" i="88"/>
  <c r="F391" i="88"/>
  <c r="L390" i="88"/>
  <c r="J390" i="88"/>
  <c r="I390" i="88"/>
  <c r="F390" i="88"/>
  <c r="L389" i="88"/>
  <c r="J389" i="88"/>
  <c r="I389" i="88"/>
  <c r="F389" i="88"/>
  <c r="L388" i="88"/>
  <c r="J388" i="88"/>
  <c r="I388" i="88"/>
  <c r="F388" i="88"/>
  <c r="L387" i="88"/>
  <c r="L386" i="88"/>
  <c r="J386" i="88"/>
  <c r="I386" i="88"/>
  <c r="F386" i="88"/>
  <c r="L385" i="88"/>
  <c r="J385" i="88"/>
  <c r="I385" i="88"/>
  <c r="F385" i="88"/>
  <c r="L384" i="88"/>
  <c r="J384" i="88"/>
  <c r="I384" i="88"/>
  <c r="F384" i="88"/>
  <c r="L383" i="88"/>
  <c r="J383" i="88"/>
  <c r="I383" i="88"/>
  <c r="F383" i="88"/>
  <c r="L382" i="88"/>
  <c r="J382" i="88"/>
  <c r="I382" i="88"/>
  <c r="F382" i="88"/>
  <c r="L381" i="88"/>
  <c r="J381" i="88"/>
  <c r="I381" i="88"/>
  <c r="F381" i="88"/>
  <c r="L380" i="88"/>
  <c r="J380" i="88"/>
  <c r="I380" i="88"/>
  <c r="F380" i="88"/>
  <c r="L379" i="88"/>
  <c r="J379" i="88"/>
  <c r="I379" i="88"/>
  <c r="F379" i="88"/>
  <c r="L378" i="88"/>
  <c r="J378" i="88"/>
  <c r="I378" i="88"/>
  <c r="F378" i="88"/>
  <c r="L377" i="88"/>
  <c r="J377" i="88"/>
  <c r="I377" i="88"/>
  <c r="F377" i="88"/>
  <c r="L376" i="88"/>
  <c r="J376" i="88"/>
  <c r="I376" i="88"/>
  <c r="F376" i="88"/>
  <c r="L375" i="88"/>
  <c r="J375" i="88"/>
  <c r="I375" i="88"/>
  <c r="F375" i="88"/>
  <c r="L374" i="88"/>
  <c r="J374" i="88"/>
  <c r="I374" i="88"/>
  <c r="F374" i="88"/>
  <c r="L373" i="88"/>
  <c r="J373" i="88"/>
  <c r="I373" i="88"/>
  <c r="F373" i="88"/>
  <c r="L372" i="88"/>
  <c r="J372" i="88"/>
  <c r="I372" i="88"/>
  <c r="F372" i="88"/>
  <c r="L371" i="88"/>
  <c r="J371" i="88"/>
  <c r="I371" i="88"/>
  <c r="F371" i="88"/>
  <c r="L370" i="88"/>
  <c r="J370" i="88"/>
  <c r="I370" i="88"/>
  <c r="F370" i="88"/>
  <c r="L369" i="88"/>
  <c r="J369" i="88"/>
  <c r="I369" i="88"/>
  <c r="F369" i="88"/>
  <c r="L368" i="88"/>
  <c r="L367" i="88"/>
  <c r="J367" i="88"/>
  <c r="I367" i="88"/>
  <c r="F367" i="88"/>
  <c r="L366" i="88"/>
  <c r="L365" i="88"/>
  <c r="J365" i="88"/>
  <c r="I365" i="88"/>
  <c r="F365" i="88"/>
  <c r="L364" i="88"/>
  <c r="L363" i="88"/>
  <c r="J363" i="88"/>
  <c r="I363" i="88"/>
  <c r="F363" i="88"/>
  <c r="L362" i="88"/>
  <c r="L361" i="88"/>
  <c r="J361" i="88"/>
  <c r="I361" i="88"/>
  <c r="F361" i="88"/>
  <c r="L360" i="88"/>
  <c r="L359" i="88"/>
  <c r="L358" i="88"/>
  <c r="J358" i="88"/>
  <c r="I358" i="88"/>
  <c r="F358" i="88"/>
  <c r="L357" i="88"/>
  <c r="J357" i="88"/>
  <c r="I357" i="88"/>
  <c r="F357" i="88"/>
  <c r="L356" i="88"/>
  <c r="J356" i="88"/>
  <c r="I356" i="88"/>
  <c r="F356" i="88"/>
  <c r="L355" i="88"/>
  <c r="J355" i="88"/>
  <c r="I355" i="88"/>
  <c r="F355" i="88"/>
  <c r="L354" i="88"/>
  <c r="J354" i="88"/>
  <c r="I354" i="88"/>
  <c r="F354" i="88"/>
  <c r="L353" i="88"/>
  <c r="J353" i="88"/>
  <c r="I353" i="88"/>
  <c r="F353" i="88"/>
  <c r="L352" i="88"/>
  <c r="J352" i="88"/>
  <c r="I352" i="88"/>
  <c r="F352" i="88"/>
  <c r="D349" i="88"/>
  <c r="D348" i="88"/>
  <c r="G348" i="88" s="1"/>
  <c r="D347" i="88"/>
  <c r="J347" i="88" s="1"/>
  <c r="D346" i="88"/>
  <c r="H346" i="88" s="1"/>
  <c r="D345" i="88"/>
  <c r="H345" i="88" s="1"/>
  <c r="D344" i="88"/>
  <c r="K344" i="88" s="1"/>
  <c r="D343" i="88"/>
  <c r="J343" i="88" s="1"/>
  <c r="D342" i="88"/>
  <c r="H342" i="88" s="1"/>
  <c r="D341" i="88"/>
  <c r="H341" i="88" s="1"/>
  <c r="D340" i="88"/>
  <c r="K340" i="88" s="1"/>
  <c r="D339" i="88"/>
  <c r="F339" i="88" s="1"/>
  <c r="D338" i="88"/>
  <c r="H338" i="88" s="1"/>
  <c r="D337" i="88"/>
  <c r="H337" i="88" s="1"/>
  <c r="D336" i="88"/>
  <c r="K336" i="88" s="1"/>
  <c r="D335" i="88"/>
  <c r="I335" i="88" s="1"/>
  <c r="D334" i="88"/>
  <c r="H334" i="88" s="1"/>
  <c r="D333" i="88"/>
  <c r="I333" i="88" s="1"/>
  <c r="D332" i="88"/>
  <c r="K332" i="88" s="1"/>
  <c r="D331" i="88"/>
  <c r="F331" i="88" s="1"/>
  <c r="D330" i="88"/>
  <c r="J330" i="88" s="1"/>
  <c r="D325" i="88"/>
  <c r="L325" i="88" s="1"/>
  <c r="D324" i="88"/>
  <c r="D323" i="88"/>
  <c r="L323" i="88" s="1"/>
  <c r="D322" i="88"/>
  <c r="I322" i="88" s="1"/>
  <c r="D321" i="88"/>
  <c r="D320" i="88"/>
  <c r="G320" i="88" s="1"/>
  <c r="D319" i="88"/>
  <c r="L319" i="88" s="1"/>
  <c r="D318" i="88"/>
  <c r="D317" i="88"/>
  <c r="L317" i="88" s="1"/>
  <c r="D316" i="88"/>
  <c r="I316" i="88" s="1"/>
  <c r="D315" i="88"/>
  <c r="D314" i="88"/>
  <c r="D313" i="88"/>
  <c r="L313" i="88" s="1"/>
  <c r="D312" i="88"/>
  <c r="D311" i="88"/>
  <c r="L311" i="88" s="1"/>
  <c r="D310" i="88"/>
  <c r="K310" i="88" s="1"/>
  <c r="D309" i="88"/>
  <c r="L309" i="88" s="1"/>
  <c r="D308" i="88"/>
  <c r="L308" i="88" s="1"/>
  <c r="D307" i="88"/>
  <c r="K307" i="88" s="1"/>
  <c r="D305" i="88"/>
  <c r="G305" i="88" s="1"/>
  <c r="D304" i="88"/>
  <c r="G304" i="88" s="1"/>
  <c r="D303" i="88"/>
  <c r="G303" i="88" s="1"/>
  <c r="D302" i="88"/>
  <c r="I302" i="88" s="1"/>
  <c r="D301" i="88"/>
  <c r="L301" i="88" s="1"/>
  <c r="D300" i="88"/>
  <c r="I300" i="88" s="1"/>
  <c r="D299" i="88"/>
  <c r="J299" i="88" s="1"/>
  <c r="D298" i="88"/>
  <c r="I298" i="88" s="1"/>
  <c r="D297" i="88"/>
  <c r="G297" i="88" s="1"/>
  <c r="D296" i="88"/>
  <c r="J296" i="88" s="1"/>
  <c r="D295" i="88"/>
  <c r="J295" i="88" s="1"/>
  <c r="D294" i="88"/>
  <c r="L294" i="88" s="1"/>
  <c r="D293" i="88"/>
  <c r="H293" i="88" s="1"/>
  <c r="D292" i="88"/>
  <c r="H292" i="88" s="1"/>
  <c r="D291" i="88"/>
  <c r="D290" i="88"/>
  <c r="I290" i="88" s="1"/>
  <c r="D289" i="88"/>
  <c r="L289" i="88" s="1"/>
  <c r="D288" i="88"/>
  <c r="E288" i="88" s="1"/>
  <c r="D287" i="88"/>
  <c r="G287" i="88" s="1"/>
  <c r="D286" i="88"/>
  <c r="E286" i="88" s="1"/>
  <c r="D285" i="88"/>
  <c r="F285" i="88" s="1"/>
  <c r="D284" i="88"/>
  <c r="I284" i="88" s="1"/>
  <c r="D283" i="88"/>
  <c r="G283" i="88" s="1"/>
  <c r="D282" i="88"/>
  <c r="H282" i="88" s="1"/>
  <c r="D281" i="88"/>
  <c r="K281" i="88" s="1"/>
  <c r="D280" i="88"/>
  <c r="H280" i="88" s="1"/>
  <c r="D279" i="88"/>
  <c r="G279" i="88" s="1"/>
  <c r="D278" i="88"/>
  <c r="I278" i="88" s="1"/>
  <c r="D277" i="88"/>
  <c r="D276" i="88"/>
  <c r="D274" i="88"/>
  <c r="J274" i="88" s="1"/>
  <c r="D273" i="88"/>
  <c r="I273" i="88" s="1"/>
  <c r="D272" i="88"/>
  <c r="H272" i="88" s="1"/>
  <c r="D271" i="88"/>
  <c r="D270" i="88"/>
  <c r="G270" i="88" s="1"/>
  <c r="D269" i="88"/>
  <c r="D268" i="88"/>
  <c r="J268" i="88" s="1"/>
  <c r="D267" i="88"/>
  <c r="D266" i="88"/>
  <c r="H266" i="88" s="1"/>
  <c r="D265" i="88"/>
  <c r="I265" i="88" s="1"/>
  <c r="D264" i="88"/>
  <c r="H264" i="88" s="1"/>
  <c r="D263" i="88"/>
  <c r="J263" i="88" s="1"/>
  <c r="D262" i="88"/>
  <c r="J262" i="88" s="1"/>
  <c r="D261" i="88"/>
  <c r="F261" i="88" s="1"/>
  <c r="D260" i="88"/>
  <c r="D259" i="88"/>
  <c r="E259" i="88" s="1"/>
  <c r="D258" i="88"/>
  <c r="G258" i="88" s="1"/>
  <c r="D257" i="88"/>
  <c r="I257" i="88" s="1"/>
  <c r="D256" i="88"/>
  <c r="G256" i="88" s="1"/>
  <c r="D255" i="88"/>
  <c r="D253" i="88"/>
  <c r="G253" i="88" s="1"/>
  <c r="D252" i="88"/>
  <c r="I252" i="88" s="1"/>
  <c r="D251" i="88"/>
  <c r="D250" i="88"/>
  <c r="I250" i="88" s="1"/>
  <c r="D249" i="88"/>
  <c r="J249" i="88" s="1"/>
  <c r="D248" i="88"/>
  <c r="D247" i="88"/>
  <c r="H247" i="88" s="1"/>
  <c r="D246" i="88"/>
  <c r="J246" i="88" s="1"/>
  <c r="D245" i="88"/>
  <c r="L245" i="88" s="1"/>
  <c r="D244" i="88"/>
  <c r="D243" i="88"/>
  <c r="G243" i="88" s="1"/>
  <c r="D242" i="88"/>
  <c r="L242" i="88" s="1"/>
  <c r="D241" i="88"/>
  <c r="I241" i="88" s="1"/>
  <c r="D240" i="88"/>
  <c r="D239" i="88"/>
  <c r="I239" i="88" s="1"/>
  <c r="D238" i="88"/>
  <c r="L238" i="88" s="1"/>
  <c r="D237" i="88"/>
  <c r="I237" i="88" s="1"/>
  <c r="D236" i="88"/>
  <c r="D235" i="88"/>
  <c r="L235" i="88" s="1"/>
  <c r="D234" i="88"/>
  <c r="L234" i="88" s="1"/>
  <c r="D232" i="88"/>
  <c r="K232" i="88" s="1"/>
  <c r="D231" i="88"/>
  <c r="I231" i="88" s="1"/>
  <c r="D230" i="88"/>
  <c r="L230" i="88" s="1"/>
  <c r="D229" i="88"/>
  <c r="I229" i="88" s="1"/>
  <c r="D228" i="88"/>
  <c r="L228" i="88" s="1"/>
  <c r="D227" i="88"/>
  <c r="D226" i="88"/>
  <c r="F226" i="88" s="1"/>
  <c r="D225" i="88"/>
  <c r="D224" i="88"/>
  <c r="G224" i="88" s="1"/>
  <c r="D223" i="88"/>
  <c r="D222" i="88"/>
  <c r="J222" i="88" s="1"/>
  <c r="D221" i="88"/>
  <c r="D220" i="88"/>
  <c r="L220" i="88" s="1"/>
  <c r="D219" i="88"/>
  <c r="I219" i="88" s="1"/>
  <c r="D218" i="88"/>
  <c r="J218" i="88" s="1"/>
  <c r="D217" i="88"/>
  <c r="D216" i="88"/>
  <c r="J216" i="88" s="1"/>
  <c r="D215" i="88"/>
  <c r="I215" i="88" s="1"/>
  <c r="D214" i="88"/>
  <c r="G214" i="88" s="1"/>
  <c r="D213" i="88"/>
  <c r="L192" i="88"/>
  <c r="J192" i="88"/>
  <c r="I192" i="88"/>
  <c r="H192" i="88"/>
  <c r="G192" i="88"/>
  <c r="F192" i="88"/>
  <c r="D131" i="88"/>
  <c r="I131" i="88" s="1"/>
  <c r="F41" i="88"/>
  <c r="C41" i="88"/>
  <c r="L41" i="88" s="1"/>
  <c r="F40" i="88"/>
  <c r="C40" i="88"/>
  <c r="F39" i="88"/>
  <c r="C39" i="88"/>
  <c r="F38" i="88"/>
  <c r="C38" i="88"/>
  <c r="J38" i="88" s="1"/>
  <c r="F37" i="88"/>
  <c r="C37" i="88"/>
  <c r="L37" i="88" s="1"/>
  <c r="F36" i="88"/>
  <c r="C36" i="88"/>
  <c r="L36" i="88" s="1"/>
  <c r="D33" i="88"/>
  <c r="K33" i="88" s="1"/>
  <c r="D32" i="88"/>
  <c r="E32" i="88" s="1"/>
  <c r="D31" i="88"/>
  <c r="G31" i="88" s="1"/>
  <c r="D30" i="88"/>
  <c r="K30" i="88" s="1"/>
  <c r="D26" i="88"/>
  <c r="J26" i="88" s="1"/>
  <c r="D25" i="88"/>
  <c r="D24" i="88"/>
  <c r="L24" i="88" s="1"/>
  <c r="L22" i="88"/>
  <c r="J22" i="88"/>
  <c r="I22" i="88"/>
  <c r="F22" i="88"/>
  <c r="L21" i="88"/>
  <c r="J21" i="88"/>
  <c r="I21" i="88"/>
  <c r="F21" i="88"/>
  <c r="L20" i="88"/>
  <c r="J20" i="88"/>
  <c r="I20" i="88"/>
  <c r="F20" i="88"/>
  <c r="L19" i="88"/>
  <c r="J19" i="88"/>
  <c r="I19" i="88"/>
  <c r="F19" i="88"/>
  <c r="L18" i="88"/>
  <c r="J18" i="88"/>
  <c r="I18" i="88"/>
  <c r="F18" i="88"/>
  <c r="L16" i="88"/>
  <c r="J16" i="88"/>
  <c r="I16" i="88"/>
  <c r="F16" i="88"/>
  <c r="L14" i="88"/>
  <c r="J14" i="88"/>
  <c r="I14" i="88"/>
  <c r="F14" i="88"/>
  <c r="L13" i="88"/>
  <c r="J13" i="88"/>
  <c r="I13" i="88"/>
  <c r="F13" i="88"/>
  <c r="L12" i="88"/>
  <c r="J12" i="88"/>
  <c r="I12" i="88"/>
  <c r="F12" i="88"/>
  <c r="L11" i="88"/>
  <c r="J11" i="88"/>
  <c r="F11" i="88"/>
  <c r="G78" i="90"/>
  <c r="H70" i="90"/>
  <c r="C70" i="90"/>
  <c r="H69" i="90"/>
  <c r="C69" i="90"/>
  <c r="H68" i="90"/>
  <c r="C68" i="90"/>
  <c r="H67" i="90"/>
  <c r="H66" i="90"/>
  <c r="H65" i="90"/>
  <c r="H64" i="90"/>
  <c r="H63" i="90"/>
  <c r="H62" i="90"/>
  <c r="H61" i="90"/>
  <c r="H60" i="90"/>
  <c r="H59" i="90"/>
  <c r="H58" i="90"/>
  <c r="H57" i="90"/>
  <c r="H56" i="90"/>
  <c r="H55" i="90"/>
  <c r="H54" i="90"/>
  <c r="H53" i="90"/>
  <c r="H52" i="90"/>
  <c r="H51" i="90"/>
  <c r="H50" i="90"/>
  <c r="H49" i="90"/>
  <c r="H48" i="90"/>
  <c r="H47" i="90"/>
  <c r="H46" i="90"/>
  <c r="H45" i="90"/>
  <c r="H44" i="90"/>
  <c r="H43" i="90"/>
  <c r="H42" i="90"/>
  <c r="H41" i="90"/>
  <c r="H40" i="90"/>
  <c r="H39" i="90"/>
  <c r="H38" i="90"/>
  <c r="H37" i="90"/>
  <c r="H36" i="90"/>
  <c r="H35" i="90"/>
  <c r="H34" i="90"/>
  <c r="H33" i="90"/>
  <c r="H32" i="90"/>
  <c r="H31" i="90"/>
  <c r="H30" i="90"/>
  <c r="H29" i="90"/>
  <c r="H28" i="90"/>
  <c r="H27" i="90"/>
  <c r="H26" i="90"/>
  <c r="H25" i="90"/>
  <c r="H24" i="90"/>
  <c r="H23" i="90"/>
  <c r="H22" i="90"/>
  <c r="H21" i="90"/>
  <c r="H20" i="90"/>
  <c r="H19" i="90"/>
  <c r="H18" i="90"/>
  <c r="H17" i="90"/>
  <c r="H16" i="90"/>
  <c r="H15" i="90"/>
  <c r="H13" i="90"/>
  <c r="H12" i="90"/>
  <c r="H11" i="90"/>
  <c r="H10" i="90"/>
  <c r="H9" i="90"/>
  <c r="H8" i="90"/>
  <c r="H7" i="90"/>
  <c r="H6" i="90"/>
  <c r="H5" i="90"/>
  <c r="H4" i="90"/>
  <c r="J51" i="93"/>
  <c r="J48" i="93"/>
  <c r="J47" i="93"/>
  <c r="J46" i="93"/>
  <c r="Y45" i="93"/>
  <c r="X45" i="93"/>
  <c r="W45" i="93"/>
  <c r="V45" i="93"/>
  <c r="U45" i="93"/>
  <c r="T45" i="93"/>
  <c r="S45" i="93"/>
  <c r="R45" i="93"/>
  <c r="Q45" i="93"/>
  <c r="J45" i="93"/>
  <c r="J44" i="93"/>
  <c r="J43" i="93"/>
  <c r="J42" i="93"/>
  <c r="J41" i="93"/>
  <c r="J40" i="93"/>
  <c r="J39" i="93"/>
  <c r="J26" i="93"/>
  <c r="J25" i="93"/>
  <c r="J23" i="93"/>
  <c r="J20" i="93"/>
  <c r="J19" i="93"/>
  <c r="J18" i="93"/>
  <c r="Y17" i="93"/>
  <c r="X17" i="93"/>
  <c r="W17" i="93"/>
  <c r="V17" i="93"/>
  <c r="U17" i="93"/>
  <c r="T17" i="93"/>
  <c r="S17" i="93"/>
  <c r="R17" i="93"/>
  <c r="Q17" i="93"/>
  <c r="J17" i="93"/>
  <c r="J16" i="93"/>
  <c r="J15" i="93"/>
  <c r="J14" i="93"/>
  <c r="J13" i="93"/>
  <c r="M12" i="93"/>
  <c r="J12" i="93"/>
  <c r="J11" i="93"/>
  <c r="B100" i="94"/>
  <c r="A100" i="94"/>
  <c r="B99" i="94"/>
  <c r="A99" i="94"/>
  <c r="B98" i="94"/>
  <c r="A98" i="94"/>
  <c r="B97" i="94"/>
  <c r="A97" i="94"/>
  <c r="B96" i="94"/>
  <c r="A96" i="94"/>
  <c r="B95" i="94"/>
  <c r="A95" i="94"/>
  <c r="B94" i="94"/>
  <c r="A94" i="94"/>
  <c r="B93" i="94"/>
  <c r="A93" i="94"/>
  <c r="B92" i="94"/>
  <c r="A92" i="94"/>
  <c r="B91" i="94"/>
  <c r="A91" i="94"/>
  <c r="B90" i="94"/>
  <c r="A90" i="94"/>
  <c r="B89" i="94"/>
  <c r="A89" i="94"/>
  <c r="B88" i="94"/>
  <c r="A88" i="94"/>
  <c r="B87" i="94"/>
  <c r="A87" i="94"/>
  <c r="B86" i="94"/>
  <c r="A86" i="94"/>
  <c r="B85" i="94"/>
  <c r="A85" i="94"/>
  <c r="B84" i="94"/>
  <c r="A84" i="94"/>
  <c r="B83" i="94"/>
  <c r="A83" i="94"/>
  <c r="B82" i="94"/>
  <c r="A82" i="94"/>
  <c r="B81" i="94"/>
  <c r="A81" i="94"/>
  <c r="B80" i="94"/>
  <c r="A80" i="94"/>
  <c r="B79" i="94"/>
  <c r="A79" i="94"/>
  <c r="B78" i="94"/>
  <c r="A78" i="94"/>
  <c r="B77" i="94"/>
  <c r="A77" i="94"/>
  <c r="B76" i="94"/>
  <c r="A76" i="94"/>
  <c r="B75" i="94"/>
  <c r="A75" i="94"/>
  <c r="B74" i="94"/>
  <c r="A74" i="94"/>
  <c r="B73" i="94"/>
  <c r="A73" i="94"/>
  <c r="B72" i="94"/>
  <c r="A72" i="94"/>
  <c r="B71" i="94"/>
  <c r="A71" i="94"/>
  <c r="B70" i="94"/>
  <c r="A70" i="94"/>
  <c r="B69" i="94"/>
  <c r="A69" i="94"/>
  <c r="B68" i="94"/>
  <c r="A68" i="94"/>
  <c r="B67" i="94"/>
  <c r="A67" i="94"/>
  <c r="B66" i="94"/>
  <c r="A66" i="94"/>
  <c r="B65" i="94"/>
  <c r="A65" i="94"/>
  <c r="B64" i="94"/>
  <c r="A64" i="94"/>
  <c r="B63" i="94"/>
  <c r="A63" i="94"/>
  <c r="B62" i="94"/>
  <c r="A62" i="94"/>
  <c r="B61" i="94"/>
  <c r="A61" i="94"/>
  <c r="B60" i="94"/>
  <c r="A60" i="94"/>
  <c r="B59" i="94"/>
  <c r="A59" i="94"/>
  <c r="B58" i="94"/>
  <c r="A58" i="94"/>
  <c r="B57" i="94"/>
  <c r="A57" i="94"/>
  <c r="B56" i="94"/>
  <c r="A56" i="94"/>
  <c r="B55" i="94"/>
  <c r="A55" i="94"/>
  <c r="B54" i="94"/>
  <c r="A54" i="94"/>
  <c r="B53" i="94"/>
  <c r="A53" i="94"/>
  <c r="B52" i="94"/>
  <c r="A52" i="94"/>
  <c r="B51" i="94"/>
  <c r="A51" i="94"/>
  <c r="B50" i="94"/>
  <c r="A50" i="94"/>
  <c r="B49" i="94"/>
  <c r="A49" i="94"/>
  <c r="B48" i="94"/>
  <c r="A48" i="94"/>
  <c r="B47" i="94"/>
  <c r="A47" i="94"/>
  <c r="B46" i="94"/>
  <c r="A46" i="94"/>
  <c r="B45" i="94"/>
  <c r="A45" i="94"/>
  <c r="B44" i="94"/>
  <c r="A44" i="94"/>
  <c r="B43" i="94"/>
  <c r="A43" i="94"/>
  <c r="B42" i="94"/>
  <c r="A42" i="94"/>
  <c r="B41" i="94"/>
  <c r="A41" i="94"/>
  <c r="B40" i="94"/>
  <c r="A40" i="94"/>
  <c r="B39" i="94"/>
  <c r="A39" i="94"/>
  <c r="B38" i="94"/>
  <c r="A38" i="94"/>
  <c r="B37" i="94"/>
  <c r="A37" i="94"/>
  <c r="B36" i="94"/>
  <c r="A36" i="94"/>
  <c r="B35" i="94"/>
  <c r="A35" i="94"/>
  <c r="B34" i="94"/>
  <c r="A34" i="94"/>
  <c r="B33" i="94"/>
  <c r="A33" i="94"/>
  <c r="B32" i="94"/>
  <c r="A32" i="94"/>
  <c r="B31" i="94"/>
  <c r="A31" i="94"/>
  <c r="B30" i="94"/>
  <c r="A30" i="94"/>
  <c r="B29" i="94"/>
  <c r="A29" i="94"/>
  <c r="B28" i="94"/>
  <c r="A28" i="94"/>
  <c r="B27" i="94"/>
  <c r="A27" i="94"/>
  <c r="B26" i="94"/>
  <c r="A26" i="94"/>
  <c r="B25" i="94"/>
  <c r="A25" i="94"/>
  <c r="B24" i="94"/>
  <c r="A24" i="94"/>
  <c r="B23" i="94"/>
  <c r="A23" i="94"/>
  <c r="B22" i="94"/>
  <c r="A22" i="94"/>
  <c r="B21" i="94"/>
  <c r="A21" i="94"/>
  <c r="B20" i="94"/>
  <c r="A20" i="94"/>
  <c r="B19" i="94"/>
  <c r="A19" i="94"/>
  <c r="B18" i="94"/>
  <c r="A18" i="94"/>
  <c r="B17" i="94"/>
  <c r="A17" i="94"/>
  <c r="B16" i="94"/>
  <c r="A16" i="94"/>
  <c r="B15" i="94"/>
  <c r="A15" i="94"/>
  <c r="B14" i="94"/>
  <c r="A14" i="94"/>
  <c r="B13" i="94"/>
  <c r="A13" i="94"/>
  <c r="B12" i="94"/>
  <c r="A12" i="94"/>
  <c r="B11" i="94"/>
  <c r="A11" i="94"/>
  <c r="B10" i="94"/>
  <c r="A10" i="94"/>
  <c r="B9" i="94"/>
  <c r="A9" i="94"/>
  <c r="B8" i="94"/>
  <c r="A8" i="94"/>
  <c r="B7" i="94"/>
  <c r="A7" i="94"/>
  <c r="B6" i="94"/>
  <c r="A6" i="94"/>
  <c r="B5" i="94"/>
  <c r="A5" i="94"/>
  <c r="B4" i="94"/>
  <c r="A4" i="94"/>
  <c r="B3" i="94"/>
  <c r="A3" i="94"/>
  <c r="B2" i="94"/>
  <c r="A2" i="94"/>
  <c r="AG131" i="78"/>
  <c r="AG130" i="78"/>
  <c r="AG129" i="78"/>
  <c r="AL123" i="78"/>
  <c r="AK123" i="78"/>
  <c r="AJ123" i="78"/>
  <c r="AI123" i="78"/>
  <c r="AH123" i="78"/>
  <c r="AG123" i="78"/>
  <c r="AF123" i="78"/>
  <c r="AE123" i="78"/>
  <c r="AD123" i="78"/>
  <c r="AC123" i="78"/>
  <c r="AB123" i="78"/>
  <c r="AA123" i="78"/>
  <c r="Z123" i="78"/>
  <c r="Y123" i="78"/>
  <c r="X123" i="78"/>
  <c r="W123" i="78"/>
  <c r="V123" i="78"/>
  <c r="U123" i="78"/>
  <c r="T123" i="78"/>
  <c r="S123" i="78"/>
  <c r="R123" i="78"/>
  <c r="Q123" i="78"/>
  <c r="P123" i="78"/>
  <c r="O123" i="78"/>
  <c r="N123" i="78"/>
  <c r="M123" i="78"/>
  <c r="L123" i="78"/>
  <c r="K123" i="78"/>
  <c r="J123" i="78"/>
  <c r="I123" i="78"/>
  <c r="H123" i="78"/>
  <c r="F123" i="78"/>
  <c r="E123" i="78"/>
  <c r="B123" i="78"/>
  <c r="AL122" i="78"/>
  <c r="AK122" i="78"/>
  <c r="AJ122" i="78"/>
  <c r="AI122" i="78"/>
  <c r="AH122" i="78"/>
  <c r="AG122" i="78"/>
  <c r="AF122" i="78"/>
  <c r="AE122" i="78"/>
  <c r="AD122" i="78"/>
  <c r="AC122" i="78"/>
  <c r="AB122" i="78"/>
  <c r="AA122" i="78"/>
  <c r="Z122" i="78"/>
  <c r="Y122" i="78"/>
  <c r="X122" i="78"/>
  <c r="W122" i="78"/>
  <c r="V122" i="78"/>
  <c r="U122" i="78"/>
  <c r="T122" i="78"/>
  <c r="S122" i="78"/>
  <c r="R122" i="78"/>
  <c r="Q122" i="78"/>
  <c r="P122" i="78"/>
  <c r="O122" i="78"/>
  <c r="N122" i="78"/>
  <c r="M122" i="78"/>
  <c r="L122" i="78"/>
  <c r="K122" i="78"/>
  <c r="J122" i="78"/>
  <c r="I122" i="78"/>
  <c r="H122" i="78"/>
  <c r="F122" i="78"/>
  <c r="E122" i="78"/>
  <c r="B122" i="78"/>
  <c r="AL121" i="78"/>
  <c r="AK121" i="78"/>
  <c r="AJ121" i="78"/>
  <c r="AI121" i="78"/>
  <c r="AH121" i="78"/>
  <c r="AG121" i="78"/>
  <c r="AF121" i="78"/>
  <c r="AE121" i="78"/>
  <c r="AD121" i="78"/>
  <c r="AC121" i="78"/>
  <c r="AB121" i="78"/>
  <c r="AA121" i="78"/>
  <c r="Z121" i="78"/>
  <c r="Y121" i="78"/>
  <c r="X121" i="78"/>
  <c r="W121" i="78"/>
  <c r="V121" i="78"/>
  <c r="U121" i="78"/>
  <c r="T121" i="78"/>
  <c r="S121" i="78"/>
  <c r="R121" i="78"/>
  <c r="Q121" i="78"/>
  <c r="P121" i="78"/>
  <c r="O121" i="78"/>
  <c r="N121" i="78"/>
  <c r="M121" i="78"/>
  <c r="L121" i="78"/>
  <c r="K121" i="78"/>
  <c r="J121" i="78"/>
  <c r="I121" i="78"/>
  <c r="H121" i="78"/>
  <c r="F121" i="78"/>
  <c r="E121" i="78"/>
  <c r="B121" i="78"/>
  <c r="AL120" i="78"/>
  <c r="AK120" i="78"/>
  <c r="AJ120" i="78"/>
  <c r="AI120" i="78"/>
  <c r="AH120" i="78"/>
  <c r="AG120" i="78"/>
  <c r="AF120" i="78"/>
  <c r="AE120" i="78"/>
  <c r="AD120" i="78"/>
  <c r="AC120" i="78"/>
  <c r="AB120" i="78"/>
  <c r="AA120" i="78"/>
  <c r="Z120" i="78"/>
  <c r="Y120" i="78"/>
  <c r="X120" i="78"/>
  <c r="W120" i="78"/>
  <c r="V120" i="78"/>
  <c r="U120" i="78"/>
  <c r="T120" i="78"/>
  <c r="S120" i="78"/>
  <c r="R120" i="78"/>
  <c r="Q120" i="78"/>
  <c r="P120" i="78"/>
  <c r="O120" i="78"/>
  <c r="N120" i="78"/>
  <c r="M120" i="78"/>
  <c r="L120" i="78"/>
  <c r="K120" i="78"/>
  <c r="J120" i="78"/>
  <c r="I120" i="78"/>
  <c r="H120" i="78"/>
  <c r="F120" i="78"/>
  <c r="E120" i="78"/>
  <c r="B120" i="78"/>
  <c r="AL119" i="78"/>
  <c r="AK119" i="78"/>
  <c r="AJ119" i="78"/>
  <c r="AI119" i="78"/>
  <c r="AH119" i="78"/>
  <c r="AG119" i="78"/>
  <c r="AF119" i="78"/>
  <c r="AE119" i="78"/>
  <c r="AD119" i="78"/>
  <c r="AC119" i="78"/>
  <c r="AB119" i="78"/>
  <c r="AA119" i="78"/>
  <c r="Z119" i="78"/>
  <c r="Y119" i="78"/>
  <c r="X119" i="78"/>
  <c r="W119" i="78"/>
  <c r="V119" i="78"/>
  <c r="U119" i="78"/>
  <c r="T119" i="78"/>
  <c r="S119" i="78"/>
  <c r="R119" i="78"/>
  <c r="Q119" i="78"/>
  <c r="P119" i="78"/>
  <c r="O119" i="78"/>
  <c r="N119" i="78"/>
  <c r="M119" i="78"/>
  <c r="L119" i="78"/>
  <c r="K119" i="78"/>
  <c r="J119" i="78"/>
  <c r="I119" i="78"/>
  <c r="H119" i="78"/>
  <c r="F119" i="78"/>
  <c r="E119" i="78"/>
  <c r="B119" i="78"/>
  <c r="AL118" i="78"/>
  <c r="AK118" i="78"/>
  <c r="AJ118" i="78"/>
  <c r="AI118" i="78"/>
  <c r="AH118" i="78"/>
  <c r="AG118" i="78"/>
  <c r="AF118" i="78"/>
  <c r="AE118" i="78"/>
  <c r="AD118" i="78"/>
  <c r="AC118" i="78"/>
  <c r="AB118" i="78"/>
  <c r="AA118" i="78"/>
  <c r="Z118" i="78"/>
  <c r="Y118" i="78"/>
  <c r="X118" i="78"/>
  <c r="W118" i="78"/>
  <c r="V118" i="78"/>
  <c r="U118" i="78"/>
  <c r="T118" i="78"/>
  <c r="S118" i="78"/>
  <c r="R118" i="78"/>
  <c r="Q118" i="78"/>
  <c r="P118" i="78"/>
  <c r="O118" i="78"/>
  <c r="N118" i="78"/>
  <c r="M118" i="78"/>
  <c r="L118" i="78"/>
  <c r="K118" i="78"/>
  <c r="J118" i="78"/>
  <c r="I118" i="78"/>
  <c r="H118" i="78"/>
  <c r="F118" i="78"/>
  <c r="E118" i="78"/>
  <c r="B118" i="78"/>
  <c r="AL117" i="78"/>
  <c r="AK117" i="78"/>
  <c r="AJ117" i="78"/>
  <c r="AI117" i="78"/>
  <c r="AH117" i="78"/>
  <c r="AG117" i="78"/>
  <c r="AF117" i="78"/>
  <c r="AE117" i="78"/>
  <c r="AD117" i="78"/>
  <c r="AC117" i="78"/>
  <c r="AB117" i="78"/>
  <c r="AA117" i="78"/>
  <c r="Z117" i="78"/>
  <c r="Y117" i="78"/>
  <c r="X117" i="78"/>
  <c r="W117" i="78"/>
  <c r="V117" i="78"/>
  <c r="U117" i="78"/>
  <c r="T117" i="78"/>
  <c r="S117" i="78"/>
  <c r="R117" i="78"/>
  <c r="Q117" i="78"/>
  <c r="P117" i="78"/>
  <c r="O117" i="78"/>
  <c r="N117" i="78"/>
  <c r="M117" i="78"/>
  <c r="L117" i="78"/>
  <c r="K117" i="78"/>
  <c r="J117" i="78"/>
  <c r="I117" i="78"/>
  <c r="H117" i="78"/>
  <c r="F117" i="78"/>
  <c r="E117" i="78"/>
  <c r="B117" i="78"/>
  <c r="AL116" i="78"/>
  <c r="AK116" i="78"/>
  <c r="AJ116" i="78"/>
  <c r="AI116" i="78"/>
  <c r="AH116" i="78"/>
  <c r="AG116" i="78"/>
  <c r="AF116" i="78"/>
  <c r="AE116" i="78"/>
  <c r="AD116" i="78"/>
  <c r="AC116" i="78"/>
  <c r="AB116" i="78"/>
  <c r="AA116" i="78"/>
  <c r="Z116" i="78"/>
  <c r="Y116" i="78"/>
  <c r="X116" i="78"/>
  <c r="W116" i="78"/>
  <c r="V116" i="78"/>
  <c r="U116" i="78"/>
  <c r="T116" i="78"/>
  <c r="S116" i="78"/>
  <c r="R116" i="78"/>
  <c r="Q116" i="78"/>
  <c r="P116" i="78"/>
  <c r="O116" i="78"/>
  <c r="N116" i="78"/>
  <c r="M116" i="78"/>
  <c r="L116" i="78"/>
  <c r="K116" i="78"/>
  <c r="J116" i="78"/>
  <c r="I116" i="78"/>
  <c r="H116" i="78"/>
  <c r="F116" i="78"/>
  <c r="E116" i="78"/>
  <c r="B116" i="78"/>
  <c r="AL115" i="78"/>
  <c r="AK115" i="78"/>
  <c r="AJ115" i="78"/>
  <c r="AI115" i="78"/>
  <c r="AH115" i="78"/>
  <c r="AG115" i="78"/>
  <c r="AF115" i="78"/>
  <c r="AE115" i="78"/>
  <c r="AD115" i="78"/>
  <c r="AC115" i="78"/>
  <c r="AB115" i="78"/>
  <c r="AA115" i="78"/>
  <c r="Z115" i="78"/>
  <c r="Y115" i="78"/>
  <c r="X115" i="78"/>
  <c r="W115" i="78"/>
  <c r="V115" i="78"/>
  <c r="U115" i="78"/>
  <c r="T115" i="78"/>
  <c r="S115" i="78"/>
  <c r="R115" i="78"/>
  <c r="Q115" i="78"/>
  <c r="P115" i="78"/>
  <c r="O115" i="78"/>
  <c r="N115" i="78"/>
  <c r="M115" i="78"/>
  <c r="L115" i="78"/>
  <c r="K115" i="78"/>
  <c r="J115" i="78"/>
  <c r="I115" i="78"/>
  <c r="H115" i="78"/>
  <c r="F115" i="78"/>
  <c r="E115" i="78"/>
  <c r="B115" i="78"/>
  <c r="AL114" i="78"/>
  <c r="AK114" i="78"/>
  <c r="AJ114" i="78"/>
  <c r="AI114" i="78"/>
  <c r="AH114" i="78"/>
  <c r="AG114" i="78"/>
  <c r="AF114" i="78"/>
  <c r="AE114" i="78"/>
  <c r="AD114" i="78"/>
  <c r="AC114" i="78"/>
  <c r="AB114" i="78"/>
  <c r="AA114" i="78"/>
  <c r="Z114" i="78"/>
  <c r="Y114" i="78"/>
  <c r="X114" i="78"/>
  <c r="W114" i="78"/>
  <c r="V114" i="78"/>
  <c r="U114" i="78"/>
  <c r="T114" i="78"/>
  <c r="S114" i="78"/>
  <c r="R114" i="78"/>
  <c r="Q114" i="78"/>
  <c r="P114" i="78"/>
  <c r="O114" i="78"/>
  <c r="N114" i="78"/>
  <c r="M114" i="78"/>
  <c r="L114" i="78"/>
  <c r="K114" i="78"/>
  <c r="J114" i="78"/>
  <c r="I114" i="78"/>
  <c r="H114" i="78"/>
  <c r="F114" i="78"/>
  <c r="E114" i="78"/>
  <c r="B114" i="78"/>
  <c r="AL113" i="78"/>
  <c r="AK113" i="78"/>
  <c r="AJ113" i="78"/>
  <c r="AI113" i="78"/>
  <c r="AH113" i="78"/>
  <c r="AG113" i="78"/>
  <c r="AF113" i="78"/>
  <c r="AE113" i="78"/>
  <c r="AD113" i="78"/>
  <c r="AC113" i="78"/>
  <c r="AB113" i="78"/>
  <c r="AA113" i="78"/>
  <c r="Z113" i="78"/>
  <c r="Y113" i="78"/>
  <c r="X113" i="78"/>
  <c r="W113" i="78"/>
  <c r="V113" i="78"/>
  <c r="U113" i="78"/>
  <c r="T113" i="78"/>
  <c r="S113" i="78"/>
  <c r="R113" i="78"/>
  <c r="Q113" i="78"/>
  <c r="P113" i="78"/>
  <c r="O113" i="78"/>
  <c r="N113" i="78"/>
  <c r="M113" i="78"/>
  <c r="L113" i="78"/>
  <c r="K113" i="78"/>
  <c r="J113" i="78"/>
  <c r="I113" i="78"/>
  <c r="H113" i="78"/>
  <c r="F113" i="78"/>
  <c r="E113" i="78"/>
  <c r="B113" i="78"/>
  <c r="AL112" i="78"/>
  <c r="AK112" i="78"/>
  <c r="AJ112" i="78"/>
  <c r="AI112" i="78"/>
  <c r="AH112" i="78"/>
  <c r="AG112" i="78"/>
  <c r="AF112" i="78"/>
  <c r="AE112" i="78"/>
  <c r="AD112" i="78"/>
  <c r="AC112" i="78"/>
  <c r="AB112" i="78"/>
  <c r="AA112" i="78"/>
  <c r="Z112" i="78"/>
  <c r="Y112" i="78"/>
  <c r="X112" i="78"/>
  <c r="W112" i="78"/>
  <c r="V112" i="78"/>
  <c r="U112" i="78"/>
  <c r="T112" i="78"/>
  <c r="S112" i="78"/>
  <c r="R112" i="78"/>
  <c r="Q112" i="78"/>
  <c r="P112" i="78"/>
  <c r="O112" i="78"/>
  <c r="N112" i="78"/>
  <c r="M112" i="78"/>
  <c r="L112" i="78"/>
  <c r="K112" i="78"/>
  <c r="J112" i="78"/>
  <c r="I112" i="78"/>
  <c r="H112" i="78"/>
  <c r="F112" i="78"/>
  <c r="E112" i="78"/>
  <c r="B112" i="78"/>
  <c r="AL111" i="78"/>
  <c r="AK111" i="78"/>
  <c r="AJ111" i="78"/>
  <c r="AI111" i="78"/>
  <c r="AH111" i="78"/>
  <c r="AG111" i="78"/>
  <c r="AF111" i="78"/>
  <c r="AE111" i="78"/>
  <c r="AD111" i="78"/>
  <c r="AC111" i="78"/>
  <c r="AB111" i="78"/>
  <c r="AA111" i="78"/>
  <c r="Z111" i="78"/>
  <c r="Y111" i="78"/>
  <c r="X111" i="78"/>
  <c r="W111" i="78"/>
  <c r="V111" i="78"/>
  <c r="U111" i="78"/>
  <c r="T111" i="78"/>
  <c r="S111" i="78"/>
  <c r="R111" i="78"/>
  <c r="Q111" i="78"/>
  <c r="P111" i="78"/>
  <c r="O111" i="78"/>
  <c r="N111" i="78"/>
  <c r="M111" i="78"/>
  <c r="L111" i="78"/>
  <c r="K111" i="78"/>
  <c r="J111" i="78"/>
  <c r="I111" i="78"/>
  <c r="H111" i="78"/>
  <c r="F111" i="78"/>
  <c r="E111" i="78"/>
  <c r="B111" i="78"/>
  <c r="AL110" i="78"/>
  <c r="AK110" i="78"/>
  <c r="AJ110" i="78"/>
  <c r="AI110" i="78"/>
  <c r="AH110" i="78"/>
  <c r="AG110" i="78"/>
  <c r="AF110" i="78"/>
  <c r="AE110" i="78"/>
  <c r="AD110" i="78"/>
  <c r="AC110" i="78"/>
  <c r="AB110" i="78"/>
  <c r="AA110" i="78"/>
  <c r="Z110" i="78"/>
  <c r="Y110" i="78"/>
  <c r="X110" i="78"/>
  <c r="W110" i="78"/>
  <c r="V110" i="78"/>
  <c r="U110" i="78"/>
  <c r="T110" i="78"/>
  <c r="S110" i="78"/>
  <c r="R110" i="78"/>
  <c r="Q110" i="78"/>
  <c r="P110" i="78"/>
  <c r="O110" i="78"/>
  <c r="N110" i="78"/>
  <c r="M110" i="78"/>
  <c r="L110" i="78"/>
  <c r="K110" i="78"/>
  <c r="J110" i="78"/>
  <c r="I110" i="78"/>
  <c r="H110" i="78"/>
  <c r="F110" i="78"/>
  <c r="E110" i="78"/>
  <c r="B110" i="78"/>
  <c r="AL109" i="78"/>
  <c r="AK109" i="78"/>
  <c r="AJ109" i="78"/>
  <c r="AI109" i="78"/>
  <c r="AH109" i="78"/>
  <c r="AG109" i="78"/>
  <c r="AF109" i="78"/>
  <c r="AE109" i="78"/>
  <c r="AD109" i="78"/>
  <c r="AC109" i="78"/>
  <c r="AB109" i="78"/>
  <c r="AA109" i="78"/>
  <c r="Z109" i="78"/>
  <c r="Y109" i="78"/>
  <c r="X109" i="78"/>
  <c r="W109" i="78"/>
  <c r="V109" i="78"/>
  <c r="U109" i="78"/>
  <c r="T109" i="78"/>
  <c r="S109" i="78"/>
  <c r="R109" i="78"/>
  <c r="Q109" i="78"/>
  <c r="P109" i="78"/>
  <c r="O109" i="78"/>
  <c r="N109" i="78"/>
  <c r="M109" i="78"/>
  <c r="L109" i="78"/>
  <c r="K109" i="78"/>
  <c r="J109" i="78"/>
  <c r="I109" i="78"/>
  <c r="H109" i="78"/>
  <c r="F109" i="78"/>
  <c r="E109" i="78"/>
  <c r="B109" i="78"/>
  <c r="AL108" i="78"/>
  <c r="AK108" i="78"/>
  <c r="AJ108" i="78"/>
  <c r="AI108" i="78"/>
  <c r="AH108" i="78"/>
  <c r="AG108" i="78"/>
  <c r="AF108" i="78"/>
  <c r="AE108" i="78"/>
  <c r="AD108" i="78"/>
  <c r="AC108" i="78"/>
  <c r="AB108" i="78"/>
  <c r="AA108" i="78"/>
  <c r="Z108" i="78"/>
  <c r="Y108" i="78"/>
  <c r="X108" i="78"/>
  <c r="W108" i="78"/>
  <c r="V108" i="78"/>
  <c r="U108" i="78"/>
  <c r="T108" i="78"/>
  <c r="S108" i="78"/>
  <c r="R108" i="78"/>
  <c r="Q108" i="78"/>
  <c r="P108" i="78"/>
  <c r="O108" i="78"/>
  <c r="N108" i="78"/>
  <c r="M108" i="78"/>
  <c r="L108" i="78"/>
  <c r="K108" i="78"/>
  <c r="J108" i="78"/>
  <c r="I108" i="78"/>
  <c r="H108" i="78"/>
  <c r="F108" i="78"/>
  <c r="E108" i="78"/>
  <c r="B108" i="78"/>
  <c r="AL107" i="78"/>
  <c r="AK107" i="78"/>
  <c r="AJ107" i="78"/>
  <c r="AI107" i="78"/>
  <c r="AH107" i="78"/>
  <c r="AG107" i="78"/>
  <c r="AF107" i="78"/>
  <c r="AE107" i="78"/>
  <c r="AD107" i="78"/>
  <c r="AC107" i="78"/>
  <c r="AB107" i="78"/>
  <c r="AA107" i="78"/>
  <c r="Z107" i="78"/>
  <c r="Y107" i="78"/>
  <c r="X107" i="78"/>
  <c r="W107" i="78"/>
  <c r="V107" i="78"/>
  <c r="U107" i="78"/>
  <c r="T107" i="78"/>
  <c r="S107" i="78"/>
  <c r="R107" i="78"/>
  <c r="Q107" i="78"/>
  <c r="P107" i="78"/>
  <c r="O107" i="78"/>
  <c r="N107" i="78"/>
  <c r="M107" i="78"/>
  <c r="L107" i="78"/>
  <c r="K107" i="78"/>
  <c r="J107" i="78"/>
  <c r="I107" i="78"/>
  <c r="H107" i="78"/>
  <c r="F107" i="78"/>
  <c r="E107" i="78"/>
  <c r="B107" i="78"/>
  <c r="AL106" i="78"/>
  <c r="AK106" i="78"/>
  <c r="AJ106" i="78"/>
  <c r="AI106" i="78"/>
  <c r="AH106" i="78"/>
  <c r="AG106" i="78"/>
  <c r="AF106" i="78"/>
  <c r="AE106" i="78"/>
  <c r="AD106" i="78"/>
  <c r="AC106" i="78"/>
  <c r="AB106" i="78"/>
  <c r="AA106" i="78"/>
  <c r="Z106" i="78"/>
  <c r="Y106" i="78"/>
  <c r="X106" i="78"/>
  <c r="W106" i="78"/>
  <c r="V106" i="78"/>
  <c r="U106" i="78"/>
  <c r="T106" i="78"/>
  <c r="S106" i="78"/>
  <c r="R106" i="78"/>
  <c r="Q106" i="78"/>
  <c r="P106" i="78"/>
  <c r="O106" i="78"/>
  <c r="N106" i="78"/>
  <c r="M106" i="78"/>
  <c r="L106" i="78"/>
  <c r="K106" i="78"/>
  <c r="J106" i="78"/>
  <c r="I106" i="78"/>
  <c r="H106" i="78"/>
  <c r="F106" i="78"/>
  <c r="E106" i="78"/>
  <c r="B106" i="78"/>
  <c r="AL105" i="78"/>
  <c r="AK105" i="78"/>
  <c r="AJ105" i="78"/>
  <c r="AI105" i="78"/>
  <c r="AH105" i="78"/>
  <c r="AG105" i="78"/>
  <c r="AF105" i="78"/>
  <c r="AE105" i="78"/>
  <c r="AD105" i="78"/>
  <c r="AC105" i="78"/>
  <c r="AB105" i="78"/>
  <c r="AA105" i="78"/>
  <c r="Z105" i="78"/>
  <c r="Y105" i="78"/>
  <c r="X105" i="78"/>
  <c r="W105" i="78"/>
  <c r="V105" i="78"/>
  <c r="U105" i="78"/>
  <c r="T105" i="78"/>
  <c r="S105" i="78"/>
  <c r="R105" i="78"/>
  <c r="Q105" i="78"/>
  <c r="P105" i="78"/>
  <c r="O105" i="78"/>
  <c r="N105" i="78"/>
  <c r="M105" i="78"/>
  <c r="L105" i="78"/>
  <c r="K105" i="78"/>
  <c r="J105" i="78"/>
  <c r="I105" i="78"/>
  <c r="H105" i="78"/>
  <c r="F105" i="78"/>
  <c r="E105" i="78"/>
  <c r="B105" i="78"/>
  <c r="AL104" i="78"/>
  <c r="AK104" i="78"/>
  <c r="AJ104" i="78"/>
  <c r="AI104" i="78"/>
  <c r="AH104" i="78"/>
  <c r="AG104" i="78"/>
  <c r="AF104" i="78"/>
  <c r="AE104" i="78"/>
  <c r="AD104" i="78"/>
  <c r="AC104" i="78"/>
  <c r="AB104" i="78"/>
  <c r="AA104" i="78"/>
  <c r="Z104" i="78"/>
  <c r="Y104" i="78"/>
  <c r="X104" i="78"/>
  <c r="W104" i="78"/>
  <c r="V104" i="78"/>
  <c r="U104" i="78"/>
  <c r="T104" i="78"/>
  <c r="S104" i="78"/>
  <c r="R104" i="78"/>
  <c r="Q104" i="78"/>
  <c r="P104" i="78"/>
  <c r="O104" i="78"/>
  <c r="N104" i="78"/>
  <c r="M104" i="78"/>
  <c r="L104" i="78"/>
  <c r="K104" i="78"/>
  <c r="J104" i="78"/>
  <c r="I104" i="78"/>
  <c r="H104" i="78"/>
  <c r="F104" i="78"/>
  <c r="E104" i="78"/>
  <c r="B104" i="78"/>
  <c r="AL103" i="78"/>
  <c r="AK103" i="78"/>
  <c r="AJ103" i="78"/>
  <c r="AI103" i="78"/>
  <c r="AH103" i="78"/>
  <c r="AG103" i="78"/>
  <c r="AF103" i="78"/>
  <c r="AE103" i="78"/>
  <c r="AD103" i="78"/>
  <c r="AC103" i="78"/>
  <c r="AB103" i="78"/>
  <c r="AA103" i="78"/>
  <c r="Z103" i="78"/>
  <c r="Y103" i="78"/>
  <c r="X103" i="78"/>
  <c r="W103" i="78"/>
  <c r="V103" i="78"/>
  <c r="U103" i="78"/>
  <c r="T103" i="78"/>
  <c r="S103" i="78"/>
  <c r="R103" i="78"/>
  <c r="Q103" i="78"/>
  <c r="P103" i="78"/>
  <c r="O103" i="78"/>
  <c r="N103" i="78"/>
  <c r="M103" i="78"/>
  <c r="L103" i="78"/>
  <c r="K103" i="78"/>
  <c r="J103" i="78"/>
  <c r="I103" i="78"/>
  <c r="H103" i="78"/>
  <c r="F103" i="78"/>
  <c r="E103" i="78"/>
  <c r="B103" i="78"/>
  <c r="AL102" i="78"/>
  <c r="AK102" i="78"/>
  <c r="AJ102" i="78"/>
  <c r="AI102" i="78"/>
  <c r="AH102" i="78"/>
  <c r="AG102" i="78"/>
  <c r="AF102" i="78"/>
  <c r="AE102" i="78"/>
  <c r="AD102" i="78"/>
  <c r="AC102" i="78"/>
  <c r="AB102" i="78"/>
  <c r="AA102" i="78"/>
  <c r="Z102" i="78"/>
  <c r="Y102" i="78"/>
  <c r="X102" i="78"/>
  <c r="W102" i="78"/>
  <c r="V102" i="78"/>
  <c r="U102" i="78"/>
  <c r="T102" i="78"/>
  <c r="S102" i="78"/>
  <c r="R102" i="78"/>
  <c r="Q102" i="78"/>
  <c r="P102" i="78"/>
  <c r="O102" i="78"/>
  <c r="N102" i="78"/>
  <c r="M102" i="78"/>
  <c r="L102" i="78"/>
  <c r="K102" i="78"/>
  <c r="J102" i="78"/>
  <c r="I102" i="78"/>
  <c r="H102" i="78"/>
  <c r="F102" i="78"/>
  <c r="E102" i="78"/>
  <c r="B102" i="78"/>
  <c r="AL101" i="78"/>
  <c r="AK101" i="78"/>
  <c r="AJ101" i="78"/>
  <c r="AI101" i="78"/>
  <c r="AH101" i="78"/>
  <c r="AG101" i="78"/>
  <c r="AF101" i="78"/>
  <c r="AE101" i="78"/>
  <c r="AD101" i="78"/>
  <c r="AC101" i="78"/>
  <c r="AB101" i="78"/>
  <c r="AA101" i="78"/>
  <c r="Z101" i="78"/>
  <c r="Y101" i="78"/>
  <c r="X101" i="78"/>
  <c r="W101" i="78"/>
  <c r="V101" i="78"/>
  <c r="U101" i="78"/>
  <c r="T101" i="78"/>
  <c r="S101" i="78"/>
  <c r="R101" i="78"/>
  <c r="Q101" i="78"/>
  <c r="P101" i="78"/>
  <c r="O101" i="78"/>
  <c r="N101" i="78"/>
  <c r="M101" i="78"/>
  <c r="L101" i="78"/>
  <c r="K101" i="78"/>
  <c r="J101" i="78"/>
  <c r="I101" i="78"/>
  <c r="H101" i="78"/>
  <c r="F101" i="78"/>
  <c r="E101" i="78"/>
  <c r="B101" i="78"/>
  <c r="AL100" i="78"/>
  <c r="AK100" i="78"/>
  <c r="AJ100" i="78"/>
  <c r="AI100" i="78"/>
  <c r="AH100" i="78"/>
  <c r="AG100" i="78"/>
  <c r="AF100" i="78"/>
  <c r="AE100" i="78"/>
  <c r="AD100" i="78"/>
  <c r="AC100" i="78"/>
  <c r="AB100" i="78"/>
  <c r="AA100" i="78"/>
  <c r="Z100" i="78"/>
  <c r="Y100" i="78"/>
  <c r="X100" i="78"/>
  <c r="W100" i="78"/>
  <c r="V100" i="78"/>
  <c r="U100" i="78"/>
  <c r="T100" i="78"/>
  <c r="S100" i="78"/>
  <c r="R100" i="78"/>
  <c r="Q100" i="78"/>
  <c r="P100" i="78"/>
  <c r="O100" i="78"/>
  <c r="N100" i="78"/>
  <c r="M100" i="78"/>
  <c r="L100" i="78"/>
  <c r="K100" i="78"/>
  <c r="J100" i="78"/>
  <c r="I100" i="78"/>
  <c r="H100" i="78"/>
  <c r="F100" i="78"/>
  <c r="E100" i="78"/>
  <c r="B100" i="78"/>
  <c r="AL99" i="78"/>
  <c r="AK99" i="78"/>
  <c r="AJ99" i="78"/>
  <c r="AI99" i="78"/>
  <c r="AH99" i="78"/>
  <c r="AG99" i="78"/>
  <c r="AF99" i="78"/>
  <c r="AE99" i="78"/>
  <c r="AD99" i="78"/>
  <c r="AC99" i="78"/>
  <c r="AB99" i="78"/>
  <c r="AA99" i="78"/>
  <c r="Z99" i="78"/>
  <c r="Y99" i="78"/>
  <c r="X99" i="78"/>
  <c r="W99" i="78"/>
  <c r="V99" i="78"/>
  <c r="U99" i="78"/>
  <c r="T99" i="78"/>
  <c r="S99" i="78"/>
  <c r="R99" i="78"/>
  <c r="Q99" i="78"/>
  <c r="P99" i="78"/>
  <c r="O99" i="78"/>
  <c r="N99" i="78"/>
  <c r="M99" i="78"/>
  <c r="L99" i="78"/>
  <c r="K99" i="78"/>
  <c r="J99" i="78"/>
  <c r="I99" i="78"/>
  <c r="H99" i="78"/>
  <c r="F99" i="78"/>
  <c r="E99" i="78"/>
  <c r="B99" i="78"/>
  <c r="AL95" i="78"/>
  <c r="AK95" i="78"/>
  <c r="AJ95" i="78"/>
  <c r="AI95" i="78"/>
  <c r="AH95" i="78"/>
  <c r="AG95" i="78"/>
  <c r="AF95" i="78"/>
  <c r="AE95" i="78"/>
  <c r="AD95" i="78"/>
  <c r="AC95" i="78"/>
  <c r="AB95" i="78"/>
  <c r="AA95" i="78"/>
  <c r="Z95" i="78"/>
  <c r="Y95" i="78"/>
  <c r="X95" i="78"/>
  <c r="W95" i="78"/>
  <c r="V95" i="78"/>
  <c r="U95" i="78"/>
  <c r="T95" i="78"/>
  <c r="S95" i="78"/>
  <c r="R95" i="78"/>
  <c r="Q95" i="78"/>
  <c r="P95" i="78"/>
  <c r="O95" i="78"/>
  <c r="N95" i="78"/>
  <c r="M95" i="78"/>
  <c r="L95" i="78"/>
  <c r="K95" i="78"/>
  <c r="J95" i="78"/>
  <c r="I95" i="78"/>
  <c r="H95" i="78"/>
  <c r="F95" i="78"/>
  <c r="E95" i="78"/>
  <c r="B95" i="78"/>
  <c r="AL94" i="78"/>
  <c r="AK94" i="78"/>
  <c r="AJ94" i="78"/>
  <c r="AI94" i="78"/>
  <c r="AH94" i="78"/>
  <c r="AG94" i="78"/>
  <c r="AF94" i="78"/>
  <c r="AE94" i="78"/>
  <c r="AD94" i="78"/>
  <c r="AC94" i="78"/>
  <c r="AB94" i="78"/>
  <c r="AA94" i="78"/>
  <c r="Z94" i="78"/>
  <c r="Y94" i="78"/>
  <c r="X94" i="78"/>
  <c r="W94" i="78"/>
  <c r="V94" i="78"/>
  <c r="U94" i="78"/>
  <c r="T94" i="78"/>
  <c r="S94" i="78"/>
  <c r="R94" i="78"/>
  <c r="Q94" i="78"/>
  <c r="P94" i="78"/>
  <c r="O94" i="78"/>
  <c r="N94" i="78"/>
  <c r="M94" i="78"/>
  <c r="L94" i="78"/>
  <c r="K94" i="78"/>
  <c r="J94" i="78"/>
  <c r="I94" i="78"/>
  <c r="H94" i="78"/>
  <c r="F94" i="78"/>
  <c r="E94" i="78"/>
  <c r="B94" i="78"/>
  <c r="AL93" i="78"/>
  <c r="AK93" i="78"/>
  <c r="AJ93" i="78"/>
  <c r="AI93" i="78"/>
  <c r="AH93" i="78"/>
  <c r="AG93" i="78"/>
  <c r="AF93" i="78"/>
  <c r="AE93" i="78"/>
  <c r="AD93" i="78"/>
  <c r="AC93" i="78"/>
  <c r="AB93" i="78"/>
  <c r="AA93" i="78"/>
  <c r="Z93" i="78"/>
  <c r="Y93" i="78"/>
  <c r="X93" i="78"/>
  <c r="W93" i="78"/>
  <c r="V93" i="78"/>
  <c r="U93" i="78"/>
  <c r="T93" i="78"/>
  <c r="S93" i="78"/>
  <c r="R93" i="78"/>
  <c r="Q93" i="78"/>
  <c r="P93" i="78"/>
  <c r="O93" i="78"/>
  <c r="N93" i="78"/>
  <c r="M93" i="78"/>
  <c r="L93" i="78"/>
  <c r="K93" i="78"/>
  <c r="J93" i="78"/>
  <c r="I93" i="78"/>
  <c r="H93" i="78"/>
  <c r="F93" i="78"/>
  <c r="E93" i="78"/>
  <c r="B93" i="78"/>
  <c r="AL92" i="78"/>
  <c r="AK92" i="78"/>
  <c r="AJ92" i="78"/>
  <c r="AI92" i="78"/>
  <c r="AH92" i="78"/>
  <c r="AG92" i="78"/>
  <c r="AF92" i="78"/>
  <c r="AE92" i="78"/>
  <c r="AD92" i="78"/>
  <c r="AC92" i="78"/>
  <c r="AB92" i="78"/>
  <c r="AA92" i="78"/>
  <c r="Z92" i="78"/>
  <c r="Y92" i="78"/>
  <c r="X92" i="78"/>
  <c r="W92" i="78"/>
  <c r="V92" i="78"/>
  <c r="U92" i="78"/>
  <c r="T92" i="78"/>
  <c r="S92" i="78"/>
  <c r="R92" i="78"/>
  <c r="Q92" i="78"/>
  <c r="P92" i="78"/>
  <c r="O92" i="78"/>
  <c r="N92" i="78"/>
  <c r="M92" i="78"/>
  <c r="L92" i="78"/>
  <c r="K92" i="78"/>
  <c r="J92" i="78"/>
  <c r="I92" i="78"/>
  <c r="H92" i="78"/>
  <c r="F92" i="78"/>
  <c r="E92" i="78"/>
  <c r="B92" i="78"/>
  <c r="AL91" i="78"/>
  <c r="AK91" i="78"/>
  <c r="AJ91" i="78"/>
  <c r="AI91" i="78"/>
  <c r="AH91" i="78"/>
  <c r="AG91" i="78"/>
  <c r="AF91" i="78"/>
  <c r="AE91" i="78"/>
  <c r="AD91" i="78"/>
  <c r="AC91" i="78"/>
  <c r="AB91" i="78"/>
  <c r="AA91" i="78"/>
  <c r="Z91" i="78"/>
  <c r="Y91" i="78"/>
  <c r="X91" i="78"/>
  <c r="W91" i="78"/>
  <c r="V91" i="78"/>
  <c r="U91" i="78"/>
  <c r="T91" i="78"/>
  <c r="S91" i="78"/>
  <c r="R91" i="78"/>
  <c r="Q91" i="78"/>
  <c r="P91" i="78"/>
  <c r="O91" i="78"/>
  <c r="N91" i="78"/>
  <c r="M91" i="78"/>
  <c r="L91" i="78"/>
  <c r="K91" i="78"/>
  <c r="J91" i="78"/>
  <c r="I91" i="78"/>
  <c r="H91" i="78"/>
  <c r="F91" i="78"/>
  <c r="E91" i="78"/>
  <c r="B91" i="78"/>
  <c r="AL90" i="78"/>
  <c r="AK90" i="78"/>
  <c r="AJ90" i="78"/>
  <c r="AI90" i="78"/>
  <c r="AH90" i="78"/>
  <c r="AG90" i="78"/>
  <c r="AF90" i="78"/>
  <c r="AE90" i="78"/>
  <c r="AD90" i="78"/>
  <c r="AC90" i="78"/>
  <c r="AB90" i="78"/>
  <c r="AA90" i="78"/>
  <c r="Z90" i="78"/>
  <c r="Y90" i="78"/>
  <c r="X90" i="78"/>
  <c r="W90" i="78"/>
  <c r="V90" i="78"/>
  <c r="U90" i="78"/>
  <c r="T90" i="78"/>
  <c r="S90" i="78"/>
  <c r="R90" i="78"/>
  <c r="Q90" i="78"/>
  <c r="P90" i="78"/>
  <c r="O90" i="78"/>
  <c r="N90" i="78"/>
  <c r="M90" i="78"/>
  <c r="L90" i="78"/>
  <c r="K90" i="78"/>
  <c r="J90" i="78"/>
  <c r="I90" i="78"/>
  <c r="H90" i="78"/>
  <c r="F90" i="78"/>
  <c r="E90" i="78"/>
  <c r="B90" i="78"/>
  <c r="AL89" i="78"/>
  <c r="AK89" i="78"/>
  <c r="AJ89" i="78"/>
  <c r="AI89" i="78"/>
  <c r="AH89" i="78"/>
  <c r="AG89" i="78"/>
  <c r="AF89" i="78"/>
  <c r="AE89" i="78"/>
  <c r="AD89" i="78"/>
  <c r="AC89" i="78"/>
  <c r="AB89" i="78"/>
  <c r="AA89" i="78"/>
  <c r="Z89" i="78"/>
  <c r="Y89" i="78"/>
  <c r="X89" i="78"/>
  <c r="W89" i="78"/>
  <c r="V89" i="78"/>
  <c r="U89" i="78"/>
  <c r="T89" i="78"/>
  <c r="S89" i="78"/>
  <c r="R89" i="78"/>
  <c r="Q89" i="78"/>
  <c r="P89" i="78"/>
  <c r="O89" i="78"/>
  <c r="N89" i="78"/>
  <c r="M89" i="78"/>
  <c r="L89" i="78"/>
  <c r="K89" i="78"/>
  <c r="J89" i="78"/>
  <c r="I89" i="78"/>
  <c r="H89" i="78"/>
  <c r="F89" i="78"/>
  <c r="E89" i="78"/>
  <c r="B89" i="78"/>
  <c r="AL88" i="78"/>
  <c r="AK88" i="78"/>
  <c r="AJ88" i="78"/>
  <c r="AI88" i="78"/>
  <c r="AH88" i="78"/>
  <c r="AG88" i="78"/>
  <c r="AF88" i="78"/>
  <c r="AE88" i="78"/>
  <c r="AD88" i="78"/>
  <c r="AC88" i="78"/>
  <c r="AB88" i="78"/>
  <c r="AA88" i="78"/>
  <c r="Z88" i="78"/>
  <c r="Y88" i="78"/>
  <c r="X88" i="78"/>
  <c r="W88" i="78"/>
  <c r="V88" i="78"/>
  <c r="U88" i="78"/>
  <c r="T88" i="78"/>
  <c r="S88" i="78"/>
  <c r="R88" i="78"/>
  <c r="Q88" i="78"/>
  <c r="P88" i="78"/>
  <c r="O88" i="78"/>
  <c r="N88" i="78"/>
  <c r="M88" i="78"/>
  <c r="L88" i="78"/>
  <c r="K88" i="78"/>
  <c r="J88" i="78"/>
  <c r="I88" i="78"/>
  <c r="H88" i="78"/>
  <c r="F88" i="78"/>
  <c r="E88" i="78"/>
  <c r="B88" i="78"/>
  <c r="AL87" i="78"/>
  <c r="AK87" i="78"/>
  <c r="AJ87" i="78"/>
  <c r="AI87" i="78"/>
  <c r="AH87" i="78"/>
  <c r="AG87" i="78"/>
  <c r="AF87" i="78"/>
  <c r="AE87" i="78"/>
  <c r="AD87" i="78"/>
  <c r="AC87" i="78"/>
  <c r="AB87" i="78"/>
  <c r="AA87" i="78"/>
  <c r="Z87" i="78"/>
  <c r="Y87" i="78"/>
  <c r="X87" i="78"/>
  <c r="W87" i="78"/>
  <c r="V87" i="78"/>
  <c r="U87" i="78"/>
  <c r="T87" i="78"/>
  <c r="S87" i="78"/>
  <c r="R87" i="78"/>
  <c r="Q87" i="78"/>
  <c r="P87" i="78"/>
  <c r="O87" i="78"/>
  <c r="N87" i="78"/>
  <c r="M87" i="78"/>
  <c r="L87" i="78"/>
  <c r="K87" i="78"/>
  <c r="J87" i="78"/>
  <c r="I87" i="78"/>
  <c r="H87" i="78"/>
  <c r="F87" i="78"/>
  <c r="E87" i="78"/>
  <c r="B87" i="78"/>
  <c r="AL86" i="78"/>
  <c r="AK86" i="78"/>
  <c r="AJ86" i="78"/>
  <c r="AI86" i="78"/>
  <c r="AH86" i="78"/>
  <c r="AG86" i="78"/>
  <c r="AF86" i="78"/>
  <c r="AE86" i="78"/>
  <c r="AD86" i="78"/>
  <c r="AC86" i="78"/>
  <c r="AB86" i="78"/>
  <c r="AA86" i="78"/>
  <c r="Z86" i="78"/>
  <c r="Y86" i="78"/>
  <c r="X86" i="78"/>
  <c r="W86" i="78"/>
  <c r="V86" i="78"/>
  <c r="U86" i="78"/>
  <c r="T86" i="78"/>
  <c r="S86" i="78"/>
  <c r="R86" i="78"/>
  <c r="Q86" i="78"/>
  <c r="P86" i="78"/>
  <c r="O86" i="78"/>
  <c r="N86" i="78"/>
  <c r="M86" i="78"/>
  <c r="L86" i="78"/>
  <c r="K86" i="78"/>
  <c r="J86" i="78"/>
  <c r="I86" i="78"/>
  <c r="H86" i="78"/>
  <c r="F86" i="78"/>
  <c r="E86" i="78"/>
  <c r="B86" i="78"/>
  <c r="AL85" i="78"/>
  <c r="AK85" i="78"/>
  <c r="AJ85" i="78"/>
  <c r="AI85" i="78"/>
  <c r="AH85" i="78"/>
  <c r="AG85" i="78"/>
  <c r="AF85" i="78"/>
  <c r="AE85" i="78"/>
  <c r="AD85" i="78"/>
  <c r="AC85" i="78"/>
  <c r="AB85" i="78"/>
  <c r="AA85" i="78"/>
  <c r="Z85" i="78"/>
  <c r="Y85" i="78"/>
  <c r="X85" i="78"/>
  <c r="W85" i="78"/>
  <c r="V85" i="78"/>
  <c r="U85" i="78"/>
  <c r="T85" i="78"/>
  <c r="S85" i="78"/>
  <c r="R85" i="78"/>
  <c r="Q85" i="78"/>
  <c r="P85" i="78"/>
  <c r="O85" i="78"/>
  <c r="N85" i="78"/>
  <c r="M85" i="78"/>
  <c r="L85" i="78"/>
  <c r="K85" i="78"/>
  <c r="J85" i="78"/>
  <c r="I85" i="78"/>
  <c r="H85" i="78"/>
  <c r="F85" i="78"/>
  <c r="E85" i="78"/>
  <c r="B85" i="78"/>
  <c r="AL84" i="78"/>
  <c r="AK84" i="78"/>
  <c r="AJ84" i="78"/>
  <c r="AI84" i="78"/>
  <c r="AH84" i="78"/>
  <c r="AG84" i="78"/>
  <c r="AF84" i="78"/>
  <c r="AE84" i="78"/>
  <c r="AD84" i="78"/>
  <c r="AC84" i="78"/>
  <c r="AB84" i="78"/>
  <c r="AA84" i="78"/>
  <c r="Z84" i="78"/>
  <c r="Y84" i="78"/>
  <c r="X84" i="78"/>
  <c r="W84" i="78"/>
  <c r="V84" i="78"/>
  <c r="U84" i="78"/>
  <c r="T84" i="78"/>
  <c r="S84" i="78"/>
  <c r="R84" i="78"/>
  <c r="Q84" i="78"/>
  <c r="P84" i="78"/>
  <c r="O84" i="78"/>
  <c r="N84" i="78"/>
  <c r="M84" i="78"/>
  <c r="L84" i="78"/>
  <c r="K84" i="78"/>
  <c r="J84" i="78"/>
  <c r="I84" i="78"/>
  <c r="H84" i="78"/>
  <c r="F84" i="78"/>
  <c r="E84" i="78"/>
  <c r="B84" i="78"/>
  <c r="AL83" i="78"/>
  <c r="AK83" i="78"/>
  <c r="AJ83" i="78"/>
  <c r="AI83" i="78"/>
  <c r="AH83" i="78"/>
  <c r="AG83" i="78"/>
  <c r="AF83" i="78"/>
  <c r="AE83" i="78"/>
  <c r="AD83" i="78"/>
  <c r="AC83" i="78"/>
  <c r="AB83" i="78"/>
  <c r="AA83" i="78"/>
  <c r="Z83" i="78"/>
  <c r="Y83" i="78"/>
  <c r="X83" i="78"/>
  <c r="W83" i="78"/>
  <c r="V83" i="78"/>
  <c r="U83" i="78"/>
  <c r="T83" i="78"/>
  <c r="S83" i="78"/>
  <c r="R83" i="78"/>
  <c r="Q83" i="78"/>
  <c r="P83" i="78"/>
  <c r="O83" i="78"/>
  <c r="N83" i="78"/>
  <c r="M83" i="78"/>
  <c r="L83" i="78"/>
  <c r="K83" i="78"/>
  <c r="J83" i="78"/>
  <c r="I83" i="78"/>
  <c r="H83" i="78"/>
  <c r="F83" i="78"/>
  <c r="E83" i="78"/>
  <c r="B83" i="78"/>
  <c r="AL82" i="78"/>
  <c r="AK82" i="78"/>
  <c r="AJ82" i="78"/>
  <c r="AI82" i="78"/>
  <c r="AH82" i="78"/>
  <c r="AG82" i="78"/>
  <c r="AF82" i="78"/>
  <c r="AE82" i="78"/>
  <c r="AD82" i="78"/>
  <c r="AC82" i="78"/>
  <c r="AB82" i="78"/>
  <c r="AA82" i="78"/>
  <c r="Z82" i="78"/>
  <c r="Y82" i="78"/>
  <c r="X82" i="78"/>
  <c r="W82" i="78"/>
  <c r="V82" i="78"/>
  <c r="U82" i="78"/>
  <c r="T82" i="78"/>
  <c r="S82" i="78"/>
  <c r="R82" i="78"/>
  <c r="Q82" i="78"/>
  <c r="P82" i="78"/>
  <c r="O82" i="78"/>
  <c r="N82" i="78"/>
  <c r="M82" i="78"/>
  <c r="L82" i="78"/>
  <c r="K82" i="78"/>
  <c r="J82" i="78"/>
  <c r="I82" i="78"/>
  <c r="H82" i="78"/>
  <c r="F82" i="78"/>
  <c r="E82" i="78"/>
  <c r="B82" i="78"/>
  <c r="AL81" i="78"/>
  <c r="AK81" i="78"/>
  <c r="AJ81" i="78"/>
  <c r="AI81" i="78"/>
  <c r="AH81" i="78"/>
  <c r="AG81" i="78"/>
  <c r="AF81" i="78"/>
  <c r="AE81" i="78"/>
  <c r="AD81" i="78"/>
  <c r="AC81" i="78"/>
  <c r="AB81" i="78"/>
  <c r="AA81" i="78"/>
  <c r="Z81" i="78"/>
  <c r="Y81" i="78"/>
  <c r="X81" i="78"/>
  <c r="W81" i="78"/>
  <c r="V81" i="78"/>
  <c r="U81" i="78"/>
  <c r="T81" i="78"/>
  <c r="S81" i="78"/>
  <c r="R81" i="78"/>
  <c r="Q81" i="78"/>
  <c r="P81" i="78"/>
  <c r="O81" i="78"/>
  <c r="N81" i="78"/>
  <c r="M81" i="78"/>
  <c r="L81" i="78"/>
  <c r="K81" i="78"/>
  <c r="J81" i="78"/>
  <c r="I81" i="78"/>
  <c r="H81" i="78"/>
  <c r="F81" i="78"/>
  <c r="E81" i="78"/>
  <c r="B81" i="78"/>
  <c r="AL80" i="78"/>
  <c r="AK80" i="78"/>
  <c r="AJ80" i="78"/>
  <c r="AI80" i="78"/>
  <c r="AH80" i="78"/>
  <c r="AG80" i="78"/>
  <c r="AF80" i="78"/>
  <c r="AE80" i="78"/>
  <c r="AD80" i="78"/>
  <c r="AC80" i="78"/>
  <c r="AB80" i="78"/>
  <c r="AA80" i="78"/>
  <c r="Z80" i="78"/>
  <c r="Y80" i="78"/>
  <c r="X80" i="78"/>
  <c r="W80" i="78"/>
  <c r="V80" i="78"/>
  <c r="U80" i="78"/>
  <c r="T80" i="78"/>
  <c r="S80" i="78"/>
  <c r="R80" i="78"/>
  <c r="Q80" i="78"/>
  <c r="P80" i="78"/>
  <c r="O80" i="78"/>
  <c r="N80" i="78"/>
  <c r="M80" i="78"/>
  <c r="L80" i="78"/>
  <c r="K80" i="78"/>
  <c r="J80" i="78"/>
  <c r="I80" i="78"/>
  <c r="H80" i="78"/>
  <c r="F80" i="78"/>
  <c r="E80" i="78"/>
  <c r="B80" i="78"/>
  <c r="AL79" i="78"/>
  <c r="AK79" i="78"/>
  <c r="AJ79" i="78"/>
  <c r="AI79" i="78"/>
  <c r="AH79" i="78"/>
  <c r="AG79" i="78"/>
  <c r="AF79" i="78"/>
  <c r="AE79" i="78"/>
  <c r="AD79" i="78"/>
  <c r="AC79" i="78"/>
  <c r="AB79" i="78"/>
  <c r="AA79" i="78"/>
  <c r="Z79" i="78"/>
  <c r="Y79" i="78"/>
  <c r="X79" i="78"/>
  <c r="W79" i="78"/>
  <c r="V79" i="78"/>
  <c r="U79" i="78"/>
  <c r="T79" i="78"/>
  <c r="S79" i="78"/>
  <c r="R79" i="78"/>
  <c r="Q79" i="78"/>
  <c r="P79" i="78"/>
  <c r="O79" i="78"/>
  <c r="N79" i="78"/>
  <c r="M79" i="78"/>
  <c r="L79" i="78"/>
  <c r="K79" i="78"/>
  <c r="J79" i="78"/>
  <c r="I79" i="78"/>
  <c r="H79" i="78"/>
  <c r="F79" i="78"/>
  <c r="E79" i="78"/>
  <c r="B79" i="78"/>
  <c r="AL78" i="78"/>
  <c r="AK78" i="78"/>
  <c r="AJ78" i="78"/>
  <c r="AI78" i="78"/>
  <c r="AH78" i="78"/>
  <c r="AG78" i="78"/>
  <c r="AF78" i="78"/>
  <c r="AE78" i="78"/>
  <c r="AD78" i="78"/>
  <c r="AC78" i="78"/>
  <c r="AB78" i="78"/>
  <c r="AA78" i="78"/>
  <c r="Z78" i="78"/>
  <c r="Y78" i="78"/>
  <c r="X78" i="78"/>
  <c r="W78" i="78"/>
  <c r="V78" i="78"/>
  <c r="U78" i="78"/>
  <c r="T78" i="78"/>
  <c r="S78" i="78"/>
  <c r="R78" i="78"/>
  <c r="Q78" i="78"/>
  <c r="P78" i="78"/>
  <c r="O78" i="78"/>
  <c r="N78" i="78"/>
  <c r="M78" i="78"/>
  <c r="L78" i="78"/>
  <c r="K78" i="78"/>
  <c r="J78" i="78"/>
  <c r="I78" i="78"/>
  <c r="H78" i="78"/>
  <c r="F78" i="78"/>
  <c r="E78" i="78"/>
  <c r="B78" i="78"/>
  <c r="AL77" i="78"/>
  <c r="AK77" i="78"/>
  <c r="AJ77" i="78"/>
  <c r="AI77" i="78"/>
  <c r="AH77" i="78"/>
  <c r="AG77" i="78"/>
  <c r="AF77" i="78"/>
  <c r="AE77" i="78"/>
  <c r="AD77" i="78"/>
  <c r="AC77" i="78"/>
  <c r="AB77" i="78"/>
  <c r="AA77" i="78"/>
  <c r="Z77" i="78"/>
  <c r="Y77" i="78"/>
  <c r="X77" i="78"/>
  <c r="W77" i="78"/>
  <c r="V77" i="78"/>
  <c r="U77" i="78"/>
  <c r="T77" i="78"/>
  <c r="S77" i="78"/>
  <c r="R77" i="78"/>
  <c r="Q77" i="78"/>
  <c r="P77" i="78"/>
  <c r="O77" i="78"/>
  <c r="N77" i="78"/>
  <c r="M77" i="78"/>
  <c r="L77" i="78"/>
  <c r="K77" i="78"/>
  <c r="J77" i="78"/>
  <c r="I77" i="78"/>
  <c r="H77" i="78"/>
  <c r="F77" i="78"/>
  <c r="E77" i="78"/>
  <c r="B77" i="78"/>
  <c r="AL76" i="78"/>
  <c r="AK76" i="78"/>
  <c r="AJ76" i="78"/>
  <c r="AI76" i="78"/>
  <c r="AH76" i="78"/>
  <c r="AG76" i="78"/>
  <c r="AF76" i="78"/>
  <c r="AE76" i="78"/>
  <c r="AD76" i="78"/>
  <c r="AC76" i="78"/>
  <c r="AB76" i="78"/>
  <c r="AA76" i="78"/>
  <c r="Z76" i="78"/>
  <c r="Y76" i="78"/>
  <c r="X76" i="78"/>
  <c r="W76" i="78"/>
  <c r="V76" i="78"/>
  <c r="U76" i="78"/>
  <c r="T76" i="78"/>
  <c r="S76" i="78"/>
  <c r="R76" i="78"/>
  <c r="Q76" i="78"/>
  <c r="P76" i="78"/>
  <c r="O76" i="78"/>
  <c r="N76" i="78"/>
  <c r="M76" i="78"/>
  <c r="L76" i="78"/>
  <c r="K76" i="78"/>
  <c r="J76" i="78"/>
  <c r="I76" i="78"/>
  <c r="H76" i="78"/>
  <c r="F76" i="78"/>
  <c r="E76" i="78"/>
  <c r="B76" i="78"/>
  <c r="AL75" i="78"/>
  <c r="AK75" i="78"/>
  <c r="AJ75" i="78"/>
  <c r="AI75" i="78"/>
  <c r="AH75" i="78"/>
  <c r="AG75" i="78"/>
  <c r="AF75" i="78"/>
  <c r="AE75" i="78"/>
  <c r="AD75" i="78"/>
  <c r="AC75" i="78"/>
  <c r="AB75" i="78"/>
  <c r="AA75" i="78"/>
  <c r="Z75" i="78"/>
  <c r="Y75" i="78"/>
  <c r="X75" i="78"/>
  <c r="W75" i="78"/>
  <c r="V75" i="78"/>
  <c r="U75" i="78"/>
  <c r="T75" i="78"/>
  <c r="S75" i="78"/>
  <c r="R75" i="78"/>
  <c r="Q75" i="78"/>
  <c r="P75" i="78"/>
  <c r="O75" i="78"/>
  <c r="N75" i="78"/>
  <c r="M75" i="78"/>
  <c r="L75" i="78"/>
  <c r="K75" i="78"/>
  <c r="J75" i="78"/>
  <c r="I75" i="78"/>
  <c r="H75" i="78"/>
  <c r="F75" i="78"/>
  <c r="E75" i="78"/>
  <c r="B75" i="78"/>
  <c r="AL74" i="78"/>
  <c r="AK74" i="78"/>
  <c r="AJ74" i="78"/>
  <c r="AI74" i="78"/>
  <c r="AH74" i="78"/>
  <c r="AG74" i="78"/>
  <c r="AF74" i="78"/>
  <c r="AE74" i="78"/>
  <c r="AD74" i="78"/>
  <c r="AC74" i="78"/>
  <c r="AB74" i="78"/>
  <c r="AA74" i="78"/>
  <c r="Z74" i="78"/>
  <c r="Y74" i="78"/>
  <c r="X74" i="78"/>
  <c r="W74" i="78"/>
  <c r="V74" i="78"/>
  <c r="U74" i="78"/>
  <c r="T74" i="78"/>
  <c r="S74" i="78"/>
  <c r="R74" i="78"/>
  <c r="Q74" i="78"/>
  <c r="P74" i="78"/>
  <c r="O74" i="78"/>
  <c r="N74" i="78"/>
  <c r="M74" i="78"/>
  <c r="L74" i="78"/>
  <c r="K74" i="78"/>
  <c r="J74" i="78"/>
  <c r="I74" i="78"/>
  <c r="H74" i="78"/>
  <c r="F74" i="78"/>
  <c r="E74" i="78"/>
  <c r="B74" i="78"/>
  <c r="AL73" i="78"/>
  <c r="AK73" i="78"/>
  <c r="AJ73" i="78"/>
  <c r="AI73" i="78"/>
  <c r="AH73" i="78"/>
  <c r="AG73" i="78"/>
  <c r="AF73" i="78"/>
  <c r="AE73" i="78"/>
  <c r="AD73" i="78"/>
  <c r="AC73" i="78"/>
  <c r="AB73" i="78"/>
  <c r="AA73" i="78"/>
  <c r="Z73" i="78"/>
  <c r="Y73" i="78"/>
  <c r="X73" i="78"/>
  <c r="W73" i="78"/>
  <c r="V73" i="78"/>
  <c r="U73" i="78"/>
  <c r="T73" i="78"/>
  <c r="S73" i="78"/>
  <c r="R73" i="78"/>
  <c r="Q73" i="78"/>
  <c r="P73" i="78"/>
  <c r="O73" i="78"/>
  <c r="N73" i="78"/>
  <c r="M73" i="78"/>
  <c r="L73" i="78"/>
  <c r="K73" i="78"/>
  <c r="J73" i="78"/>
  <c r="I73" i="78"/>
  <c r="H73" i="78"/>
  <c r="F73" i="78"/>
  <c r="E73" i="78"/>
  <c r="B73" i="78"/>
  <c r="AL72" i="78"/>
  <c r="AK72" i="78"/>
  <c r="AJ72" i="78"/>
  <c r="AI72" i="78"/>
  <c r="AH72" i="78"/>
  <c r="AG72" i="78"/>
  <c r="AF72" i="78"/>
  <c r="AE72" i="78"/>
  <c r="AD72" i="78"/>
  <c r="AC72" i="78"/>
  <c r="AB72" i="78"/>
  <c r="AA72" i="78"/>
  <c r="Z72" i="78"/>
  <c r="Y72" i="78"/>
  <c r="X72" i="78"/>
  <c r="W72" i="78"/>
  <c r="V72" i="78"/>
  <c r="U72" i="78"/>
  <c r="T72" i="78"/>
  <c r="S72" i="78"/>
  <c r="R72" i="78"/>
  <c r="Q72" i="78"/>
  <c r="P72" i="78"/>
  <c r="O72" i="78"/>
  <c r="N72" i="78"/>
  <c r="M72" i="78"/>
  <c r="L72" i="78"/>
  <c r="K72" i="78"/>
  <c r="J72" i="78"/>
  <c r="I72" i="78"/>
  <c r="H72" i="78"/>
  <c r="F72" i="78"/>
  <c r="E72" i="78"/>
  <c r="B72" i="78"/>
  <c r="AL71" i="78"/>
  <c r="AK71" i="78"/>
  <c r="AJ71" i="78"/>
  <c r="AI71" i="78"/>
  <c r="AH71" i="78"/>
  <c r="AG71" i="78"/>
  <c r="AF71" i="78"/>
  <c r="AE71" i="78"/>
  <c r="AD71" i="78"/>
  <c r="AC71" i="78"/>
  <c r="AB71" i="78"/>
  <c r="AA71" i="78"/>
  <c r="Z71" i="78"/>
  <c r="Y71" i="78"/>
  <c r="X71" i="78"/>
  <c r="W71" i="78"/>
  <c r="V71" i="78"/>
  <c r="U71" i="78"/>
  <c r="T71" i="78"/>
  <c r="S71" i="78"/>
  <c r="R71" i="78"/>
  <c r="Q71" i="78"/>
  <c r="P71" i="78"/>
  <c r="O71" i="78"/>
  <c r="N71" i="78"/>
  <c r="M71" i="78"/>
  <c r="L71" i="78"/>
  <c r="K71" i="78"/>
  <c r="J71" i="78"/>
  <c r="I71" i="78"/>
  <c r="H71" i="78"/>
  <c r="F71" i="78"/>
  <c r="E71" i="78"/>
  <c r="B71" i="78"/>
  <c r="AL67" i="78"/>
  <c r="AK67" i="78"/>
  <c r="AJ67" i="78"/>
  <c r="AI67" i="78"/>
  <c r="AH67" i="78"/>
  <c r="AG67" i="78"/>
  <c r="AF67" i="78"/>
  <c r="AE67" i="78"/>
  <c r="AD67" i="78"/>
  <c r="AC67" i="78"/>
  <c r="AB67" i="78"/>
  <c r="AA67" i="78"/>
  <c r="Z67" i="78"/>
  <c r="Y67" i="78"/>
  <c r="X67" i="78"/>
  <c r="W67" i="78"/>
  <c r="V67" i="78"/>
  <c r="U67" i="78"/>
  <c r="T67" i="78"/>
  <c r="S67" i="78"/>
  <c r="R67" i="78"/>
  <c r="Q67" i="78"/>
  <c r="P67" i="78"/>
  <c r="O67" i="78"/>
  <c r="N67" i="78"/>
  <c r="M67" i="78"/>
  <c r="L67" i="78"/>
  <c r="K67" i="78"/>
  <c r="J67" i="78"/>
  <c r="I67" i="78"/>
  <c r="H67" i="78"/>
  <c r="F67" i="78"/>
  <c r="E67" i="78"/>
  <c r="B67" i="78"/>
  <c r="AL66" i="78"/>
  <c r="AK66" i="78"/>
  <c r="AJ66" i="78"/>
  <c r="AI66" i="78"/>
  <c r="AH66" i="78"/>
  <c r="AG66" i="78"/>
  <c r="AF66" i="78"/>
  <c r="AE66" i="78"/>
  <c r="AD66" i="78"/>
  <c r="AC66" i="78"/>
  <c r="AB66" i="78"/>
  <c r="AA66" i="78"/>
  <c r="Z66" i="78"/>
  <c r="Y66" i="78"/>
  <c r="X66" i="78"/>
  <c r="W66" i="78"/>
  <c r="V66" i="78"/>
  <c r="U66" i="78"/>
  <c r="T66" i="78"/>
  <c r="S66" i="78"/>
  <c r="R66" i="78"/>
  <c r="Q66" i="78"/>
  <c r="P66" i="78"/>
  <c r="O66" i="78"/>
  <c r="N66" i="78"/>
  <c r="M66" i="78"/>
  <c r="L66" i="78"/>
  <c r="K66" i="78"/>
  <c r="J66" i="78"/>
  <c r="I66" i="78"/>
  <c r="H66" i="78"/>
  <c r="F66" i="78"/>
  <c r="E66" i="78"/>
  <c r="B66" i="78"/>
  <c r="AL65" i="78"/>
  <c r="AK65" i="78"/>
  <c r="AJ65" i="78"/>
  <c r="AI65" i="78"/>
  <c r="AH65" i="78"/>
  <c r="AG65" i="78"/>
  <c r="AF65" i="78"/>
  <c r="AE65" i="78"/>
  <c r="AD65" i="78"/>
  <c r="AC65" i="78"/>
  <c r="AB65" i="78"/>
  <c r="AA65" i="78"/>
  <c r="Z65" i="78"/>
  <c r="Y65" i="78"/>
  <c r="X65" i="78"/>
  <c r="W65" i="78"/>
  <c r="V65" i="78"/>
  <c r="U65" i="78"/>
  <c r="T65" i="78"/>
  <c r="S65" i="78"/>
  <c r="R65" i="78"/>
  <c r="Q65" i="78"/>
  <c r="P65" i="78"/>
  <c r="O65" i="78"/>
  <c r="N65" i="78"/>
  <c r="M65" i="78"/>
  <c r="L65" i="78"/>
  <c r="K65" i="78"/>
  <c r="J65" i="78"/>
  <c r="I65" i="78"/>
  <c r="H65" i="78"/>
  <c r="F65" i="78"/>
  <c r="E65" i="78"/>
  <c r="B65" i="78"/>
  <c r="AL64" i="78"/>
  <c r="AK64" i="78"/>
  <c r="AJ64" i="78"/>
  <c r="AI64" i="78"/>
  <c r="AH64" i="78"/>
  <c r="AG64" i="78"/>
  <c r="AF64" i="78"/>
  <c r="AE64" i="78"/>
  <c r="AD64" i="78"/>
  <c r="AC64" i="78"/>
  <c r="AB64" i="78"/>
  <c r="AA64" i="78"/>
  <c r="Z64" i="78"/>
  <c r="Y64" i="78"/>
  <c r="X64" i="78"/>
  <c r="W64" i="78"/>
  <c r="V64" i="78"/>
  <c r="U64" i="78"/>
  <c r="T64" i="78"/>
  <c r="S64" i="78"/>
  <c r="R64" i="78"/>
  <c r="Q64" i="78"/>
  <c r="P64" i="78"/>
  <c r="O64" i="78"/>
  <c r="N64" i="78"/>
  <c r="M64" i="78"/>
  <c r="L64" i="78"/>
  <c r="K64" i="78"/>
  <c r="J64" i="78"/>
  <c r="I64" i="78"/>
  <c r="H64" i="78"/>
  <c r="F64" i="78"/>
  <c r="E64" i="78"/>
  <c r="B64" i="78"/>
  <c r="AL63" i="78"/>
  <c r="AK63" i="78"/>
  <c r="AJ63" i="78"/>
  <c r="AI63" i="78"/>
  <c r="AH63" i="78"/>
  <c r="AG63" i="78"/>
  <c r="AF63" i="78"/>
  <c r="AE63" i="78"/>
  <c r="AD63" i="78"/>
  <c r="AC63" i="78"/>
  <c r="AB63" i="78"/>
  <c r="AA63" i="78"/>
  <c r="Z63" i="78"/>
  <c r="Y63" i="78"/>
  <c r="X63" i="78"/>
  <c r="W63" i="78"/>
  <c r="V63" i="78"/>
  <c r="U63" i="78"/>
  <c r="T63" i="78"/>
  <c r="S63" i="78"/>
  <c r="R63" i="78"/>
  <c r="Q63" i="78"/>
  <c r="P63" i="78"/>
  <c r="O63" i="78"/>
  <c r="N63" i="78"/>
  <c r="M63" i="78"/>
  <c r="L63" i="78"/>
  <c r="K63" i="78"/>
  <c r="J63" i="78"/>
  <c r="I63" i="78"/>
  <c r="H63" i="78"/>
  <c r="F63" i="78"/>
  <c r="E63" i="78"/>
  <c r="B63" i="78"/>
  <c r="AL62" i="78"/>
  <c r="AK62" i="78"/>
  <c r="AJ62" i="78"/>
  <c r="AI62" i="78"/>
  <c r="AH62" i="78"/>
  <c r="AG62" i="78"/>
  <c r="AF62" i="78"/>
  <c r="AE62" i="78"/>
  <c r="AD62" i="78"/>
  <c r="AC62" i="78"/>
  <c r="AB62" i="78"/>
  <c r="AA62" i="78"/>
  <c r="Z62" i="78"/>
  <c r="Y62" i="78"/>
  <c r="X62" i="78"/>
  <c r="W62" i="78"/>
  <c r="V62" i="78"/>
  <c r="U62" i="78"/>
  <c r="T62" i="78"/>
  <c r="S62" i="78"/>
  <c r="R62" i="78"/>
  <c r="Q62" i="78"/>
  <c r="P62" i="78"/>
  <c r="O62" i="78"/>
  <c r="N62" i="78"/>
  <c r="M62" i="78"/>
  <c r="L62" i="78"/>
  <c r="K62" i="78"/>
  <c r="J62" i="78"/>
  <c r="I62" i="78"/>
  <c r="H62" i="78"/>
  <c r="F62" i="78"/>
  <c r="E62" i="78"/>
  <c r="B62" i="78"/>
  <c r="AL61" i="78"/>
  <c r="AK61" i="78"/>
  <c r="AJ61" i="78"/>
  <c r="AI61" i="78"/>
  <c r="AH61" i="78"/>
  <c r="AG61" i="78"/>
  <c r="AF61" i="78"/>
  <c r="AE61" i="78"/>
  <c r="AD61" i="78"/>
  <c r="AC61" i="78"/>
  <c r="AB61" i="78"/>
  <c r="AA61" i="78"/>
  <c r="Z61" i="78"/>
  <c r="Y61" i="78"/>
  <c r="X61" i="78"/>
  <c r="W61" i="78"/>
  <c r="V61" i="78"/>
  <c r="U61" i="78"/>
  <c r="T61" i="78"/>
  <c r="S61" i="78"/>
  <c r="R61" i="78"/>
  <c r="Q61" i="78"/>
  <c r="P61" i="78"/>
  <c r="O61" i="78"/>
  <c r="N61" i="78"/>
  <c r="M61" i="78"/>
  <c r="L61" i="78"/>
  <c r="K61" i="78"/>
  <c r="J61" i="78"/>
  <c r="I61" i="78"/>
  <c r="H61" i="78"/>
  <c r="F61" i="78"/>
  <c r="E61" i="78"/>
  <c r="B61" i="78"/>
  <c r="AL60" i="78"/>
  <c r="AK60" i="78"/>
  <c r="AJ60" i="78"/>
  <c r="AI60" i="78"/>
  <c r="AH60" i="78"/>
  <c r="AG60" i="78"/>
  <c r="AF60" i="78"/>
  <c r="AE60" i="78"/>
  <c r="AD60" i="78"/>
  <c r="AC60" i="78"/>
  <c r="AB60" i="78"/>
  <c r="AA60" i="78"/>
  <c r="Z60" i="78"/>
  <c r="Y60" i="78"/>
  <c r="X60" i="78"/>
  <c r="W60" i="78"/>
  <c r="V60" i="78"/>
  <c r="U60" i="78"/>
  <c r="T60" i="78"/>
  <c r="S60" i="78"/>
  <c r="R60" i="78"/>
  <c r="Q60" i="78"/>
  <c r="P60" i="78"/>
  <c r="O60" i="78"/>
  <c r="N60" i="78"/>
  <c r="M60" i="78"/>
  <c r="L60" i="78"/>
  <c r="K60" i="78"/>
  <c r="J60" i="78"/>
  <c r="I60" i="78"/>
  <c r="H60" i="78"/>
  <c r="F60" i="78"/>
  <c r="E60" i="78"/>
  <c r="B60" i="78"/>
  <c r="AL59" i="78"/>
  <c r="AK59" i="78"/>
  <c r="AJ59" i="78"/>
  <c r="AI59" i="78"/>
  <c r="AH59" i="78"/>
  <c r="AG59" i="78"/>
  <c r="AF59" i="78"/>
  <c r="AE59" i="78"/>
  <c r="AD59" i="78"/>
  <c r="AC59" i="78"/>
  <c r="AB59" i="78"/>
  <c r="AA59" i="78"/>
  <c r="Z59" i="78"/>
  <c r="Y59" i="78"/>
  <c r="X59" i="78"/>
  <c r="W59" i="78"/>
  <c r="V59" i="78"/>
  <c r="U59" i="78"/>
  <c r="T59" i="78"/>
  <c r="S59" i="78"/>
  <c r="R59" i="78"/>
  <c r="Q59" i="78"/>
  <c r="P59" i="78"/>
  <c r="O59" i="78"/>
  <c r="N59" i="78"/>
  <c r="M59" i="78"/>
  <c r="L59" i="78"/>
  <c r="K59" i="78"/>
  <c r="J59" i="78"/>
  <c r="I59" i="78"/>
  <c r="H59" i="78"/>
  <c r="F59" i="78"/>
  <c r="E59" i="78"/>
  <c r="B59" i="78"/>
  <c r="AL58" i="78"/>
  <c r="AK58" i="78"/>
  <c r="AJ58" i="78"/>
  <c r="AI58" i="78"/>
  <c r="AH58" i="78"/>
  <c r="AG58" i="78"/>
  <c r="AF58" i="78"/>
  <c r="AE58" i="78"/>
  <c r="AD58" i="78"/>
  <c r="AC58" i="78"/>
  <c r="AB58" i="78"/>
  <c r="AA58" i="78"/>
  <c r="Z58" i="78"/>
  <c r="Y58" i="78"/>
  <c r="X58" i="78"/>
  <c r="W58" i="78"/>
  <c r="V58" i="78"/>
  <c r="U58" i="78"/>
  <c r="T58" i="78"/>
  <c r="S58" i="78"/>
  <c r="R58" i="78"/>
  <c r="Q58" i="78"/>
  <c r="P58" i="78"/>
  <c r="O58" i="78"/>
  <c r="N58" i="78"/>
  <c r="M58" i="78"/>
  <c r="L58" i="78"/>
  <c r="K58" i="78"/>
  <c r="J58" i="78"/>
  <c r="I58" i="78"/>
  <c r="H58" i="78"/>
  <c r="F58" i="78"/>
  <c r="E58" i="78"/>
  <c r="B58" i="78"/>
  <c r="AL57" i="78"/>
  <c r="AK57" i="78"/>
  <c r="AJ57" i="78"/>
  <c r="AI57" i="78"/>
  <c r="AH57" i="78"/>
  <c r="AG57" i="78"/>
  <c r="AF57" i="78"/>
  <c r="AE57" i="78"/>
  <c r="AD57" i="78"/>
  <c r="AC57" i="78"/>
  <c r="AB57" i="78"/>
  <c r="AA57" i="78"/>
  <c r="Z57" i="78"/>
  <c r="Y57" i="78"/>
  <c r="X57" i="78"/>
  <c r="W57" i="78"/>
  <c r="V57" i="78"/>
  <c r="U57" i="78"/>
  <c r="T57" i="78"/>
  <c r="S57" i="78"/>
  <c r="R57" i="78"/>
  <c r="Q57" i="78"/>
  <c r="P57" i="78"/>
  <c r="O57" i="78"/>
  <c r="N57" i="78"/>
  <c r="M57" i="78"/>
  <c r="L57" i="78"/>
  <c r="K57" i="78"/>
  <c r="J57" i="78"/>
  <c r="I57" i="78"/>
  <c r="H57" i="78"/>
  <c r="F57" i="78"/>
  <c r="E57" i="78"/>
  <c r="B57" i="78"/>
  <c r="AL56" i="78"/>
  <c r="AK56" i="78"/>
  <c r="AJ56" i="78"/>
  <c r="AI56" i="78"/>
  <c r="AH56" i="78"/>
  <c r="AG56" i="78"/>
  <c r="AF56" i="78"/>
  <c r="AE56" i="78"/>
  <c r="AD56" i="78"/>
  <c r="AC56" i="78"/>
  <c r="AB56" i="78"/>
  <c r="AA56" i="78"/>
  <c r="Z56" i="78"/>
  <c r="Y56" i="78"/>
  <c r="X56" i="78"/>
  <c r="W56" i="78"/>
  <c r="V56" i="78"/>
  <c r="U56" i="78"/>
  <c r="T56" i="78"/>
  <c r="S56" i="78"/>
  <c r="R56" i="78"/>
  <c r="Q56" i="78"/>
  <c r="P56" i="78"/>
  <c r="O56" i="78"/>
  <c r="N56" i="78"/>
  <c r="M56" i="78"/>
  <c r="L56" i="78"/>
  <c r="K56" i="78"/>
  <c r="J56" i="78"/>
  <c r="I56" i="78"/>
  <c r="H56" i="78"/>
  <c r="F56" i="78"/>
  <c r="E56" i="78"/>
  <c r="B56" i="78"/>
  <c r="AL55" i="78"/>
  <c r="AK55" i="78"/>
  <c r="AJ55" i="78"/>
  <c r="AI55" i="78"/>
  <c r="AH55" i="78"/>
  <c r="AG55" i="78"/>
  <c r="AF55" i="78"/>
  <c r="AE55" i="78"/>
  <c r="AD55" i="78"/>
  <c r="AC55" i="78"/>
  <c r="AB55" i="78"/>
  <c r="AA55" i="78"/>
  <c r="Z55" i="78"/>
  <c r="Y55" i="78"/>
  <c r="X55" i="78"/>
  <c r="W55" i="78"/>
  <c r="V55" i="78"/>
  <c r="U55" i="78"/>
  <c r="T55" i="78"/>
  <c r="S55" i="78"/>
  <c r="R55" i="78"/>
  <c r="Q55" i="78"/>
  <c r="P55" i="78"/>
  <c r="O55" i="78"/>
  <c r="N55" i="78"/>
  <c r="M55" i="78"/>
  <c r="L55" i="78"/>
  <c r="K55" i="78"/>
  <c r="J55" i="78"/>
  <c r="I55" i="78"/>
  <c r="H55" i="78"/>
  <c r="F55" i="78"/>
  <c r="E55" i="78"/>
  <c r="B55" i="78"/>
  <c r="AL54" i="78"/>
  <c r="AK54" i="78"/>
  <c r="AJ54" i="78"/>
  <c r="AI54" i="78"/>
  <c r="AH54" i="78"/>
  <c r="AG54" i="78"/>
  <c r="AF54" i="78"/>
  <c r="AE54" i="78"/>
  <c r="AD54" i="78"/>
  <c r="AC54" i="78"/>
  <c r="AB54" i="78"/>
  <c r="AA54" i="78"/>
  <c r="Z54" i="78"/>
  <c r="Y54" i="78"/>
  <c r="X54" i="78"/>
  <c r="W54" i="78"/>
  <c r="V54" i="78"/>
  <c r="U54" i="78"/>
  <c r="T54" i="78"/>
  <c r="S54" i="78"/>
  <c r="R54" i="78"/>
  <c r="Q54" i="78"/>
  <c r="P54" i="78"/>
  <c r="O54" i="78"/>
  <c r="N54" i="78"/>
  <c r="M54" i="78"/>
  <c r="L54" i="78"/>
  <c r="K54" i="78"/>
  <c r="J54" i="78"/>
  <c r="I54" i="78"/>
  <c r="H54" i="78"/>
  <c r="F54" i="78"/>
  <c r="E54" i="78"/>
  <c r="B54" i="78"/>
  <c r="AL53" i="78"/>
  <c r="AK53" i="78"/>
  <c r="AJ53" i="78"/>
  <c r="AI53" i="78"/>
  <c r="AH53" i="78"/>
  <c r="AG53" i="78"/>
  <c r="AF53" i="78"/>
  <c r="AE53" i="78"/>
  <c r="AD53" i="78"/>
  <c r="AC53" i="78"/>
  <c r="AB53" i="78"/>
  <c r="AA53" i="78"/>
  <c r="Z53" i="78"/>
  <c r="Y53" i="78"/>
  <c r="X53" i="78"/>
  <c r="W53" i="78"/>
  <c r="V53" i="78"/>
  <c r="U53" i="78"/>
  <c r="T53" i="78"/>
  <c r="S53" i="78"/>
  <c r="R53" i="78"/>
  <c r="Q53" i="78"/>
  <c r="P53" i="78"/>
  <c r="O53" i="78"/>
  <c r="N53" i="78"/>
  <c r="M53" i="78"/>
  <c r="L53" i="78"/>
  <c r="K53" i="78"/>
  <c r="J53" i="78"/>
  <c r="I53" i="78"/>
  <c r="H53" i="78"/>
  <c r="F53" i="78"/>
  <c r="E53" i="78"/>
  <c r="B53" i="78"/>
  <c r="AL52" i="78"/>
  <c r="AK52" i="78"/>
  <c r="AJ52" i="78"/>
  <c r="AI52" i="78"/>
  <c r="AH52" i="78"/>
  <c r="AG52" i="78"/>
  <c r="AF52" i="78"/>
  <c r="AE52" i="78"/>
  <c r="AD52" i="78"/>
  <c r="AC52" i="78"/>
  <c r="AB52" i="78"/>
  <c r="AA52" i="78"/>
  <c r="Z52" i="78"/>
  <c r="Y52" i="78"/>
  <c r="X52" i="78"/>
  <c r="W52" i="78"/>
  <c r="V52" i="78"/>
  <c r="U52" i="78"/>
  <c r="T52" i="78"/>
  <c r="S52" i="78"/>
  <c r="R52" i="78"/>
  <c r="Q52" i="78"/>
  <c r="P52" i="78"/>
  <c r="O52" i="78"/>
  <c r="N52" i="78"/>
  <c r="M52" i="78"/>
  <c r="L52" i="78"/>
  <c r="K52" i="78"/>
  <c r="J52" i="78"/>
  <c r="I52" i="78"/>
  <c r="H52" i="78"/>
  <c r="F52" i="78"/>
  <c r="E52" i="78"/>
  <c r="B52" i="78"/>
  <c r="AL51" i="78"/>
  <c r="AK51" i="78"/>
  <c r="AJ51" i="78"/>
  <c r="AI51" i="78"/>
  <c r="AH51" i="78"/>
  <c r="AG51" i="78"/>
  <c r="AF51" i="78"/>
  <c r="AE51" i="78"/>
  <c r="AD51" i="78"/>
  <c r="AC51" i="78"/>
  <c r="AB51" i="78"/>
  <c r="AA51" i="78"/>
  <c r="Z51" i="78"/>
  <c r="Y51" i="78"/>
  <c r="X51" i="78"/>
  <c r="W51" i="78"/>
  <c r="V51" i="78"/>
  <c r="U51" i="78"/>
  <c r="T51" i="78"/>
  <c r="S51" i="78"/>
  <c r="R51" i="78"/>
  <c r="Q51" i="78"/>
  <c r="P51" i="78"/>
  <c r="O51" i="78"/>
  <c r="N51" i="78"/>
  <c r="M51" i="78"/>
  <c r="L51" i="78"/>
  <c r="K51" i="78"/>
  <c r="J51" i="78"/>
  <c r="I51" i="78"/>
  <c r="H51" i="78"/>
  <c r="F51" i="78"/>
  <c r="E51" i="78"/>
  <c r="B51" i="78"/>
  <c r="AL50" i="78"/>
  <c r="AK50" i="78"/>
  <c r="AJ50" i="78"/>
  <c r="AI50" i="78"/>
  <c r="AH50" i="78"/>
  <c r="AG50" i="78"/>
  <c r="AF50" i="78"/>
  <c r="AE50" i="78"/>
  <c r="AD50" i="78"/>
  <c r="AC50" i="78"/>
  <c r="AB50" i="78"/>
  <c r="AA50" i="78"/>
  <c r="Z50" i="78"/>
  <c r="Y50" i="78"/>
  <c r="X50" i="78"/>
  <c r="W50" i="78"/>
  <c r="V50" i="78"/>
  <c r="U50" i="78"/>
  <c r="T50" i="78"/>
  <c r="S50" i="78"/>
  <c r="R50" i="78"/>
  <c r="Q50" i="78"/>
  <c r="P50" i="78"/>
  <c r="O50" i="78"/>
  <c r="N50" i="78"/>
  <c r="M50" i="78"/>
  <c r="L50" i="78"/>
  <c r="K50" i="78"/>
  <c r="J50" i="78"/>
  <c r="I50" i="78"/>
  <c r="H50" i="78"/>
  <c r="F50" i="78"/>
  <c r="E50" i="78"/>
  <c r="B50" i="78"/>
  <c r="AL49" i="78"/>
  <c r="AK49" i="78"/>
  <c r="AJ49" i="78"/>
  <c r="AI49" i="78"/>
  <c r="AH49" i="78"/>
  <c r="AG49" i="78"/>
  <c r="AF49" i="78"/>
  <c r="AE49" i="78"/>
  <c r="AD49" i="78"/>
  <c r="AC49" i="78"/>
  <c r="AB49" i="78"/>
  <c r="AA49" i="78"/>
  <c r="Z49" i="78"/>
  <c r="Y49" i="78"/>
  <c r="X49" i="78"/>
  <c r="W49" i="78"/>
  <c r="V49" i="78"/>
  <c r="U49" i="78"/>
  <c r="T49" i="78"/>
  <c r="S49" i="78"/>
  <c r="R49" i="78"/>
  <c r="Q49" i="78"/>
  <c r="P49" i="78"/>
  <c r="O49" i="78"/>
  <c r="N49" i="78"/>
  <c r="M49" i="78"/>
  <c r="L49" i="78"/>
  <c r="K49" i="78"/>
  <c r="J49" i="78"/>
  <c r="I49" i="78"/>
  <c r="H49" i="78"/>
  <c r="F49" i="78"/>
  <c r="E49" i="78"/>
  <c r="B49" i="78"/>
  <c r="AL48" i="78"/>
  <c r="AK48" i="78"/>
  <c r="AJ48" i="78"/>
  <c r="AI48" i="78"/>
  <c r="AH48" i="78"/>
  <c r="AG48" i="78"/>
  <c r="AF48" i="78"/>
  <c r="AE48" i="78"/>
  <c r="AD48" i="78"/>
  <c r="AC48" i="78"/>
  <c r="AB48" i="78"/>
  <c r="AA48" i="78"/>
  <c r="Z48" i="78"/>
  <c r="Y48" i="78"/>
  <c r="X48" i="78"/>
  <c r="W48" i="78"/>
  <c r="V48" i="78"/>
  <c r="U48" i="78"/>
  <c r="T48" i="78"/>
  <c r="S48" i="78"/>
  <c r="R48" i="78"/>
  <c r="Q48" i="78"/>
  <c r="P48" i="78"/>
  <c r="O48" i="78"/>
  <c r="N48" i="78"/>
  <c r="M48" i="78"/>
  <c r="L48" i="78"/>
  <c r="K48" i="78"/>
  <c r="J48" i="78"/>
  <c r="I48" i="78"/>
  <c r="H48" i="78"/>
  <c r="F48" i="78"/>
  <c r="E48" i="78"/>
  <c r="B48" i="78"/>
  <c r="AL47" i="78"/>
  <c r="AK47" i="78"/>
  <c r="AJ47" i="78"/>
  <c r="AI47" i="78"/>
  <c r="AH47" i="78"/>
  <c r="AG47" i="78"/>
  <c r="AF47" i="78"/>
  <c r="AE47" i="78"/>
  <c r="AD47" i="78"/>
  <c r="AC47" i="78"/>
  <c r="AB47" i="78"/>
  <c r="AA47" i="78"/>
  <c r="Z47" i="78"/>
  <c r="Y47" i="78"/>
  <c r="X47" i="78"/>
  <c r="W47" i="78"/>
  <c r="V47" i="78"/>
  <c r="U47" i="78"/>
  <c r="T47" i="78"/>
  <c r="S47" i="78"/>
  <c r="R47" i="78"/>
  <c r="Q47" i="78"/>
  <c r="P47" i="78"/>
  <c r="O47" i="78"/>
  <c r="N47" i="78"/>
  <c r="M47" i="78"/>
  <c r="L47" i="78"/>
  <c r="K47" i="78"/>
  <c r="J47" i="78"/>
  <c r="I47" i="78"/>
  <c r="H47" i="78"/>
  <c r="F47" i="78"/>
  <c r="E47" i="78"/>
  <c r="B47" i="78"/>
  <c r="AL46" i="78"/>
  <c r="AK46" i="78"/>
  <c r="AJ46" i="78"/>
  <c r="AI46" i="78"/>
  <c r="AH46" i="78"/>
  <c r="AG46" i="78"/>
  <c r="AF46" i="78"/>
  <c r="AE46" i="78"/>
  <c r="AD46" i="78"/>
  <c r="AC46" i="78"/>
  <c r="AB46" i="78"/>
  <c r="AA46" i="78"/>
  <c r="Z46" i="78"/>
  <c r="Y46" i="78"/>
  <c r="X46" i="78"/>
  <c r="W46" i="78"/>
  <c r="V46" i="78"/>
  <c r="U46" i="78"/>
  <c r="T46" i="78"/>
  <c r="S46" i="78"/>
  <c r="R46" i="78"/>
  <c r="Q46" i="78"/>
  <c r="P46" i="78"/>
  <c r="O46" i="78"/>
  <c r="N46" i="78"/>
  <c r="M46" i="78"/>
  <c r="L46" i="78"/>
  <c r="K46" i="78"/>
  <c r="J46" i="78"/>
  <c r="I46" i="78"/>
  <c r="H46" i="78"/>
  <c r="F46" i="78"/>
  <c r="E46" i="78"/>
  <c r="B46" i="78"/>
  <c r="AL45" i="78"/>
  <c r="AK45" i="78"/>
  <c r="AJ45" i="78"/>
  <c r="AI45" i="78"/>
  <c r="AH45" i="78"/>
  <c r="AG45" i="78"/>
  <c r="AF45" i="78"/>
  <c r="AE45" i="78"/>
  <c r="AD45" i="78"/>
  <c r="AC45" i="78"/>
  <c r="AB45" i="78"/>
  <c r="AA45" i="78"/>
  <c r="Z45" i="78"/>
  <c r="Y45" i="78"/>
  <c r="X45" i="78"/>
  <c r="W45" i="78"/>
  <c r="V45" i="78"/>
  <c r="U45" i="78"/>
  <c r="T45" i="78"/>
  <c r="S45" i="78"/>
  <c r="R45" i="78"/>
  <c r="Q45" i="78"/>
  <c r="P45" i="78"/>
  <c r="O45" i="78"/>
  <c r="N45" i="78"/>
  <c r="M45" i="78"/>
  <c r="L45" i="78"/>
  <c r="K45" i="78"/>
  <c r="J45" i="78"/>
  <c r="I45" i="78"/>
  <c r="H45" i="78"/>
  <c r="F45" i="78"/>
  <c r="E45" i="78"/>
  <c r="B45" i="78"/>
  <c r="AL44" i="78"/>
  <c r="AK44" i="78"/>
  <c r="AJ44" i="78"/>
  <c r="AI44" i="78"/>
  <c r="AH44" i="78"/>
  <c r="AG44" i="78"/>
  <c r="AF44" i="78"/>
  <c r="AE44" i="78"/>
  <c r="AD44" i="78"/>
  <c r="AC44" i="78"/>
  <c r="AB44" i="78"/>
  <c r="AA44" i="78"/>
  <c r="Z44" i="78"/>
  <c r="Y44" i="78"/>
  <c r="X44" i="78"/>
  <c r="W44" i="78"/>
  <c r="V44" i="78"/>
  <c r="U44" i="78"/>
  <c r="T44" i="78"/>
  <c r="S44" i="78"/>
  <c r="R44" i="78"/>
  <c r="Q44" i="78"/>
  <c r="P44" i="78"/>
  <c r="O44" i="78"/>
  <c r="N44" i="78"/>
  <c r="M44" i="78"/>
  <c r="L44" i="78"/>
  <c r="K44" i="78"/>
  <c r="J44" i="78"/>
  <c r="I44" i="78"/>
  <c r="H44" i="78"/>
  <c r="F44" i="78"/>
  <c r="E44" i="78"/>
  <c r="B44" i="78"/>
  <c r="AL43" i="78"/>
  <c r="AK43" i="78"/>
  <c r="AJ43" i="78"/>
  <c r="AI43" i="78"/>
  <c r="AH43" i="78"/>
  <c r="AG43" i="78"/>
  <c r="AF43" i="78"/>
  <c r="AE43" i="78"/>
  <c r="AD43" i="78"/>
  <c r="AC43" i="78"/>
  <c r="AB43" i="78"/>
  <c r="AA43" i="78"/>
  <c r="Z43" i="78"/>
  <c r="Y43" i="78"/>
  <c r="X43" i="78"/>
  <c r="W43" i="78"/>
  <c r="V43" i="78"/>
  <c r="U43" i="78"/>
  <c r="T43" i="78"/>
  <c r="S43" i="78"/>
  <c r="R43" i="78"/>
  <c r="Q43" i="78"/>
  <c r="P43" i="78"/>
  <c r="O43" i="78"/>
  <c r="N43" i="78"/>
  <c r="M43" i="78"/>
  <c r="L43" i="78"/>
  <c r="K43" i="78"/>
  <c r="J43" i="78"/>
  <c r="I43" i="78"/>
  <c r="H43" i="78"/>
  <c r="F43" i="78"/>
  <c r="E43" i="78"/>
  <c r="B43" i="78"/>
  <c r="AL39" i="78"/>
  <c r="AK39" i="78"/>
  <c r="AJ39" i="78"/>
  <c r="AI39" i="78"/>
  <c r="AH39" i="78"/>
  <c r="AG39" i="78"/>
  <c r="AF39" i="78"/>
  <c r="AE39" i="78"/>
  <c r="AD39" i="78"/>
  <c r="AC39" i="78"/>
  <c r="AB39" i="78"/>
  <c r="AA39" i="78"/>
  <c r="Z39" i="78"/>
  <c r="Y39" i="78"/>
  <c r="X39" i="78"/>
  <c r="W39" i="78"/>
  <c r="V39" i="78"/>
  <c r="U39" i="78"/>
  <c r="T39" i="78"/>
  <c r="S39" i="78"/>
  <c r="R39" i="78"/>
  <c r="Q39" i="78"/>
  <c r="P39" i="78"/>
  <c r="O39" i="78"/>
  <c r="N39" i="78"/>
  <c r="M39" i="78"/>
  <c r="L39" i="78"/>
  <c r="K39" i="78"/>
  <c r="J39" i="78"/>
  <c r="I39" i="78"/>
  <c r="H39" i="78"/>
  <c r="F39" i="78"/>
  <c r="E39" i="78"/>
  <c r="B39" i="78"/>
  <c r="AL38" i="78"/>
  <c r="AK38" i="78"/>
  <c r="AJ38" i="78"/>
  <c r="AI38" i="78"/>
  <c r="AH38" i="78"/>
  <c r="AG38" i="78"/>
  <c r="AF38" i="78"/>
  <c r="AE38" i="78"/>
  <c r="AD38" i="78"/>
  <c r="AC38" i="78"/>
  <c r="AB38" i="78"/>
  <c r="AA38" i="78"/>
  <c r="Z38" i="78"/>
  <c r="Y38" i="78"/>
  <c r="X38" i="78"/>
  <c r="W38" i="78"/>
  <c r="V38" i="78"/>
  <c r="U38" i="78"/>
  <c r="T38" i="78"/>
  <c r="S38" i="78"/>
  <c r="R38" i="78"/>
  <c r="Q38" i="78"/>
  <c r="P38" i="78"/>
  <c r="O38" i="78"/>
  <c r="N38" i="78"/>
  <c r="M38" i="78"/>
  <c r="L38" i="78"/>
  <c r="K38" i="78"/>
  <c r="J38" i="78"/>
  <c r="I38" i="78"/>
  <c r="H38" i="78"/>
  <c r="F38" i="78"/>
  <c r="E38" i="78"/>
  <c r="B38" i="78"/>
  <c r="AL37" i="78"/>
  <c r="AK37" i="78"/>
  <c r="AJ37" i="78"/>
  <c r="AI37" i="78"/>
  <c r="AH37" i="78"/>
  <c r="AG37" i="78"/>
  <c r="AF37" i="78"/>
  <c r="AE37" i="78"/>
  <c r="AD37" i="78"/>
  <c r="AC37" i="78"/>
  <c r="AB37" i="78"/>
  <c r="AA37" i="78"/>
  <c r="Z37" i="78"/>
  <c r="Y37" i="78"/>
  <c r="X37" i="78"/>
  <c r="W37" i="78"/>
  <c r="V37" i="78"/>
  <c r="U37" i="78"/>
  <c r="T37" i="78"/>
  <c r="S37" i="78"/>
  <c r="R37" i="78"/>
  <c r="Q37" i="78"/>
  <c r="P37" i="78"/>
  <c r="O37" i="78"/>
  <c r="N37" i="78"/>
  <c r="M37" i="78"/>
  <c r="L37" i="78"/>
  <c r="K37" i="78"/>
  <c r="J37" i="78"/>
  <c r="I37" i="78"/>
  <c r="H37" i="78"/>
  <c r="F37" i="78"/>
  <c r="E37" i="78"/>
  <c r="B37" i="78"/>
  <c r="AL36" i="78"/>
  <c r="AK36" i="78"/>
  <c r="AJ36" i="78"/>
  <c r="AI36" i="78"/>
  <c r="AH36" i="78"/>
  <c r="AG36" i="78"/>
  <c r="AF36" i="78"/>
  <c r="AE36" i="78"/>
  <c r="AD36" i="78"/>
  <c r="AC36" i="78"/>
  <c r="AB36" i="78"/>
  <c r="AA36" i="78"/>
  <c r="Z36" i="78"/>
  <c r="Y36" i="78"/>
  <c r="X36" i="78"/>
  <c r="W36" i="78"/>
  <c r="V36" i="78"/>
  <c r="U36" i="78"/>
  <c r="T36" i="78"/>
  <c r="S36" i="78"/>
  <c r="R36" i="78"/>
  <c r="Q36" i="78"/>
  <c r="P36" i="78"/>
  <c r="O36" i="78"/>
  <c r="N36" i="78"/>
  <c r="M36" i="78"/>
  <c r="L36" i="78"/>
  <c r="K36" i="78"/>
  <c r="J36" i="78"/>
  <c r="I36" i="78"/>
  <c r="H36" i="78"/>
  <c r="F36" i="78"/>
  <c r="E36" i="78"/>
  <c r="B36" i="78"/>
  <c r="AL35" i="78"/>
  <c r="AK35" i="78"/>
  <c r="AJ35" i="78"/>
  <c r="AI35" i="78"/>
  <c r="AH35" i="78"/>
  <c r="AG35" i="78"/>
  <c r="AF35" i="78"/>
  <c r="AE35" i="78"/>
  <c r="AD35" i="78"/>
  <c r="AC35" i="78"/>
  <c r="AB35" i="78"/>
  <c r="AA35" i="78"/>
  <c r="Z35" i="78"/>
  <c r="Y35" i="78"/>
  <c r="X35" i="78"/>
  <c r="W35" i="78"/>
  <c r="V35" i="78"/>
  <c r="U35" i="78"/>
  <c r="T35" i="78"/>
  <c r="S35" i="78"/>
  <c r="R35" i="78"/>
  <c r="Q35" i="78"/>
  <c r="P35" i="78"/>
  <c r="O35" i="78"/>
  <c r="N35" i="78"/>
  <c r="M35" i="78"/>
  <c r="L35" i="78"/>
  <c r="K35" i="78"/>
  <c r="J35" i="78"/>
  <c r="I35" i="78"/>
  <c r="H35" i="78"/>
  <c r="F35" i="78"/>
  <c r="E35" i="78"/>
  <c r="B35" i="78"/>
  <c r="AL34" i="78"/>
  <c r="AK34" i="78"/>
  <c r="AJ34" i="78"/>
  <c r="AI34" i="78"/>
  <c r="AH34" i="78"/>
  <c r="AG34" i="78"/>
  <c r="AF34" i="78"/>
  <c r="AE34" i="78"/>
  <c r="AD34" i="78"/>
  <c r="AC34" i="78"/>
  <c r="AB34" i="78"/>
  <c r="AA34" i="78"/>
  <c r="Z34" i="78"/>
  <c r="Y34" i="78"/>
  <c r="X34" i="78"/>
  <c r="W34" i="78"/>
  <c r="V34" i="78"/>
  <c r="U34" i="78"/>
  <c r="T34" i="78"/>
  <c r="S34" i="78"/>
  <c r="R34" i="78"/>
  <c r="Q34" i="78"/>
  <c r="P34" i="78"/>
  <c r="O34" i="78"/>
  <c r="N34" i="78"/>
  <c r="M34" i="78"/>
  <c r="L34" i="78"/>
  <c r="K34" i="78"/>
  <c r="J34" i="78"/>
  <c r="I34" i="78"/>
  <c r="H34" i="78"/>
  <c r="F34" i="78"/>
  <c r="E34" i="78"/>
  <c r="B34" i="78"/>
  <c r="AL33" i="78"/>
  <c r="AK33" i="78"/>
  <c r="AJ33" i="78"/>
  <c r="AI33" i="78"/>
  <c r="AH33" i="78"/>
  <c r="AG33" i="78"/>
  <c r="AF33" i="78"/>
  <c r="AE33" i="78"/>
  <c r="AD33" i="78"/>
  <c r="AC33" i="78"/>
  <c r="AB33" i="78"/>
  <c r="AA33" i="78"/>
  <c r="Z33" i="78"/>
  <c r="Y33" i="78"/>
  <c r="X33" i="78"/>
  <c r="W33" i="78"/>
  <c r="V33" i="78"/>
  <c r="U33" i="78"/>
  <c r="T33" i="78"/>
  <c r="S33" i="78"/>
  <c r="R33" i="78"/>
  <c r="Q33" i="78"/>
  <c r="P33" i="78"/>
  <c r="O33" i="78"/>
  <c r="N33" i="78"/>
  <c r="M33" i="78"/>
  <c r="L33" i="78"/>
  <c r="K33" i="78"/>
  <c r="J33" i="78"/>
  <c r="I33" i="78"/>
  <c r="H33" i="78"/>
  <c r="F33" i="78"/>
  <c r="E33" i="78"/>
  <c r="B33" i="78"/>
  <c r="AL32" i="78"/>
  <c r="AK32" i="78"/>
  <c r="AJ32" i="78"/>
  <c r="AI32" i="78"/>
  <c r="AH32" i="78"/>
  <c r="AG32" i="78"/>
  <c r="AF32" i="78"/>
  <c r="AE32" i="78"/>
  <c r="AD32" i="78"/>
  <c r="AC32" i="78"/>
  <c r="AB32" i="78"/>
  <c r="AA32" i="78"/>
  <c r="Z32" i="78"/>
  <c r="Y32" i="78"/>
  <c r="X32" i="78"/>
  <c r="W32" i="78"/>
  <c r="V32" i="78"/>
  <c r="U32" i="78"/>
  <c r="T32" i="78"/>
  <c r="S32" i="78"/>
  <c r="R32" i="78"/>
  <c r="Q32" i="78"/>
  <c r="P32" i="78"/>
  <c r="O32" i="78"/>
  <c r="N32" i="78"/>
  <c r="M32" i="78"/>
  <c r="L32" i="78"/>
  <c r="K32" i="78"/>
  <c r="J32" i="78"/>
  <c r="I32" i="78"/>
  <c r="H32" i="78"/>
  <c r="F32" i="78"/>
  <c r="E32" i="78"/>
  <c r="B32" i="78"/>
  <c r="AL31" i="78"/>
  <c r="AK31" i="78"/>
  <c r="AJ31" i="78"/>
  <c r="AI31" i="78"/>
  <c r="AH31" i="78"/>
  <c r="AG31" i="78"/>
  <c r="AF31" i="78"/>
  <c r="AE31" i="78"/>
  <c r="AD31" i="78"/>
  <c r="AC31" i="78"/>
  <c r="AB31" i="78"/>
  <c r="AA31" i="78"/>
  <c r="Z31" i="78"/>
  <c r="Y31" i="78"/>
  <c r="X31" i="78"/>
  <c r="W31" i="78"/>
  <c r="V31" i="78"/>
  <c r="U31" i="78"/>
  <c r="T31" i="78"/>
  <c r="S31" i="78"/>
  <c r="R31" i="78"/>
  <c r="Q31" i="78"/>
  <c r="P31" i="78"/>
  <c r="O31" i="78"/>
  <c r="N31" i="78"/>
  <c r="M31" i="78"/>
  <c r="L31" i="78"/>
  <c r="K31" i="78"/>
  <c r="J31" i="78"/>
  <c r="I31" i="78"/>
  <c r="H31" i="78"/>
  <c r="F31" i="78"/>
  <c r="E31" i="78"/>
  <c r="B31" i="78"/>
  <c r="AL30" i="78"/>
  <c r="AK30" i="78"/>
  <c r="AJ30" i="78"/>
  <c r="AI30" i="78"/>
  <c r="AH30" i="78"/>
  <c r="AG30" i="78"/>
  <c r="AF30" i="78"/>
  <c r="AE30" i="78"/>
  <c r="AD30" i="78"/>
  <c r="AC30" i="78"/>
  <c r="AB30" i="78"/>
  <c r="AA30" i="78"/>
  <c r="Z30" i="78"/>
  <c r="Y30" i="78"/>
  <c r="X30" i="78"/>
  <c r="W30" i="78"/>
  <c r="V30" i="78"/>
  <c r="U30" i="78"/>
  <c r="T30" i="78"/>
  <c r="S30" i="78"/>
  <c r="R30" i="78"/>
  <c r="Q30" i="78"/>
  <c r="P30" i="78"/>
  <c r="O30" i="78"/>
  <c r="N30" i="78"/>
  <c r="M30" i="78"/>
  <c r="L30" i="78"/>
  <c r="K30" i="78"/>
  <c r="J30" i="78"/>
  <c r="I30" i="78"/>
  <c r="H30" i="78"/>
  <c r="F30" i="78"/>
  <c r="E30" i="78"/>
  <c r="B30" i="78"/>
  <c r="AL29" i="78"/>
  <c r="AK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H29" i="78"/>
  <c r="F29" i="78"/>
  <c r="E29" i="78"/>
  <c r="B29" i="78"/>
  <c r="AL28" i="78"/>
  <c r="AK28" i="78"/>
  <c r="AJ28" i="78"/>
  <c r="AI28" i="78"/>
  <c r="AH28" i="78"/>
  <c r="AG28" i="78"/>
  <c r="AF28" i="78"/>
  <c r="AE28" i="78"/>
  <c r="AD28" i="78"/>
  <c r="AC28" i="78"/>
  <c r="AB28" i="78"/>
  <c r="AA28" i="78"/>
  <c r="Z28" i="78"/>
  <c r="Y28" i="78"/>
  <c r="X28" i="78"/>
  <c r="W28" i="78"/>
  <c r="V28" i="78"/>
  <c r="U28" i="78"/>
  <c r="T28" i="78"/>
  <c r="S28" i="78"/>
  <c r="R28" i="78"/>
  <c r="Q28" i="78"/>
  <c r="P28" i="78"/>
  <c r="O28" i="78"/>
  <c r="N28" i="78"/>
  <c r="M28" i="78"/>
  <c r="L28" i="78"/>
  <c r="K28" i="78"/>
  <c r="J28" i="78"/>
  <c r="I28" i="78"/>
  <c r="H28" i="78"/>
  <c r="F28" i="78"/>
  <c r="E28" i="78"/>
  <c r="B28" i="78"/>
  <c r="AL27" i="78"/>
  <c r="AK27" i="78"/>
  <c r="AJ27" i="78"/>
  <c r="AI27" i="78"/>
  <c r="AH27" i="78"/>
  <c r="AG27" i="78"/>
  <c r="AF27" i="78"/>
  <c r="AE27" i="78"/>
  <c r="AD27" i="78"/>
  <c r="AC27" i="78"/>
  <c r="AB27" i="78"/>
  <c r="AA27" i="78"/>
  <c r="Z27" i="78"/>
  <c r="Y27" i="78"/>
  <c r="X27" i="78"/>
  <c r="W27" i="78"/>
  <c r="V27" i="78"/>
  <c r="U27" i="78"/>
  <c r="T27" i="78"/>
  <c r="S27" i="78"/>
  <c r="R27" i="78"/>
  <c r="Q27" i="78"/>
  <c r="P27" i="78"/>
  <c r="O27" i="78"/>
  <c r="N27" i="78"/>
  <c r="M27" i="78"/>
  <c r="L27" i="78"/>
  <c r="K27" i="78"/>
  <c r="J27" i="78"/>
  <c r="I27" i="78"/>
  <c r="H27" i="78"/>
  <c r="F27" i="78"/>
  <c r="E27" i="78"/>
  <c r="B27" i="78"/>
  <c r="AL26" i="78"/>
  <c r="AK26" i="78"/>
  <c r="AJ26" i="78"/>
  <c r="AI26" i="78"/>
  <c r="AH26" i="78"/>
  <c r="AG26" i="78"/>
  <c r="AF26" i="78"/>
  <c r="AE26" i="78"/>
  <c r="AD26" i="78"/>
  <c r="AC26" i="78"/>
  <c r="AB26" i="78"/>
  <c r="AA26" i="78"/>
  <c r="Z26" i="78"/>
  <c r="Y26" i="78"/>
  <c r="X26" i="78"/>
  <c r="W26" i="78"/>
  <c r="V26" i="78"/>
  <c r="U26" i="78"/>
  <c r="T26" i="78"/>
  <c r="S26" i="78"/>
  <c r="R26" i="78"/>
  <c r="Q26" i="78"/>
  <c r="P26" i="78"/>
  <c r="O26" i="78"/>
  <c r="N26" i="78"/>
  <c r="M26" i="78"/>
  <c r="L26" i="78"/>
  <c r="K26" i="78"/>
  <c r="J26" i="78"/>
  <c r="I26" i="78"/>
  <c r="H26" i="78"/>
  <c r="F26" i="78"/>
  <c r="E26" i="78"/>
  <c r="B26" i="78"/>
  <c r="AL25" i="78"/>
  <c r="AK25" i="78"/>
  <c r="AJ25" i="78"/>
  <c r="AI25" i="78"/>
  <c r="AH25" i="78"/>
  <c r="AG25" i="78"/>
  <c r="AF25" i="78"/>
  <c r="AE25" i="78"/>
  <c r="AD25" i="78"/>
  <c r="AC25" i="78"/>
  <c r="AB25" i="78"/>
  <c r="AA25" i="78"/>
  <c r="Z25" i="78"/>
  <c r="Y25" i="78"/>
  <c r="X25" i="78"/>
  <c r="W25" i="78"/>
  <c r="V25" i="78"/>
  <c r="U25" i="78"/>
  <c r="T25" i="78"/>
  <c r="S25" i="78"/>
  <c r="R25" i="78"/>
  <c r="Q25" i="78"/>
  <c r="P25" i="78"/>
  <c r="O25" i="78"/>
  <c r="N25" i="78"/>
  <c r="M25" i="78"/>
  <c r="L25" i="78"/>
  <c r="K25" i="78"/>
  <c r="J25" i="78"/>
  <c r="I25" i="78"/>
  <c r="H25" i="78"/>
  <c r="F25" i="78"/>
  <c r="E25" i="78"/>
  <c r="B25" i="78"/>
  <c r="AL24" i="78"/>
  <c r="AK24" i="78"/>
  <c r="AJ24" i="78"/>
  <c r="AI24" i="78"/>
  <c r="AH24" i="78"/>
  <c r="AG24" i="78"/>
  <c r="AF24" i="78"/>
  <c r="AE24" i="78"/>
  <c r="AD24" i="78"/>
  <c r="AC24" i="78"/>
  <c r="AB24" i="78"/>
  <c r="AA24" i="78"/>
  <c r="Z24" i="78"/>
  <c r="Y24" i="78"/>
  <c r="X24" i="78"/>
  <c r="W24" i="78"/>
  <c r="V24" i="78"/>
  <c r="U24" i="78"/>
  <c r="T24" i="78"/>
  <c r="S24" i="78"/>
  <c r="R24" i="78"/>
  <c r="Q24" i="78"/>
  <c r="P24" i="78"/>
  <c r="O24" i="78"/>
  <c r="N24" i="78"/>
  <c r="M24" i="78"/>
  <c r="L24" i="78"/>
  <c r="K24" i="78"/>
  <c r="J24" i="78"/>
  <c r="I24" i="78"/>
  <c r="H24" i="78"/>
  <c r="F24" i="78"/>
  <c r="E24" i="78"/>
  <c r="B24" i="78"/>
  <c r="AL23" i="78"/>
  <c r="AK23" i="78"/>
  <c r="AJ23" i="78"/>
  <c r="AI23" i="78"/>
  <c r="AH23" i="78"/>
  <c r="AG23" i="78"/>
  <c r="AF23" i="78"/>
  <c r="AE23" i="78"/>
  <c r="AD23" i="78"/>
  <c r="AC23" i="78"/>
  <c r="AB23" i="78"/>
  <c r="AA23" i="78"/>
  <c r="Z23" i="78"/>
  <c r="Y23" i="78"/>
  <c r="X23" i="78"/>
  <c r="W23" i="78"/>
  <c r="V23" i="78"/>
  <c r="U23" i="78"/>
  <c r="T23" i="78"/>
  <c r="S23" i="78"/>
  <c r="R23" i="78"/>
  <c r="Q23" i="78"/>
  <c r="P23" i="78"/>
  <c r="O23" i="78"/>
  <c r="N23" i="78"/>
  <c r="M23" i="78"/>
  <c r="L23" i="78"/>
  <c r="K23" i="78"/>
  <c r="J23" i="78"/>
  <c r="I23" i="78"/>
  <c r="H23" i="78"/>
  <c r="F23" i="78"/>
  <c r="E23" i="78"/>
  <c r="B23" i="78"/>
  <c r="AL22" i="78"/>
  <c r="AK22" i="78"/>
  <c r="AJ22" i="78"/>
  <c r="AI22" i="78"/>
  <c r="AH22" i="78"/>
  <c r="AG22" i="78"/>
  <c r="AF22" i="78"/>
  <c r="AE22" i="78"/>
  <c r="AD22" i="78"/>
  <c r="AC22" i="78"/>
  <c r="AB22" i="78"/>
  <c r="AA22" i="78"/>
  <c r="Z22" i="78"/>
  <c r="Y22" i="78"/>
  <c r="X22" i="78"/>
  <c r="W22" i="78"/>
  <c r="V22" i="78"/>
  <c r="U22" i="78"/>
  <c r="T22" i="78"/>
  <c r="S22" i="78"/>
  <c r="R22" i="78"/>
  <c r="Q22" i="78"/>
  <c r="P22" i="78"/>
  <c r="O22" i="78"/>
  <c r="N22" i="78"/>
  <c r="M22" i="78"/>
  <c r="L22" i="78"/>
  <c r="K22" i="78"/>
  <c r="J22" i="78"/>
  <c r="I22" i="78"/>
  <c r="H22" i="78"/>
  <c r="F22" i="78"/>
  <c r="E22" i="78"/>
  <c r="B22" i="78"/>
  <c r="AL21" i="78"/>
  <c r="AK21" i="78"/>
  <c r="AJ21" i="78"/>
  <c r="AI21" i="78"/>
  <c r="AH21" i="78"/>
  <c r="AG21" i="78"/>
  <c r="AF21" i="78"/>
  <c r="AE21" i="78"/>
  <c r="AD21" i="78"/>
  <c r="AC21" i="78"/>
  <c r="AB21" i="78"/>
  <c r="AA21" i="78"/>
  <c r="Z21" i="78"/>
  <c r="Y21" i="78"/>
  <c r="X21" i="78"/>
  <c r="W21" i="78"/>
  <c r="V21" i="78"/>
  <c r="U21" i="78"/>
  <c r="T21" i="78"/>
  <c r="S21" i="78"/>
  <c r="R21" i="78"/>
  <c r="Q21" i="78"/>
  <c r="P21" i="78"/>
  <c r="O21" i="78"/>
  <c r="N21" i="78"/>
  <c r="M21" i="78"/>
  <c r="L21" i="78"/>
  <c r="K21" i="78"/>
  <c r="J21" i="78"/>
  <c r="I21" i="78"/>
  <c r="H21" i="78"/>
  <c r="F21" i="78"/>
  <c r="E21" i="78"/>
  <c r="B21" i="78"/>
  <c r="AL20" i="78"/>
  <c r="AK20" i="78"/>
  <c r="AJ20" i="78"/>
  <c r="AI20" i="78"/>
  <c r="AH20" i="78"/>
  <c r="AG20" i="78"/>
  <c r="AF20" i="78"/>
  <c r="AE20" i="78"/>
  <c r="AD20" i="78"/>
  <c r="AC20" i="78"/>
  <c r="AB20" i="78"/>
  <c r="AA20" i="78"/>
  <c r="Z20" i="78"/>
  <c r="Y20" i="78"/>
  <c r="X20" i="78"/>
  <c r="W20" i="78"/>
  <c r="V20" i="78"/>
  <c r="U20" i="78"/>
  <c r="T20" i="78"/>
  <c r="S20" i="78"/>
  <c r="R20" i="78"/>
  <c r="Q20" i="78"/>
  <c r="P20" i="78"/>
  <c r="O20" i="78"/>
  <c r="N20" i="78"/>
  <c r="M20" i="78"/>
  <c r="L20" i="78"/>
  <c r="K20" i="78"/>
  <c r="J20" i="78"/>
  <c r="I20" i="78"/>
  <c r="H20" i="78"/>
  <c r="F20" i="78"/>
  <c r="E20" i="78"/>
  <c r="B20" i="78"/>
  <c r="AL19" i="78"/>
  <c r="AK19" i="78"/>
  <c r="AJ19" i="78"/>
  <c r="AI19" i="78"/>
  <c r="AH19" i="78"/>
  <c r="AG19" i="78"/>
  <c r="AF19" i="78"/>
  <c r="AE19" i="78"/>
  <c r="AD19" i="78"/>
  <c r="AC19" i="78"/>
  <c r="AB19" i="78"/>
  <c r="AA19" i="78"/>
  <c r="Z19" i="78"/>
  <c r="Y19" i="78"/>
  <c r="X19" i="78"/>
  <c r="W19" i="78"/>
  <c r="V19" i="78"/>
  <c r="U19" i="78"/>
  <c r="T19" i="78"/>
  <c r="S19" i="78"/>
  <c r="R19" i="78"/>
  <c r="Q19" i="78"/>
  <c r="P19" i="78"/>
  <c r="O19" i="78"/>
  <c r="N19" i="78"/>
  <c r="M19" i="78"/>
  <c r="L19" i="78"/>
  <c r="K19" i="78"/>
  <c r="J19" i="78"/>
  <c r="I19" i="78"/>
  <c r="H19" i="78"/>
  <c r="F19" i="78"/>
  <c r="E19" i="78"/>
  <c r="B19" i="78"/>
  <c r="AL18" i="78"/>
  <c r="AK18" i="78"/>
  <c r="AJ18" i="78"/>
  <c r="AI18" i="78"/>
  <c r="AH18" i="78"/>
  <c r="AG18" i="78"/>
  <c r="AF18" i="78"/>
  <c r="AE18" i="78"/>
  <c r="AD18" i="78"/>
  <c r="AC18" i="78"/>
  <c r="AB18" i="78"/>
  <c r="AA18" i="78"/>
  <c r="Z18" i="78"/>
  <c r="Y18" i="78"/>
  <c r="X18" i="78"/>
  <c r="W18" i="78"/>
  <c r="V18" i="78"/>
  <c r="U18" i="78"/>
  <c r="T18" i="78"/>
  <c r="S18" i="78"/>
  <c r="R18" i="78"/>
  <c r="Q18" i="78"/>
  <c r="P18" i="78"/>
  <c r="O18" i="78"/>
  <c r="N18" i="78"/>
  <c r="M18" i="78"/>
  <c r="L18" i="78"/>
  <c r="K18" i="78"/>
  <c r="J18" i="78"/>
  <c r="I18" i="78"/>
  <c r="H18" i="78"/>
  <c r="F18" i="78"/>
  <c r="E18" i="78"/>
  <c r="B18" i="78"/>
  <c r="AL17" i="78"/>
  <c r="AK17" i="78"/>
  <c r="AJ17" i="78"/>
  <c r="AI17" i="78"/>
  <c r="AH17" i="78"/>
  <c r="AG17" i="78"/>
  <c r="AF17" i="78"/>
  <c r="AE17" i="78"/>
  <c r="AD17" i="78"/>
  <c r="AC17" i="78"/>
  <c r="AB17" i="78"/>
  <c r="AA17" i="78"/>
  <c r="Z17" i="78"/>
  <c r="Y17" i="78"/>
  <c r="X17" i="78"/>
  <c r="W17" i="78"/>
  <c r="V17" i="78"/>
  <c r="U17" i="78"/>
  <c r="T17" i="78"/>
  <c r="S17" i="78"/>
  <c r="R17" i="78"/>
  <c r="Q17" i="78"/>
  <c r="P17" i="78"/>
  <c r="O17" i="78"/>
  <c r="N17" i="78"/>
  <c r="M17" i="78"/>
  <c r="L17" i="78"/>
  <c r="K17" i="78"/>
  <c r="J17" i="78"/>
  <c r="I17" i="78"/>
  <c r="H17" i="78"/>
  <c r="F17" i="78"/>
  <c r="E17" i="78"/>
  <c r="B17" i="78"/>
  <c r="AL16" i="78"/>
  <c r="AK16" i="78"/>
  <c r="AJ16" i="78"/>
  <c r="AI16" i="78"/>
  <c r="AH16" i="78"/>
  <c r="AG16" i="78"/>
  <c r="AF16" i="78"/>
  <c r="AE16" i="78"/>
  <c r="AD16" i="78"/>
  <c r="AC16" i="78"/>
  <c r="AB16" i="78"/>
  <c r="AA16" i="78"/>
  <c r="Z16" i="78"/>
  <c r="Y16" i="78"/>
  <c r="X16" i="78"/>
  <c r="W16" i="78"/>
  <c r="V16" i="78"/>
  <c r="U16" i="78"/>
  <c r="T16" i="78"/>
  <c r="S16" i="78"/>
  <c r="R16" i="78"/>
  <c r="Q16" i="78"/>
  <c r="P16" i="78"/>
  <c r="O16" i="78"/>
  <c r="N16" i="78"/>
  <c r="M16" i="78"/>
  <c r="L16" i="78"/>
  <c r="K16" i="78"/>
  <c r="J16" i="78"/>
  <c r="I16" i="78"/>
  <c r="H16" i="78"/>
  <c r="F16" i="78"/>
  <c r="E16" i="78"/>
  <c r="B16" i="78"/>
  <c r="AL15" i="78"/>
  <c r="AK15" i="78"/>
  <c r="AJ15" i="78"/>
  <c r="AI15" i="78"/>
  <c r="AH15" i="78"/>
  <c r="AG15" i="78"/>
  <c r="AF15" i="78"/>
  <c r="AE15" i="78"/>
  <c r="AD15" i="78"/>
  <c r="AC15" i="78"/>
  <c r="AB15" i="78"/>
  <c r="AA15" i="78"/>
  <c r="Z15" i="78"/>
  <c r="Y15" i="78"/>
  <c r="X15" i="78"/>
  <c r="W15" i="78"/>
  <c r="V15" i="78"/>
  <c r="U15" i="78"/>
  <c r="T15" i="78"/>
  <c r="S15" i="78"/>
  <c r="R15" i="78"/>
  <c r="Q15" i="78"/>
  <c r="P15" i="78"/>
  <c r="O15" i="78"/>
  <c r="N15" i="78"/>
  <c r="M15" i="78"/>
  <c r="L15" i="78"/>
  <c r="K15" i="78"/>
  <c r="J15" i="78"/>
  <c r="I15" i="78"/>
  <c r="H15" i="78"/>
  <c r="F15" i="78"/>
  <c r="E15" i="78"/>
  <c r="B15" i="78"/>
  <c r="H11" i="78"/>
  <c r="I11" i="78" s="1"/>
  <c r="A5" i="78"/>
  <c r="H96" i="78" s="1"/>
  <c r="A4" i="78"/>
  <c r="H68" i="78" s="1"/>
  <c r="A3" i="78"/>
  <c r="H40" i="78" s="1"/>
  <c r="B40" i="78" s="1"/>
  <c r="A2" i="78"/>
  <c r="H12" i="78" s="1"/>
  <c r="K373" i="88" l="1"/>
  <c r="K124" i="88"/>
  <c r="E357" i="88"/>
  <c r="E356" i="88"/>
  <c r="E96" i="88"/>
  <c r="E138" i="88"/>
  <c r="E136" i="88"/>
  <c r="K138" i="88"/>
  <c r="K136" i="88"/>
  <c r="E355" i="88"/>
  <c r="E95" i="88"/>
  <c r="D28" i="88"/>
  <c r="E28" i="88" s="1"/>
  <c r="D29" i="88"/>
  <c r="K29" i="88" s="1"/>
  <c r="D51" i="88"/>
  <c r="E154" i="88"/>
  <c r="K118" i="88"/>
  <c r="E118" i="88"/>
  <c r="B96" i="76"/>
  <c r="E398" i="88"/>
  <c r="K367" i="88"/>
  <c r="K116" i="88"/>
  <c r="C33" i="90"/>
  <c r="E116" i="88"/>
  <c r="K153" i="88"/>
  <c r="K154" i="88"/>
  <c r="C58" i="90"/>
  <c r="E153" i="88"/>
  <c r="K106" i="88"/>
  <c r="E127" i="88"/>
  <c r="E428" i="88"/>
  <c r="E129" i="88"/>
  <c r="E128" i="88"/>
  <c r="K128" i="88"/>
  <c r="K428" i="88"/>
  <c r="K129" i="88"/>
  <c r="B114" i="76"/>
  <c r="E98" i="88"/>
  <c r="E106" i="88"/>
  <c r="E427" i="88"/>
  <c r="E430" i="88"/>
  <c r="K427" i="88"/>
  <c r="K430" i="88"/>
  <c r="K437" i="88"/>
  <c r="K438" i="88"/>
  <c r="K147" i="88"/>
  <c r="A144" i="88"/>
  <c r="D27" i="88"/>
  <c r="E104" i="88"/>
  <c r="B87" i="76"/>
  <c r="E145" i="88"/>
  <c r="K385" i="88"/>
  <c r="K145" i="88"/>
  <c r="E384" i="88"/>
  <c r="K423" i="88"/>
  <c r="K350" i="88"/>
  <c r="K426" i="88"/>
  <c r="E350" i="88"/>
  <c r="E426" i="88"/>
  <c r="E103" i="88"/>
  <c r="K103" i="88"/>
  <c r="C26" i="90"/>
  <c r="K418" i="88"/>
  <c r="K424" i="88"/>
  <c r="K421" i="88"/>
  <c r="K425" i="88"/>
  <c r="E421" i="88"/>
  <c r="E425" i="88"/>
  <c r="E418" i="88"/>
  <c r="E424" i="88"/>
  <c r="B124" i="76"/>
  <c r="E437" i="88"/>
  <c r="K109" i="88"/>
  <c r="K411" i="88"/>
  <c r="E109" i="88"/>
  <c r="E411" i="88"/>
  <c r="D58" i="79"/>
  <c r="A58" i="79" s="1"/>
  <c r="B83" i="76"/>
  <c r="K375" i="88"/>
  <c r="K381" i="88"/>
  <c r="E363" i="88"/>
  <c r="K369" i="88"/>
  <c r="K117" i="88"/>
  <c r="B71" i="76"/>
  <c r="E117" i="88"/>
  <c r="K389" i="88"/>
  <c r="K152" i="88"/>
  <c r="K420" i="88"/>
  <c r="K127" i="88"/>
  <c r="K422" i="88"/>
  <c r="K148" i="88"/>
  <c r="B89" i="76"/>
  <c r="C55" i="90"/>
  <c r="E147" i="88"/>
  <c r="E389" i="88"/>
  <c r="E152" i="88"/>
  <c r="E422" i="88"/>
  <c r="E148" i="88"/>
  <c r="K394" i="88"/>
  <c r="C23" i="90"/>
  <c r="K435" i="88"/>
  <c r="K404" i="88"/>
  <c r="K358" i="88"/>
  <c r="E433" i="88"/>
  <c r="E435" i="88"/>
  <c r="E404" i="88"/>
  <c r="B75" i="76"/>
  <c r="E119" i="88"/>
  <c r="E419" i="88"/>
  <c r="E415" i="88"/>
  <c r="E420" i="88"/>
  <c r="D92" i="79"/>
  <c r="A92" i="79" s="1"/>
  <c r="E137" i="88"/>
  <c r="K414" i="88"/>
  <c r="K119" i="88"/>
  <c r="K137" i="88"/>
  <c r="L25" i="88"/>
  <c r="J25" i="88"/>
  <c r="B140" i="76"/>
  <c r="E452" i="88"/>
  <c r="A452" i="88" s="1"/>
  <c r="E11" i="88"/>
  <c r="A11" i="88" s="1"/>
  <c r="I50" i="36"/>
  <c r="J50" i="36"/>
  <c r="R468" i="1"/>
  <c r="B26" i="76"/>
  <c r="B28" i="76"/>
  <c r="B97" i="76"/>
  <c r="C15" i="90"/>
  <c r="B98" i="76"/>
  <c r="C43" i="90"/>
  <c r="B29" i="76"/>
  <c r="C57" i="90"/>
  <c r="B31" i="76"/>
  <c r="C65" i="90"/>
  <c r="B33" i="76"/>
  <c r="B37" i="76"/>
  <c r="B30" i="76"/>
  <c r="B39" i="76"/>
  <c r="B32" i="76"/>
  <c r="B41" i="76"/>
  <c r="B34" i="76"/>
  <c r="D82" i="79"/>
  <c r="A82" i="79" s="1"/>
  <c r="B101" i="76"/>
  <c r="E391" i="88"/>
  <c r="B100" i="76"/>
  <c r="B110" i="76"/>
  <c r="B102" i="76"/>
  <c r="G8" i="76"/>
  <c r="I8" i="76" s="1"/>
  <c r="D112" i="88"/>
  <c r="I112" i="88" s="1"/>
  <c r="D92" i="88"/>
  <c r="F31" i="88"/>
  <c r="D94" i="88"/>
  <c r="D114" i="88"/>
  <c r="L114" i="88" s="1"/>
  <c r="D133" i="88"/>
  <c r="A133" i="88" s="1"/>
  <c r="AC5" i="36"/>
  <c r="AC16" i="36" s="1"/>
  <c r="AH16" i="36"/>
  <c r="D121" i="88"/>
  <c r="A120" i="88" s="1"/>
  <c r="D135" i="88"/>
  <c r="A135" i="88" s="1"/>
  <c r="AD5" i="36"/>
  <c r="AD16" i="36" s="1"/>
  <c r="D90" i="88"/>
  <c r="L90" i="88" s="1"/>
  <c r="L102" i="88"/>
  <c r="D123" i="88"/>
  <c r="J123" i="88" s="1"/>
  <c r="J32" i="88"/>
  <c r="L26" i="88"/>
  <c r="F30" i="88"/>
  <c r="L30" i="88"/>
  <c r="F32" i="88"/>
  <c r="J33" i="88"/>
  <c r="H32" i="88"/>
  <c r="F25" i="88"/>
  <c r="F26" i="88"/>
  <c r="G30" i="88"/>
  <c r="G32" i="88"/>
  <c r="L32" i="88"/>
  <c r="L33" i="88"/>
  <c r="I40" i="88"/>
  <c r="D108" i="88"/>
  <c r="D113" i="88"/>
  <c r="D122" i="88"/>
  <c r="L122" i="88" s="1"/>
  <c r="D132" i="88"/>
  <c r="A132" i="88" s="1"/>
  <c r="E37" i="88"/>
  <c r="I37" i="88"/>
  <c r="L38" i="88"/>
  <c r="J40" i="88"/>
  <c r="I25" i="88"/>
  <c r="I32" i="88"/>
  <c r="I33" i="88"/>
  <c r="J37" i="88"/>
  <c r="L40" i="88"/>
  <c r="D91" i="88"/>
  <c r="D100" i="88"/>
  <c r="D111" i="88"/>
  <c r="L111" i="88" s="1"/>
  <c r="D115" i="88"/>
  <c r="D125" i="88"/>
  <c r="E125" i="88" s="1"/>
  <c r="D134" i="88"/>
  <c r="I134" i="88" s="1"/>
  <c r="F24" i="88"/>
  <c r="E30" i="88"/>
  <c r="H31" i="88"/>
  <c r="A31" i="88" s="1"/>
  <c r="K32" i="88"/>
  <c r="I39" i="88"/>
  <c r="D126" i="88"/>
  <c r="A126" i="88" s="1"/>
  <c r="I31" i="88"/>
  <c r="J39" i="88"/>
  <c r="J31" i="88"/>
  <c r="L39" i="88"/>
  <c r="I41" i="88"/>
  <c r="I24" i="88"/>
  <c r="H30" i="88"/>
  <c r="K31" i="88"/>
  <c r="E33" i="88"/>
  <c r="I36" i="88"/>
  <c r="J41" i="88"/>
  <c r="J24" i="88"/>
  <c r="I30" i="88"/>
  <c r="L31" i="88"/>
  <c r="F33" i="88"/>
  <c r="J36" i="88"/>
  <c r="I26" i="88"/>
  <c r="J30" i="88"/>
  <c r="G33" i="88"/>
  <c r="I38" i="88"/>
  <c r="H33" i="88"/>
  <c r="E39" i="88"/>
  <c r="E31" i="88"/>
  <c r="E24" i="88"/>
  <c r="E41" i="88"/>
  <c r="N1" i="88"/>
  <c r="E9" i="76"/>
  <c r="E10" i="76"/>
  <c r="D55" i="88"/>
  <c r="K55" i="88" s="1"/>
  <c r="D79" i="88"/>
  <c r="J79" i="88" s="1"/>
  <c r="D209" i="88"/>
  <c r="L209" i="88" s="1"/>
  <c r="D60" i="88"/>
  <c r="J60" i="88" s="1"/>
  <c r="D69" i="88"/>
  <c r="L69" i="88" s="1"/>
  <c r="D74" i="88"/>
  <c r="J74" i="88" s="1"/>
  <c r="D183" i="88"/>
  <c r="H183" i="88" s="1"/>
  <c r="D65" i="88"/>
  <c r="H65" i="88" s="1"/>
  <c r="D84" i="88"/>
  <c r="F84" i="88" s="1"/>
  <c r="D191" i="88"/>
  <c r="H191" i="88" s="1"/>
  <c r="D168" i="88"/>
  <c r="L168" i="88" s="1"/>
  <c r="D8" i="94"/>
  <c r="N8" i="94" s="1"/>
  <c r="B69" i="78"/>
  <c r="B68" i="78"/>
  <c r="B70" i="78"/>
  <c r="B97" i="78"/>
  <c r="B96" i="78"/>
  <c r="B98" i="78"/>
  <c r="B13" i="78"/>
  <c r="B12" i="78"/>
  <c r="B14" i="78"/>
  <c r="B41" i="78"/>
  <c r="B42" i="78"/>
  <c r="D18" i="94"/>
  <c r="D187" i="88"/>
  <c r="H187" i="88" s="1"/>
  <c r="D199" i="88"/>
  <c r="H199" i="88" s="1"/>
  <c r="D143" i="88"/>
  <c r="L143" i="88" s="1"/>
  <c r="D173" i="88"/>
  <c r="H173" i="88" s="1"/>
  <c r="A12" i="78"/>
  <c r="AK125" i="78" s="1"/>
  <c r="H13" i="78"/>
  <c r="H41" i="78" s="1"/>
  <c r="H69" i="78" s="1"/>
  <c r="D19" i="94"/>
  <c r="N19" i="94" s="1"/>
  <c r="A10" i="78"/>
  <c r="H14" i="78"/>
  <c r="H98" i="78" s="1"/>
  <c r="I14" i="78"/>
  <c r="I13" i="78"/>
  <c r="J11" i="78"/>
  <c r="A9" i="78"/>
  <c r="D15" i="94"/>
  <c r="N15" i="94" s="1"/>
  <c r="D160" i="88"/>
  <c r="L160" i="88" s="1"/>
  <c r="D178" i="88"/>
  <c r="H178" i="88" s="1"/>
  <c r="D204" i="88"/>
  <c r="L204" i="88" s="1"/>
  <c r="D195" i="88"/>
  <c r="H195" i="88" s="1"/>
  <c r="R128" i="1"/>
  <c r="R67" i="1"/>
  <c r="R213" i="1"/>
  <c r="R73" i="1"/>
  <c r="R137" i="1"/>
  <c r="R159" i="1"/>
  <c r="R196" i="1"/>
  <c r="R417" i="1"/>
  <c r="R450" i="1"/>
  <c r="R45" i="1"/>
  <c r="R75" i="1"/>
  <c r="R83" i="1"/>
  <c r="R336" i="1"/>
  <c r="R71" i="1"/>
  <c r="R169" i="1"/>
  <c r="R203" i="1"/>
  <c r="R465" i="1"/>
  <c r="R24" i="1"/>
  <c r="R51" i="1"/>
  <c r="R87" i="1"/>
  <c r="R252" i="1"/>
  <c r="R116" i="1"/>
  <c r="R10" i="1"/>
  <c r="R246" i="1"/>
  <c r="R211" i="1"/>
  <c r="R441" i="1"/>
  <c r="R481" i="1"/>
  <c r="D24" i="37"/>
  <c r="R359" i="1"/>
  <c r="R53" i="1"/>
  <c r="R133" i="1"/>
  <c r="R145" i="1"/>
  <c r="R403" i="1"/>
  <c r="R155" i="1"/>
  <c r="R176" i="1"/>
  <c r="R179" i="1"/>
  <c r="R354" i="1"/>
  <c r="R443" i="1"/>
  <c r="R389" i="1"/>
  <c r="R39" i="1"/>
  <c r="R76" i="1"/>
  <c r="R74" i="1"/>
  <c r="R94" i="1"/>
  <c r="R123" i="1"/>
  <c r="R129" i="1"/>
  <c r="R183" i="1"/>
  <c r="R331" i="1"/>
  <c r="R292" i="1"/>
  <c r="R431" i="1"/>
  <c r="R447" i="1"/>
  <c r="D4" i="81"/>
  <c r="D80" i="88"/>
  <c r="K80" i="88" s="1"/>
  <c r="D140" i="88"/>
  <c r="L140" i="88" s="1"/>
  <c r="D161" i="88"/>
  <c r="K161" i="88" s="1"/>
  <c r="D174" i="88"/>
  <c r="H174" i="88" s="1"/>
  <c r="D179" i="88"/>
  <c r="L179" i="88" s="1"/>
  <c r="D184" i="88"/>
  <c r="L184" i="88" s="1"/>
  <c r="D188" i="88"/>
  <c r="L188" i="88" s="1"/>
  <c r="D196" i="88"/>
  <c r="H196" i="88" s="1"/>
  <c r="D200" i="88"/>
  <c r="A200" i="88" s="1"/>
  <c r="L47" i="88"/>
  <c r="D61" i="88"/>
  <c r="K61" i="88" s="1"/>
  <c r="D85" i="88"/>
  <c r="J85" i="88" s="1"/>
  <c r="D170" i="88"/>
  <c r="L170" i="88" s="1"/>
  <c r="D210" i="88"/>
  <c r="I210" i="88" s="1"/>
  <c r="K44" i="88"/>
  <c r="D53" i="88"/>
  <c r="L53" i="88" s="1"/>
  <c r="D57" i="88"/>
  <c r="L57" i="88" s="1"/>
  <c r="D62" i="88"/>
  <c r="L62" i="88" s="1"/>
  <c r="D67" i="88"/>
  <c r="K67" i="88" s="1"/>
  <c r="D72" i="88"/>
  <c r="A72" i="88" s="1"/>
  <c r="D77" i="88"/>
  <c r="L77" i="88" s="1"/>
  <c r="D81" i="88"/>
  <c r="L81" i="88" s="1"/>
  <c r="D86" i="88"/>
  <c r="L86" i="88" s="1"/>
  <c r="D141" i="88"/>
  <c r="D151" i="88"/>
  <c r="D157" i="88"/>
  <c r="K157" i="88" s="1"/>
  <c r="D162" i="88"/>
  <c r="E162" i="88" s="1"/>
  <c r="D166" i="88"/>
  <c r="L166" i="88" s="1"/>
  <c r="D171" i="88"/>
  <c r="G171" i="88" s="1"/>
  <c r="D176" i="88"/>
  <c r="H176" i="88" s="1"/>
  <c r="D180" i="88"/>
  <c r="H180" i="88" s="1"/>
  <c r="D185" i="88"/>
  <c r="H185" i="88" s="1"/>
  <c r="D189" i="88"/>
  <c r="H189" i="88" s="1"/>
  <c r="D197" i="88"/>
  <c r="H197" i="88" s="1"/>
  <c r="D201" i="88"/>
  <c r="K201" i="88" s="1"/>
  <c r="D206" i="88"/>
  <c r="J206" i="88" s="1"/>
  <c r="D211" i="88"/>
  <c r="G211" i="88" s="1"/>
  <c r="D328" i="88"/>
  <c r="I328" i="88" s="1"/>
  <c r="D56" i="88"/>
  <c r="K56" i="88" s="1"/>
  <c r="D66" i="88"/>
  <c r="I66" i="88" s="1"/>
  <c r="D71" i="88"/>
  <c r="L71" i="88" s="1"/>
  <c r="D75" i="88"/>
  <c r="F75" i="88" s="1"/>
  <c r="D156" i="88"/>
  <c r="D165" i="88"/>
  <c r="I165" i="88" s="1"/>
  <c r="D205" i="88"/>
  <c r="F205" i="88" s="1"/>
  <c r="D54" i="88"/>
  <c r="K54" i="88" s="1"/>
  <c r="D59" i="88"/>
  <c r="J59" i="88" s="1"/>
  <c r="D63" i="88"/>
  <c r="J63" i="88" s="1"/>
  <c r="D68" i="88"/>
  <c r="L68" i="88" s="1"/>
  <c r="D73" i="88"/>
  <c r="L73" i="88" s="1"/>
  <c r="D78" i="88"/>
  <c r="K78" i="88" s="1"/>
  <c r="D83" i="88"/>
  <c r="J83" i="88" s="1"/>
  <c r="D87" i="88"/>
  <c r="J87" i="88" s="1"/>
  <c r="D142" i="88"/>
  <c r="D159" i="88"/>
  <c r="L159" i="88" s="1"/>
  <c r="D163" i="88"/>
  <c r="D167" i="88"/>
  <c r="J167" i="88" s="1"/>
  <c r="D172" i="88"/>
  <c r="A172" i="88" s="1"/>
  <c r="D177" i="88"/>
  <c r="L177" i="88" s="1"/>
  <c r="D182" i="88"/>
  <c r="L182" i="88" s="1"/>
  <c r="D186" i="88"/>
  <c r="L186" i="88" s="1"/>
  <c r="D190" i="88"/>
  <c r="L190" i="88" s="1"/>
  <c r="D194" i="88"/>
  <c r="H194" i="88" s="1"/>
  <c r="D198" i="88"/>
  <c r="J198" i="88" s="1"/>
  <c r="D203" i="88"/>
  <c r="J203" i="88" s="1"/>
  <c r="D208" i="88"/>
  <c r="L208" i="88" s="1"/>
  <c r="D327" i="88"/>
  <c r="F327" i="88" s="1"/>
  <c r="D6" i="94"/>
  <c r="K457" i="88"/>
  <c r="S2" i="1"/>
  <c r="R17" i="1"/>
  <c r="R29" i="1"/>
  <c r="R374" i="1"/>
  <c r="R120" i="1"/>
  <c r="R70" i="1"/>
  <c r="R414" i="1"/>
  <c r="R14" i="1"/>
  <c r="R101" i="1"/>
  <c r="R250" i="1"/>
  <c r="R115" i="1"/>
  <c r="R184" i="1"/>
  <c r="R124" i="1"/>
  <c r="R228" i="1"/>
  <c r="R141" i="1"/>
  <c r="R154" i="1"/>
  <c r="R165" i="1"/>
  <c r="R192" i="1"/>
  <c r="R54" i="1"/>
  <c r="R190" i="1"/>
  <c r="R161" i="1"/>
  <c r="R367" i="1"/>
  <c r="R397" i="1"/>
  <c r="R89" i="1"/>
  <c r="R436" i="1"/>
  <c r="R446" i="1"/>
  <c r="R477" i="1"/>
  <c r="R21" i="1"/>
  <c r="R386" i="1"/>
  <c r="R43" i="1"/>
  <c r="R32" i="1"/>
  <c r="R66" i="1"/>
  <c r="R77" i="1"/>
  <c r="R81" i="1"/>
  <c r="R381" i="1"/>
  <c r="R104" i="1"/>
  <c r="R111" i="1"/>
  <c r="R119" i="1"/>
  <c r="R368" i="1"/>
  <c r="R135" i="1"/>
  <c r="R217" i="1"/>
  <c r="R143" i="1"/>
  <c r="R160" i="1"/>
  <c r="R171" i="1"/>
  <c r="R15" i="1"/>
  <c r="R333" i="1"/>
  <c r="R415" i="1"/>
  <c r="R22" i="1"/>
  <c r="R410" i="1"/>
  <c r="R449" i="1"/>
  <c r="R461" i="1"/>
  <c r="F3" i="81"/>
  <c r="F4" i="81" s="1"/>
  <c r="D12" i="94"/>
  <c r="N12" i="94" s="1"/>
  <c r="D10" i="94"/>
  <c r="L1" i="40"/>
  <c r="R4" i="1"/>
  <c r="R301" i="1"/>
  <c r="R126" i="1"/>
  <c r="R157" i="1"/>
  <c r="R144" i="1"/>
  <c r="R130" i="1"/>
  <c r="R139" i="1"/>
  <c r="R49" i="1"/>
  <c r="R411" i="1"/>
  <c r="R138" i="1"/>
  <c r="R57" i="1"/>
  <c r="R11" i="1"/>
  <c r="R372" i="1"/>
  <c r="R206" i="1"/>
  <c r="R151" i="1"/>
  <c r="R153" i="1"/>
  <c r="R402" i="1"/>
  <c r="R156" i="1"/>
  <c r="R413" i="1"/>
  <c r="R267" i="1"/>
  <c r="R163" i="1"/>
  <c r="R168" i="1"/>
  <c r="R170" i="1"/>
  <c r="R172" i="1"/>
  <c r="R64" i="1"/>
  <c r="R343" i="1"/>
  <c r="R177" i="1"/>
  <c r="R181" i="1"/>
  <c r="R191" i="1"/>
  <c r="R200" i="1"/>
  <c r="R419" i="1"/>
  <c r="R318" i="1"/>
  <c r="R244" i="1"/>
  <c r="R358" i="1"/>
  <c r="R371" i="1"/>
  <c r="R113" i="1"/>
  <c r="R36" i="1"/>
  <c r="R454" i="1"/>
  <c r="R479" i="1"/>
  <c r="R476" i="1"/>
  <c r="R475" i="1"/>
  <c r="R473" i="1"/>
  <c r="R469" i="1"/>
  <c r="R470" i="1"/>
  <c r="R467" i="1"/>
  <c r="R466" i="1"/>
  <c r="R463" i="1"/>
  <c r="R460" i="1"/>
  <c r="R459" i="1"/>
  <c r="R457" i="1"/>
  <c r="R456" i="1"/>
  <c r="R453" i="1"/>
  <c r="R435" i="1"/>
  <c r="R434" i="1"/>
  <c r="R432" i="1"/>
  <c r="R347" i="1"/>
  <c r="R59" i="1"/>
  <c r="R422" i="1"/>
  <c r="R346" i="1"/>
  <c r="R344" i="1"/>
  <c r="R65" i="1"/>
  <c r="R13" i="1"/>
  <c r="R332" i="1"/>
  <c r="R224" i="1"/>
  <c r="R40" i="1"/>
  <c r="R30" i="1"/>
  <c r="R365" i="1"/>
  <c r="R416" i="1"/>
  <c r="R408" i="1"/>
  <c r="R175" i="1"/>
  <c r="R404" i="1"/>
  <c r="R79" i="1"/>
  <c r="R396" i="1"/>
  <c r="R311" i="1"/>
  <c r="R118" i="1"/>
  <c r="R400" i="1"/>
  <c r="R392" i="1"/>
  <c r="R150" i="1"/>
  <c r="R338" i="1"/>
  <c r="R291" i="1"/>
  <c r="R125" i="1"/>
  <c r="R37" i="1"/>
  <c r="R390" i="1"/>
  <c r="R96" i="1"/>
  <c r="R369" i="1"/>
  <c r="R366" i="1"/>
  <c r="R361" i="1"/>
  <c r="R142" i="1"/>
  <c r="R356" i="1"/>
  <c r="R355" i="1"/>
  <c r="R352" i="1"/>
  <c r="R350" i="1"/>
  <c r="R58" i="1"/>
  <c r="R340" i="1"/>
  <c r="R335" i="1"/>
  <c r="R423" i="1"/>
  <c r="R314" i="1"/>
  <c r="R330" i="1"/>
  <c r="R328" i="1"/>
  <c r="R320" i="1"/>
  <c r="R321" i="1"/>
  <c r="R319" i="1"/>
  <c r="R317" i="1"/>
  <c r="R315" i="1"/>
  <c r="R289" i="1"/>
  <c r="R474" i="1"/>
  <c r="R458" i="1"/>
  <c r="R451" i="1"/>
  <c r="R429" i="1"/>
  <c r="R60" i="1"/>
  <c r="R232" i="1"/>
  <c r="R253" i="1"/>
  <c r="R152" i="1"/>
  <c r="R383" i="1"/>
  <c r="R97" i="1"/>
  <c r="R34" i="1"/>
  <c r="R297" i="1"/>
  <c r="R234" i="1"/>
  <c r="R360" i="1"/>
  <c r="R353" i="1"/>
  <c r="R225" i="1"/>
  <c r="R329" i="1"/>
  <c r="R323" i="1"/>
  <c r="R103" i="1"/>
  <c r="R309" i="1"/>
  <c r="R294" i="1"/>
  <c r="R425" i="1"/>
  <c r="R306" i="1"/>
  <c r="R325" i="1"/>
  <c r="R302" i="1"/>
  <c r="R300" i="1"/>
  <c r="R298" i="1"/>
  <c r="R296" i="1"/>
  <c r="R370" i="1"/>
  <c r="R290" i="1"/>
  <c r="R158" i="1"/>
  <c r="R261" i="1"/>
  <c r="R132" i="1"/>
  <c r="R188" i="1"/>
  <c r="R210" i="1"/>
  <c r="R25" i="1"/>
  <c r="R27" i="1"/>
  <c r="R93" i="1"/>
  <c r="R127" i="1"/>
  <c r="R149" i="1"/>
  <c r="R134" i="1"/>
  <c r="R195" i="1"/>
  <c r="R242" i="1"/>
  <c r="R249" i="1"/>
  <c r="R251" i="1"/>
  <c r="R99" i="1"/>
  <c r="R279" i="1"/>
  <c r="R243" i="1"/>
  <c r="R420" i="1"/>
  <c r="R238" i="1"/>
  <c r="R187" i="1"/>
  <c r="R382" i="1"/>
  <c r="R231" i="1"/>
  <c r="R182" i="1"/>
  <c r="R229" i="1"/>
  <c r="R304" i="1"/>
  <c r="R230" i="1"/>
  <c r="R342" i="1"/>
  <c r="R248" i="1"/>
  <c r="R220" i="1"/>
  <c r="R241" i="1"/>
  <c r="R216" i="1"/>
  <c r="R235" i="1"/>
  <c r="R167" i="1"/>
  <c r="R208" i="1"/>
  <c r="R209" i="1"/>
  <c r="R204" i="1"/>
  <c r="R202" i="1"/>
  <c r="R240" i="1"/>
  <c r="R198" i="1"/>
  <c r="R227" i="1"/>
  <c r="R194" i="1"/>
  <c r="R207" i="1"/>
  <c r="R438" i="1"/>
  <c r="R186" i="1"/>
  <c r="R166" i="1"/>
  <c r="R180" i="1"/>
  <c r="R185" i="1"/>
  <c r="R131" i="1"/>
  <c r="R178" i="1"/>
  <c r="R478" i="1"/>
  <c r="R464" i="1"/>
  <c r="R462" i="1"/>
  <c r="R455" i="1"/>
  <c r="R433" i="1"/>
  <c r="R428" i="1"/>
  <c r="R421" i="1"/>
  <c r="R393" i="1"/>
  <c r="R378" i="1"/>
  <c r="R409" i="1"/>
  <c r="R395" i="1"/>
  <c r="R380" i="1"/>
  <c r="R140" i="1"/>
  <c r="R226" i="1"/>
  <c r="R364" i="1"/>
  <c r="R345" i="1"/>
  <c r="R107" i="1"/>
  <c r="R322" i="1"/>
  <c r="R316" i="1"/>
  <c r="R312" i="1"/>
  <c r="R373" i="1"/>
  <c r="R307" i="1"/>
  <c r="R394" i="1"/>
  <c r="R308" i="1"/>
  <c r="R339" i="1"/>
  <c r="R303" i="1"/>
  <c r="R310" i="1"/>
  <c r="R299" i="1"/>
  <c r="R399" i="1"/>
  <c r="R295" i="1"/>
  <c r="R293" i="1"/>
  <c r="R55" i="1"/>
  <c r="R47" i="1"/>
  <c r="R46" i="1"/>
  <c r="R52" i="1"/>
  <c r="R102" i="1"/>
  <c r="R7" i="1"/>
  <c r="R9" i="1"/>
  <c r="R412" i="1"/>
  <c r="R218" i="1"/>
  <c r="R401" i="1"/>
  <c r="R38" i="1"/>
  <c r="R212" i="1"/>
  <c r="R201" i="1"/>
  <c r="R247" i="1"/>
  <c r="R245" i="1"/>
  <c r="R92" i="1"/>
  <c r="R363" i="1"/>
  <c r="R105" i="1"/>
  <c r="R219" i="1"/>
  <c r="R233" i="1"/>
  <c r="R406" i="1"/>
  <c r="R384" i="1"/>
  <c r="R85" i="1"/>
  <c r="R215" i="1"/>
  <c r="R223" i="1"/>
  <c r="R222" i="1"/>
  <c r="R391" i="1"/>
  <c r="R90" i="1"/>
  <c r="R405" i="1"/>
  <c r="R214" i="1"/>
  <c r="R16" i="1"/>
  <c r="R18" i="1"/>
  <c r="R20" i="1"/>
  <c r="R33" i="1"/>
  <c r="R173" i="1"/>
  <c r="R23" i="1"/>
  <c r="R375" i="1"/>
  <c r="R31" i="1"/>
  <c r="R418" i="1"/>
  <c r="R35" i="1"/>
  <c r="R41" i="1"/>
  <c r="R100" i="1"/>
  <c r="R42" i="1"/>
  <c r="R44" i="1"/>
  <c r="R48" i="1"/>
  <c r="R50" i="1"/>
  <c r="R327" i="1"/>
  <c r="R61" i="1"/>
  <c r="R68" i="1"/>
  <c r="R69" i="1"/>
  <c r="R357" i="1"/>
  <c r="R379" i="1"/>
  <c r="R78" i="1"/>
  <c r="R80" i="1"/>
  <c r="R221" i="1"/>
  <c r="R84" i="1"/>
  <c r="R88" i="1"/>
  <c r="R121" i="1"/>
  <c r="R82" i="1"/>
  <c r="R91" i="1"/>
  <c r="R236" i="1"/>
  <c r="R98" i="1"/>
  <c r="R385" i="1"/>
  <c r="R348" i="1"/>
  <c r="R239" i="1"/>
  <c r="R106" i="1"/>
  <c r="R109" i="1"/>
  <c r="R110" i="1"/>
  <c r="R112" i="1"/>
  <c r="R114" i="1"/>
  <c r="R376" i="1"/>
  <c r="R117" i="1"/>
  <c r="R162" i="1"/>
  <c r="R337" i="1"/>
  <c r="R122" i="1"/>
  <c r="R193" i="1"/>
  <c r="R254" i="1"/>
  <c r="R189" i="1"/>
  <c r="R199" i="1"/>
  <c r="R205" i="1"/>
  <c r="R324" i="1"/>
  <c r="R341" i="1"/>
  <c r="R362" i="1"/>
  <c r="R197" i="1"/>
  <c r="R407" i="1"/>
  <c r="R377" i="1"/>
  <c r="R440" i="1"/>
  <c r="R442" i="1"/>
  <c r="R445" i="1"/>
  <c r="R108" i="1"/>
  <c r="R448" i="1"/>
  <c r="R444" i="1"/>
  <c r="R471" i="1"/>
  <c r="R472" i="1"/>
  <c r="D13" i="94"/>
  <c r="M13" i="94" s="1"/>
  <c r="D16" i="94"/>
  <c r="N16" i="94" s="1"/>
  <c r="D11" i="94"/>
  <c r="N11" i="94" s="1"/>
  <c r="D7" i="94"/>
  <c r="N7" i="94" s="1"/>
  <c r="C60" i="90"/>
  <c r="C12" i="90"/>
  <c r="C19" i="90"/>
  <c r="C24" i="90"/>
  <c r="C17" i="90"/>
  <c r="C9" i="90"/>
  <c r="C22" i="90"/>
  <c r="AA20" i="31"/>
  <c r="A130" i="88"/>
  <c r="J131" i="88"/>
  <c r="H258" i="88"/>
  <c r="C39" i="90"/>
  <c r="C44" i="90"/>
  <c r="C5" i="90"/>
  <c r="K456" i="88"/>
  <c r="K37" i="88"/>
  <c r="C45" i="90"/>
  <c r="K458" i="88"/>
  <c r="K452" i="88"/>
  <c r="D21" i="94"/>
  <c r="M21" i="94" s="1"/>
  <c r="D32" i="94"/>
  <c r="O32" i="94" s="1"/>
  <c r="D20" i="94"/>
  <c r="D22" i="94"/>
  <c r="D25" i="94"/>
  <c r="M25" i="94" s="1"/>
  <c r="D14" i="94"/>
  <c r="P14" i="94" s="1"/>
  <c r="D29" i="94"/>
  <c r="M29" i="94" s="1"/>
  <c r="D30" i="94"/>
  <c r="N30" i="94" s="1"/>
  <c r="D9" i="94"/>
  <c r="M9" i="94" s="1"/>
  <c r="D17" i="94"/>
  <c r="M17" i="94" s="1"/>
  <c r="D26" i="94"/>
  <c r="O26" i="94" s="1"/>
  <c r="D23" i="94"/>
  <c r="D27" i="94"/>
  <c r="D31" i="94"/>
  <c r="D24" i="94"/>
  <c r="D28" i="94"/>
  <c r="J214" i="88"/>
  <c r="J285" i="88"/>
  <c r="G334" i="88"/>
  <c r="G340" i="88"/>
  <c r="F347" i="88"/>
  <c r="J334" i="88"/>
  <c r="H256" i="88"/>
  <c r="C62" i="90"/>
  <c r="K18" i="88"/>
  <c r="K357" i="88"/>
  <c r="J226" i="88"/>
  <c r="E224" i="88"/>
  <c r="E226" i="88"/>
  <c r="E235" i="88"/>
  <c r="H238" i="88"/>
  <c r="G241" i="88"/>
  <c r="K256" i="88"/>
  <c r="L286" i="88"/>
  <c r="H296" i="88"/>
  <c r="J224" i="88"/>
  <c r="K300" i="88"/>
  <c r="E316" i="88"/>
  <c r="E214" i="88"/>
  <c r="H215" i="88"/>
  <c r="F220" i="88"/>
  <c r="F228" i="88"/>
  <c r="H234" i="88"/>
  <c r="F286" i="88"/>
  <c r="J287" i="88"/>
  <c r="F289" i="88"/>
  <c r="F294" i="88"/>
  <c r="E296" i="88"/>
  <c r="L299" i="88"/>
  <c r="G311" i="88"/>
  <c r="G317" i="88"/>
  <c r="J319" i="88"/>
  <c r="F131" i="88"/>
  <c r="G220" i="88"/>
  <c r="H246" i="88"/>
  <c r="F252" i="88"/>
  <c r="F256" i="88"/>
  <c r="I286" i="88"/>
  <c r="I292" i="88"/>
  <c r="I294" i="88"/>
  <c r="F296" i="88"/>
  <c r="F298" i="88"/>
  <c r="F302" i="88"/>
  <c r="E220" i="88"/>
  <c r="E228" i="88"/>
  <c r="G247" i="88"/>
  <c r="G299" i="88"/>
  <c r="E319" i="88"/>
  <c r="C38" i="90"/>
  <c r="C40" i="90"/>
  <c r="F72" i="90"/>
  <c r="C18" i="90"/>
  <c r="C27" i="90"/>
  <c r="C59" i="90"/>
  <c r="K14" i="88"/>
  <c r="K21" i="88"/>
  <c r="K39" i="88"/>
  <c r="K40" i="88"/>
  <c r="K41" i="88"/>
  <c r="K353" i="88"/>
  <c r="K20" i="88"/>
  <c r="K36" i="88"/>
  <c r="K19" i="88"/>
  <c r="K24" i="88"/>
  <c r="K25" i="88"/>
  <c r="K26" i="88"/>
  <c r="K363" i="88"/>
  <c r="K12" i="88"/>
  <c r="C4" i="90"/>
  <c r="C6" i="90"/>
  <c r="C54" i="90"/>
  <c r="C56" i="90"/>
  <c r="C63" i="90"/>
  <c r="C28" i="90"/>
  <c r="C29" i="90"/>
  <c r="C66" i="90"/>
  <c r="K11" i="88"/>
  <c r="K16" i="88"/>
  <c r="E20" i="88"/>
  <c r="A20" i="88" s="1"/>
  <c r="K416" i="88"/>
  <c r="C8" i="90"/>
  <c r="C10" i="90"/>
  <c r="C34" i="90"/>
  <c r="C35" i="90"/>
  <c r="C48" i="90"/>
  <c r="C49" i="90"/>
  <c r="C50" i="90"/>
  <c r="K13" i="88"/>
  <c r="E38" i="88"/>
  <c r="K448" i="88"/>
  <c r="K235" i="88"/>
  <c r="L264" i="88"/>
  <c r="J309" i="88"/>
  <c r="K220" i="88"/>
  <c r="G228" i="88"/>
  <c r="F235" i="88"/>
  <c r="H259" i="88"/>
  <c r="F264" i="88"/>
  <c r="G272" i="88"/>
  <c r="J280" i="88"/>
  <c r="J283" i="88"/>
  <c r="J293" i="88"/>
  <c r="L298" i="88"/>
  <c r="E301" i="88"/>
  <c r="E309" i="88"/>
  <c r="E313" i="88"/>
  <c r="F323" i="88"/>
  <c r="E325" i="88"/>
  <c r="H335" i="88"/>
  <c r="K228" i="88"/>
  <c r="G235" i="88"/>
  <c r="I259" i="88"/>
  <c r="E300" i="88"/>
  <c r="I301" i="88"/>
  <c r="G309" i="88"/>
  <c r="J313" i="88"/>
  <c r="K323" i="88"/>
  <c r="J325" i="88"/>
  <c r="L216" i="88"/>
  <c r="G216" i="88"/>
  <c r="L218" i="88"/>
  <c r="E218" i="88"/>
  <c r="G222" i="88"/>
  <c r="F232" i="88"/>
  <c r="G232" i="88"/>
  <c r="L243" i="88"/>
  <c r="F243" i="88"/>
  <c r="K243" i="88"/>
  <c r="J245" i="88"/>
  <c r="J255" i="88"/>
  <c r="E255" i="88"/>
  <c r="J271" i="88"/>
  <c r="H271" i="88"/>
  <c r="I324" i="88"/>
  <c r="L324" i="88"/>
  <c r="E324" i="88"/>
  <c r="L214" i="88"/>
  <c r="F214" i="88"/>
  <c r="K214" i="88"/>
  <c r="E216" i="88"/>
  <c r="G218" i="88"/>
  <c r="L226" i="88"/>
  <c r="G226" i="88"/>
  <c r="K226" i="88"/>
  <c r="E232" i="88"/>
  <c r="F241" i="88"/>
  <c r="E243" i="88"/>
  <c r="F255" i="88"/>
  <c r="F263" i="88"/>
  <c r="E263" i="88"/>
  <c r="F269" i="88"/>
  <c r="I269" i="88"/>
  <c r="K289" i="88"/>
  <c r="H289" i="88"/>
  <c r="L315" i="88"/>
  <c r="K315" i="88"/>
  <c r="F315" i="88"/>
  <c r="L222" i="88"/>
  <c r="K222" i="88"/>
  <c r="E222" i="88"/>
  <c r="H255" i="88"/>
  <c r="H260" i="88"/>
  <c r="J260" i="88"/>
  <c r="E267" i="88"/>
  <c r="H267" i="88"/>
  <c r="J277" i="88"/>
  <c r="F277" i="88"/>
  <c r="K131" i="88"/>
  <c r="F222" i="88"/>
  <c r="L224" i="88"/>
  <c r="F224" i="88"/>
  <c r="K224" i="88"/>
  <c r="L240" i="88"/>
  <c r="H240" i="88"/>
  <c r="J243" i="88"/>
  <c r="G245" i="88"/>
  <c r="L255" i="88"/>
  <c r="K264" i="88"/>
  <c r="G264" i="88"/>
  <c r="H265" i="88"/>
  <c r="F265" i="88"/>
  <c r="I267" i="88"/>
  <c r="J270" i="88"/>
  <c r="H277" i="88"/>
  <c r="E280" i="88"/>
  <c r="H285" i="88"/>
  <c r="F288" i="88"/>
  <c r="J288" i="88"/>
  <c r="G289" i="88"/>
  <c r="L304" i="88"/>
  <c r="J304" i="88"/>
  <c r="E304" i="88"/>
  <c r="I308" i="88"/>
  <c r="E308" i="88"/>
  <c r="L321" i="88"/>
  <c r="J321" i="88"/>
  <c r="G321" i="88"/>
  <c r="E321" i="88"/>
  <c r="J220" i="88"/>
  <c r="J228" i="88"/>
  <c r="J235" i="88"/>
  <c r="L296" i="88"/>
  <c r="G301" i="88"/>
  <c r="K302" i="88"/>
  <c r="J311" i="88"/>
  <c r="G313" i="88"/>
  <c r="L316" i="88"/>
  <c r="J317" i="88"/>
  <c r="G319" i="88"/>
  <c r="G325" i="88"/>
  <c r="G332" i="88"/>
  <c r="F338" i="88"/>
  <c r="F346" i="88"/>
  <c r="G338" i="88"/>
  <c r="K346" i="88"/>
  <c r="E311" i="88"/>
  <c r="E317" i="88"/>
  <c r="F337" i="88"/>
  <c r="K338" i="88"/>
  <c r="H219" i="88"/>
  <c r="F251" i="88"/>
  <c r="J251" i="88"/>
  <c r="I214" i="88"/>
  <c r="E215" i="88"/>
  <c r="F216" i="88"/>
  <c r="K216" i="88"/>
  <c r="F218" i="88"/>
  <c r="K218" i="88"/>
  <c r="I220" i="88"/>
  <c r="I222" i="88"/>
  <c r="I224" i="88"/>
  <c r="I226" i="88"/>
  <c r="I228" i="88"/>
  <c r="G230" i="88"/>
  <c r="L236" i="88"/>
  <c r="H236" i="88"/>
  <c r="L241" i="88"/>
  <c r="J241" i="88"/>
  <c r="E241" i="88"/>
  <c r="K241" i="88"/>
  <c r="K247" i="88"/>
  <c r="G249" i="88"/>
  <c r="H251" i="88"/>
  <c r="L252" i="88"/>
  <c r="L256" i="88"/>
  <c r="J258" i="88"/>
  <c r="H263" i="88"/>
  <c r="J266" i="88"/>
  <c r="F270" i="88"/>
  <c r="F271" i="88"/>
  <c r="F272" i="88"/>
  <c r="F273" i="88"/>
  <c r="H273" i="88"/>
  <c r="L279" i="88"/>
  <c r="J279" i="88"/>
  <c r="F280" i="88"/>
  <c r="G281" i="88"/>
  <c r="I282" i="88"/>
  <c r="H288" i="88"/>
  <c r="E292" i="88"/>
  <c r="K297" i="88"/>
  <c r="I314" i="88"/>
  <c r="G314" i="88"/>
  <c r="I230" i="88"/>
  <c r="L237" i="88"/>
  <c r="G237" i="88"/>
  <c r="J237" i="88"/>
  <c r="L239" i="88"/>
  <c r="K239" i="88"/>
  <c r="F239" i="88"/>
  <c r="J239" i="88"/>
  <c r="L246" i="88"/>
  <c r="E246" i="88"/>
  <c r="L247" i="88"/>
  <c r="H249" i="88"/>
  <c r="H281" i="88"/>
  <c r="G291" i="88"/>
  <c r="H291" i="88"/>
  <c r="L297" i="88"/>
  <c r="L307" i="88"/>
  <c r="G307" i="88"/>
  <c r="J307" i="88"/>
  <c r="E307" i="88"/>
  <c r="E312" i="88"/>
  <c r="I312" i="88"/>
  <c r="I216" i="88"/>
  <c r="I218" i="88"/>
  <c r="E219" i="88"/>
  <c r="E230" i="88"/>
  <c r="J230" i="88"/>
  <c r="L232" i="88"/>
  <c r="J232" i="88"/>
  <c r="I232" i="88"/>
  <c r="E237" i="88"/>
  <c r="K237" i="88"/>
  <c r="E239" i="88"/>
  <c r="H242" i="88"/>
  <c r="F246" i="88"/>
  <c r="F247" i="88"/>
  <c r="H248" i="88"/>
  <c r="I248" i="88"/>
  <c r="E252" i="88"/>
  <c r="J253" i="88"/>
  <c r="L263" i="88"/>
  <c r="L270" i="88"/>
  <c r="K272" i="88"/>
  <c r="L280" i="88"/>
  <c r="H283" i="88"/>
  <c r="L288" i="88"/>
  <c r="J291" i="88"/>
  <c r="F297" i="88"/>
  <c r="L302" i="88"/>
  <c r="J302" i="88"/>
  <c r="E302" i="88"/>
  <c r="G302" i="88"/>
  <c r="F307" i="88"/>
  <c r="G312" i="88"/>
  <c r="F230" i="88"/>
  <c r="K230" i="88"/>
  <c r="F237" i="88"/>
  <c r="G239" i="88"/>
  <c r="L261" i="88"/>
  <c r="I261" i="88"/>
  <c r="L271" i="88"/>
  <c r="E271" i="88"/>
  <c r="L272" i="88"/>
  <c r="H276" i="88"/>
  <c r="I276" i="88"/>
  <c r="L281" i="88"/>
  <c r="F281" i="88"/>
  <c r="H297" i="88"/>
  <c r="I307" i="88"/>
  <c r="L312" i="88"/>
  <c r="I235" i="88"/>
  <c r="I243" i="88"/>
  <c r="F304" i="88"/>
  <c r="K304" i="88"/>
  <c r="F309" i="88"/>
  <c r="K309" i="88"/>
  <c r="F311" i="88"/>
  <c r="K311" i="88"/>
  <c r="F313" i="88"/>
  <c r="K313" i="88"/>
  <c r="E315" i="88"/>
  <c r="J315" i="88"/>
  <c r="F317" i="88"/>
  <c r="K317" i="88"/>
  <c r="F319" i="88"/>
  <c r="K319" i="88"/>
  <c r="I320" i="88"/>
  <c r="F321" i="88"/>
  <c r="K321" i="88"/>
  <c r="E323" i="88"/>
  <c r="J323" i="88"/>
  <c r="F325" i="88"/>
  <c r="K325" i="88"/>
  <c r="H331" i="88"/>
  <c r="F332" i="88"/>
  <c r="L332" i="88"/>
  <c r="E337" i="88"/>
  <c r="L338" i="88"/>
  <c r="H339" i="88"/>
  <c r="F340" i="88"/>
  <c r="L340" i="88"/>
  <c r="J344" i="88"/>
  <c r="J345" i="88"/>
  <c r="G346" i="88"/>
  <c r="E347" i="88"/>
  <c r="L347" i="88"/>
  <c r="H348" i="88"/>
  <c r="L320" i="88"/>
  <c r="J331" i="88"/>
  <c r="J339" i="88"/>
  <c r="L345" i="88"/>
  <c r="K348" i="88"/>
  <c r="I304" i="88"/>
  <c r="I309" i="88"/>
  <c r="I311" i="88"/>
  <c r="I313" i="88"/>
  <c r="G315" i="88"/>
  <c r="I317" i="88"/>
  <c r="I319" i="88"/>
  <c r="E320" i="88"/>
  <c r="I321" i="88"/>
  <c r="G322" i="88"/>
  <c r="G323" i="88"/>
  <c r="I325" i="88"/>
  <c r="E331" i="88"/>
  <c r="L331" i="88"/>
  <c r="H332" i="88"/>
  <c r="F333" i="88"/>
  <c r="J337" i="88"/>
  <c r="E339" i="88"/>
  <c r="L339" i="88"/>
  <c r="H340" i="88"/>
  <c r="I343" i="88"/>
  <c r="E345" i="88"/>
  <c r="L346" i="88"/>
  <c r="H347" i="88"/>
  <c r="F348" i="88"/>
  <c r="L348" i="88"/>
  <c r="I315" i="88"/>
  <c r="I323" i="88"/>
  <c r="L337" i="88"/>
  <c r="F345" i="88"/>
  <c r="J213" i="88"/>
  <c r="F213" i="88"/>
  <c r="L213" i="88"/>
  <c r="G213" i="88"/>
  <c r="K213" i="88"/>
  <c r="J217" i="88"/>
  <c r="F217" i="88"/>
  <c r="L217" i="88"/>
  <c r="G217" i="88"/>
  <c r="K217" i="88"/>
  <c r="J221" i="88"/>
  <c r="F221" i="88"/>
  <c r="K221" i="88"/>
  <c r="E221" i="88"/>
  <c r="L221" i="88"/>
  <c r="G221" i="88"/>
  <c r="J223" i="88"/>
  <c r="F223" i="88"/>
  <c r="K223" i="88"/>
  <c r="E223" i="88"/>
  <c r="L223" i="88"/>
  <c r="G223" i="88"/>
  <c r="J225" i="88"/>
  <c r="F225" i="88"/>
  <c r="K225" i="88"/>
  <c r="E225" i="88"/>
  <c r="L225" i="88"/>
  <c r="G225" i="88"/>
  <c r="J227" i="88"/>
  <c r="F227" i="88"/>
  <c r="K227" i="88"/>
  <c r="E227" i="88"/>
  <c r="L227" i="88"/>
  <c r="G227" i="88"/>
  <c r="J229" i="88"/>
  <c r="F229" i="88"/>
  <c r="K229" i="88"/>
  <c r="E229" i="88"/>
  <c r="L229" i="88"/>
  <c r="G229" i="88"/>
  <c r="J231" i="88"/>
  <c r="F231" i="88"/>
  <c r="K231" i="88"/>
  <c r="E231" i="88"/>
  <c r="L231" i="88"/>
  <c r="G231" i="88"/>
  <c r="A131" i="88"/>
  <c r="L131" i="88"/>
  <c r="E213" i="88"/>
  <c r="E217" i="88"/>
  <c r="H221" i="88"/>
  <c r="H223" i="88"/>
  <c r="H225" i="88"/>
  <c r="H227" i="88"/>
  <c r="H229" i="88"/>
  <c r="H231" i="88"/>
  <c r="H213" i="88"/>
  <c r="J215" i="88"/>
  <c r="F215" i="88"/>
  <c r="L215" i="88"/>
  <c r="G215" i="88"/>
  <c r="K215" i="88"/>
  <c r="H217" i="88"/>
  <c r="J219" i="88"/>
  <c r="F219" i="88"/>
  <c r="L219" i="88"/>
  <c r="G219" i="88"/>
  <c r="K219" i="88"/>
  <c r="I221" i="88"/>
  <c r="I223" i="88"/>
  <c r="I225" i="88"/>
  <c r="I227" i="88"/>
  <c r="K244" i="88"/>
  <c r="G244" i="88"/>
  <c r="H244" i="88"/>
  <c r="F244" i="88"/>
  <c r="L244" i="88"/>
  <c r="E244" i="88"/>
  <c r="I244" i="88"/>
  <c r="I213" i="88"/>
  <c r="I217" i="88"/>
  <c r="J244" i="88"/>
  <c r="G234" i="88"/>
  <c r="G236" i="88"/>
  <c r="G238" i="88"/>
  <c r="G240" i="88"/>
  <c r="G242" i="88"/>
  <c r="F245" i="88"/>
  <c r="I249" i="88"/>
  <c r="E249" i="88"/>
  <c r="K249" i="88"/>
  <c r="F249" i="88"/>
  <c r="L249" i="88"/>
  <c r="K252" i="88"/>
  <c r="G252" i="88"/>
  <c r="H252" i="88"/>
  <c r="J252" i="88"/>
  <c r="K259" i="88"/>
  <c r="G259" i="88"/>
  <c r="L259" i="88"/>
  <c r="F259" i="88"/>
  <c r="J259" i="88"/>
  <c r="E261" i="88"/>
  <c r="K265" i="88"/>
  <c r="G265" i="88"/>
  <c r="J265" i="88"/>
  <c r="E265" i="88"/>
  <c r="L265" i="88"/>
  <c r="I270" i="88"/>
  <c r="E270" i="88"/>
  <c r="H270" i="88"/>
  <c r="K270" i="88"/>
  <c r="I277" i="88"/>
  <c r="E277" i="88"/>
  <c r="L277" i="88"/>
  <c r="G277" i="88"/>
  <c r="K277" i="88"/>
  <c r="F279" i="88"/>
  <c r="I283" i="88"/>
  <c r="E283" i="88"/>
  <c r="K283" i="88"/>
  <c r="F283" i="88"/>
  <c r="L283" i="88"/>
  <c r="K286" i="88"/>
  <c r="G286" i="88"/>
  <c r="H286" i="88"/>
  <c r="J286" i="88"/>
  <c r="K292" i="88"/>
  <c r="G292" i="88"/>
  <c r="L292" i="88"/>
  <c r="F292" i="88"/>
  <c r="J292" i="88"/>
  <c r="E294" i="88"/>
  <c r="K298" i="88"/>
  <c r="G298" i="88"/>
  <c r="J298" i="88"/>
  <c r="E298" i="88"/>
  <c r="H298" i="88"/>
  <c r="I299" i="88"/>
  <c r="E299" i="88"/>
  <c r="K299" i="88"/>
  <c r="F299" i="88"/>
  <c r="H299" i="88"/>
  <c r="K250" i="88"/>
  <c r="G250" i="88"/>
  <c r="L250" i="88"/>
  <c r="F250" i="88"/>
  <c r="J250" i="88"/>
  <c r="K257" i="88"/>
  <c r="G257" i="88"/>
  <c r="J257" i="88"/>
  <c r="E257" i="88"/>
  <c r="L257" i="88"/>
  <c r="I262" i="88"/>
  <c r="E262" i="88"/>
  <c r="H262" i="88"/>
  <c r="K262" i="88"/>
  <c r="I268" i="88"/>
  <c r="E268" i="88"/>
  <c r="L268" i="88"/>
  <c r="G268" i="88"/>
  <c r="K268" i="88"/>
  <c r="I274" i="88"/>
  <c r="E274" i="88"/>
  <c r="K274" i="88"/>
  <c r="F274" i="88"/>
  <c r="L274" i="88"/>
  <c r="K278" i="88"/>
  <c r="G278" i="88"/>
  <c r="H278" i="88"/>
  <c r="J278" i="88"/>
  <c r="K284" i="88"/>
  <c r="G284" i="88"/>
  <c r="L284" i="88"/>
  <c r="F284" i="88"/>
  <c r="J284" i="88"/>
  <c r="K290" i="88"/>
  <c r="G290" i="88"/>
  <c r="J290" i="88"/>
  <c r="E290" i="88"/>
  <c r="L290" i="88"/>
  <c r="I295" i="88"/>
  <c r="E295" i="88"/>
  <c r="H295" i="88"/>
  <c r="K295" i="88"/>
  <c r="J234" i="88"/>
  <c r="F234" i="88"/>
  <c r="I234" i="88"/>
  <c r="J236" i="88"/>
  <c r="F236" i="88"/>
  <c r="I236" i="88"/>
  <c r="J238" i="88"/>
  <c r="F238" i="88"/>
  <c r="I238" i="88"/>
  <c r="J240" i="88"/>
  <c r="F240" i="88"/>
  <c r="I240" i="88"/>
  <c r="J242" i="88"/>
  <c r="F242" i="88"/>
  <c r="I242" i="88"/>
  <c r="K248" i="88"/>
  <c r="G248" i="88"/>
  <c r="J248" i="88"/>
  <c r="E248" i="88"/>
  <c r="L248" i="88"/>
  <c r="E250" i="88"/>
  <c r="I253" i="88"/>
  <c r="E253" i="88"/>
  <c r="H253" i="88"/>
  <c r="K253" i="88"/>
  <c r="F257" i="88"/>
  <c r="I260" i="88"/>
  <c r="E260" i="88"/>
  <c r="L260" i="88"/>
  <c r="G260" i="88"/>
  <c r="K260" i="88"/>
  <c r="F262" i="88"/>
  <c r="L262" i="88"/>
  <c r="I266" i="88"/>
  <c r="E266" i="88"/>
  <c r="K266" i="88"/>
  <c r="F266" i="88"/>
  <c r="L266" i="88"/>
  <c r="F268" i="88"/>
  <c r="K269" i="88"/>
  <c r="G269" i="88"/>
  <c r="H269" i="88"/>
  <c r="J269" i="88"/>
  <c r="G274" i="88"/>
  <c r="K276" i="88"/>
  <c r="G276" i="88"/>
  <c r="L276" i="88"/>
  <c r="F276" i="88"/>
  <c r="J276" i="88"/>
  <c r="E278" i="88"/>
  <c r="L278" i="88"/>
  <c r="K282" i="88"/>
  <c r="G282" i="88"/>
  <c r="J282" i="88"/>
  <c r="E282" i="88"/>
  <c r="L282" i="88"/>
  <c r="E284" i="88"/>
  <c r="I287" i="88"/>
  <c r="E287" i="88"/>
  <c r="H287" i="88"/>
  <c r="K287" i="88"/>
  <c r="F290" i="88"/>
  <c r="I293" i="88"/>
  <c r="E293" i="88"/>
  <c r="L293" i="88"/>
  <c r="G293" i="88"/>
  <c r="K293" i="88"/>
  <c r="F295" i="88"/>
  <c r="L295" i="88"/>
  <c r="E234" i="88"/>
  <c r="K234" i="88"/>
  <c r="E236" i="88"/>
  <c r="K236" i="88"/>
  <c r="E238" i="88"/>
  <c r="K238" i="88"/>
  <c r="E240" i="88"/>
  <c r="K240" i="88"/>
  <c r="E242" i="88"/>
  <c r="K242" i="88"/>
  <c r="I245" i="88"/>
  <c r="E245" i="88"/>
  <c r="H245" i="88"/>
  <c r="K245" i="88"/>
  <c r="F248" i="88"/>
  <c r="H250" i="88"/>
  <c r="I251" i="88"/>
  <c r="E251" i="88"/>
  <c r="L251" i="88"/>
  <c r="G251" i="88"/>
  <c r="K251" i="88"/>
  <c r="F253" i="88"/>
  <c r="L253" i="88"/>
  <c r="H257" i="88"/>
  <c r="I258" i="88"/>
  <c r="E258" i="88"/>
  <c r="K258" i="88"/>
  <c r="F258" i="88"/>
  <c r="L258" i="88"/>
  <c r="F260" i="88"/>
  <c r="K261" i="88"/>
  <c r="G261" i="88"/>
  <c r="H261" i="88"/>
  <c r="J261" i="88"/>
  <c r="G262" i="88"/>
  <c r="G266" i="88"/>
  <c r="K267" i="88"/>
  <c r="G267" i="88"/>
  <c r="L267" i="88"/>
  <c r="F267" i="88"/>
  <c r="J267" i="88"/>
  <c r="H268" i="88"/>
  <c r="E269" i="88"/>
  <c r="L269" i="88"/>
  <c r="K273" i="88"/>
  <c r="G273" i="88"/>
  <c r="J273" i="88"/>
  <c r="E273" i="88"/>
  <c r="L273" i="88"/>
  <c r="H274" i="88"/>
  <c r="E276" i="88"/>
  <c r="F278" i="88"/>
  <c r="I279" i="88"/>
  <c r="E279" i="88"/>
  <c r="H279" i="88"/>
  <c r="K279" i="88"/>
  <c r="F282" i="88"/>
  <c r="H284" i="88"/>
  <c r="I285" i="88"/>
  <c r="E285" i="88"/>
  <c r="L285" i="88"/>
  <c r="G285" i="88"/>
  <c r="K285" i="88"/>
  <c r="F287" i="88"/>
  <c r="L287" i="88"/>
  <c r="H290" i="88"/>
  <c r="I291" i="88"/>
  <c r="E291" i="88"/>
  <c r="K291" i="88"/>
  <c r="F291" i="88"/>
  <c r="L291" i="88"/>
  <c r="F293" i="88"/>
  <c r="K294" i="88"/>
  <c r="G294" i="88"/>
  <c r="H294" i="88"/>
  <c r="J294" i="88"/>
  <c r="G295" i="88"/>
  <c r="J303" i="88"/>
  <c r="F303" i="88"/>
  <c r="H303" i="88"/>
  <c r="K303" i="88"/>
  <c r="J318" i="88"/>
  <c r="F318" i="88"/>
  <c r="H318" i="88"/>
  <c r="G318" i="88"/>
  <c r="L318" i="88"/>
  <c r="E318" i="88"/>
  <c r="I318" i="88"/>
  <c r="L300" i="88"/>
  <c r="H300" i="88"/>
  <c r="G300" i="88"/>
  <c r="J300" i="88"/>
  <c r="E303" i="88"/>
  <c r="L303" i="88"/>
  <c r="J305" i="88"/>
  <c r="F305" i="88"/>
  <c r="H305" i="88"/>
  <c r="I305" i="88"/>
  <c r="L305" i="88"/>
  <c r="E305" i="88"/>
  <c r="K318" i="88"/>
  <c r="J310" i="88"/>
  <c r="F310" i="88"/>
  <c r="H310" i="88"/>
  <c r="L310" i="88"/>
  <c r="E310" i="88"/>
  <c r="I310" i="88"/>
  <c r="H214" i="88"/>
  <c r="H216" i="88"/>
  <c r="H218" i="88"/>
  <c r="H220" i="88"/>
  <c r="H222" i="88"/>
  <c r="H224" i="88"/>
  <c r="H226" i="88"/>
  <c r="H228" i="88"/>
  <c r="H230" i="88"/>
  <c r="H232" i="88"/>
  <c r="H235" i="88"/>
  <c r="H237" i="88"/>
  <c r="H239" i="88"/>
  <c r="H241" i="88"/>
  <c r="H243" i="88"/>
  <c r="K246" i="88"/>
  <c r="G246" i="88"/>
  <c r="I246" i="88"/>
  <c r="I247" i="88"/>
  <c r="E247" i="88"/>
  <c r="J247" i="88"/>
  <c r="K255" i="88"/>
  <c r="G255" i="88"/>
  <c r="I255" i="88"/>
  <c r="I256" i="88"/>
  <c r="E256" i="88"/>
  <c r="J256" i="88"/>
  <c r="K263" i="88"/>
  <c r="G263" i="88"/>
  <c r="I263" i="88"/>
  <c r="I264" i="88"/>
  <c r="E264" i="88"/>
  <c r="J264" i="88"/>
  <c r="K271" i="88"/>
  <c r="G271" i="88"/>
  <c r="I271" i="88"/>
  <c r="I272" i="88"/>
  <c r="E272" i="88"/>
  <c r="J272" i="88"/>
  <c r="K280" i="88"/>
  <c r="G280" i="88"/>
  <c r="I280" i="88"/>
  <c r="I281" i="88"/>
  <c r="E281" i="88"/>
  <c r="J281" i="88"/>
  <c r="K288" i="88"/>
  <c r="G288" i="88"/>
  <c r="I288" i="88"/>
  <c r="I289" i="88"/>
  <c r="E289" i="88"/>
  <c r="J289" i="88"/>
  <c r="K296" i="88"/>
  <c r="G296" i="88"/>
  <c r="I296" i="88"/>
  <c r="I297" i="88"/>
  <c r="E297" i="88"/>
  <c r="J297" i="88"/>
  <c r="F300" i="88"/>
  <c r="J301" i="88"/>
  <c r="F301" i="88"/>
  <c r="H301" i="88"/>
  <c r="K301" i="88"/>
  <c r="I303" i="88"/>
  <c r="K305" i="88"/>
  <c r="G310" i="88"/>
  <c r="J308" i="88"/>
  <c r="F308" i="88"/>
  <c r="H308" i="88"/>
  <c r="K308" i="88"/>
  <c r="E314" i="88"/>
  <c r="L314" i="88"/>
  <c r="J316" i="88"/>
  <c r="F316" i="88"/>
  <c r="H316" i="88"/>
  <c r="K316" i="88"/>
  <c r="E322" i="88"/>
  <c r="L322" i="88"/>
  <c r="J324" i="88"/>
  <c r="F324" i="88"/>
  <c r="H324" i="88"/>
  <c r="K324" i="88"/>
  <c r="K333" i="88"/>
  <c r="G333" i="88"/>
  <c r="J333" i="88"/>
  <c r="E333" i="88"/>
  <c r="L333" i="88"/>
  <c r="E335" i="88"/>
  <c r="K341" i="88"/>
  <c r="G341" i="88"/>
  <c r="L341" i="88"/>
  <c r="F341" i="88"/>
  <c r="J341" i="88"/>
  <c r="E341" i="88"/>
  <c r="I342" i="88"/>
  <c r="E342" i="88"/>
  <c r="L342" i="88"/>
  <c r="G342" i="88"/>
  <c r="K342" i="88"/>
  <c r="F342" i="88"/>
  <c r="E343" i="88"/>
  <c r="F344" i="88"/>
  <c r="I330" i="88"/>
  <c r="E330" i="88"/>
  <c r="H330" i="88"/>
  <c r="K330" i="88"/>
  <c r="I336" i="88"/>
  <c r="E336" i="88"/>
  <c r="H336" i="88"/>
  <c r="L336" i="88"/>
  <c r="G336" i="88"/>
  <c r="G308" i="88"/>
  <c r="J312" i="88"/>
  <c r="F312" i="88"/>
  <c r="H312" i="88"/>
  <c r="K312" i="88"/>
  <c r="G316" i="88"/>
  <c r="J320" i="88"/>
  <c r="F320" i="88"/>
  <c r="H320" i="88"/>
  <c r="K320" i="88"/>
  <c r="G324" i="88"/>
  <c r="F330" i="88"/>
  <c r="L330" i="88"/>
  <c r="H333" i="88"/>
  <c r="I334" i="88"/>
  <c r="E334" i="88"/>
  <c r="K334" i="88"/>
  <c r="F334" i="88"/>
  <c r="L334" i="88"/>
  <c r="F336" i="88"/>
  <c r="I341" i="88"/>
  <c r="J342" i="88"/>
  <c r="K349" i="88"/>
  <c r="G349" i="88"/>
  <c r="H349" i="88"/>
  <c r="L349" i="88"/>
  <c r="F349" i="88"/>
  <c r="J349" i="88"/>
  <c r="E349" i="88"/>
  <c r="J314" i="88"/>
  <c r="F314" i="88"/>
  <c r="H314" i="88"/>
  <c r="K314" i="88"/>
  <c r="J322" i="88"/>
  <c r="F322" i="88"/>
  <c r="H322" i="88"/>
  <c r="K322" i="88"/>
  <c r="G330" i="88"/>
  <c r="K335" i="88"/>
  <c r="G335" i="88"/>
  <c r="L335" i="88"/>
  <c r="F335" i="88"/>
  <c r="J335" i="88"/>
  <c r="J336" i="88"/>
  <c r="K343" i="88"/>
  <c r="G343" i="88"/>
  <c r="H343" i="88"/>
  <c r="L343" i="88"/>
  <c r="F343" i="88"/>
  <c r="I344" i="88"/>
  <c r="E344" i="88"/>
  <c r="H344" i="88"/>
  <c r="L344" i="88"/>
  <c r="G344" i="88"/>
  <c r="I349" i="88"/>
  <c r="K331" i="88"/>
  <c r="G331" i="88"/>
  <c r="I331" i="88"/>
  <c r="I332" i="88"/>
  <c r="E332" i="88"/>
  <c r="J332" i="88"/>
  <c r="K339" i="88"/>
  <c r="G339" i="88"/>
  <c r="I339" i="88"/>
  <c r="I340" i="88"/>
  <c r="E340" i="88"/>
  <c r="J340" i="88"/>
  <c r="K347" i="88"/>
  <c r="G347" i="88"/>
  <c r="I347" i="88"/>
  <c r="I348" i="88"/>
  <c r="E348" i="88"/>
  <c r="J348" i="88"/>
  <c r="K337" i="88"/>
  <c r="G337" i="88"/>
  <c r="I337" i="88"/>
  <c r="I338" i="88"/>
  <c r="E338" i="88"/>
  <c r="J338" i="88"/>
  <c r="K345" i="88"/>
  <c r="G345" i="88"/>
  <c r="I345" i="88"/>
  <c r="I346" i="88"/>
  <c r="E346" i="88"/>
  <c r="J346" i="88"/>
  <c r="E131" i="88"/>
  <c r="H302" i="88"/>
  <c r="H304" i="88"/>
  <c r="H307" i="88"/>
  <c r="H309" i="88"/>
  <c r="H311" i="88"/>
  <c r="H313" i="88"/>
  <c r="H315" i="88"/>
  <c r="H317" i="88"/>
  <c r="H319" i="88"/>
  <c r="H321" i="88"/>
  <c r="H323" i="88"/>
  <c r="H325" i="88"/>
  <c r="C36" i="90"/>
  <c r="C46" i="90"/>
  <c r="C51" i="90"/>
  <c r="C25" i="90"/>
  <c r="C31" i="90"/>
  <c r="E18" i="88"/>
  <c r="A18" i="88" s="1"/>
  <c r="E448" i="88"/>
  <c r="A448" i="88" s="1"/>
  <c r="C7" i="90"/>
  <c r="C11" i="90"/>
  <c r="C13" i="90"/>
  <c r="C16" i="90"/>
  <c r="C20" i="90"/>
  <c r="C61" i="90"/>
  <c r="C64" i="90"/>
  <c r="K449" i="88"/>
  <c r="E358" i="88"/>
  <c r="E454" i="88"/>
  <c r="A454" i="88" s="1"/>
  <c r="K355" i="88"/>
  <c r="E372" i="88"/>
  <c r="K391" i="88"/>
  <c r="K431" i="88"/>
  <c r="K434" i="88"/>
  <c r="E376" i="88"/>
  <c r="E385" i="88"/>
  <c r="K386" i="88"/>
  <c r="K412" i="88"/>
  <c r="E390" i="88"/>
  <c r="E40" i="88"/>
  <c r="E378" i="88"/>
  <c r="E22" i="88"/>
  <c r="A22" i="88" s="1"/>
  <c r="E25" i="88"/>
  <c r="E36" i="88"/>
  <c r="K374" i="88"/>
  <c r="K432" i="88"/>
  <c r="K22" i="88"/>
  <c r="E370" i="88"/>
  <c r="E392" i="88"/>
  <c r="E412" i="88"/>
  <c r="E444" i="88"/>
  <c r="E456" i="88"/>
  <c r="A456" i="88" s="1"/>
  <c r="E457" i="88"/>
  <c r="A457" i="88" s="1"/>
  <c r="E369" i="88"/>
  <c r="K378" i="88"/>
  <c r="E381" i="88"/>
  <c r="K413" i="88"/>
  <c r="K417" i="88"/>
  <c r="E431" i="88"/>
  <c r="K453" i="88"/>
  <c r="K365" i="88"/>
  <c r="E373" i="88"/>
  <c r="E434" i="88"/>
  <c r="E441" i="88"/>
  <c r="K444" i="88"/>
  <c r="AB20" i="31"/>
  <c r="D46" i="79"/>
  <c r="E361" i="88"/>
  <c r="K380" i="88"/>
  <c r="K415" i="88"/>
  <c r="N107" i="32"/>
  <c r="D19" i="79"/>
  <c r="A19" i="79" s="1"/>
  <c r="C21" i="90"/>
  <c r="C42" i="90"/>
  <c r="C53" i="90"/>
  <c r="E352" i="88"/>
  <c r="K361" i="88"/>
  <c r="K384" i="88"/>
  <c r="K403" i="88"/>
  <c r="K433" i="88"/>
  <c r="K450" i="88"/>
  <c r="E26" i="88"/>
  <c r="K38" i="88"/>
  <c r="K441" i="88"/>
  <c r="K443" i="88"/>
  <c r="K454" i="88"/>
  <c r="D36" i="79"/>
  <c r="D104" i="79"/>
  <c r="D108" i="79"/>
  <c r="D110" i="79"/>
  <c r="D114" i="79"/>
  <c r="E32" i="36"/>
  <c r="B69" i="76"/>
  <c r="D49" i="79"/>
  <c r="A49" i="79" s="1"/>
  <c r="E367" i="88"/>
  <c r="B77" i="76"/>
  <c r="E375" i="88"/>
  <c r="B81" i="76"/>
  <c r="D63" i="79"/>
  <c r="A63" i="79" s="1"/>
  <c r="B85" i="76"/>
  <c r="E383" i="88"/>
  <c r="B90" i="76"/>
  <c r="B112" i="76"/>
  <c r="E394" i="88"/>
  <c r="B116" i="76"/>
  <c r="E414" i="88"/>
  <c r="B120" i="76"/>
  <c r="E423" i="88"/>
  <c r="B138" i="76"/>
  <c r="E450" i="88"/>
  <c r="A450" i="88" s="1"/>
  <c r="E379" i="88"/>
  <c r="D15" i="79"/>
  <c r="A15" i="79" s="1"/>
  <c r="D32" i="79"/>
  <c r="E416" i="88"/>
  <c r="D23" i="79"/>
  <c r="A23" i="79" s="1"/>
  <c r="D41" i="79"/>
  <c r="D72" i="79"/>
  <c r="A72" i="79" s="1"/>
  <c r="B12" i="76"/>
  <c r="B14" i="76"/>
  <c r="B18" i="76"/>
  <c r="D7" i="79"/>
  <c r="A7" i="79" s="1"/>
  <c r="B25" i="76"/>
  <c r="D14" i="79"/>
  <c r="A14" i="79" s="1"/>
  <c r="B36" i="76"/>
  <c r="D18" i="79"/>
  <c r="A18" i="79" s="1"/>
  <c r="B40" i="76"/>
  <c r="D22" i="79"/>
  <c r="A22" i="79" s="1"/>
  <c r="B50" i="76"/>
  <c r="D25" i="79"/>
  <c r="A25" i="79" s="1"/>
  <c r="D29" i="79"/>
  <c r="A29" i="79" s="1"/>
  <c r="B55" i="76"/>
  <c r="D33" i="79"/>
  <c r="A33" i="79" s="1"/>
  <c r="B59" i="76"/>
  <c r="D37" i="79"/>
  <c r="A37" i="79" s="1"/>
  <c r="O62" i="32"/>
  <c r="B63" i="76"/>
  <c r="D42" i="79"/>
  <c r="A42" i="79" s="1"/>
  <c r="B73" i="76"/>
  <c r="D54" i="79"/>
  <c r="A54" i="79" s="1"/>
  <c r="K372" i="88"/>
  <c r="O71" i="32"/>
  <c r="K376" i="88"/>
  <c r="B67" i="76"/>
  <c r="D47" i="79"/>
  <c r="A47" i="79" s="1"/>
  <c r="B76" i="76"/>
  <c r="D57" i="79"/>
  <c r="E374" i="88"/>
  <c r="N85" i="32"/>
  <c r="B115" i="76"/>
  <c r="D89" i="79"/>
  <c r="A89" i="79" s="1"/>
  <c r="E413" i="88"/>
  <c r="B119" i="76"/>
  <c r="D93" i="79"/>
  <c r="A93" i="79" s="1"/>
  <c r="E417" i="88"/>
  <c r="B123" i="76"/>
  <c r="D97" i="79"/>
  <c r="A97" i="79" s="1"/>
  <c r="E432" i="88"/>
  <c r="B13" i="76"/>
  <c r="B15" i="76"/>
  <c r="B20" i="76"/>
  <c r="D9" i="79"/>
  <c r="A9" i="79" s="1"/>
  <c r="B23" i="76"/>
  <c r="D12" i="79"/>
  <c r="B27" i="76"/>
  <c r="D16" i="79"/>
  <c r="A16" i="79" s="1"/>
  <c r="B38" i="76"/>
  <c r="D20" i="79"/>
  <c r="A20" i="79" s="1"/>
  <c r="B42" i="76"/>
  <c r="B52" i="76"/>
  <c r="D27" i="79"/>
  <c r="A27" i="79" s="1"/>
  <c r="O59" i="32"/>
  <c r="B57" i="76"/>
  <c r="D35" i="79"/>
  <c r="A35" i="79" s="1"/>
  <c r="K356" i="88"/>
  <c r="B61" i="76"/>
  <c r="D40" i="79"/>
  <c r="A40" i="79" s="1"/>
  <c r="B65" i="76"/>
  <c r="D44" i="79"/>
  <c r="A44" i="79" s="1"/>
  <c r="O68" i="32"/>
  <c r="B79" i="76"/>
  <c r="D61" i="79"/>
  <c r="A61" i="79" s="1"/>
  <c r="K382" i="88"/>
  <c r="B88" i="76"/>
  <c r="E386" i="88"/>
  <c r="D71" i="79"/>
  <c r="B92" i="76"/>
  <c r="D76" i="79"/>
  <c r="K390" i="88"/>
  <c r="B108" i="76"/>
  <c r="D81" i="79"/>
  <c r="A81" i="79" s="1"/>
  <c r="K392" i="88"/>
  <c r="O65" i="32"/>
  <c r="B70" i="76"/>
  <c r="D50" i="79"/>
  <c r="B82" i="76"/>
  <c r="D64" i="79"/>
  <c r="B86" i="76"/>
  <c r="B113" i="76"/>
  <c r="B117" i="76"/>
  <c r="B121" i="76"/>
  <c r="B125" i="76"/>
  <c r="B149" i="76"/>
  <c r="B137" i="76"/>
  <c r="B141" i="76"/>
  <c r="D13" i="79"/>
  <c r="A13" i="79" s="1"/>
  <c r="D17" i="79"/>
  <c r="A17" i="79" s="1"/>
  <c r="D21" i="79"/>
  <c r="A21" i="79" s="1"/>
  <c r="D68" i="79"/>
  <c r="A68" i="79" s="1"/>
  <c r="D69" i="79"/>
  <c r="D78" i="79"/>
  <c r="D87" i="79"/>
  <c r="A87" i="79" s="1"/>
  <c r="D91" i="79"/>
  <c r="A91" i="79" s="1"/>
  <c r="D95" i="79"/>
  <c r="A95" i="79" s="1"/>
  <c r="D99" i="79"/>
  <c r="A99" i="79" s="1"/>
  <c r="K451" i="88"/>
  <c r="K455" i="88"/>
  <c r="K459" i="88"/>
  <c r="B56" i="76"/>
  <c r="B60" i="76"/>
  <c r="B64" i="76"/>
  <c r="B66" i="76"/>
  <c r="B72" i="76"/>
  <c r="B78" i="76"/>
  <c r="B84" i="76"/>
  <c r="B93" i="76"/>
  <c r="B109" i="76"/>
  <c r="B146" i="76"/>
  <c r="D8" i="79"/>
  <c r="A8" i="79" s="1"/>
  <c r="D26" i="79"/>
  <c r="A26" i="79" s="1"/>
  <c r="D34" i="79"/>
  <c r="D43" i="79"/>
  <c r="D51" i="79"/>
  <c r="A51" i="79" s="1"/>
  <c r="D53" i="79"/>
  <c r="D70" i="79"/>
  <c r="A70" i="79" s="1"/>
  <c r="D83" i="79"/>
  <c r="A83" i="79" s="1"/>
  <c r="D88" i="79"/>
  <c r="A88" i="79" s="1"/>
  <c r="D96" i="79"/>
  <c r="A96" i="79" s="1"/>
  <c r="D105" i="79"/>
  <c r="D109" i="79"/>
  <c r="D113" i="79"/>
  <c r="B139" i="76"/>
  <c r="B143" i="76"/>
  <c r="D74" i="79"/>
  <c r="D84" i="79"/>
  <c r="A84" i="79" s="1"/>
  <c r="D101" i="79"/>
  <c r="A101" i="79" s="1"/>
  <c r="K388" i="88"/>
  <c r="E403" i="88"/>
  <c r="E451" i="88"/>
  <c r="A451" i="88" s="1"/>
  <c r="E455" i="88"/>
  <c r="A455" i="88" s="1"/>
  <c r="E459" i="88"/>
  <c r="A459" i="88" s="1"/>
  <c r="B54" i="76"/>
  <c r="B58" i="76"/>
  <c r="B62" i="76"/>
  <c r="B68" i="76"/>
  <c r="B74" i="76"/>
  <c r="B80" i="76"/>
  <c r="B91" i="76"/>
  <c r="B95" i="76"/>
  <c r="B118" i="76"/>
  <c r="B144" i="76"/>
  <c r="D6" i="79"/>
  <c r="A6" i="79" s="1"/>
  <c r="D10" i="79"/>
  <c r="A10" i="79" s="1"/>
  <c r="D24" i="79"/>
  <c r="A24" i="79" s="1"/>
  <c r="D28" i="79"/>
  <c r="A28" i="79" s="1"/>
  <c r="D39" i="79"/>
  <c r="D48" i="79"/>
  <c r="D56" i="79"/>
  <c r="A56" i="79" s="1"/>
  <c r="D65" i="79"/>
  <c r="A65" i="79" s="1"/>
  <c r="D67" i="79"/>
  <c r="D75" i="79"/>
  <c r="A75" i="79" s="1"/>
  <c r="D86" i="79"/>
  <c r="A86" i="79" s="1"/>
  <c r="D90" i="79"/>
  <c r="A90" i="79" s="1"/>
  <c r="D94" i="79"/>
  <c r="A94" i="79" s="1"/>
  <c r="D98" i="79"/>
  <c r="A98" i="79" s="1"/>
  <c r="D107" i="79"/>
  <c r="D111" i="79"/>
  <c r="D115" i="79"/>
  <c r="J133" i="88" l="1"/>
  <c r="K144" i="88"/>
  <c r="J92" i="88"/>
  <c r="A91" i="88"/>
  <c r="L51" i="88"/>
  <c r="J51" i="88"/>
  <c r="I51" i="88"/>
  <c r="K51" i="88"/>
  <c r="F28" i="88"/>
  <c r="K28" i="88"/>
  <c r="J28" i="88"/>
  <c r="H28" i="88"/>
  <c r="G28" i="88"/>
  <c r="H29" i="88"/>
  <c r="J29" i="88"/>
  <c r="I28" i="88"/>
  <c r="L28" i="88"/>
  <c r="F29" i="88"/>
  <c r="G29" i="88"/>
  <c r="E29" i="88"/>
  <c r="L29" i="88"/>
  <c r="I29" i="88"/>
  <c r="F51" i="88"/>
  <c r="A51" i="88"/>
  <c r="E51" i="88"/>
  <c r="L142" i="88"/>
  <c r="A142" i="88"/>
  <c r="I135" i="88"/>
  <c r="L141" i="88"/>
  <c r="I115" i="88"/>
  <c r="E115" i="88"/>
  <c r="F115" i="88"/>
  <c r="L115" i="88"/>
  <c r="K115" i="88"/>
  <c r="J115" i="88"/>
  <c r="L156" i="88"/>
  <c r="L126" i="88"/>
  <c r="K126" i="88"/>
  <c r="J126" i="88"/>
  <c r="F126" i="88"/>
  <c r="I126" i="88"/>
  <c r="E126" i="88"/>
  <c r="E94" i="88"/>
  <c r="I94" i="88"/>
  <c r="F94" i="88"/>
  <c r="J94" i="88"/>
  <c r="L94" i="88"/>
  <c r="K94" i="88"/>
  <c r="K104" i="88"/>
  <c r="E144" i="88"/>
  <c r="I104" i="88"/>
  <c r="L104" i="88"/>
  <c r="F104" i="88"/>
  <c r="J104" i="88"/>
  <c r="L27" i="88"/>
  <c r="F27" i="88"/>
  <c r="I27" i="88"/>
  <c r="J27" i="88"/>
  <c r="K27" i="88"/>
  <c r="E27" i="88"/>
  <c r="F144" i="88"/>
  <c r="L144" i="88"/>
  <c r="J144" i="88"/>
  <c r="I144" i="88"/>
  <c r="K151" i="88"/>
  <c r="I108" i="88"/>
  <c r="F429" i="88"/>
  <c r="I429" i="88"/>
  <c r="J429" i="88"/>
  <c r="F125" i="88"/>
  <c r="I125" i="88"/>
  <c r="J125" i="88"/>
  <c r="E429" i="88"/>
  <c r="E132" i="88"/>
  <c r="L132" i="88"/>
  <c r="L100" i="88"/>
  <c r="A100" i="88"/>
  <c r="A90" i="88"/>
  <c r="E43" i="88"/>
  <c r="J4" i="88"/>
  <c r="N3" i="88"/>
  <c r="E92" i="88"/>
  <c r="K132" i="88"/>
  <c r="K125" i="88"/>
  <c r="A161" i="88"/>
  <c r="F112" i="88"/>
  <c r="H328" i="88"/>
  <c r="I91" i="88"/>
  <c r="E328" i="88"/>
  <c r="F133" i="88"/>
  <c r="I133" i="88"/>
  <c r="F91" i="88"/>
  <c r="L133" i="88"/>
  <c r="A185" i="88"/>
  <c r="F161" i="88"/>
  <c r="I185" i="88"/>
  <c r="L206" i="88"/>
  <c r="G185" i="88"/>
  <c r="H177" i="88"/>
  <c r="A194" i="88"/>
  <c r="K141" i="88"/>
  <c r="E72" i="88"/>
  <c r="E112" i="88"/>
  <c r="A112" i="88"/>
  <c r="A94" i="88"/>
  <c r="F122" i="88"/>
  <c r="J112" i="88"/>
  <c r="E69" i="88"/>
  <c r="K69" i="88"/>
  <c r="K112" i="88"/>
  <c r="L65" i="88"/>
  <c r="L112" i="88"/>
  <c r="K65" i="88"/>
  <c r="J65" i="88"/>
  <c r="K173" i="88"/>
  <c r="L191" i="88"/>
  <c r="I67" i="88"/>
  <c r="I111" i="88"/>
  <c r="J328" i="88"/>
  <c r="L162" i="88"/>
  <c r="F74" i="88"/>
  <c r="F201" i="88"/>
  <c r="I74" i="88"/>
  <c r="E173" i="88"/>
  <c r="E134" i="88"/>
  <c r="E113" i="88"/>
  <c r="K328" i="88"/>
  <c r="H86" i="88"/>
  <c r="J191" i="88"/>
  <c r="A78" i="88"/>
  <c r="H67" i="88"/>
  <c r="G180" i="88"/>
  <c r="E85" i="88"/>
  <c r="E111" i="88"/>
  <c r="J111" i="88"/>
  <c r="G60" i="88"/>
  <c r="F111" i="88"/>
  <c r="K111" i="88"/>
  <c r="G10" i="76"/>
  <c r="E206" i="88"/>
  <c r="G69" i="88"/>
  <c r="G65" i="88"/>
  <c r="L83" i="88"/>
  <c r="I199" i="88"/>
  <c r="J159" i="88"/>
  <c r="E133" i="88"/>
  <c r="A328" i="88"/>
  <c r="H188" i="88"/>
  <c r="A205" i="88"/>
  <c r="K194" i="88"/>
  <c r="J185" i="88"/>
  <c r="A162" i="88"/>
  <c r="H69" i="88"/>
  <c r="K206" i="88"/>
  <c r="I206" i="88"/>
  <c r="L161" i="88"/>
  <c r="L125" i="88"/>
  <c r="F83" i="88"/>
  <c r="F72" i="88"/>
  <c r="A69" i="88"/>
  <c r="A65" i="88"/>
  <c r="H83" i="88"/>
  <c r="I65" i="88"/>
  <c r="A206" i="88"/>
  <c r="F194" i="88"/>
  <c r="F172" i="88"/>
  <c r="L121" i="88"/>
  <c r="L108" i="88"/>
  <c r="H79" i="88"/>
  <c r="J69" i="88"/>
  <c r="A64" i="88"/>
  <c r="E44" i="88"/>
  <c r="H72" i="88"/>
  <c r="E108" i="88"/>
  <c r="H204" i="88"/>
  <c r="H166" i="88"/>
  <c r="I205" i="88"/>
  <c r="G194" i="88"/>
  <c r="F185" i="88"/>
  <c r="K159" i="88"/>
  <c r="A71" i="88"/>
  <c r="F65" i="88"/>
  <c r="H53" i="88"/>
  <c r="J121" i="88"/>
  <c r="E91" i="88"/>
  <c r="K121" i="88"/>
  <c r="E90" i="88"/>
  <c r="G328" i="88"/>
  <c r="L328" i="88"/>
  <c r="H184" i="88"/>
  <c r="I194" i="88"/>
  <c r="J180" i="88"/>
  <c r="G206" i="88"/>
  <c r="H205" i="88"/>
  <c r="A159" i="88"/>
  <c r="A125" i="88"/>
  <c r="A82" i="88"/>
  <c r="H71" i="88"/>
  <c r="G67" i="88"/>
  <c r="F63" i="88"/>
  <c r="I69" i="88"/>
  <c r="E65" i="88"/>
  <c r="E205" i="88"/>
  <c r="J161" i="88"/>
  <c r="F141" i="88"/>
  <c r="A121" i="88"/>
  <c r="J91" i="88"/>
  <c r="F69" i="88"/>
  <c r="I63" i="88"/>
  <c r="A110" i="88"/>
  <c r="E121" i="88"/>
  <c r="K108" i="88"/>
  <c r="I121" i="88"/>
  <c r="J108" i="88"/>
  <c r="J195" i="88"/>
  <c r="K135" i="88"/>
  <c r="L151" i="88"/>
  <c r="E135" i="88"/>
  <c r="J113" i="88"/>
  <c r="J135" i="88"/>
  <c r="I113" i="88"/>
  <c r="F121" i="88"/>
  <c r="I196" i="88"/>
  <c r="L135" i="88"/>
  <c r="F113" i="88"/>
  <c r="F135" i="88"/>
  <c r="K133" i="88"/>
  <c r="F123" i="88"/>
  <c r="F108" i="88"/>
  <c r="A32" i="88"/>
  <c r="L55" i="88"/>
  <c r="A187" i="88"/>
  <c r="H168" i="88"/>
  <c r="F183" i="88"/>
  <c r="L183" i="88"/>
  <c r="J93" i="88"/>
  <c r="L60" i="88"/>
  <c r="A114" i="88"/>
  <c r="J178" i="88"/>
  <c r="H60" i="88"/>
  <c r="F92" i="88"/>
  <c r="I187" i="88"/>
  <c r="J132" i="88"/>
  <c r="A60" i="88"/>
  <c r="E114" i="88"/>
  <c r="F93" i="88"/>
  <c r="C331" i="88"/>
  <c r="A331" i="88" s="1"/>
  <c r="L327" i="88"/>
  <c r="A115" i="88"/>
  <c r="L187" i="88"/>
  <c r="G183" i="88"/>
  <c r="I114" i="88"/>
  <c r="K92" i="88"/>
  <c r="F187" i="88"/>
  <c r="A183" i="88"/>
  <c r="G187" i="88"/>
  <c r="F132" i="88"/>
  <c r="L93" i="88"/>
  <c r="K90" i="88"/>
  <c r="H55" i="88"/>
  <c r="I132" i="88"/>
  <c r="J90" i="88"/>
  <c r="L92" i="88"/>
  <c r="I92" i="88"/>
  <c r="F114" i="88"/>
  <c r="J114" i="88"/>
  <c r="E93" i="88"/>
  <c r="I93" i="88"/>
  <c r="J183" i="88"/>
  <c r="A175" i="88"/>
  <c r="I90" i="88"/>
  <c r="G200" i="88"/>
  <c r="K93" i="88"/>
  <c r="J187" i="88"/>
  <c r="I183" i="88"/>
  <c r="I178" i="88"/>
  <c r="G80" i="88"/>
  <c r="K156" i="88"/>
  <c r="A89" i="88"/>
  <c r="K60" i="88"/>
  <c r="F90" i="88"/>
  <c r="I168" i="88"/>
  <c r="F60" i="88"/>
  <c r="I60" i="88"/>
  <c r="A92" i="88"/>
  <c r="A55" i="88"/>
  <c r="K114" i="88"/>
  <c r="G9" i="76"/>
  <c r="A58" i="88"/>
  <c r="K86" i="88"/>
  <c r="H66" i="88"/>
  <c r="L78" i="88"/>
  <c r="F208" i="88"/>
  <c r="K113" i="88"/>
  <c r="E79" i="88"/>
  <c r="L123" i="88"/>
  <c r="E55" i="88"/>
  <c r="E183" i="88"/>
  <c r="K183" i="88"/>
  <c r="I55" i="88"/>
  <c r="J55" i="88"/>
  <c r="E60" i="88"/>
  <c r="G55" i="88"/>
  <c r="A123" i="88"/>
  <c r="L113" i="88"/>
  <c r="E123" i="88"/>
  <c r="J204" i="88"/>
  <c r="I123" i="88"/>
  <c r="K123" i="88"/>
  <c r="L91" i="88"/>
  <c r="E71" i="88"/>
  <c r="K91" i="88"/>
  <c r="L79" i="88"/>
  <c r="G72" i="88"/>
  <c r="F79" i="88"/>
  <c r="A79" i="88"/>
  <c r="L429" i="88"/>
  <c r="K429" i="88"/>
  <c r="I79" i="88"/>
  <c r="G79" i="88"/>
  <c r="F55" i="88"/>
  <c r="C271" i="88"/>
  <c r="A271" i="88" s="1"/>
  <c r="H211" i="88"/>
  <c r="L134" i="88"/>
  <c r="J189" i="88"/>
  <c r="K163" i="88"/>
  <c r="A122" i="88"/>
  <c r="K75" i="88"/>
  <c r="K79" i="88"/>
  <c r="C349" i="88"/>
  <c r="A349" i="88" s="1"/>
  <c r="C339" i="88"/>
  <c r="A339" i="88" s="1"/>
  <c r="C347" i="88"/>
  <c r="A347" i="88" s="1"/>
  <c r="C335" i="88"/>
  <c r="A335" i="88" s="1"/>
  <c r="C324" i="88"/>
  <c r="A324" i="88" s="1"/>
  <c r="K43" i="88"/>
  <c r="I195" i="88"/>
  <c r="H171" i="88"/>
  <c r="G196" i="88"/>
  <c r="F87" i="88"/>
  <c r="I100" i="88"/>
  <c r="F134" i="88"/>
  <c r="C274" i="88"/>
  <c r="A274" i="88" s="1"/>
  <c r="J174" i="88"/>
  <c r="A189" i="88"/>
  <c r="A174" i="88"/>
  <c r="J151" i="88"/>
  <c r="K122" i="88"/>
  <c r="L43" i="88"/>
  <c r="G189" i="88"/>
  <c r="E170" i="88"/>
  <c r="A134" i="88"/>
  <c r="J122" i="88"/>
  <c r="K100" i="88"/>
  <c r="A84" i="88"/>
  <c r="H57" i="88"/>
  <c r="I122" i="88"/>
  <c r="K134" i="88"/>
  <c r="J100" i="88"/>
  <c r="F100" i="88"/>
  <c r="I189" i="88"/>
  <c r="I174" i="88"/>
  <c r="I163" i="88"/>
  <c r="K143" i="88"/>
  <c r="H84" i="88"/>
  <c r="C256" i="88"/>
  <c r="A256" i="88" s="1"/>
  <c r="G198" i="88"/>
  <c r="E87" i="88"/>
  <c r="I171" i="88"/>
  <c r="E122" i="88"/>
  <c r="E100" i="88"/>
  <c r="A99" i="88"/>
  <c r="J134" i="88"/>
  <c r="J168" i="88"/>
  <c r="F168" i="88"/>
  <c r="A30" i="88"/>
  <c r="E168" i="88"/>
  <c r="C246" i="88"/>
  <c r="A246" i="88" s="1"/>
  <c r="E195" i="88"/>
  <c r="F189" i="88"/>
  <c r="E174" i="88"/>
  <c r="A195" i="88"/>
  <c r="F151" i="88"/>
  <c r="G195" i="88"/>
  <c r="J170" i="88"/>
  <c r="E151" i="88"/>
  <c r="G84" i="88"/>
  <c r="G75" i="88"/>
  <c r="K171" i="88"/>
  <c r="F57" i="88"/>
  <c r="C290" i="88"/>
  <c r="A290" i="88" s="1"/>
  <c r="A196" i="88"/>
  <c r="L171" i="88"/>
  <c r="A198" i="88"/>
  <c r="G174" i="88"/>
  <c r="F163" i="88"/>
  <c r="H68" i="88"/>
  <c r="K47" i="88"/>
  <c r="H87" i="88"/>
  <c r="I182" i="88"/>
  <c r="E211" i="88"/>
  <c r="A211" i="88"/>
  <c r="I143" i="88"/>
  <c r="E47" i="88"/>
  <c r="I68" i="88"/>
  <c r="I211" i="88"/>
  <c r="K189" i="88"/>
  <c r="G170" i="88"/>
  <c r="F47" i="88"/>
  <c r="I43" i="88"/>
  <c r="I57" i="88"/>
  <c r="K211" i="88"/>
  <c r="K182" i="88"/>
  <c r="F43" i="88"/>
  <c r="E204" i="88"/>
  <c r="I141" i="88"/>
  <c r="F204" i="88"/>
  <c r="K68" i="88"/>
  <c r="I75" i="88"/>
  <c r="I47" i="88"/>
  <c r="I84" i="88"/>
  <c r="E84" i="88"/>
  <c r="K87" i="88"/>
  <c r="H182" i="88"/>
  <c r="A163" i="88"/>
  <c r="K196" i="88"/>
  <c r="F171" i="88"/>
  <c r="A149" i="88"/>
  <c r="H75" i="88"/>
  <c r="K198" i="88"/>
  <c r="J171" i="88"/>
  <c r="I170" i="88"/>
  <c r="J143" i="88"/>
  <c r="A75" i="88"/>
  <c r="K174" i="88"/>
  <c r="A171" i="88"/>
  <c r="F170" i="88"/>
  <c r="L211" i="88"/>
  <c r="F196" i="88"/>
  <c r="F182" i="88"/>
  <c r="F68" i="88"/>
  <c r="F211" i="88"/>
  <c r="A169" i="88"/>
  <c r="J47" i="88"/>
  <c r="E75" i="88"/>
  <c r="L84" i="88"/>
  <c r="I198" i="88"/>
  <c r="L195" i="88"/>
  <c r="L189" i="88"/>
  <c r="L174" i="88"/>
  <c r="E171" i="88"/>
  <c r="L163" i="88"/>
  <c r="I151" i="88"/>
  <c r="F143" i="88"/>
  <c r="I87" i="88"/>
  <c r="K84" i="88"/>
  <c r="H77" i="88"/>
  <c r="F174" i="88"/>
  <c r="L87" i="88"/>
  <c r="L196" i="88"/>
  <c r="K170" i="88"/>
  <c r="F195" i="88"/>
  <c r="A170" i="88"/>
  <c r="I77" i="88"/>
  <c r="K57" i="88"/>
  <c r="J75" i="88"/>
  <c r="J43" i="88"/>
  <c r="L75" i="88"/>
  <c r="J84" i="88"/>
  <c r="A168" i="88"/>
  <c r="K168" i="88"/>
  <c r="G168" i="88"/>
  <c r="A33" i="88"/>
  <c r="G57" i="88"/>
  <c r="E189" i="88"/>
  <c r="E182" i="88"/>
  <c r="J163" i="88"/>
  <c r="K195" i="88"/>
  <c r="E163" i="88"/>
  <c r="H170" i="88"/>
  <c r="J211" i="88"/>
  <c r="A182" i="88"/>
  <c r="K77" i="88"/>
  <c r="A77" i="88"/>
  <c r="E77" i="88"/>
  <c r="J77" i="88"/>
  <c r="E143" i="88"/>
  <c r="E57" i="88"/>
  <c r="I10" i="76"/>
  <c r="I9" i="76"/>
  <c r="K8" i="76"/>
  <c r="A164" i="88"/>
  <c r="A209" i="88"/>
  <c r="I160" i="88"/>
  <c r="K209" i="88"/>
  <c r="G209" i="88"/>
  <c r="C337" i="88"/>
  <c r="A337" i="88" s="1"/>
  <c r="C343" i="88"/>
  <c r="A343" i="88" s="1"/>
  <c r="E327" i="88"/>
  <c r="C320" i="88"/>
  <c r="A320" i="88" s="1"/>
  <c r="C336" i="88"/>
  <c r="A336" i="88" s="1"/>
  <c r="C280" i="88"/>
  <c r="A280" i="88" s="1"/>
  <c r="C255" i="88"/>
  <c r="A255" i="88" s="1"/>
  <c r="C273" i="88"/>
  <c r="A273" i="88" s="1"/>
  <c r="C261" i="88"/>
  <c r="A261" i="88" s="1"/>
  <c r="C245" i="88"/>
  <c r="A245" i="88" s="1"/>
  <c r="H186" i="88"/>
  <c r="C232" i="88"/>
  <c r="A232" i="88" s="1"/>
  <c r="F176" i="88"/>
  <c r="I173" i="88"/>
  <c r="A157" i="88"/>
  <c r="A191" i="88"/>
  <c r="L167" i="88"/>
  <c r="J157" i="88"/>
  <c r="A80" i="88"/>
  <c r="A56" i="88"/>
  <c r="C281" i="88"/>
  <c r="A281" i="88" s="1"/>
  <c r="K203" i="88"/>
  <c r="G191" i="88"/>
  <c r="L173" i="88"/>
  <c r="E74" i="88"/>
  <c r="A62" i="88"/>
  <c r="H56" i="88"/>
  <c r="F209" i="88"/>
  <c r="K160" i="88"/>
  <c r="G74" i="88"/>
  <c r="C345" i="88"/>
  <c r="A345" i="88" s="1"/>
  <c r="C344" i="88"/>
  <c r="A344" i="88" s="1"/>
  <c r="C322" i="88"/>
  <c r="A322" i="88" s="1"/>
  <c r="K327" i="88"/>
  <c r="I327" i="88"/>
  <c r="C330" i="88"/>
  <c r="A330" i="88" s="1"/>
  <c r="C341" i="88"/>
  <c r="A341" i="88" s="1"/>
  <c r="C333" i="88"/>
  <c r="A333" i="88" s="1"/>
  <c r="C308" i="88"/>
  <c r="A308" i="88" s="1"/>
  <c r="C301" i="88"/>
  <c r="A301" i="88" s="1"/>
  <c r="C288" i="88"/>
  <c r="A288" i="88" s="1"/>
  <c r="C267" i="88"/>
  <c r="A267" i="88" s="1"/>
  <c r="C278" i="88"/>
  <c r="A278" i="88" s="1"/>
  <c r="C224" i="88"/>
  <c r="A224" i="88" s="1"/>
  <c r="I191" i="88"/>
  <c r="A173" i="88"/>
  <c r="H167" i="88"/>
  <c r="L210" i="88"/>
  <c r="J197" i="88"/>
  <c r="G54" i="88"/>
  <c r="C348" i="88"/>
  <c r="A348" i="88" s="1"/>
  <c r="A210" i="88"/>
  <c r="L176" i="88"/>
  <c r="F173" i="88"/>
  <c r="F80" i="88"/>
  <c r="A73" i="88"/>
  <c r="H74" i="88"/>
  <c r="I209" i="88"/>
  <c r="E191" i="88"/>
  <c r="F160" i="88"/>
  <c r="K74" i="88"/>
  <c r="A74" i="88"/>
  <c r="E160" i="88"/>
  <c r="E209" i="88"/>
  <c r="C346" i="88"/>
  <c r="A346" i="88" s="1"/>
  <c r="C338" i="88"/>
  <c r="A338" i="88" s="1"/>
  <c r="C314" i="88"/>
  <c r="A314" i="88" s="1"/>
  <c r="G327" i="88"/>
  <c r="C312" i="88"/>
  <c r="A312" i="88" s="1"/>
  <c r="C316" i="88"/>
  <c r="A316" i="88" s="1"/>
  <c r="C296" i="88"/>
  <c r="A296" i="88" s="1"/>
  <c r="H209" i="88"/>
  <c r="C269" i="88"/>
  <c r="A269" i="88" s="1"/>
  <c r="F191" i="88"/>
  <c r="G173" i="88"/>
  <c r="A167" i="88"/>
  <c r="F210" i="88"/>
  <c r="E197" i="88"/>
  <c r="C321" i="88"/>
  <c r="A321" i="88" s="1"/>
  <c r="L74" i="88"/>
  <c r="J200" i="88"/>
  <c r="E157" i="88"/>
  <c r="J54" i="88"/>
  <c r="I203" i="88"/>
  <c r="J173" i="88"/>
  <c r="K191" i="88"/>
  <c r="J209" i="88"/>
  <c r="F71" i="88"/>
  <c r="J194" i="88"/>
  <c r="L194" i="88"/>
  <c r="L185" i="88"/>
  <c r="J141" i="88"/>
  <c r="I72" i="88"/>
  <c r="H63" i="88"/>
  <c r="L205" i="88"/>
  <c r="A166" i="88"/>
  <c r="K188" i="88"/>
  <c r="K63" i="88"/>
  <c r="F159" i="88"/>
  <c r="K71" i="88"/>
  <c r="L72" i="88"/>
  <c r="H206" i="88"/>
  <c r="F165" i="88"/>
  <c r="J201" i="88"/>
  <c r="I162" i="88"/>
  <c r="E184" i="88"/>
  <c r="E187" i="88"/>
  <c r="L59" i="88"/>
  <c r="J172" i="88"/>
  <c r="K187" i="88"/>
  <c r="M8" i="94"/>
  <c r="I8" i="94"/>
  <c r="H8" i="94"/>
  <c r="O8" i="94"/>
  <c r="H97" i="78"/>
  <c r="H190" i="88"/>
  <c r="C231" i="88"/>
  <c r="A231" i="88" s="1"/>
  <c r="C223" i="88"/>
  <c r="A223" i="88" s="1"/>
  <c r="C213" i="88"/>
  <c r="A213" i="88" s="1"/>
  <c r="H172" i="88"/>
  <c r="L201" i="88"/>
  <c r="L172" i="88"/>
  <c r="F85" i="88"/>
  <c r="A67" i="88"/>
  <c r="C272" i="88"/>
  <c r="A272" i="88" s="1"/>
  <c r="C258" i="88"/>
  <c r="A258" i="88" s="1"/>
  <c r="C283" i="88"/>
  <c r="A283" i="88" s="1"/>
  <c r="C307" i="88"/>
  <c r="A307" i="88" s="1"/>
  <c r="C323" i="88"/>
  <c r="A323" i="88" s="1"/>
  <c r="G178" i="88"/>
  <c r="G86" i="88"/>
  <c r="I59" i="88"/>
  <c r="L85" i="88"/>
  <c r="H59" i="88"/>
  <c r="H78" i="88"/>
  <c r="K208" i="88"/>
  <c r="J208" i="88"/>
  <c r="E201" i="88"/>
  <c r="E172" i="88"/>
  <c r="J165" i="88"/>
  <c r="I78" i="88"/>
  <c r="A199" i="88"/>
  <c r="J86" i="88"/>
  <c r="I184" i="88"/>
  <c r="I140" i="88"/>
  <c r="C257" i="88"/>
  <c r="A257" i="88" s="1"/>
  <c r="C228" i="88"/>
  <c r="A228" i="88" s="1"/>
  <c r="C220" i="88"/>
  <c r="A220" i="88" s="1"/>
  <c r="I208" i="88"/>
  <c r="H201" i="88"/>
  <c r="I180" i="88"/>
  <c r="F178" i="88"/>
  <c r="A165" i="88"/>
  <c r="C236" i="88"/>
  <c r="A236" i="88" s="1"/>
  <c r="H208" i="88"/>
  <c r="G201" i="88"/>
  <c r="G172" i="88"/>
  <c r="L165" i="88"/>
  <c r="F44" i="88"/>
  <c r="C266" i="88"/>
  <c r="A266" i="88" s="1"/>
  <c r="C291" i="88"/>
  <c r="A291" i="88" s="1"/>
  <c r="C340" i="88"/>
  <c r="A340" i="88" s="1"/>
  <c r="C313" i="88"/>
  <c r="A313" i="88" s="1"/>
  <c r="J199" i="88"/>
  <c r="K165" i="88"/>
  <c r="K162" i="88"/>
  <c r="A86" i="88"/>
  <c r="J78" i="88"/>
  <c r="J67" i="88"/>
  <c r="E59" i="88"/>
  <c r="H85" i="88"/>
  <c r="G208" i="88"/>
  <c r="I201" i="88"/>
  <c r="I172" i="88"/>
  <c r="J162" i="88"/>
  <c r="E67" i="88"/>
  <c r="K190" i="88"/>
  <c r="K199" i="88"/>
  <c r="C242" i="88"/>
  <c r="A242" i="88" s="1"/>
  <c r="C227" i="88"/>
  <c r="A227" i="88" s="1"/>
  <c r="A208" i="88"/>
  <c r="A201" i="88"/>
  <c r="F180" i="88"/>
  <c r="C244" i="88"/>
  <c r="A244" i="88" s="1"/>
  <c r="C235" i="88"/>
  <c r="A235" i="88" s="1"/>
  <c r="A180" i="88"/>
  <c r="G78" i="88"/>
  <c r="F59" i="88"/>
  <c r="C293" i="88"/>
  <c r="A293" i="88" s="1"/>
  <c r="C247" i="88"/>
  <c r="A247" i="88" s="1"/>
  <c r="C302" i="88"/>
  <c r="A302" i="88" s="1"/>
  <c r="C315" i="88"/>
  <c r="A315" i="88" s="1"/>
  <c r="L67" i="88"/>
  <c r="C218" i="88"/>
  <c r="A218" i="88" s="1"/>
  <c r="E208" i="88"/>
  <c r="E199" i="88"/>
  <c r="L180" i="88"/>
  <c r="K172" i="88"/>
  <c r="E165" i="88"/>
  <c r="F162" i="88"/>
  <c r="I85" i="88"/>
  <c r="F78" i="88"/>
  <c r="F67" i="88"/>
  <c r="I44" i="88"/>
  <c r="E78" i="88"/>
  <c r="L44" i="88"/>
  <c r="L199" i="88"/>
  <c r="F199" i="88"/>
  <c r="F184" i="88"/>
  <c r="E198" i="88"/>
  <c r="I19" i="94"/>
  <c r="D9" i="78"/>
  <c r="A160" i="88"/>
  <c r="N18" i="94"/>
  <c r="O18" i="94"/>
  <c r="H18" i="94"/>
  <c r="M15" i="94"/>
  <c r="M18" i="94"/>
  <c r="I18" i="94"/>
  <c r="O19" i="94"/>
  <c r="K180" i="88"/>
  <c r="A66" i="88"/>
  <c r="I86" i="88"/>
  <c r="E86" i="88"/>
  <c r="K85" i="88"/>
  <c r="I190" i="88"/>
  <c r="F328" i="88"/>
  <c r="G184" i="88"/>
  <c r="L66" i="88"/>
  <c r="G199" i="88"/>
  <c r="H19" i="94"/>
  <c r="M19" i="94"/>
  <c r="N6" i="94"/>
  <c r="H15" i="94"/>
  <c r="M6" i="94"/>
  <c r="I15" i="94"/>
  <c r="O15" i="94"/>
  <c r="I6" i="94"/>
  <c r="I13" i="94"/>
  <c r="E56" i="88"/>
  <c r="I80" i="88"/>
  <c r="O11" i="94"/>
  <c r="H10" i="94"/>
  <c r="J184" i="88"/>
  <c r="A85" i="88"/>
  <c r="I204" i="88"/>
  <c r="F190" i="88"/>
  <c r="A184" i="88"/>
  <c r="K59" i="88"/>
  <c r="G66" i="88"/>
  <c r="E190" i="88"/>
  <c r="J190" i="88"/>
  <c r="K140" i="88"/>
  <c r="E180" i="88"/>
  <c r="G204" i="88"/>
  <c r="F86" i="88"/>
  <c r="F66" i="88"/>
  <c r="E66" i="88"/>
  <c r="A190" i="88"/>
  <c r="E140" i="88"/>
  <c r="J140" i="88"/>
  <c r="G59" i="88"/>
  <c r="A59" i="88"/>
  <c r="A139" i="88"/>
  <c r="A204" i="88"/>
  <c r="G85" i="88"/>
  <c r="K204" i="88"/>
  <c r="K184" i="88"/>
  <c r="K66" i="88"/>
  <c r="J66" i="88"/>
  <c r="J44" i="88"/>
  <c r="G190" i="88"/>
  <c r="F140" i="88"/>
  <c r="A140" i="88"/>
  <c r="H42" i="78"/>
  <c r="H70" i="78" s="1"/>
  <c r="J14" i="78"/>
  <c r="J13" i="78"/>
  <c r="K11" i="78"/>
  <c r="I97" i="78"/>
  <c r="I41" i="78"/>
  <c r="I69" i="78" s="1"/>
  <c r="I98" i="78"/>
  <c r="I42" i="78"/>
  <c r="I70" i="78" s="1"/>
  <c r="J186" i="88"/>
  <c r="E156" i="88"/>
  <c r="J73" i="88"/>
  <c r="F62" i="88"/>
  <c r="F77" i="88"/>
  <c r="G87" i="88"/>
  <c r="J68" i="88"/>
  <c r="J160" i="88"/>
  <c r="G77" i="88"/>
  <c r="E45" i="88"/>
  <c r="L198" i="88"/>
  <c r="J182" i="88"/>
  <c r="A76" i="88"/>
  <c r="A68" i="88"/>
  <c r="J196" i="88"/>
  <c r="A57" i="88"/>
  <c r="I81" i="88"/>
  <c r="E179" i="88"/>
  <c r="K81" i="88"/>
  <c r="I156" i="88"/>
  <c r="A179" i="88"/>
  <c r="E176" i="88"/>
  <c r="F156" i="88"/>
  <c r="E62" i="88"/>
  <c r="E186" i="88"/>
  <c r="K142" i="88"/>
  <c r="H327" i="88"/>
  <c r="I179" i="88"/>
  <c r="I142" i="88"/>
  <c r="A81" i="88"/>
  <c r="C263" i="88"/>
  <c r="A263" i="88" s="1"/>
  <c r="C305" i="88"/>
  <c r="A305" i="88" s="1"/>
  <c r="C300" i="88"/>
  <c r="A300" i="88" s="1"/>
  <c r="C318" i="88"/>
  <c r="A318" i="88" s="1"/>
  <c r="C294" i="88"/>
  <c r="A294" i="88" s="1"/>
  <c r="C279" i="88"/>
  <c r="A279" i="88" s="1"/>
  <c r="C295" i="88"/>
  <c r="A295" i="88" s="1"/>
  <c r="C262" i="88"/>
  <c r="A262" i="88" s="1"/>
  <c r="C299" i="88"/>
  <c r="A299" i="88" s="1"/>
  <c r="C292" i="88"/>
  <c r="A292" i="88" s="1"/>
  <c r="C259" i="88"/>
  <c r="A259" i="88" s="1"/>
  <c r="C241" i="88"/>
  <c r="A241" i="88" s="1"/>
  <c r="C230" i="88"/>
  <c r="A230" i="88" s="1"/>
  <c r="C226" i="88"/>
  <c r="A226" i="88" s="1"/>
  <c r="C222" i="88"/>
  <c r="A222" i="88" s="1"/>
  <c r="C217" i="88"/>
  <c r="A217" i="88" s="1"/>
  <c r="H203" i="88"/>
  <c r="H200" i="88"/>
  <c r="J176" i="88"/>
  <c r="K210" i="88"/>
  <c r="J210" i="88"/>
  <c r="L203" i="88"/>
  <c r="L200" i="88"/>
  <c r="I197" i="88"/>
  <c r="A178" i="88"/>
  <c r="G167" i="88"/>
  <c r="F157" i="88"/>
  <c r="H73" i="88"/>
  <c r="H62" i="88"/>
  <c r="A54" i="88"/>
  <c r="C260" i="88"/>
  <c r="A260" i="88" s="1"/>
  <c r="C297" i="88"/>
  <c r="A297" i="88" s="1"/>
  <c r="C285" i="88"/>
  <c r="A285" i="88" s="1"/>
  <c r="C249" i="88"/>
  <c r="A249" i="88" s="1"/>
  <c r="C332" i="88"/>
  <c r="A332" i="88" s="1"/>
  <c r="C304" i="88"/>
  <c r="A304" i="88" s="1"/>
  <c r="C309" i="88"/>
  <c r="A309" i="88" s="1"/>
  <c r="C317" i="88"/>
  <c r="A317" i="88" s="1"/>
  <c r="C325" i="88"/>
  <c r="A325" i="88" s="1"/>
  <c r="C237" i="88"/>
  <c r="A237" i="88" s="1"/>
  <c r="E203" i="88"/>
  <c r="E200" i="88"/>
  <c r="A197" i="88"/>
  <c r="G176" i="88"/>
  <c r="K167" i="88"/>
  <c r="H81" i="88"/>
  <c r="K73" i="88"/>
  <c r="I61" i="88"/>
  <c r="J56" i="88"/>
  <c r="F54" i="88"/>
  <c r="L61" i="88"/>
  <c r="F203" i="88"/>
  <c r="K200" i="88"/>
  <c r="I167" i="88"/>
  <c r="I54" i="88"/>
  <c r="L80" i="88"/>
  <c r="I186" i="88"/>
  <c r="E178" i="88"/>
  <c r="F81" i="88"/>
  <c r="A327" i="88"/>
  <c r="G61" i="88"/>
  <c r="G197" i="88"/>
  <c r="I62" i="88"/>
  <c r="C310" i="88"/>
  <c r="A310" i="88" s="1"/>
  <c r="C303" i="88"/>
  <c r="A303" i="88" s="1"/>
  <c r="C287" i="88"/>
  <c r="A287" i="88" s="1"/>
  <c r="C282" i="88"/>
  <c r="A282" i="88" s="1"/>
  <c r="C276" i="88"/>
  <c r="A276" i="88" s="1"/>
  <c r="C253" i="88"/>
  <c r="A253" i="88" s="1"/>
  <c r="C248" i="88"/>
  <c r="A248" i="88" s="1"/>
  <c r="C284" i="88"/>
  <c r="A284" i="88" s="1"/>
  <c r="C250" i="88"/>
  <c r="A250" i="88" s="1"/>
  <c r="C298" i="88"/>
  <c r="A298" i="88" s="1"/>
  <c r="C286" i="88"/>
  <c r="A286" i="88" s="1"/>
  <c r="C270" i="88"/>
  <c r="A270" i="88" s="1"/>
  <c r="C268" i="88"/>
  <c r="A268" i="88" s="1"/>
  <c r="C265" i="88"/>
  <c r="A265" i="88" s="1"/>
  <c r="C252" i="88"/>
  <c r="A252" i="88" s="1"/>
  <c r="H179" i="88"/>
  <c r="C234" i="88"/>
  <c r="A234" i="88" s="1"/>
  <c r="C229" i="88"/>
  <c r="A229" i="88" s="1"/>
  <c r="C225" i="88"/>
  <c r="A225" i="88" s="1"/>
  <c r="C221" i="88"/>
  <c r="A221" i="88" s="1"/>
  <c r="C216" i="88"/>
  <c r="A216" i="88" s="1"/>
  <c r="A203" i="88"/>
  <c r="I176" i="88"/>
  <c r="C243" i="88"/>
  <c r="A243" i="88" s="1"/>
  <c r="G210" i="88"/>
  <c r="G203" i="88"/>
  <c r="F200" i="88"/>
  <c r="A176" i="88"/>
  <c r="F61" i="88"/>
  <c r="G56" i="88"/>
  <c r="C264" i="88"/>
  <c r="A264" i="88" s="1"/>
  <c r="C251" i="88"/>
  <c r="A251" i="88" s="1"/>
  <c r="C289" i="88"/>
  <c r="A289" i="88" s="1"/>
  <c r="C277" i="88"/>
  <c r="A277" i="88" s="1"/>
  <c r="C334" i="88"/>
  <c r="A334" i="88" s="1"/>
  <c r="C342" i="88"/>
  <c r="A342" i="88" s="1"/>
  <c r="C311" i="88"/>
  <c r="A311" i="88" s="1"/>
  <c r="C319" i="88"/>
  <c r="A319" i="88" s="1"/>
  <c r="C215" i="88"/>
  <c r="A215" i="88" s="1"/>
  <c r="L178" i="88"/>
  <c r="E167" i="88"/>
  <c r="I157" i="88"/>
  <c r="J80" i="88"/>
  <c r="G73" i="88"/>
  <c r="K62" i="88"/>
  <c r="E61" i="88"/>
  <c r="F56" i="88"/>
  <c r="H61" i="88"/>
  <c r="L54" i="88"/>
  <c r="I200" i="88"/>
  <c r="F167" i="88"/>
  <c r="L157" i="88"/>
  <c r="E54" i="88"/>
  <c r="H80" i="88"/>
  <c r="E210" i="88"/>
  <c r="J62" i="88"/>
  <c r="F197" i="88"/>
  <c r="J156" i="88"/>
  <c r="J142" i="88"/>
  <c r="J327" i="88"/>
  <c r="H210" i="88"/>
  <c r="A61" i="88"/>
  <c r="K179" i="88"/>
  <c r="G81" i="88"/>
  <c r="G62" i="88"/>
  <c r="E80" i="88"/>
  <c r="H54" i="88"/>
  <c r="I56" i="88"/>
  <c r="L56" i="88"/>
  <c r="K197" i="88"/>
  <c r="G179" i="88"/>
  <c r="J179" i="88"/>
  <c r="E142" i="88"/>
  <c r="L197" i="88"/>
  <c r="J61" i="88"/>
  <c r="K178" i="88"/>
  <c r="F179" i="88"/>
  <c r="F142" i="88"/>
  <c r="J81" i="88"/>
  <c r="I73" i="88"/>
  <c r="K176" i="88"/>
  <c r="E73" i="88"/>
  <c r="A186" i="88"/>
  <c r="G186" i="88"/>
  <c r="F186" i="88"/>
  <c r="E81" i="88"/>
  <c r="F73" i="88"/>
  <c r="K186" i="88"/>
  <c r="F198" i="88"/>
  <c r="G182" i="88"/>
  <c r="M16" i="94"/>
  <c r="I25" i="94"/>
  <c r="E196" i="88"/>
  <c r="J57" i="88"/>
  <c r="O6" i="94"/>
  <c r="H6" i="94"/>
  <c r="I21" i="94"/>
  <c r="M12" i="94"/>
  <c r="H12" i="94"/>
  <c r="N13" i="94"/>
  <c r="A87" i="88"/>
  <c r="H198" i="88"/>
  <c r="E68" i="88"/>
  <c r="G68" i="88"/>
  <c r="O30" i="94"/>
  <c r="H7" i="94"/>
  <c r="AA21" i="31"/>
  <c r="F5" i="81"/>
  <c r="H3" i="81"/>
  <c r="H5" i="81" s="1"/>
  <c r="N25" i="94"/>
  <c r="N32" i="94"/>
  <c r="H30" i="94"/>
  <c r="H13" i="94"/>
  <c r="C240" i="88"/>
  <c r="A240" i="88" s="1"/>
  <c r="G205" i="88"/>
  <c r="I71" i="88"/>
  <c r="I159" i="88"/>
  <c r="E141" i="88"/>
  <c r="I166" i="88"/>
  <c r="J72" i="88"/>
  <c r="C238" i="88"/>
  <c r="A238" i="88" s="1"/>
  <c r="E159" i="88"/>
  <c r="J177" i="88"/>
  <c r="F177" i="88"/>
  <c r="E53" i="88"/>
  <c r="E185" i="88"/>
  <c r="F188" i="88"/>
  <c r="C219" i="88"/>
  <c r="A219" i="88" s="1"/>
  <c r="C214" i="88"/>
  <c r="A214" i="88" s="1"/>
  <c r="A158" i="88"/>
  <c r="I83" i="88"/>
  <c r="G71" i="88"/>
  <c r="E63" i="88"/>
  <c r="C239" i="88"/>
  <c r="A239" i="88" s="1"/>
  <c r="J205" i="88"/>
  <c r="K205" i="88"/>
  <c r="L63" i="88"/>
  <c r="F206" i="88"/>
  <c r="G188" i="88"/>
  <c r="A70" i="88"/>
  <c r="J188" i="88"/>
  <c r="I177" i="88"/>
  <c r="J166" i="88"/>
  <c r="K83" i="88"/>
  <c r="I188" i="88"/>
  <c r="K72" i="88"/>
  <c r="K177" i="88"/>
  <c r="F166" i="88"/>
  <c r="J53" i="88"/>
  <c r="G83" i="88"/>
  <c r="G177" i="88"/>
  <c r="F53" i="88"/>
  <c r="A177" i="88"/>
  <c r="G53" i="88"/>
  <c r="K53" i="88"/>
  <c r="K185" i="88"/>
  <c r="G63" i="88"/>
  <c r="E83" i="88"/>
  <c r="A188" i="88"/>
  <c r="G166" i="88"/>
  <c r="E161" i="88"/>
  <c r="E188" i="88"/>
  <c r="E166" i="88"/>
  <c r="I53" i="88"/>
  <c r="J71" i="88"/>
  <c r="I161" i="88"/>
  <c r="E177" i="88"/>
  <c r="A83" i="88"/>
  <c r="E194" i="88"/>
  <c r="A63" i="88"/>
  <c r="A52" i="88"/>
  <c r="A53" i="88"/>
  <c r="K166" i="88"/>
  <c r="M7" i="94"/>
  <c r="N9" i="94"/>
  <c r="O29" i="94"/>
  <c r="I10" i="94"/>
  <c r="O22" i="94"/>
  <c r="N22" i="94"/>
  <c r="M22" i="94"/>
  <c r="O10" i="94"/>
  <c r="N10" i="94"/>
  <c r="I7" i="94"/>
  <c r="O7" i="94"/>
  <c r="I29" i="94"/>
  <c r="H29" i="94"/>
  <c r="H14" i="94"/>
  <c r="I14" i="94"/>
  <c r="H25" i="94"/>
  <c r="M32" i="94"/>
  <c r="O21" i="94"/>
  <c r="N21" i="94"/>
  <c r="H32" i="94"/>
  <c r="M10" i="94"/>
  <c r="O12" i="94"/>
  <c r="O14" i="94"/>
  <c r="O25" i="94"/>
  <c r="H21" i="94"/>
  <c r="N14" i="94"/>
  <c r="I32" i="94"/>
  <c r="I12" i="94"/>
  <c r="H16" i="94"/>
  <c r="O16" i="94"/>
  <c r="M20" i="94"/>
  <c r="O13" i="94"/>
  <c r="I17" i="94"/>
  <c r="I16" i="94"/>
  <c r="M14" i="94"/>
  <c r="O9" i="94"/>
  <c r="H9" i="94"/>
  <c r="H20" i="94"/>
  <c r="H11" i="94"/>
  <c r="I11" i="94"/>
  <c r="M11" i="94"/>
  <c r="B9" i="40"/>
  <c r="L2" i="40"/>
  <c r="H26" i="94"/>
  <c r="N26" i="94"/>
  <c r="I30" i="94"/>
  <c r="H17" i="94"/>
  <c r="I22" i="94"/>
  <c r="N17" i="94"/>
  <c r="H22" i="94"/>
  <c r="P9" i="94"/>
  <c r="O17" i="94"/>
  <c r="I9" i="94"/>
  <c r="I26" i="94"/>
  <c r="N29" i="94"/>
  <c r="N20" i="94"/>
  <c r="O20" i="94"/>
  <c r="I20" i="94"/>
  <c r="M26" i="94"/>
  <c r="M30" i="94"/>
  <c r="N28" i="94"/>
  <c r="M28" i="94"/>
  <c r="P28" i="94"/>
  <c r="I28" i="94"/>
  <c r="O28" i="94"/>
  <c r="H28" i="94"/>
  <c r="O31" i="94"/>
  <c r="H31" i="94"/>
  <c r="P31" i="94"/>
  <c r="I31" i="94"/>
  <c r="N31" i="94"/>
  <c r="M31" i="94"/>
  <c r="N24" i="94"/>
  <c r="M24" i="94"/>
  <c r="I24" i="94"/>
  <c r="O24" i="94"/>
  <c r="H24" i="94"/>
  <c r="O27" i="94"/>
  <c r="H27" i="94"/>
  <c r="N27" i="94"/>
  <c r="M27" i="94"/>
  <c r="I27" i="94"/>
  <c r="O23" i="94"/>
  <c r="H23" i="94"/>
  <c r="N23" i="94"/>
  <c r="M23" i="94"/>
  <c r="I23" i="94"/>
  <c r="P53" i="32"/>
  <c r="A80" i="79"/>
  <c r="A28" i="88" l="1"/>
  <c r="A29" i="88"/>
  <c r="A326" i="88"/>
  <c r="J3" i="81"/>
  <c r="J4" i="81" s="1"/>
  <c r="K10" i="76"/>
  <c r="K9" i="76"/>
  <c r="M8" i="76"/>
  <c r="A207" i="88"/>
  <c r="A193" i="88"/>
  <c r="A202" i="88"/>
  <c r="L32" i="36"/>
  <c r="N32" i="36"/>
  <c r="M32" i="36"/>
  <c r="K32" i="36"/>
  <c r="H4" i="81"/>
  <c r="A181" i="88"/>
  <c r="L11" i="78"/>
  <c r="K14" i="78"/>
  <c r="K13" i="78"/>
  <c r="J97" i="78"/>
  <c r="J41" i="78"/>
  <c r="J69" i="78" s="1"/>
  <c r="J98" i="78"/>
  <c r="J42" i="78"/>
  <c r="J70" i="78" s="1"/>
  <c r="A212" i="88"/>
  <c r="A306" i="88"/>
  <c r="A254" i="88"/>
  <c r="A275" i="88"/>
  <c r="A233" i="88"/>
  <c r="A329" i="88"/>
  <c r="AW3" i="33"/>
  <c r="AI7" i="33"/>
  <c r="AH6" i="33"/>
  <c r="AH12" i="33"/>
  <c r="H17" i="33"/>
  <c r="G8" i="33"/>
  <c r="AH20" i="33"/>
  <c r="K21" i="33"/>
  <c r="AI4" i="33"/>
  <c r="AH23" i="33"/>
  <c r="AV17" i="33"/>
  <c r="AH9" i="33"/>
  <c r="AV8" i="33"/>
  <c r="AW14" i="33"/>
  <c r="H19" i="33"/>
  <c r="AV10" i="33"/>
  <c r="AV4" i="33"/>
  <c r="AW15" i="33"/>
  <c r="L13" i="33"/>
  <c r="L16" i="33"/>
  <c r="AW9" i="33"/>
  <c r="AH4" i="33"/>
  <c r="B5" i="37"/>
  <c r="G4" i="33"/>
  <c r="AH17" i="33"/>
  <c r="K13" i="33"/>
  <c r="L17" i="33"/>
  <c r="H4" i="33"/>
  <c r="AH8" i="33"/>
  <c r="H11" i="33"/>
  <c r="AV6" i="33"/>
  <c r="L7" i="33"/>
  <c r="AW7" i="33"/>
  <c r="AV11" i="33"/>
  <c r="AI19" i="33"/>
  <c r="G11" i="33"/>
  <c r="AI14" i="33"/>
  <c r="AI15" i="33"/>
  <c r="H9" i="33"/>
  <c r="G20" i="33"/>
  <c r="H5" i="33"/>
  <c r="AW8" i="33"/>
  <c r="L20" i="33"/>
  <c r="H20" i="33"/>
  <c r="AI20" i="33"/>
  <c r="K12" i="33"/>
  <c r="AV20" i="33"/>
  <c r="H7" i="33"/>
  <c r="G7" i="33"/>
  <c r="G9" i="33"/>
  <c r="G6" i="33"/>
  <c r="AV5" i="33"/>
  <c r="AV3" i="33"/>
  <c r="AH5" i="33"/>
  <c r="L10" i="33"/>
  <c r="G24" i="33"/>
  <c r="G13" i="33"/>
  <c r="H18" i="33"/>
  <c r="AH14" i="33"/>
  <c r="AW11" i="33"/>
  <c r="AI12" i="33"/>
  <c r="K6" i="33"/>
  <c r="AI21" i="33"/>
  <c r="AW21" i="33"/>
  <c r="AV21" i="33"/>
  <c r="AW19" i="33"/>
  <c r="AH7" i="33"/>
  <c r="L14" i="33"/>
  <c r="K15" i="33"/>
  <c r="H6" i="33"/>
  <c r="AV7" i="33"/>
  <c r="L11" i="33"/>
  <c r="L9" i="33"/>
  <c r="AV14" i="33"/>
  <c r="AV15" i="33"/>
  <c r="AW13" i="33"/>
  <c r="L8" i="33"/>
  <c r="AV13" i="33"/>
  <c r="AI10" i="33"/>
  <c r="G21" i="33"/>
  <c r="G12" i="33"/>
  <c r="K7" i="33"/>
  <c r="K14" i="33"/>
  <c r="AW17" i="33"/>
  <c r="AW18" i="33"/>
  <c r="AI17" i="33"/>
  <c r="H22" i="33"/>
  <c r="AW4" i="33"/>
  <c r="AW20" i="33"/>
  <c r="G25" i="33"/>
  <c r="AH10" i="33"/>
  <c r="AW16" i="33"/>
  <c r="AH11" i="33"/>
  <c r="AW5" i="33"/>
  <c r="G5" i="33"/>
  <c r="G18" i="33"/>
  <c r="H13" i="33"/>
  <c r="AI8" i="33"/>
  <c r="L12" i="33"/>
  <c r="AI13" i="33"/>
  <c r="AH24" i="33"/>
  <c r="AH16" i="33"/>
  <c r="AI16" i="33"/>
  <c r="G22" i="33"/>
  <c r="AV9" i="33"/>
  <c r="AI18" i="33"/>
  <c r="K5" i="33"/>
  <c r="K16" i="33"/>
  <c r="AI5" i="33"/>
  <c r="L4" i="33"/>
  <c r="AW6" i="33"/>
  <c r="K17" i="33"/>
  <c r="AI11" i="33"/>
  <c r="K4" i="33"/>
  <c r="G17" i="33"/>
  <c r="L15" i="33"/>
  <c r="H10" i="33"/>
  <c r="K20" i="33"/>
  <c r="G14" i="33"/>
  <c r="AI6" i="33"/>
  <c r="L5" i="33"/>
  <c r="AH3" i="33"/>
  <c r="L21" i="33"/>
  <c r="H8" i="33"/>
  <c r="H14" i="33"/>
  <c r="AH21" i="33"/>
  <c r="AH19" i="33"/>
  <c r="AW10" i="33"/>
  <c r="L6" i="33"/>
  <c r="H12" i="33"/>
  <c r="G16" i="33"/>
  <c r="H15" i="33"/>
  <c r="AV16" i="33"/>
  <c r="G10" i="33"/>
  <c r="K9" i="33"/>
  <c r="K11" i="33"/>
  <c r="AW12" i="33"/>
  <c r="AV18" i="33"/>
  <c r="K10" i="33"/>
  <c r="G19" i="33"/>
  <c r="AH18" i="33"/>
  <c r="G15" i="33"/>
  <c r="H21" i="33"/>
  <c r="AV19" i="33"/>
  <c r="AV12" i="33"/>
  <c r="AH15" i="33"/>
  <c r="AI3" i="33"/>
  <c r="AI9" i="33"/>
  <c r="AH13" i="33"/>
  <c r="H16" i="33"/>
  <c r="J15" i="37" l="1"/>
  <c r="I5" i="37"/>
  <c r="L5" i="37"/>
  <c r="T10" i="37"/>
  <c r="R32" i="36" s="1"/>
  <c r="U16" i="36"/>
  <c r="C32" i="36"/>
  <c r="T16" i="36"/>
  <c r="F32" i="36"/>
  <c r="S32" i="36"/>
  <c r="J5" i="81"/>
  <c r="L3" i="81"/>
  <c r="L4" i="81" s="1"/>
  <c r="H21" i="93"/>
  <c r="G61" i="93"/>
  <c r="I55" i="93"/>
  <c r="AH25" i="33"/>
  <c r="I49" i="93"/>
  <c r="G28" i="93"/>
  <c r="G10" i="93"/>
  <c r="K10" i="37"/>
  <c r="G49" i="93"/>
  <c r="F92" i="90"/>
  <c r="H58" i="93"/>
  <c r="F15" i="37"/>
  <c r="H10" i="93"/>
  <c r="G27" i="93"/>
  <c r="H22" i="93"/>
  <c r="H53" i="93"/>
  <c r="F93" i="90"/>
  <c r="H55" i="93"/>
  <c r="F89" i="90"/>
  <c r="G15" i="37"/>
  <c r="I32" i="93"/>
  <c r="Q15" i="37"/>
  <c r="G59" i="93"/>
  <c r="E90" i="90"/>
  <c r="G53" i="93"/>
  <c r="E93" i="90"/>
  <c r="H38" i="93"/>
  <c r="N5" i="37"/>
  <c r="G32" i="93"/>
  <c r="H33" i="93"/>
  <c r="H34" i="93"/>
  <c r="F5" i="37"/>
  <c r="H6" i="93"/>
  <c r="R16" i="36"/>
  <c r="M37" i="93"/>
  <c r="G50" i="93"/>
  <c r="M10" i="37"/>
  <c r="G22" i="93"/>
  <c r="G9" i="93"/>
  <c r="H31" i="93"/>
  <c r="G6" i="93"/>
  <c r="H30" i="93"/>
  <c r="I52" i="93"/>
  <c r="H49" i="93"/>
  <c r="L10" i="37"/>
  <c r="M5" i="37"/>
  <c r="G38" i="93"/>
  <c r="G57" i="93"/>
  <c r="H27" i="93"/>
  <c r="I60" i="93"/>
  <c r="H37" i="93"/>
  <c r="K18" i="33"/>
  <c r="E89" i="90"/>
  <c r="G55" i="93"/>
  <c r="I15" i="37"/>
  <c r="G26" i="33"/>
  <c r="L37" i="93"/>
  <c r="G30" i="93"/>
  <c r="E94" i="90"/>
  <c r="G54" i="93"/>
  <c r="F94" i="90"/>
  <c r="V10" i="37"/>
  <c r="T32" i="36" s="1"/>
  <c r="H54" i="93"/>
  <c r="G29" i="93"/>
  <c r="F90" i="90"/>
  <c r="H59" i="93"/>
  <c r="J5" i="37"/>
  <c r="H36" i="93"/>
  <c r="H5" i="37"/>
  <c r="H35" i="93"/>
  <c r="H57" i="93"/>
  <c r="H16" i="36"/>
  <c r="I30" i="93"/>
  <c r="H52" i="93"/>
  <c r="R10" i="37"/>
  <c r="G5" i="37"/>
  <c r="G35" i="93"/>
  <c r="N10" i="37"/>
  <c r="H50" i="93"/>
  <c r="H7" i="93"/>
  <c r="G56" i="93"/>
  <c r="G33" i="93"/>
  <c r="I31" i="93"/>
  <c r="H61" i="93"/>
  <c r="H8" i="93"/>
  <c r="H32" i="93"/>
  <c r="I27" i="93"/>
  <c r="I59" i="93"/>
  <c r="G36" i="93"/>
  <c r="G58" i="93"/>
  <c r="E92" i="90"/>
  <c r="G34" i="93"/>
  <c r="E5" i="37"/>
  <c r="H9" i="93"/>
  <c r="I24" i="93"/>
  <c r="G21" i="93"/>
  <c r="G7" i="93"/>
  <c r="G60" i="93"/>
  <c r="R15" i="37"/>
  <c r="G52" i="93"/>
  <c r="Q10" i="37"/>
  <c r="I58" i="93"/>
  <c r="G24" i="93"/>
  <c r="J24" i="93" s="1"/>
  <c r="H28" i="93"/>
  <c r="L18" i="33"/>
  <c r="G31" i="93"/>
  <c r="H60" i="93"/>
  <c r="Q16" i="36"/>
  <c r="H56" i="93"/>
  <c r="I16" i="36"/>
  <c r="G8" i="93"/>
  <c r="H29" i="93"/>
  <c r="G37" i="93"/>
  <c r="M10" i="76"/>
  <c r="M9" i="76"/>
  <c r="O8" i="76"/>
  <c r="K97" i="78"/>
  <c r="K41" i="78"/>
  <c r="K69" i="78" s="1"/>
  <c r="K98" i="78"/>
  <c r="K42" i="78"/>
  <c r="K70" i="78" s="1"/>
  <c r="M11" i="78"/>
  <c r="L14" i="78"/>
  <c r="L13" i="78"/>
  <c r="F19" i="37" l="1"/>
  <c r="Z16" i="36"/>
  <c r="L5" i="81"/>
  <c r="J38" i="93"/>
  <c r="J56" i="93"/>
  <c r="J36" i="93"/>
  <c r="J31" i="93"/>
  <c r="J57" i="93"/>
  <c r="N16" i="36"/>
  <c r="O16" i="36"/>
  <c r="L16" i="36"/>
  <c r="K16" i="36"/>
  <c r="Y16" i="36"/>
  <c r="N37" i="93"/>
  <c r="L44" i="93" s="1"/>
  <c r="M44" i="93" s="1"/>
  <c r="J58" i="93"/>
  <c r="J27" i="93"/>
  <c r="J49" i="93"/>
  <c r="J22" i="93"/>
  <c r="J7" i="93"/>
  <c r="J52" i="93"/>
  <c r="J59" i="93"/>
  <c r="J35" i="93"/>
  <c r="J6" i="93"/>
  <c r="M38" i="93"/>
  <c r="M40" i="93" s="1"/>
  <c r="J21" i="93"/>
  <c r="J50" i="93"/>
  <c r="O15" i="37"/>
  <c r="J10" i="93"/>
  <c r="L38" i="93"/>
  <c r="L40" i="93" s="1"/>
  <c r="J60" i="93"/>
  <c r="J54" i="93"/>
  <c r="J32" i="93"/>
  <c r="J30" i="93"/>
  <c r="J29" i="93"/>
  <c r="J53" i="93"/>
  <c r="J55" i="93"/>
  <c r="J37" i="93"/>
  <c r="S15" i="37"/>
  <c r="J34" i="93"/>
  <c r="AC26" i="36"/>
  <c r="J8" i="93"/>
  <c r="G89" i="90"/>
  <c r="N15" i="37"/>
  <c r="I2" i="93"/>
  <c r="J9" i="93"/>
  <c r="P15" i="37"/>
  <c r="G2" i="93"/>
  <c r="E19" i="37"/>
  <c r="L10" i="93"/>
  <c r="L12" i="93" s="1"/>
  <c r="J61" i="93"/>
  <c r="J33" i="93"/>
  <c r="H2" i="93"/>
  <c r="J28" i="93"/>
  <c r="D32" i="36"/>
  <c r="AD26" i="36"/>
  <c r="AB10" i="36" s="1"/>
  <c r="AG10" i="36" s="1"/>
  <c r="O9" i="76"/>
  <c r="Q8" i="76"/>
  <c r="O10" i="76"/>
  <c r="L97" i="78"/>
  <c r="L41" i="78"/>
  <c r="L69" i="78" s="1"/>
  <c r="L98" i="78"/>
  <c r="L42" i="78"/>
  <c r="L70" i="78" s="1"/>
  <c r="M14" i="78"/>
  <c r="M13" i="78"/>
  <c r="N11" i="78"/>
  <c r="AF16" i="36" l="1"/>
  <c r="F16" i="36"/>
  <c r="AG16" i="36"/>
  <c r="AA10" i="36"/>
  <c r="AA16" i="36" s="1"/>
  <c r="E16" i="36"/>
  <c r="M43" i="93"/>
  <c r="N38" i="93"/>
  <c r="AC32" i="36"/>
  <c r="T15" i="37"/>
  <c r="J2" i="93"/>
  <c r="L3" i="93" s="1"/>
  <c r="M3" i="93" s="1"/>
  <c r="N10" i="93"/>
  <c r="L16" i="93" s="1"/>
  <c r="M16" i="93" s="1"/>
  <c r="AB16" i="36"/>
  <c r="AD32" i="36"/>
  <c r="Q10" i="76"/>
  <c r="Q9" i="76"/>
  <c r="S8" i="76"/>
  <c r="N14" i="78"/>
  <c r="N13" i="78"/>
  <c r="O11" i="78"/>
  <c r="M97" i="78"/>
  <c r="M41" i="78"/>
  <c r="M69" i="78" s="1"/>
  <c r="M98" i="78"/>
  <c r="M42" i="78"/>
  <c r="M70" i="78" s="1"/>
  <c r="M2" i="93" l="1"/>
  <c r="M15" i="93"/>
  <c r="S10" i="76"/>
  <c r="S9" i="76"/>
  <c r="U8" i="76"/>
  <c r="P11" i="78"/>
  <c r="O14" i="78"/>
  <c r="O13" i="78"/>
  <c r="N97" i="78"/>
  <c r="N41" i="78"/>
  <c r="N69" i="78" s="1"/>
  <c r="N98" i="78"/>
  <c r="N42" i="78"/>
  <c r="N70" i="78" s="1"/>
  <c r="U10" i="76" l="1"/>
  <c r="U9" i="76"/>
  <c r="W8" i="76"/>
  <c r="O97" i="78"/>
  <c r="O41" i="78"/>
  <c r="O69" i="78" s="1"/>
  <c r="O98" i="78"/>
  <c r="O42" i="78"/>
  <c r="O70" i="78" s="1"/>
  <c r="Q11" i="78"/>
  <c r="P14" i="78"/>
  <c r="P13" i="78"/>
  <c r="W9" i="76" l="1"/>
  <c r="Y8" i="76"/>
  <c r="W10" i="76"/>
  <c r="P41" i="78"/>
  <c r="P69" i="78" s="1"/>
  <c r="P97" i="78"/>
  <c r="P98" i="78"/>
  <c r="P42" i="78"/>
  <c r="P70" i="78" s="1"/>
  <c r="Q14" i="78"/>
  <c r="Q13" i="78"/>
  <c r="R11" i="78"/>
  <c r="Y10" i="76" l="1"/>
  <c r="Y9" i="76"/>
  <c r="AA8" i="76"/>
  <c r="R14" i="78"/>
  <c r="R13" i="78"/>
  <c r="S11" i="78"/>
  <c r="Q97" i="78"/>
  <c r="Q41" i="78"/>
  <c r="Q69" i="78" s="1"/>
  <c r="Q98" i="78"/>
  <c r="Q42" i="78"/>
  <c r="Q70" i="78" s="1"/>
  <c r="AA10" i="76" l="1"/>
  <c r="AA9" i="76"/>
  <c r="AC8" i="76"/>
  <c r="T11" i="78"/>
  <c r="S14" i="78"/>
  <c r="S13" i="78"/>
  <c r="R97" i="78"/>
  <c r="R41" i="78"/>
  <c r="R69" i="78" s="1"/>
  <c r="R98" i="78"/>
  <c r="R42" i="78"/>
  <c r="R70" i="78" s="1"/>
  <c r="AC10" i="76" l="1"/>
  <c r="AC9" i="76"/>
  <c r="AE8" i="76"/>
  <c r="S97" i="78"/>
  <c r="S41" i="78"/>
  <c r="S69" i="78" s="1"/>
  <c r="S98" i="78"/>
  <c r="S42" i="78"/>
  <c r="S70" i="78" s="1"/>
  <c r="U11" i="78"/>
  <c r="T13" i="78"/>
  <c r="T14" i="78"/>
  <c r="AE9" i="76" l="1"/>
  <c r="AG8" i="76"/>
  <c r="AE10" i="76"/>
  <c r="T98" i="78"/>
  <c r="T42" i="78"/>
  <c r="T70" i="78" s="1"/>
  <c r="T97" i="78"/>
  <c r="T41" i="78"/>
  <c r="T69" i="78" s="1"/>
  <c r="U14" i="78"/>
  <c r="U13" i="78"/>
  <c r="V11" i="78"/>
  <c r="AG10" i="76" l="1"/>
  <c r="AG9" i="76"/>
  <c r="AI8" i="76"/>
  <c r="V14" i="78"/>
  <c r="V13" i="78"/>
  <c r="W11" i="78"/>
  <c r="U97" i="78"/>
  <c r="U41" i="78"/>
  <c r="U69" i="78" s="1"/>
  <c r="U98" i="78"/>
  <c r="U42" i="78"/>
  <c r="U70" i="78" s="1"/>
  <c r="AI10" i="76" l="1"/>
  <c r="AI9" i="76"/>
  <c r="AK8" i="76"/>
  <c r="X11" i="78"/>
  <c r="W14" i="78"/>
  <c r="W13" i="78"/>
  <c r="V97" i="78"/>
  <c r="V41" i="78"/>
  <c r="V69" i="78" s="1"/>
  <c r="V98" i="78"/>
  <c r="V42" i="78"/>
  <c r="V70" i="78" s="1"/>
  <c r="AK10" i="76" l="1"/>
  <c r="AK9" i="76"/>
  <c r="AM8" i="76"/>
  <c r="W97" i="78"/>
  <c r="W41" i="78"/>
  <c r="W69" i="78" s="1"/>
  <c r="W98" i="78"/>
  <c r="W42" i="78"/>
  <c r="W70" i="78" s="1"/>
  <c r="Y11" i="78"/>
  <c r="X14" i="78"/>
  <c r="X13" i="78"/>
  <c r="AM9" i="76" l="1"/>
  <c r="AO8" i="76"/>
  <c r="AM10" i="76"/>
  <c r="X97" i="78"/>
  <c r="X41" i="78"/>
  <c r="X69" i="78" s="1"/>
  <c r="X98" i="78"/>
  <c r="X42" i="78"/>
  <c r="X70" i="78" s="1"/>
  <c r="Y14" i="78"/>
  <c r="Y13" i="78"/>
  <c r="Z11" i="78"/>
  <c r="AO10" i="76" l="1"/>
  <c r="AO9" i="76"/>
  <c r="AQ8" i="76"/>
  <c r="Z14" i="78"/>
  <c r="Z13" i="78"/>
  <c r="AA11" i="78"/>
  <c r="Y97" i="78"/>
  <c r="Y41" i="78"/>
  <c r="Y69" i="78" s="1"/>
  <c r="Y98" i="78"/>
  <c r="Y42" i="78"/>
  <c r="Y70" i="78" s="1"/>
  <c r="AQ10" i="76" l="1"/>
  <c r="AQ9" i="76"/>
  <c r="AS8" i="76"/>
  <c r="AB11" i="78"/>
  <c r="AA14" i="78"/>
  <c r="AA13" i="78"/>
  <c r="Z97" i="78"/>
  <c r="Z41" i="78"/>
  <c r="Z69" i="78" s="1"/>
  <c r="Z98" i="78"/>
  <c r="Z42" i="78"/>
  <c r="Z70" i="78" s="1"/>
  <c r="AS10" i="76" l="1"/>
  <c r="AS9" i="76"/>
  <c r="AU8" i="76"/>
  <c r="AA97" i="78"/>
  <c r="AA41" i="78"/>
  <c r="AA69" i="78" s="1"/>
  <c r="AA98" i="78"/>
  <c r="AA42" i="78"/>
  <c r="AA70" i="78" s="1"/>
  <c r="AC11" i="78"/>
  <c r="AB14" i="78"/>
  <c r="AB13" i="78"/>
  <c r="AU9" i="76" l="1"/>
  <c r="AW8" i="76"/>
  <c r="AU10" i="76"/>
  <c r="AB97" i="78"/>
  <c r="AB41" i="78"/>
  <c r="AB69" i="78" s="1"/>
  <c r="AB98" i="78"/>
  <c r="AB42" i="78"/>
  <c r="AB70" i="78" s="1"/>
  <c r="AC14" i="78"/>
  <c r="AC13" i="78"/>
  <c r="AD11" i="78"/>
  <c r="AW10" i="76" l="1"/>
  <c r="AW9" i="76"/>
  <c r="AY8" i="76"/>
  <c r="AD14" i="78"/>
  <c r="AD13" i="78"/>
  <c r="AE11" i="78"/>
  <c r="AC97" i="78"/>
  <c r="AC41" i="78"/>
  <c r="AC69" i="78" s="1"/>
  <c r="AC98" i="78"/>
  <c r="AC42" i="78"/>
  <c r="AC70" i="78" s="1"/>
  <c r="AY10" i="76" l="1"/>
  <c r="AY9" i="76"/>
  <c r="BA8" i="76"/>
  <c r="AF11" i="78"/>
  <c r="AE14" i="78"/>
  <c r="AE13" i="78"/>
  <c r="AD97" i="78"/>
  <c r="AD41" i="78"/>
  <c r="AD69" i="78" s="1"/>
  <c r="AD98" i="78"/>
  <c r="AD42" i="78"/>
  <c r="AD70" i="78" s="1"/>
  <c r="BA10" i="76" l="1"/>
  <c r="BA9" i="76"/>
  <c r="BC8" i="76"/>
  <c r="AE97" i="78"/>
  <c r="AE41" i="78"/>
  <c r="AE69" i="78" s="1"/>
  <c r="AE98" i="78"/>
  <c r="AE42" i="78"/>
  <c r="AE70" i="78" s="1"/>
  <c r="AG11" i="78"/>
  <c r="AF14" i="78"/>
  <c r="AF13" i="78"/>
  <c r="BC9" i="76" l="1"/>
  <c r="BE8" i="76"/>
  <c r="BC10" i="76"/>
  <c r="AF97" i="78"/>
  <c r="AF41" i="78"/>
  <c r="AF69" i="78" s="1"/>
  <c r="AF98" i="78"/>
  <c r="AF42" i="78"/>
  <c r="AF70" i="78" s="1"/>
  <c r="AG14" i="78"/>
  <c r="AG13" i="78"/>
  <c r="AH11" i="78"/>
  <c r="BE10" i="76" l="1"/>
  <c r="BE9" i="76"/>
  <c r="BG8" i="76"/>
  <c r="AH14" i="78"/>
  <c r="AH13" i="78"/>
  <c r="AI11" i="78"/>
  <c r="AG97" i="78"/>
  <c r="AG41" i="78"/>
  <c r="AG69" i="78" s="1"/>
  <c r="AG98" i="78"/>
  <c r="AG42" i="78"/>
  <c r="AG70" i="78" s="1"/>
  <c r="BG10" i="76" l="1"/>
  <c r="BG9" i="76"/>
  <c r="BI8" i="76"/>
  <c r="AJ11" i="78"/>
  <c r="AI14" i="78"/>
  <c r="AI13" i="78"/>
  <c r="AH97" i="78"/>
  <c r="AH41" i="78"/>
  <c r="AH69" i="78" s="1"/>
  <c r="AH98" i="78"/>
  <c r="AH42" i="78"/>
  <c r="AH70" i="78" s="1"/>
  <c r="BI10" i="76" l="1"/>
  <c r="BI9" i="76"/>
  <c r="BK8" i="76"/>
  <c r="BM8" i="76" s="1"/>
  <c r="AI97" i="78"/>
  <c r="AI41" i="78"/>
  <c r="AI69" i="78" s="1"/>
  <c r="AI98" i="78"/>
  <c r="AI42" i="78"/>
  <c r="AI70" i="78" s="1"/>
  <c r="AK11" i="78"/>
  <c r="AJ13" i="78"/>
  <c r="AJ14" i="78"/>
  <c r="BK9" i="76" l="1"/>
  <c r="BK10" i="76"/>
  <c r="AJ98" i="78"/>
  <c r="AJ42" i="78"/>
  <c r="AJ70" i="78" s="1"/>
  <c r="AJ97" i="78"/>
  <c r="AJ41" i="78"/>
  <c r="AJ69" i="78" s="1"/>
  <c r="AK14" i="78"/>
  <c r="AK13" i="78"/>
  <c r="AL11" i="78"/>
  <c r="BM10" i="76" l="1"/>
  <c r="BM9" i="76"/>
  <c r="BO8" i="76"/>
  <c r="AL14" i="78"/>
  <c r="AL13" i="78"/>
  <c r="AK97" i="78"/>
  <c r="AK41" i="78"/>
  <c r="AK69" i="78" s="1"/>
  <c r="AK98" i="78"/>
  <c r="AK42" i="78"/>
  <c r="AK70" i="78" s="1"/>
  <c r="BO10" i="76" l="1"/>
  <c r="BO9" i="76"/>
  <c r="BQ8" i="76"/>
  <c r="AL97" i="78"/>
  <c r="AL41" i="78"/>
  <c r="AL69" i="78" s="1"/>
  <c r="AL98" i="78"/>
  <c r="AL42" i="78"/>
  <c r="AL70" i="78" s="1"/>
  <c r="BQ10" i="76" l="1"/>
  <c r="BQ9" i="76"/>
  <c r="BS8" i="76"/>
  <c r="BS9" i="76" l="1"/>
  <c r="BU8" i="76"/>
  <c r="BS10" i="76"/>
  <c r="BU10" i="76" l="1"/>
  <c r="BU9" i="76"/>
  <c r="BW8" i="76"/>
  <c r="BW10" i="76" l="1"/>
  <c r="BW9" i="76"/>
  <c r="BY8" i="76"/>
  <c r="BY10" i="76" l="1"/>
  <c r="BY9" i="76"/>
  <c r="CA8" i="76"/>
  <c r="CA9" i="76" l="1"/>
  <c r="CC8" i="76"/>
  <c r="CA10" i="76"/>
  <c r="CC10" i="76" l="1"/>
  <c r="CC9" i="76"/>
  <c r="CE8" i="76"/>
  <c r="CE10" i="76" l="1"/>
  <c r="CE9" i="76"/>
  <c r="CG8" i="76"/>
  <c r="CG10" i="76" l="1"/>
  <c r="CG9" i="76"/>
  <c r="CI8" i="76"/>
  <c r="CI9" i="76" l="1"/>
  <c r="CK8" i="76"/>
  <c r="CI10" i="76"/>
  <c r="CK10" i="76" l="1"/>
  <c r="CK9" i="76"/>
  <c r="CM8" i="76"/>
  <c r="CM10" i="76" l="1"/>
  <c r="CM9" i="76"/>
  <c r="CO8" i="76"/>
  <c r="CO10" i="76" l="1"/>
  <c r="CO9" i="76"/>
  <c r="CQ8" i="76"/>
  <c r="CQ9" i="76" l="1"/>
  <c r="CS8" i="76"/>
  <c r="CQ10" i="76"/>
  <c r="CS10" i="76" l="1"/>
  <c r="CS9" i="76"/>
  <c r="CU8" i="76"/>
  <c r="CU10" i="76" l="1"/>
  <c r="CU9" i="76"/>
  <c r="CW8" i="76"/>
  <c r="CW10" i="76" l="1"/>
  <c r="CW9" i="76"/>
  <c r="CY8" i="76"/>
  <c r="CY9" i="76" l="1"/>
  <c r="DA8" i="76"/>
  <c r="CY10" i="76"/>
  <c r="DA10" i="76" l="1"/>
  <c r="DA9" i="76"/>
  <c r="DC8" i="76"/>
  <c r="DC10" i="76" l="1"/>
  <c r="DC9" i="76"/>
  <c r="DE8" i="76"/>
  <c r="DE10" i="76" l="1"/>
  <c r="DE9" i="76"/>
  <c r="DG8" i="76"/>
  <c r="DG9" i="76" l="1"/>
  <c r="DI8" i="76"/>
  <c r="DG10" i="76"/>
  <c r="DI10" i="76" l="1"/>
  <c r="DI9" i="76"/>
  <c r="DK8" i="76"/>
  <c r="DK10" i="76" l="1"/>
  <c r="DK9" i="76"/>
  <c r="DM8" i="76"/>
  <c r="DM10" i="76" l="1"/>
  <c r="DM9" i="76"/>
  <c r="DO8" i="76"/>
  <c r="DO9" i="76" l="1"/>
  <c r="DQ8" i="76"/>
  <c r="DS8" i="76" s="1"/>
  <c r="DU8" i="76" s="1"/>
  <c r="DO10" i="76"/>
  <c r="DU10" i="76" l="1"/>
  <c r="DU9" i="76"/>
  <c r="DY11" i="76"/>
  <c r="F7" i="32" s="1"/>
  <c r="DS9" i="76"/>
  <c r="DQ10" i="76"/>
  <c r="DQ9" i="76"/>
  <c r="DY12" i="76" l="1"/>
  <c r="F8" i="32" s="1"/>
  <c r="DZ12" i="76"/>
  <c r="G8" i="32" s="1"/>
  <c r="DY45" i="76"/>
  <c r="F43" i="32" s="1"/>
  <c r="DY133" i="76"/>
  <c r="F133" i="32" s="1"/>
  <c r="DZ33" i="76"/>
  <c r="G31" i="32" s="1"/>
  <c r="H88" i="88" s="1"/>
  <c r="DY100" i="76"/>
  <c r="F99" i="32" s="1"/>
  <c r="G396" i="88" s="1"/>
  <c r="DZ34" i="76"/>
  <c r="DY32" i="76"/>
  <c r="F30" i="32" s="1"/>
  <c r="G47" i="88" s="1"/>
  <c r="DZ45" i="76"/>
  <c r="G43" i="32" s="1"/>
  <c r="DY47" i="76"/>
  <c r="F45" i="32" s="1"/>
  <c r="DY104" i="76"/>
  <c r="F103" i="32" s="1"/>
  <c r="DZ103" i="76"/>
  <c r="G102" i="32" s="1"/>
  <c r="DY129" i="76"/>
  <c r="F129" i="32" s="1"/>
  <c r="DZ130" i="76"/>
  <c r="G130" i="32" s="1"/>
  <c r="DY127" i="76"/>
  <c r="F127" i="32" s="1"/>
  <c r="DY34" i="76"/>
  <c r="F32" i="32" s="1"/>
  <c r="G48" i="88" s="1"/>
  <c r="DZ104" i="76"/>
  <c r="G103" i="32" s="1"/>
  <c r="DY46" i="76"/>
  <c r="F44" i="32" s="1"/>
  <c r="DY132" i="76"/>
  <c r="F132" i="32" s="1"/>
  <c r="DZ105" i="76"/>
  <c r="G104" i="32" s="1"/>
  <c r="DZ107" i="76"/>
  <c r="G106" i="32" s="1"/>
  <c r="H406" i="88" s="1"/>
  <c r="DY97" i="76"/>
  <c r="F96" i="32" s="1"/>
  <c r="G159" i="88" s="1"/>
  <c r="DZ127" i="76"/>
  <c r="G127" i="32" s="1"/>
  <c r="DY30" i="76"/>
  <c r="F28" i="32" s="1"/>
  <c r="DZ134" i="76"/>
  <c r="G134" i="32" s="1"/>
  <c r="DY35" i="76"/>
  <c r="F33" i="32" s="1"/>
  <c r="DZ44" i="76"/>
  <c r="G42" i="32" s="1"/>
  <c r="DY29" i="76"/>
  <c r="F27" i="32" s="1"/>
  <c r="DY98" i="76"/>
  <c r="F97" i="32" s="1"/>
  <c r="G393" i="88" s="1"/>
  <c r="DY33" i="76"/>
  <c r="F31" i="32" s="1"/>
  <c r="G88" i="88" s="1"/>
  <c r="DZ126" i="76"/>
  <c r="G126" i="32" s="1"/>
  <c r="DY103" i="76"/>
  <c r="F102" i="32" s="1"/>
  <c r="DZ100" i="76"/>
  <c r="G99" i="32" s="1"/>
  <c r="H396" i="88" s="1"/>
  <c r="DY134" i="76"/>
  <c r="F134" i="32" s="1"/>
  <c r="DY31" i="76"/>
  <c r="F29" i="32" s="1"/>
  <c r="DY102" i="76"/>
  <c r="DY96" i="76"/>
  <c r="F95" i="32" s="1"/>
  <c r="G398" i="88" s="1"/>
  <c r="DY101" i="76"/>
  <c r="F100" i="32" s="1"/>
  <c r="DY131" i="76"/>
  <c r="F131" i="32" s="1"/>
  <c r="DZ106" i="76"/>
  <c r="G105" i="32" s="1"/>
  <c r="H405" i="88" s="1"/>
  <c r="DZ30" i="76"/>
  <c r="G28" i="32" s="1"/>
  <c r="DZ128" i="76"/>
  <c r="G128" i="32" s="1"/>
  <c r="DZ43" i="76"/>
  <c r="G41" i="32" s="1"/>
  <c r="DY106" i="76"/>
  <c r="F105" i="32" s="1"/>
  <c r="G405" i="88" s="1"/>
  <c r="DZ132" i="76"/>
  <c r="G132" i="32" s="1"/>
  <c r="DZ35" i="76"/>
  <c r="G33" i="32" s="1"/>
  <c r="DZ29" i="76"/>
  <c r="G27" i="32" s="1"/>
  <c r="DY130" i="76"/>
  <c r="F130" i="32" s="1"/>
  <c r="DZ131" i="76"/>
  <c r="G131" i="32" s="1"/>
  <c r="DZ102" i="76"/>
  <c r="G101" i="32" s="1"/>
  <c r="H399" i="88" s="1"/>
  <c r="DZ129" i="76"/>
  <c r="G129" i="32" s="1"/>
  <c r="DZ96" i="76"/>
  <c r="G95" i="32" s="1"/>
  <c r="DY128" i="76"/>
  <c r="F128" i="32" s="1"/>
  <c r="DZ48" i="76"/>
  <c r="G46" i="32" s="1"/>
  <c r="DY99" i="76"/>
  <c r="F98" i="32" s="1"/>
  <c r="DZ133" i="76"/>
  <c r="G133" i="32" s="1"/>
  <c r="DZ32" i="76"/>
  <c r="DZ97" i="76"/>
  <c r="G96" i="32" s="1"/>
  <c r="H159" i="88" s="1"/>
  <c r="DY43" i="76"/>
  <c r="F41" i="32" s="1"/>
  <c r="DY44" i="76"/>
  <c r="F42" i="32" s="1"/>
  <c r="DZ98" i="76"/>
  <c r="G97" i="32" s="1"/>
  <c r="H393" i="88" s="1"/>
  <c r="DZ101" i="76"/>
  <c r="G100" i="32" s="1"/>
  <c r="DZ46" i="76"/>
  <c r="G44" i="32" s="1"/>
  <c r="DY107" i="76"/>
  <c r="F106" i="32" s="1"/>
  <c r="G406" i="88" s="1"/>
  <c r="DY126" i="76"/>
  <c r="F126" i="32" s="1"/>
  <c r="DY48" i="76"/>
  <c r="F46" i="32" s="1"/>
  <c r="DZ47" i="76"/>
  <c r="G45" i="32" s="1"/>
  <c r="DZ99" i="76"/>
  <c r="G98" i="32" s="1"/>
  <c r="DZ31" i="76"/>
  <c r="G29" i="32" s="1"/>
  <c r="DY105" i="76"/>
  <c r="F104" i="32" s="1"/>
  <c r="DS10" i="76"/>
  <c r="DZ14" i="76"/>
  <c r="G10" i="32" s="1"/>
  <c r="DZ58" i="76"/>
  <c r="G57" i="32" s="1"/>
  <c r="H96" i="88" s="1"/>
  <c r="DZ19" i="76"/>
  <c r="G16" i="32" s="1"/>
  <c r="DZ115" i="76"/>
  <c r="G115" i="32" s="1"/>
  <c r="H107" i="88" s="1"/>
  <c r="DY77" i="76"/>
  <c r="F76" i="32" s="1"/>
  <c r="DZ91" i="76"/>
  <c r="G90" i="32" s="1"/>
  <c r="DZ24" i="76"/>
  <c r="DZ61" i="76"/>
  <c r="DZ52" i="76"/>
  <c r="G50" i="32" s="1"/>
  <c r="DY38" i="76"/>
  <c r="F36" i="32" s="1"/>
  <c r="DZ76" i="76"/>
  <c r="G75" i="32" s="1"/>
  <c r="DY93" i="76"/>
  <c r="F92" i="32" s="1"/>
  <c r="DZ39" i="76"/>
  <c r="G37" i="32" s="1"/>
  <c r="DY14" i="76"/>
  <c r="F10" i="32" s="1"/>
  <c r="DY73" i="76"/>
  <c r="F72" i="32" s="1"/>
  <c r="DY57" i="76"/>
  <c r="F56" i="32" s="1"/>
  <c r="G95" i="88" s="1"/>
  <c r="DZ42" i="76"/>
  <c r="G40" i="32" s="1"/>
  <c r="DZ83" i="76"/>
  <c r="G82" i="32" s="1"/>
  <c r="DZ84" i="76"/>
  <c r="G83" i="32" s="1"/>
  <c r="DZ69" i="76"/>
  <c r="G68" i="32" s="1"/>
  <c r="DZ63" i="76"/>
  <c r="G62" i="32" s="1"/>
  <c r="DY23" i="76"/>
  <c r="F21" i="32" s="1"/>
  <c r="G43" i="88" s="1"/>
  <c r="DZ74" i="76"/>
  <c r="G73" i="32" s="1"/>
  <c r="DZ27" i="76"/>
  <c r="G25" i="32" s="1"/>
  <c r="DZ11" i="76"/>
  <c r="G7" i="32" s="1"/>
  <c r="DZ121" i="76"/>
  <c r="G121" i="32" s="1"/>
  <c r="DZ55" i="76"/>
  <c r="G54" i="32" s="1"/>
  <c r="DZ90" i="76"/>
  <c r="G89" i="32" s="1"/>
  <c r="DY59" i="76"/>
  <c r="F58" i="32" s="1"/>
  <c r="G97" i="88" s="1"/>
  <c r="DZ120" i="76"/>
  <c r="G120" i="32" s="1"/>
  <c r="H155" i="88" s="1"/>
  <c r="DY125" i="76"/>
  <c r="F125" i="32" s="1"/>
  <c r="DY56" i="76"/>
  <c r="F55" i="32" s="1"/>
  <c r="DY92" i="76"/>
  <c r="F91" i="32" s="1"/>
  <c r="G152" i="88" s="1"/>
  <c r="DY114" i="76"/>
  <c r="F114" i="32" s="1"/>
  <c r="G98" i="88" s="1"/>
  <c r="DY55" i="76"/>
  <c r="F54" i="32" s="1"/>
  <c r="DZ64" i="76"/>
  <c r="G63" i="32" s="1"/>
  <c r="H105" i="88" s="1"/>
  <c r="DZ87" i="76"/>
  <c r="G86" i="32" s="1"/>
  <c r="DY72" i="76"/>
  <c r="F71" i="32" s="1"/>
  <c r="DY51" i="76"/>
  <c r="F49" i="32" s="1"/>
  <c r="DZ82" i="76"/>
  <c r="G81" i="32" s="1"/>
  <c r="DZ122" i="76"/>
  <c r="G122" i="32" s="1"/>
  <c r="DZ150" i="76"/>
  <c r="DY150" i="76"/>
  <c r="F142" i="32" s="1"/>
  <c r="G444" i="88" s="1"/>
  <c r="DY146" i="76"/>
  <c r="F156" i="32" s="1"/>
  <c r="DZ108" i="76"/>
  <c r="G107" i="32" s="1"/>
  <c r="H407" i="88" s="1"/>
  <c r="DZ143" i="76"/>
  <c r="G153" i="32" s="1"/>
  <c r="DY86" i="76"/>
  <c r="F85" i="32" s="1"/>
  <c r="DY63" i="76"/>
  <c r="F62" i="32" s="1"/>
  <c r="DY143" i="76"/>
  <c r="F153" i="32" s="1"/>
  <c r="DY78" i="76"/>
  <c r="F77" i="32" s="1"/>
  <c r="DY54" i="76"/>
  <c r="F53" i="32" s="1"/>
  <c r="DZ65" i="76"/>
  <c r="G64" i="32" s="1"/>
  <c r="DZ60" i="76"/>
  <c r="G59" i="32" s="1"/>
  <c r="DZ139" i="76"/>
  <c r="G149" i="32" s="1"/>
  <c r="DZ124" i="76"/>
  <c r="G124" i="32" s="1"/>
  <c r="DY118" i="76"/>
  <c r="F118" i="32" s="1"/>
  <c r="DY87" i="76"/>
  <c r="F86" i="32" s="1"/>
  <c r="DY140" i="76"/>
  <c r="F150" i="32" s="1"/>
  <c r="DZ141" i="76"/>
  <c r="G151" i="32" s="1"/>
  <c r="DY136" i="76"/>
  <c r="F146" i="32" s="1"/>
  <c r="DZ137" i="76"/>
  <c r="G147" i="32" s="1"/>
  <c r="DZ145" i="76"/>
  <c r="G155" i="32" s="1"/>
  <c r="DY80" i="76"/>
  <c r="F79" i="32" s="1"/>
  <c r="DZ149" i="76"/>
  <c r="DY137" i="76"/>
  <c r="F147" i="32" s="1"/>
  <c r="DY81" i="76"/>
  <c r="F80" i="32" s="1"/>
  <c r="DZ142" i="76"/>
  <c r="G152" i="32" s="1"/>
  <c r="DZ89" i="76"/>
  <c r="G88" i="32" s="1"/>
  <c r="DZ59" i="76"/>
  <c r="G58" i="32" s="1"/>
  <c r="H97" i="88" s="1"/>
  <c r="DY91" i="76"/>
  <c r="F90" i="32" s="1"/>
  <c r="DY76" i="76"/>
  <c r="F75" i="32" s="1"/>
  <c r="DZ68" i="76"/>
  <c r="G67" i="32" s="1"/>
  <c r="DY79" i="76"/>
  <c r="F78" i="32" s="1"/>
  <c r="DZ138" i="76"/>
  <c r="G148" i="32" s="1"/>
  <c r="DZ15" i="76"/>
  <c r="G11" i="32" s="1"/>
  <c r="DY27" i="76"/>
  <c r="F25" i="32" s="1"/>
  <c r="DZ112" i="76"/>
  <c r="G112" i="32" s="1"/>
  <c r="H410" i="88" s="1"/>
  <c r="DY60" i="76"/>
  <c r="F59" i="32" s="1"/>
  <c r="G101" i="88" s="1"/>
  <c r="DZ117" i="76"/>
  <c r="G117" i="32" s="1"/>
  <c r="DY120" i="76"/>
  <c r="F120" i="32" s="1"/>
  <c r="G155" i="88" s="1"/>
  <c r="DY119" i="76"/>
  <c r="F119" i="32" s="1"/>
  <c r="DY71" i="76"/>
  <c r="F70" i="32" s="1"/>
  <c r="DZ110" i="76"/>
  <c r="G109" i="32" s="1"/>
  <c r="DY88" i="76"/>
  <c r="F87" i="32" s="1"/>
  <c r="G146" i="88" s="1"/>
  <c r="DY42" i="76"/>
  <c r="F40" i="32" s="1"/>
  <c r="DY94" i="76"/>
  <c r="F93" i="32" s="1"/>
  <c r="DZ118" i="76"/>
  <c r="G118" i="32" s="1"/>
  <c r="DZ73" i="76"/>
  <c r="G72" i="32" s="1"/>
  <c r="DZ85" i="76"/>
  <c r="G84" i="32" s="1"/>
  <c r="DY115" i="76"/>
  <c r="F115" i="32" s="1"/>
  <c r="G107" i="88" s="1"/>
  <c r="DY123" i="76"/>
  <c r="F123" i="32" s="1"/>
  <c r="G436" i="88" s="1"/>
  <c r="DY95" i="76"/>
  <c r="F94" i="32" s="1"/>
  <c r="DY145" i="76"/>
  <c r="F155" i="32" s="1"/>
  <c r="DY110" i="76"/>
  <c r="F109" i="32" s="1"/>
  <c r="DZ123" i="76"/>
  <c r="G123" i="32" s="1"/>
  <c r="H436" i="88" s="1"/>
  <c r="DZ125" i="76"/>
  <c r="G125" i="32" s="1"/>
  <c r="DY67" i="76"/>
  <c r="F66" i="32" s="1"/>
  <c r="DZ109" i="76"/>
  <c r="G108" i="32" s="1"/>
  <c r="DZ95" i="76"/>
  <c r="G94" i="32" s="1"/>
  <c r="DY142" i="76"/>
  <c r="F152" i="32" s="1"/>
  <c r="DY112" i="76"/>
  <c r="F112" i="32" s="1"/>
  <c r="G410" i="88" s="1"/>
  <c r="DZ144" i="76"/>
  <c r="G154" i="32" s="1"/>
  <c r="DZ78" i="76"/>
  <c r="G77" i="32" s="1"/>
  <c r="DY90" i="76"/>
  <c r="F89" i="32" s="1"/>
  <c r="DZ93" i="76"/>
  <c r="G92" i="32" s="1"/>
  <c r="DZ136" i="76"/>
  <c r="G146" i="32" s="1"/>
  <c r="DZ86" i="76"/>
  <c r="G85" i="32" s="1"/>
  <c r="DY144" i="76"/>
  <c r="F154" i="32" s="1"/>
  <c r="DZ116" i="76"/>
  <c r="G116" i="32" s="1"/>
  <c r="DY147" i="76"/>
  <c r="F157" i="32" s="1"/>
  <c r="DZ81" i="76"/>
  <c r="G80" i="32" s="1"/>
  <c r="DZ75" i="76"/>
  <c r="G74" i="32" s="1"/>
  <c r="H124" i="88" s="1"/>
  <c r="DY52" i="76"/>
  <c r="F50" i="32" s="1"/>
  <c r="DY108" i="76"/>
  <c r="F107" i="32" s="1"/>
  <c r="G407" i="88" s="1"/>
  <c r="DZ66" i="76"/>
  <c r="G65" i="32" s="1"/>
  <c r="DZ147" i="76"/>
  <c r="G157" i="32" s="1"/>
  <c r="DY124" i="76"/>
  <c r="F124" i="32" s="1"/>
  <c r="DY149" i="76"/>
  <c r="F141" i="32" s="1"/>
  <c r="G443" i="88" s="1"/>
  <c r="DY70" i="76"/>
  <c r="F69" i="32" s="1"/>
  <c r="DY116" i="76"/>
  <c r="F116" i="32" s="1"/>
  <c r="DZ140" i="76"/>
  <c r="G150" i="32" s="1"/>
  <c r="DY37" i="76"/>
  <c r="F35" i="32" s="1"/>
  <c r="G51" i="88" s="1"/>
  <c r="DY85" i="76"/>
  <c r="F84" i="32" s="1"/>
  <c r="DZ56" i="76"/>
  <c r="G55" i="32" s="1"/>
  <c r="DZ71" i="76"/>
  <c r="G70" i="32" s="1"/>
  <c r="DZ80" i="76"/>
  <c r="G79" i="32" s="1"/>
  <c r="DZ72" i="76"/>
  <c r="G71" i="32" s="1"/>
  <c r="DY83" i="76"/>
  <c r="F82" i="32" s="1"/>
  <c r="DZ67" i="76"/>
  <c r="G66" i="32" s="1"/>
  <c r="DY62" i="76"/>
  <c r="F61" i="32" s="1"/>
  <c r="DZ92" i="76"/>
  <c r="G91" i="32" s="1"/>
  <c r="DZ119" i="76"/>
  <c r="G119" i="32" s="1"/>
  <c r="DY58" i="76"/>
  <c r="F57" i="32" s="1"/>
  <c r="G96" i="88" s="1"/>
  <c r="DY66" i="76"/>
  <c r="F65" i="32" s="1"/>
  <c r="DY113" i="76"/>
  <c r="F113" i="32" s="1"/>
  <c r="DY122" i="76"/>
  <c r="F122" i="32" s="1"/>
  <c r="DZ79" i="76"/>
  <c r="G78" i="32" s="1"/>
  <c r="DZ88" i="76"/>
  <c r="G87" i="32" s="1"/>
  <c r="H146" i="88" s="1"/>
  <c r="DZ94" i="76"/>
  <c r="G93" i="32" s="1"/>
  <c r="DY89" i="76"/>
  <c r="F88" i="32" s="1"/>
  <c r="DY82" i="76"/>
  <c r="F81" i="32" s="1"/>
  <c r="DZ77" i="76"/>
  <c r="G76" i="32" s="1"/>
  <c r="DY138" i="76"/>
  <c r="F148" i="32" s="1"/>
  <c r="DY121" i="76"/>
  <c r="F121" i="32" s="1"/>
  <c r="DY141" i="76"/>
  <c r="F151" i="32" s="1"/>
  <c r="DY74" i="76"/>
  <c r="F73" i="32" s="1"/>
  <c r="DY109" i="76"/>
  <c r="F108" i="32" s="1"/>
  <c r="DY26" i="76"/>
  <c r="F24" i="32" s="1"/>
  <c r="DZ13" i="76"/>
  <c r="G9" i="32" s="1"/>
  <c r="DZ146" i="76"/>
  <c r="G156" i="32" s="1"/>
  <c r="DZ57" i="76"/>
  <c r="G56" i="32" s="1"/>
  <c r="H95" i="88" s="1"/>
  <c r="DZ51" i="76"/>
  <c r="G49" i="32" s="1"/>
  <c r="DY24" i="76"/>
  <c r="DY40" i="76"/>
  <c r="F38" i="32" s="1"/>
  <c r="DY84" i="76"/>
  <c r="F83" i="32" s="1"/>
  <c r="DY69" i="76"/>
  <c r="F68" i="32" s="1"/>
  <c r="DY20" i="76"/>
  <c r="F17" i="32" s="1"/>
  <c r="DY28" i="76"/>
  <c r="F26" i="32" s="1"/>
  <c r="DZ114" i="76"/>
  <c r="G114" i="32" s="1"/>
  <c r="DY18" i="76"/>
  <c r="F15" i="32" s="1"/>
  <c r="DZ70" i="76"/>
  <c r="G69" i="32" s="1"/>
  <c r="DY41" i="76"/>
  <c r="F39" i="32" s="1"/>
  <c r="DZ41" i="76"/>
  <c r="G39" i="32" s="1"/>
  <c r="DY61" i="76"/>
  <c r="F60" i="32" s="1"/>
  <c r="G102" i="88" s="1"/>
  <c r="DY21" i="76"/>
  <c r="F18" i="32" s="1"/>
  <c r="DZ37" i="76"/>
  <c r="G35" i="32" s="1"/>
  <c r="H51" i="88" s="1"/>
  <c r="DY139" i="76"/>
  <c r="F149" i="32" s="1"/>
  <c r="DZ49" i="76"/>
  <c r="G47" i="32" s="1"/>
  <c r="DY19" i="76"/>
  <c r="F16" i="32" s="1"/>
  <c r="DZ20" i="76"/>
  <c r="G17" i="32" s="1"/>
  <c r="DY39" i="76"/>
  <c r="F37" i="32" s="1"/>
  <c r="DY64" i="76"/>
  <c r="F63" i="32" s="1"/>
  <c r="G105" i="88" s="1"/>
  <c r="DY50" i="76"/>
  <c r="F48" i="32" s="1"/>
  <c r="DZ23" i="76"/>
  <c r="G21" i="32" s="1"/>
  <c r="H43" i="88" s="1"/>
  <c r="DZ18" i="76"/>
  <c r="G15" i="32" s="1"/>
  <c r="DZ54" i="76"/>
  <c r="G53" i="32" s="1"/>
  <c r="DZ17" i="76"/>
  <c r="G14" i="32" s="1"/>
  <c r="DZ40" i="76"/>
  <c r="G38" i="32" s="1"/>
  <c r="DY36" i="76"/>
  <c r="F34" i="32" s="1"/>
  <c r="DZ25" i="76"/>
  <c r="DY15" i="76"/>
  <c r="F11" i="32" s="1"/>
  <c r="DY75" i="76"/>
  <c r="F74" i="32" s="1"/>
  <c r="G124" i="88" s="1"/>
  <c r="DY68" i="76"/>
  <c r="F67" i="32" s="1"/>
  <c r="DZ28" i="76"/>
  <c r="G26" i="32" s="1"/>
  <c r="DZ50" i="76"/>
  <c r="G48" i="32" s="1"/>
  <c r="DZ21" i="76"/>
  <c r="G18" i="32" s="1"/>
  <c r="DY49" i="76"/>
  <c r="F47" i="32" s="1"/>
  <c r="DZ38" i="76"/>
  <c r="DZ26" i="76"/>
  <c r="G24" i="32" s="1"/>
  <c r="DY17" i="76"/>
  <c r="F14" i="32" s="1"/>
  <c r="DY13" i="76"/>
  <c r="F9" i="32" s="1"/>
  <c r="DY25" i="76"/>
  <c r="DZ36" i="76"/>
  <c r="G34" i="32" s="1"/>
  <c r="DZ113" i="76"/>
  <c r="G113" i="32" s="1"/>
  <c r="DY117" i="76"/>
  <c r="F117" i="32" s="1"/>
  <c r="DY65" i="76"/>
  <c r="F64" i="32" s="1"/>
  <c r="DZ62" i="76"/>
  <c r="G61" i="32" s="1"/>
  <c r="H101" i="88" l="1"/>
  <c r="H152" i="88"/>
  <c r="F101" i="32"/>
  <c r="G399" i="88" s="1"/>
  <c r="H98" i="88"/>
  <c r="G138" i="88"/>
  <c r="G136" i="88"/>
  <c r="H138" i="88"/>
  <c r="H136" i="88"/>
  <c r="G94" i="88"/>
  <c r="H94" i="88"/>
  <c r="G32" i="32"/>
  <c r="H48" i="88" s="1"/>
  <c r="H118" i="88"/>
  <c r="G30" i="32"/>
  <c r="G145" i="88"/>
  <c r="H145" i="88"/>
  <c r="G118" i="88"/>
  <c r="H117" i="88"/>
  <c r="G117" i="88"/>
  <c r="G116" i="88"/>
  <c r="H116" i="88"/>
  <c r="H45" i="88"/>
  <c r="H50" i="88"/>
  <c r="P30" i="94"/>
  <c r="H398" i="88"/>
  <c r="G45" i="88"/>
  <c r="G50" i="88"/>
  <c r="H27" i="88"/>
  <c r="H49" i="88"/>
  <c r="G27" i="88"/>
  <c r="G49" i="88"/>
  <c r="G115" i="88"/>
  <c r="H115" i="88"/>
  <c r="G153" i="88"/>
  <c r="G154" i="88"/>
  <c r="H153" i="88"/>
  <c r="H154" i="88"/>
  <c r="G126" i="88"/>
  <c r="G106" i="88"/>
  <c r="H106" i="88"/>
  <c r="G128" i="88"/>
  <c r="G428" i="88"/>
  <c r="G129" i="88"/>
  <c r="H128" i="88"/>
  <c r="H129" i="88"/>
  <c r="H428" i="88"/>
  <c r="H126" i="88"/>
  <c r="H147" i="88"/>
  <c r="G437" i="88"/>
  <c r="G438" i="88"/>
  <c r="H437" i="88"/>
  <c r="H438" i="88"/>
  <c r="G427" i="88"/>
  <c r="G430" i="88"/>
  <c r="H427" i="88"/>
  <c r="H430" i="88"/>
  <c r="G147" i="88"/>
  <c r="H144" i="88"/>
  <c r="G144" i="88"/>
  <c r="G156" i="88"/>
  <c r="G350" i="88"/>
  <c r="G426" i="88"/>
  <c r="H350" i="88"/>
  <c r="H426" i="88"/>
  <c r="G103" i="88"/>
  <c r="H104" i="88"/>
  <c r="G104" i="88"/>
  <c r="F23" i="32"/>
  <c r="F22" i="32"/>
  <c r="G46" i="88" s="1"/>
  <c r="G23" i="32"/>
  <c r="G22" i="32"/>
  <c r="H424" i="88"/>
  <c r="H418" i="88"/>
  <c r="G60" i="32"/>
  <c r="H102" i="88" s="1"/>
  <c r="G421" i="88"/>
  <c r="A421" i="88" s="1"/>
  <c r="G425" i="88"/>
  <c r="A425" i="88" s="1"/>
  <c r="H421" i="88"/>
  <c r="H425" i="88"/>
  <c r="G418" i="88"/>
  <c r="A418" i="88" s="1"/>
  <c r="G424" i="88"/>
  <c r="A424" i="88" s="1"/>
  <c r="G109" i="88"/>
  <c r="G411" i="88"/>
  <c r="H109" i="88"/>
  <c r="H411" i="88"/>
  <c r="H125" i="88"/>
  <c r="G125" i="88"/>
  <c r="G422" i="88"/>
  <c r="A422" i="88" s="1"/>
  <c r="G148" i="88"/>
  <c r="H422" i="88"/>
  <c r="H148" i="88"/>
  <c r="G44" i="88"/>
  <c r="G150" i="88"/>
  <c r="H44" i="88"/>
  <c r="H150" i="88"/>
  <c r="G420" i="88"/>
  <c r="A420" i="88" s="1"/>
  <c r="G127" i="88"/>
  <c r="H420" i="88"/>
  <c r="H127" i="88"/>
  <c r="H435" i="88"/>
  <c r="H404" i="88"/>
  <c r="G435" i="88"/>
  <c r="A435" i="88" s="1"/>
  <c r="G404" i="88"/>
  <c r="H429" i="88"/>
  <c r="G429" i="88"/>
  <c r="H119" i="88"/>
  <c r="H419" i="88"/>
  <c r="G119" i="88"/>
  <c r="G419" i="88"/>
  <c r="G137" i="88"/>
  <c r="H137" i="88"/>
  <c r="H160" i="88"/>
  <c r="H395" i="88"/>
  <c r="G163" i="88"/>
  <c r="G400" i="88"/>
  <c r="H165" i="88"/>
  <c r="H402" i="88"/>
  <c r="H163" i="88"/>
  <c r="H400" i="88"/>
  <c r="G160" i="88"/>
  <c r="G395" i="88"/>
  <c r="G401" i="88"/>
  <c r="G165" i="88"/>
  <c r="G402" i="88"/>
  <c r="H161" i="88"/>
  <c r="H397" i="88"/>
  <c r="G161" i="88"/>
  <c r="G397" i="88"/>
  <c r="H401" i="88"/>
  <c r="G157" i="88"/>
  <c r="G162" i="88"/>
  <c r="H157" i="88"/>
  <c r="H162" i="88"/>
  <c r="G140" i="88"/>
  <c r="H140" i="88"/>
  <c r="G143" i="88"/>
  <c r="H156" i="88"/>
  <c r="H141" i="88"/>
  <c r="H142" i="88"/>
  <c r="H143" i="88"/>
  <c r="G151" i="88"/>
  <c r="G141" i="88"/>
  <c r="G142" i="88"/>
  <c r="G22" i="88"/>
  <c r="P19" i="94"/>
  <c r="M46" i="81"/>
  <c r="I16" i="81"/>
  <c r="M21" i="81"/>
  <c r="H67" i="81"/>
  <c r="G42" i="81"/>
  <c r="I21" i="81"/>
  <c r="F40" i="81"/>
  <c r="M8" i="81"/>
  <c r="M64" i="81"/>
  <c r="L70" i="81"/>
  <c r="G63" i="81"/>
  <c r="L81" i="81"/>
  <c r="M81" i="81" s="1" a="1"/>
  <c r="M81" i="81" s="1"/>
  <c r="M50" i="81"/>
  <c r="M72" i="81"/>
  <c r="M38" i="81"/>
  <c r="J17" i="81"/>
  <c r="F26" i="81"/>
  <c r="M74" i="81"/>
  <c r="J52" i="81"/>
  <c r="K28" i="81"/>
  <c r="G23" i="81"/>
  <c r="I53" i="81"/>
  <c r="J64" i="81"/>
  <c r="L56" i="81"/>
  <c r="H45" i="81"/>
  <c r="F10" i="79"/>
  <c r="M11" i="81"/>
  <c r="I23" i="81"/>
  <c r="F49" i="81"/>
  <c r="J22" i="81"/>
  <c r="K9" i="81"/>
  <c r="J11" i="81"/>
  <c r="M12" i="81"/>
  <c r="K68" i="81"/>
  <c r="M7" i="81"/>
  <c r="F83" i="81"/>
  <c r="G83" i="81" s="1" a="1"/>
  <c r="G83" i="81" s="1"/>
  <c r="M58" i="81"/>
  <c r="I57" i="81"/>
  <c r="M42" i="81"/>
  <c r="J83" i="81"/>
  <c r="K83" i="81" s="1" a="1"/>
  <c r="K83" i="81" s="1"/>
  <c r="F46" i="81"/>
  <c r="K54" i="81"/>
  <c r="G65" i="81"/>
  <c r="J84" i="81"/>
  <c r="K84" i="81" s="1" a="1"/>
  <c r="K84" i="81" s="1"/>
  <c r="J79" i="81"/>
  <c r="K79" i="81" s="1" a="1"/>
  <c r="K79" i="81" s="1"/>
  <c r="L83" i="81"/>
  <c r="M83" i="81" s="1" a="1"/>
  <c r="M83" i="81" s="1"/>
  <c r="L63" i="81"/>
  <c r="H21" i="81"/>
  <c r="K43" i="81"/>
  <c r="K33" i="81"/>
  <c r="M53" i="81"/>
  <c r="M61" i="81"/>
  <c r="M31" i="81"/>
  <c r="L65" i="81"/>
  <c r="K17" i="81"/>
  <c r="M24" i="81"/>
  <c r="F36" i="81"/>
  <c r="L79" i="81"/>
  <c r="M79" i="81" s="1" a="1"/>
  <c r="M79" i="81" s="1"/>
  <c r="L54" i="81"/>
  <c r="M43" i="81"/>
  <c r="M33" i="81"/>
  <c r="L59" i="81"/>
  <c r="L64" i="81"/>
  <c r="H156" i="32"/>
  <c r="M59" i="81"/>
  <c r="M56" i="81"/>
  <c r="L45" i="81"/>
  <c r="M71" i="81"/>
  <c r="M25" i="81"/>
  <c r="K64" i="81"/>
  <c r="K25" i="81"/>
  <c r="K44" i="81"/>
  <c r="L22" i="81"/>
  <c r="M18" i="81"/>
  <c r="K46" i="81"/>
  <c r="L46" i="81"/>
  <c r="I33" i="81"/>
  <c r="L78" i="81"/>
  <c r="M78" i="81" s="1" a="1"/>
  <c r="M78" i="81" s="1"/>
  <c r="H43" i="81"/>
  <c r="J73" i="81"/>
  <c r="K38" i="81"/>
  <c r="L29" i="81"/>
  <c r="K16" i="81"/>
  <c r="L73" i="81"/>
  <c r="H77" i="81"/>
  <c r="I77" i="81" s="1" a="1"/>
  <c r="I77" i="81" s="1"/>
  <c r="I14" i="81"/>
  <c r="M67" i="81"/>
  <c r="H61" i="81"/>
  <c r="K63" i="81"/>
  <c r="K31" i="81"/>
  <c r="L80" i="81"/>
  <c r="M80" i="81" s="1" a="1"/>
  <c r="M80" i="81" s="1"/>
  <c r="I62" i="81"/>
  <c r="M75" i="81"/>
  <c r="I40" i="81"/>
  <c r="H42" i="81"/>
  <c r="F115" i="79"/>
  <c r="A115" i="79" s="1"/>
  <c r="J47" i="81"/>
  <c r="L68" i="81"/>
  <c r="M17" i="81"/>
  <c r="F113" i="79"/>
  <c r="A113" i="79" s="1"/>
  <c r="J46" i="81"/>
  <c r="L44" i="81"/>
  <c r="M29" i="81"/>
  <c r="M51" i="81"/>
  <c r="M65" i="81"/>
  <c r="M16" i="81"/>
  <c r="M22" i="81"/>
  <c r="M68" i="81"/>
  <c r="J26" i="81"/>
  <c r="F79" i="81"/>
  <c r="G79" i="81" s="1" a="1"/>
  <c r="G79" i="81" s="1"/>
  <c r="M37" i="81"/>
  <c r="J82" i="81"/>
  <c r="K82" i="81" s="1" a="1"/>
  <c r="K82" i="81" s="1"/>
  <c r="M15" i="81"/>
  <c r="M35" i="81"/>
  <c r="M57" i="81"/>
  <c r="L69" i="81"/>
  <c r="L51" i="81"/>
  <c r="J14" i="81"/>
  <c r="M54" i="81"/>
  <c r="H22" i="88"/>
  <c r="G7" i="79"/>
  <c r="I35" i="81"/>
  <c r="F17" i="81"/>
  <c r="K18" i="81"/>
  <c r="L10" i="81"/>
  <c r="L8" i="81"/>
  <c r="M45" i="81"/>
  <c r="J31" i="81"/>
  <c r="M19" i="81"/>
  <c r="L24" i="81"/>
  <c r="M30" i="81"/>
  <c r="F62" i="81"/>
  <c r="G12" i="79"/>
  <c r="I9" i="90"/>
  <c r="J12" i="81"/>
  <c r="J8" i="81"/>
  <c r="J8" i="90"/>
  <c r="I44" i="81"/>
  <c r="I7" i="81"/>
  <c r="F69" i="81"/>
  <c r="M49" i="81"/>
  <c r="M39" i="81"/>
  <c r="I59" i="81"/>
  <c r="G66" i="81"/>
  <c r="M26" i="81"/>
  <c r="F84" i="81"/>
  <c r="G84" i="81" s="1" a="1"/>
  <c r="G84" i="81" s="1"/>
  <c r="L16" i="81"/>
  <c r="F47" i="81"/>
  <c r="J65" i="81"/>
  <c r="H32" i="81"/>
  <c r="K22" i="81"/>
  <c r="L52" i="81"/>
  <c r="L43" i="81"/>
  <c r="J66" i="81"/>
  <c r="K65" i="81"/>
  <c r="M28" i="81"/>
  <c r="K59" i="81"/>
  <c r="L38" i="81"/>
  <c r="M62" i="81"/>
  <c r="I32" i="81"/>
  <c r="M66" i="81"/>
  <c r="K36" i="81"/>
  <c r="M40" i="81"/>
  <c r="M44" i="81"/>
  <c r="M73" i="81"/>
  <c r="M36" i="81"/>
  <c r="M63" i="81"/>
  <c r="M9" i="81"/>
  <c r="M32" i="81"/>
  <c r="M47" i="81"/>
  <c r="M52" i="81"/>
  <c r="M23" i="81"/>
  <c r="M70" i="81"/>
  <c r="M14" i="81"/>
  <c r="M10" i="81"/>
  <c r="M69" i="81"/>
  <c r="G36" i="88"/>
  <c r="G39" i="88"/>
  <c r="H39" i="88"/>
  <c r="H36" i="88"/>
  <c r="D82" i="81"/>
  <c r="E82" i="81" s="1" a="1"/>
  <c r="E82" i="81" s="1"/>
  <c r="D78" i="81"/>
  <c r="E78" i="81" s="1" a="1"/>
  <c r="E78" i="81" s="1"/>
  <c r="D79" i="81"/>
  <c r="E79" i="81" s="1" a="1"/>
  <c r="E79" i="81" s="1"/>
  <c r="D84" i="81"/>
  <c r="E84" i="81" s="1" a="1"/>
  <c r="E84" i="81" s="1"/>
  <c r="D80" i="81"/>
  <c r="E80" i="81" s="1" a="1"/>
  <c r="E80" i="81" s="1"/>
  <c r="D81" i="81"/>
  <c r="E81" i="81" s="1" a="1"/>
  <c r="E81" i="81" s="1"/>
  <c r="D83" i="81"/>
  <c r="E83" i="81" s="1" a="1"/>
  <c r="E83" i="81" s="1"/>
  <c r="D77" i="81"/>
  <c r="E77" i="81" s="1" a="1"/>
  <c r="E77" i="81" s="1"/>
  <c r="E68" i="81"/>
  <c r="E74" i="81"/>
  <c r="E73" i="81"/>
  <c r="E69" i="81"/>
  <c r="E66" i="81"/>
  <c r="E71" i="81"/>
  <c r="E70" i="81"/>
  <c r="E64" i="81"/>
  <c r="E63" i="81"/>
  <c r="E72" i="81"/>
  <c r="E62" i="81"/>
  <c r="E65" i="81"/>
  <c r="E67" i="81"/>
  <c r="E61" i="81"/>
  <c r="D62" i="81"/>
  <c r="D64" i="81"/>
  <c r="D68" i="81"/>
  <c r="D67" i="81"/>
  <c r="D74" i="81"/>
  <c r="D70" i="81"/>
  <c r="D65" i="81"/>
  <c r="D69" i="81"/>
  <c r="D63" i="81"/>
  <c r="D71" i="81"/>
  <c r="D73" i="81"/>
  <c r="D72" i="81"/>
  <c r="D66" i="81"/>
  <c r="D75" i="81"/>
  <c r="D61" i="81"/>
  <c r="D19" i="81"/>
  <c r="D31" i="81"/>
  <c r="D11" i="81"/>
  <c r="D40" i="81"/>
  <c r="D25" i="81"/>
  <c r="D22" i="81"/>
  <c r="D14" i="81"/>
  <c r="D35" i="81"/>
  <c r="D44" i="81"/>
  <c r="D8" i="81"/>
  <c r="D10" i="81"/>
  <c r="D24" i="81"/>
  <c r="D30" i="81"/>
  <c r="D21" i="81"/>
  <c r="D54" i="81"/>
  <c r="D53" i="81"/>
  <c r="D32" i="81"/>
  <c r="D29" i="81"/>
  <c r="D52" i="81"/>
  <c r="D33" i="81"/>
  <c r="D15" i="81"/>
  <c r="D42" i="81"/>
  <c r="D57" i="81"/>
  <c r="D39" i="81"/>
  <c r="D16" i="81"/>
  <c r="D43" i="81"/>
  <c r="D56" i="81"/>
  <c r="D49" i="81"/>
  <c r="D58" i="81"/>
  <c r="D36" i="81"/>
  <c r="D50" i="81"/>
  <c r="D37" i="81"/>
  <c r="D51" i="81"/>
  <c r="D12" i="81"/>
  <c r="D23" i="81"/>
  <c r="D18" i="81"/>
  <c r="D59" i="81"/>
  <c r="D47" i="81"/>
  <c r="D46" i="81"/>
  <c r="D26" i="81"/>
  <c r="D38" i="81"/>
  <c r="D45" i="81"/>
  <c r="D17" i="81"/>
  <c r="D28" i="81"/>
  <c r="D9" i="81"/>
  <c r="D7" i="81"/>
  <c r="E53" i="81"/>
  <c r="E36" i="81"/>
  <c r="E22" i="81"/>
  <c r="E9" i="81"/>
  <c r="E14" i="81"/>
  <c r="E39" i="81"/>
  <c r="E45" i="81"/>
  <c r="E24" i="81"/>
  <c r="E11" i="81"/>
  <c r="E10" i="81"/>
  <c r="E46" i="81"/>
  <c r="E28" i="81"/>
  <c r="E21" i="81"/>
  <c r="E31" i="81"/>
  <c r="E52" i="81"/>
  <c r="E57" i="81"/>
  <c r="E43" i="81"/>
  <c r="E58" i="81"/>
  <c r="E47" i="81"/>
  <c r="E19" i="81"/>
  <c r="E8" i="81"/>
  <c r="E42" i="81"/>
  <c r="E15" i="81"/>
  <c r="E16" i="81"/>
  <c r="E33" i="81"/>
  <c r="E59" i="81"/>
  <c r="E37" i="81"/>
  <c r="E38" i="81"/>
  <c r="E54" i="81"/>
  <c r="E29" i="81"/>
  <c r="E56" i="81"/>
  <c r="E30" i="81"/>
  <c r="E40" i="81"/>
  <c r="E32" i="81"/>
  <c r="E25" i="81"/>
  <c r="E51" i="81"/>
  <c r="E26" i="81"/>
  <c r="E44" i="81"/>
  <c r="E35" i="81"/>
  <c r="E23" i="81"/>
  <c r="E12" i="81"/>
  <c r="E18" i="81"/>
  <c r="E49" i="81"/>
  <c r="E17" i="81"/>
  <c r="E50" i="81"/>
  <c r="E7" i="81"/>
  <c r="H131" i="88"/>
  <c r="G19" i="79"/>
  <c r="H41" i="88"/>
  <c r="H40" i="88"/>
  <c r="G40" i="88"/>
  <c r="G41" i="88"/>
  <c r="H18" i="88"/>
  <c r="G6" i="79"/>
  <c r="F9" i="79"/>
  <c r="H12" i="88"/>
  <c r="H16" i="88"/>
  <c r="H14" i="88"/>
  <c r="G11" i="88"/>
  <c r="J5" i="90"/>
  <c r="I5" i="90"/>
  <c r="G12" i="88"/>
  <c r="J6" i="90"/>
  <c r="G13" i="88"/>
  <c r="G16" i="88"/>
  <c r="G14" i="88"/>
  <c r="F39" i="81"/>
  <c r="F78" i="81"/>
  <c r="G78" i="81" s="1" a="1"/>
  <c r="G78" i="81" s="1"/>
  <c r="G75" i="81"/>
  <c r="F81" i="81"/>
  <c r="G81" i="81" s="1" a="1"/>
  <c r="G81" i="81" s="1"/>
  <c r="F8" i="81"/>
  <c r="G37" i="81"/>
  <c r="G35" i="81"/>
  <c r="G72" i="81"/>
  <c r="G50" i="81"/>
  <c r="G32" i="81"/>
  <c r="F9" i="81"/>
  <c r="G51" i="81"/>
  <c r="F18" i="81"/>
  <c r="H71" i="81"/>
  <c r="G29" i="81"/>
  <c r="H58" i="81"/>
  <c r="H74" i="81"/>
  <c r="H15" i="81"/>
  <c r="G54" i="81"/>
  <c r="I15" i="81"/>
  <c r="I58" i="81"/>
  <c r="F31" i="81"/>
  <c r="I25" i="81"/>
  <c r="F12" i="81"/>
  <c r="H70" i="81"/>
  <c r="I30" i="81"/>
  <c r="H80" i="81"/>
  <c r="I80" i="81" s="1" a="1"/>
  <c r="I80" i="81" s="1"/>
  <c r="H24" i="81"/>
  <c r="G74" i="81"/>
  <c r="F22" i="81"/>
  <c r="G9" i="81"/>
  <c r="J37" i="81"/>
  <c r="I49" i="81"/>
  <c r="I72" i="81"/>
  <c r="J15" i="81"/>
  <c r="I71" i="81"/>
  <c r="G31" i="81"/>
  <c r="H54" i="81"/>
  <c r="F25" i="81"/>
  <c r="J21" i="81"/>
  <c r="H63" i="81"/>
  <c r="G73" i="81"/>
  <c r="J23" i="81"/>
  <c r="G10" i="81"/>
  <c r="F44" i="81"/>
  <c r="J39" i="81"/>
  <c r="G39" i="81"/>
  <c r="G38" i="81"/>
  <c r="I42" i="81"/>
  <c r="G47" i="81"/>
  <c r="G19" i="81"/>
  <c r="J67" i="81"/>
  <c r="G56" i="81"/>
  <c r="J35" i="81"/>
  <c r="G18" i="81"/>
  <c r="H68" i="81"/>
  <c r="F67" i="81"/>
  <c r="F80" i="81"/>
  <c r="G80" i="81" s="1" a="1"/>
  <c r="G80" i="81" s="1"/>
  <c r="J19" i="81"/>
  <c r="I50" i="81"/>
  <c r="J29" i="81"/>
  <c r="J62" i="81"/>
  <c r="F70" i="81"/>
  <c r="F71" i="81"/>
  <c r="I74" i="81"/>
  <c r="J81" i="81"/>
  <c r="K81" i="81" s="1" a="1"/>
  <c r="K81" i="81" s="1"/>
  <c r="J70" i="81"/>
  <c r="I54" i="81"/>
  <c r="G16" i="81"/>
  <c r="F45" i="81"/>
  <c r="H82" i="81"/>
  <c r="I82" i="81" s="1" a="1"/>
  <c r="I82" i="81" s="1"/>
  <c r="I8" i="81"/>
  <c r="K50" i="81"/>
  <c r="G59" i="81"/>
  <c r="K74" i="81"/>
  <c r="K67" i="81"/>
  <c r="J49" i="81"/>
  <c r="G8" i="81"/>
  <c r="F74" i="81"/>
  <c r="J75" i="81"/>
  <c r="G57" i="81"/>
  <c r="G30" i="81"/>
  <c r="F82" i="81"/>
  <c r="G82" i="81" s="1" a="1"/>
  <c r="G82" i="81" s="1"/>
  <c r="K66" i="81"/>
  <c r="K32" i="81"/>
  <c r="I70" i="81"/>
  <c r="J72" i="81"/>
  <c r="F77" i="81"/>
  <c r="G77" i="81" s="1" a="1"/>
  <c r="G77" i="81" s="1"/>
  <c r="G40" i="81"/>
  <c r="J40" i="81"/>
  <c r="H69" i="81"/>
  <c r="K26" i="81"/>
  <c r="I43" i="81"/>
  <c r="H28" i="81"/>
  <c r="J45" i="81"/>
  <c r="I18" i="81"/>
  <c r="H37" i="81"/>
  <c r="H83" i="81"/>
  <c r="I83" i="81" s="1" a="1"/>
  <c r="I83" i="81" s="1"/>
  <c r="F68" i="81"/>
  <c r="H66" i="81"/>
  <c r="K11" i="81"/>
  <c r="K61" i="81"/>
  <c r="H12" i="81"/>
  <c r="K58" i="81"/>
  <c r="K37" i="81"/>
  <c r="I9" i="81"/>
  <c r="J10" i="81"/>
  <c r="K14" i="81"/>
  <c r="K23" i="81"/>
  <c r="J56" i="81"/>
  <c r="F43" i="81"/>
  <c r="H64" i="81"/>
  <c r="F24" i="81"/>
  <c r="G33" i="81"/>
  <c r="J24" i="81"/>
  <c r="H84" i="81"/>
  <c r="I84" i="81" s="1" a="1"/>
  <c r="I84" i="81" s="1"/>
  <c r="F28" i="81"/>
  <c r="K35" i="81"/>
  <c r="I36" i="81"/>
  <c r="K7" i="81"/>
  <c r="F64" i="81"/>
  <c r="G7" i="81"/>
  <c r="H52" i="81"/>
  <c r="I63" i="81"/>
  <c r="H46" i="81"/>
  <c r="I61" i="81"/>
  <c r="K57" i="81"/>
  <c r="H29" i="81"/>
  <c r="L30" i="81"/>
  <c r="F42" i="81"/>
  <c r="H11" i="81"/>
  <c r="I17" i="81"/>
  <c r="K45" i="81"/>
  <c r="G15" i="81"/>
  <c r="H16" i="81"/>
  <c r="L42" i="81"/>
  <c r="L75" i="81"/>
  <c r="H17" i="81"/>
  <c r="I24" i="81"/>
  <c r="H49" i="81"/>
  <c r="F51" i="81"/>
  <c r="G17" i="81"/>
  <c r="K56" i="81"/>
  <c r="J69" i="81"/>
  <c r="L39" i="81"/>
  <c r="G69" i="81"/>
  <c r="I75" i="81"/>
  <c r="G46" i="81"/>
  <c r="H39" i="81"/>
  <c r="H31" i="81"/>
  <c r="L61" i="81"/>
  <c r="L66" i="81"/>
  <c r="H72" i="81"/>
  <c r="G58" i="81"/>
  <c r="F66" i="81"/>
  <c r="J7" i="81"/>
  <c r="K62" i="81"/>
  <c r="K75" i="81"/>
  <c r="H75" i="81"/>
  <c r="L28" i="81"/>
  <c r="L15" i="81"/>
  <c r="I10" i="81"/>
  <c r="F72" i="81"/>
  <c r="F10" i="81"/>
  <c r="H65" i="81"/>
  <c r="J58" i="81"/>
  <c r="L19" i="81"/>
  <c r="J28" i="81"/>
  <c r="H14" i="81"/>
  <c r="H53" i="81"/>
  <c r="K8" i="81"/>
  <c r="K30" i="81"/>
  <c r="I65" i="81"/>
  <c r="H44" i="81"/>
  <c r="G61" i="81"/>
  <c r="L49" i="81"/>
  <c r="F37" i="81"/>
  <c r="H59" i="81"/>
  <c r="G11" i="81"/>
  <c r="F65" i="81"/>
  <c r="F33" i="81"/>
  <c r="F35" i="81"/>
  <c r="H57" i="81"/>
  <c r="L72" i="81"/>
  <c r="L11" i="81"/>
  <c r="I39" i="81"/>
  <c r="L84" i="81"/>
  <c r="M84" i="81" s="1" a="1"/>
  <c r="M84" i="81" s="1"/>
  <c r="H8" i="81"/>
  <c r="I68" i="81"/>
  <c r="L50" i="81"/>
  <c r="L31" i="81"/>
  <c r="J80" i="81"/>
  <c r="K80" i="81" s="1" a="1"/>
  <c r="K80" i="81" s="1"/>
  <c r="H7" i="81"/>
  <c r="G52" i="81"/>
  <c r="G68" i="81"/>
  <c r="I64" i="81"/>
  <c r="G71" i="81"/>
  <c r="I37" i="81"/>
  <c r="G64" i="81"/>
  <c r="F56" i="81"/>
  <c r="H36" i="81"/>
  <c r="L82" i="81"/>
  <c r="M82" i="81" s="1" a="1"/>
  <c r="M82" i="81" s="1"/>
  <c r="L35" i="81"/>
  <c r="F30" i="81"/>
  <c r="J61" i="81"/>
  <c r="F50" i="81"/>
  <c r="L58" i="81"/>
  <c r="G62" i="81"/>
  <c r="K71" i="81"/>
  <c r="F58" i="81"/>
  <c r="H22" i="81"/>
  <c r="L47" i="81"/>
  <c r="F32" i="81"/>
  <c r="I19" i="81"/>
  <c r="J53" i="81"/>
  <c r="F16" i="81"/>
  <c r="K70" i="81"/>
  <c r="I52" i="81"/>
  <c r="G25" i="81"/>
  <c r="H18" i="81"/>
  <c r="H9" i="81"/>
  <c r="H47" i="81"/>
  <c r="L77" i="81"/>
  <c r="M77" i="81" s="1" a="1"/>
  <c r="M77" i="81" s="1"/>
  <c r="L57" i="81"/>
  <c r="K15" i="81"/>
  <c r="J9" i="81"/>
  <c r="K42" i="81"/>
  <c r="J74" i="81"/>
  <c r="K24" i="81"/>
  <c r="H79" i="81"/>
  <c r="I79" i="81" s="1" a="1"/>
  <c r="I79" i="81" s="1"/>
  <c r="K69" i="81"/>
  <c r="G53" i="81"/>
  <c r="I45" i="81"/>
  <c r="J38" i="81"/>
  <c r="K51" i="81"/>
  <c r="J51" i="81"/>
  <c r="J18" i="81"/>
  <c r="K21" i="81"/>
  <c r="F54" i="81"/>
  <c r="L71" i="81"/>
  <c r="I26" i="81"/>
  <c r="F61" i="81"/>
  <c r="I73" i="81"/>
  <c r="L53" i="81"/>
  <c r="I22" i="81"/>
  <c r="H25" i="81"/>
  <c r="F23" i="81"/>
  <c r="F29" i="81"/>
  <c r="I38" i="81"/>
  <c r="H62" i="81"/>
  <c r="I31" i="81"/>
  <c r="K72" i="81"/>
  <c r="H40" i="81"/>
  <c r="L9" i="81"/>
  <c r="H56" i="81"/>
  <c r="K73" i="81"/>
  <c r="H23" i="81"/>
  <c r="L32" i="81"/>
  <c r="L25" i="81"/>
  <c r="G70" i="81"/>
  <c r="I51" i="81"/>
  <c r="L74" i="81"/>
  <c r="L33" i="81"/>
  <c r="G49" i="81"/>
  <c r="H26" i="81"/>
  <c r="I46" i="81"/>
  <c r="G44" i="81"/>
  <c r="F52" i="81"/>
  <c r="H50" i="81"/>
  <c r="H81" i="81"/>
  <c r="I81" i="81" s="1" a="1"/>
  <c r="I81" i="81" s="1"/>
  <c r="F53" i="81"/>
  <c r="I12" i="81"/>
  <c r="K10" i="81"/>
  <c r="G43" i="81"/>
  <c r="J25" i="81"/>
  <c r="I67" i="81"/>
  <c r="K49" i="81"/>
  <c r="G26" i="81"/>
  <c r="H10" i="81"/>
  <c r="F7" i="81"/>
  <c r="L14" i="81"/>
  <c r="G36" i="81"/>
  <c r="J32" i="81"/>
  <c r="J54" i="81"/>
  <c r="J36" i="81"/>
  <c r="J33" i="81"/>
  <c r="H19" i="81"/>
  <c r="J16" i="81"/>
  <c r="H38" i="81"/>
  <c r="L23" i="81"/>
  <c r="L26" i="81"/>
  <c r="H35" i="81"/>
  <c r="G14" i="81"/>
  <c r="G67" i="81"/>
  <c r="I11" i="81"/>
  <c r="F63" i="81"/>
  <c r="J78" i="81"/>
  <c r="K78" i="81" s="1" a="1"/>
  <c r="K78" i="81" s="1"/>
  <c r="F15" i="81"/>
  <c r="I56" i="81"/>
  <c r="G24" i="81"/>
  <c r="L21" i="81"/>
  <c r="J30" i="81"/>
  <c r="J44" i="81"/>
  <c r="J68" i="81"/>
  <c r="J77" i="81"/>
  <c r="K77" i="81" s="1" a="1"/>
  <c r="K77" i="81" s="1"/>
  <c r="F57" i="81"/>
  <c r="J50" i="81"/>
  <c r="K53" i="81"/>
  <c r="F38" i="81"/>
  <c r="F11" i="81"/>
  <c r="L62" i="81"/>
  <c r="G21" i="81"/>
  <c r="I28" i="81"/>
  <c r="K19" i="81"/>
  <c r="L40" i="81"/>
  <c r="F75" i="81"/>
  <c r="H33" i="81"/>
  <c r="H73" i="81"/>
  <c r="L36" i="81"/>
  <c r="L12" i="81"/>
  <c r="L67" i="81"/>
  <c r="F59" i="81"/>
  <c r="F14" i="81"/>
  <c r="H51" i="81"/>
  <c r="I47" i="81"/>
  <c r="F73" i="81"/>
  <c r="K40" i="81"/>
  <c r="J57" i="81"/>
  <c r="K29" i="81"/>
  <c r="L7" i="81"/>
  <c r="K52" i="81"/>
  <c r="G28" i="81"/>
  <c r="J43" i="81"/>
  <c r="H78" i="81"/>
  <c r="I78" i="81" s="1" a="1"/>
  <c r="I78" i="81" s="1"/>
  <c r="I66" i="81"/>
  <c r="J59" i="81"/>
  <c r="L18" i="81"/>
  <c r="J71" i="81"/>
  <c r="J63" i="81"/>
  <c r="K47" i="81"/>
  <c r="F21" i="81"/>
  <c r="G12" i="81"/>
  <c r="L17" i="81"/>
  <c r="G22" i="81"/>
  <c r="I29" i="81"/>
  <c r="K39" i="81"/>
  <c r="L37" i="81"/>
  <c r="G45" i="81"/>
  <c r="F19" i="81"/>
  <c r="J42" i="81"/>
  <c r="I69" i="81"/>
  <c r="H30" i="81"/>
  <c r="K12" i="81"/>
  <c r="H47" i="88" l="1"/>
  <c r="G21" i="79"/>
  <c r="H103" i="88"/>
  <c r="G25" i="88"/>
  <c r="F13" i="79"/>
  <c r="J13" i="90"/>
  <c r="F13" i="90" s="1"/>
  <c r="H25" i="88"/>
  <c r="H46" i="88"/>
  <c r="H151" i="88"/>
  <c r="G18" i="79"/>
  <c r="H19" i="88"/>
  <c r="H121" i="88"/>
  <c r="H90" i="88"/>
  <c r="H26" i="88"/>
  <c r="G17" i="79"/>
  <c r="G14" i="79"/>
  <c r="H157" i="32"/>
  <c r="J10" i="90"/>
  <c r="E10" i="90" s="1"/>
  <c r="I156" i="32"/>
  <c r="J458" i="88" s="1"/>
  <c r="G21" i="88"/>
  <c r="F114" i="79"/>
  <c r="A114" i="79" s="1"/>
  <c r="G458" i="88"/>
  <c r="G456" i="88"/>
  <c r="I13" i="90"/>
  <c r="G13" i="79"/>
  <c r="I157" i="32"/>
  <c r="G459" i="88"/>
  <c r="H459" i="88"/>
  <c r="G8" i="79"/>
  <c r="I50" i="90"/>
  <c r="J11" i="90"/>
  <c r="E11" i="90" s="1"/>
  <c r="G23" i="79"/>
  <c r="I6" i="90"/>
  <c r="F6" i="79"/>
  <c r="J7" i="90"/>
  <c r="F7" i="90" s="1"/>
  <c r="H20" i="88"/>
  <c r="F16" i="79"/>
  <c r="I64" i="90"/>
  <c r="G18" i="88"/>
  <c r="F20" i="79"/>
  <c r="J29" i="90"/>
  <c r="E29" i="90" s="1"/>
  <c r="J64" i="90"/>
  <c r="F64" i="90" s="1"/>
  <c r="J50" i="90"/>
  <c r="E50" i="90" s="1"/>
  <c r="H13" i="88"/>
  <c r="I7" i="90"/>
  <c r="J57" i="90"/>
  <c r="E57" i="90" s="1"/>
  <c r="F21" i="79"/>
  <c r="F19" i="79"/>
  <c r="G111" i="88"/>
  <c r="H24" i="88"/>
  <c r="J9" i="90"/>
  <c r="E9" i="90" s="1"/>
  <c r="I36" i="90"/>
  <c r="G121" i="88"/>
  <c r="G16" i="79"/>
  <c r="F112" i="79"/>
  <c r="A112" i="79" s="1"/>
  <c r="H154" i="32"/>
  <c r="I29" i="90"/>
  <c r="I154" i="32"/>
  <c r="H111" i="88"/>
  <c r="H457" i="88"/>
  <c r="I11" i="90"/>
  <c r="G20" i="88"/>
  <c r="F7" i="79"/>
  <c r="H21" i="88"/>
  <c r="J36" i="90"/>
  <c r="F36" i="90" s="1"/>
  <c r="J22" i="90"/>
  <c r="F22" i="90" s="1"/>
  <c r="F8" i="79"/>
  <c r="I8" i="90"/>
  <c r="G19" i="88"/>
  <c r="G9" i="79"/>
  <c r="G10" i="79"/>
  <c r="F17" i="79"/>
  <c r="F15" i="79"/>
  <c r="I10" i="90"/>
  <c r="G100" i="88"/>
  <c r="G15" i="79"/>
  <c r="F18" i="79"/>
  <c r="G26" i="88"/>
  <c r="J12" i="90"/>
  <c r="E12" i="90" s="1"/>
  <c r="I12" i="90"/>
  <c r="I43" i="90"/>
  <c r="J15" i="90"/>
  <c r="E15" i="90" s="1"/>
  <c r="J66" i="90"/>
  <c r="E66" i="90" s="1"/>
  <c r="H155" i="32"/>
  <c r="G24" i="88"/>
  <c r="F12" i="79"/>
  <c r="G131" i="88"/>
  <c r="F14" i="79"/>
  <c r="F23" i="79"/>
  <c r="H100" i="88"/>
  <c r="I155" i="32"/>
  <c r="I22" i="90"/>
  <c r="J43" i="90"/>
  <c r="E43" i="90" s="1"/>
  <c r="G90" i="88"/>
  <c r="I15" i="90"/>
  <c r="I66" i="90"/>
  <c r="G22" i="79"/>
  <c r="G457" i="88"/>
  <c r="I65" i="90"/>
  <c r="J65" i="90"/>
  <c r="E65" i="90" s="1"/>
  <c r="F22" i="79"/>
  <c r="P18" i="94"/>
  <c r="P10" i="94"/>
  <c r="P12" i="94"/>
  <c r="P32" i="94"/>
  <c r="P11" i="94"/>
  <c r="G20" i="79"/>
  <c r="P6" i="94"/>
  <c r="I57" i="90"/>
  <c r="P29" i="94"/>
  <c r="P13" i="94"/>
  <c r="P17" i="94"/>
  <c r="G27" i="79"/>
  <c r="J67" i="90"/>
  <c r="F67" i="90" s="1"/>
  <c r="P16" i="94"/>
  <c r="P7" i="94"/>
  <c r="P8" i="94"/>
  <c r="G37" i="88"/>
  <c r="G38" i="88"/>
  <c r="F28" i="79"/>
  <c r="F101" i="79"/>
  <c r="F102" i="79"/>
  <c r="G101" i="79"/>
  <c r="G24" i="79"/>
  <c r="F25" i="79"/>
  <c r="F26" i="79"/>
  <c r="F24" i="79"/>
  <c r="G29" i="79"/>
  <c r="H37" i="88"/>
  <c r="H38" i="88"/>
  <c r="G28" i="79"/>
  <c r="A39" i="88"/>
  <c r="F27" i="79"/>
  <c r="I67" i="90"/>
  <c r="G25" i="79"/>
  <c r="G26" i="79"/>
  <c r="F29" i="79"/>
  <c r="J69" i="90"/>
  <c r="I69" i="90"/>
  <c r="J70" i="90"/>
  <c r="I70" i="90"/>
  <c r="J68" i="90"/>
  <c r="I68" i="90"/>
  <c r="I458" i="88"/>
  <c r="H456" i="88"/>
  <c r="G112" i="79"/>
  <c r="H150" i="32"/>
  <c r="I150" i="32"/>
  <c r="G452" i="88"/>
  <c r="F108" i="79"/>
  <c r="A108" i="79" s="1"/>
  <c r="I153" i="32"/>
  <c r="F111" i="79"/>
  <c r="A111" i="79" s="1"/>
  <c r="G455" i="88"/>
  <c r="H153" i="32"/>
  <c r="G449" i="88"/>
  <c r="F105" i="79"/>
  <c r="A105" i="79" s="1"/>
  <c r="I147" i="32"/>
  <c r="H147" i="32"/>
  <c r="G454" i="88"/>
  <c r="F110" i="79"/>
  <c r="A110" i="79" s="1"/>
  <c r="H152" i="32"/>
  <c r="I152" i="32"/>
  <c r="F107" i="79"/>
  <c r="A107" i="79" s="1"/>
  <c r="G451" i="88"/>
  <c r="I149" i="32"/>
  <c r="H149" i="32"/>
  <c r="G450" i="88"/>
  <c r="I148" i="32"/>
  <c r="H148" i="32"/>
  <c r="F106" i="79"/>
  <c r="A106" i="79" s="1"/>
  <c r="I151" i="32"/>
  <c r="H151" i="32"/>
  <c r="F109" i="79"/>
  <c r="A109" i="79" s="1"/>
  <c r="G453" i="88"/>
  <c r="G114" i="79"/>
  <c r="H458" i="88"/>
  <c r="F104" i="79"/>
  <c r="A104" i="79" s="1"/>
  <c r="G448" i="88"/>
  <c r="I146" i="32"/>
  <c r="H146" i="32"/>
  <c r="F75" i="90"/>
  <c r="G75" i="90" s="1"/>
  <c r="H414" i="88"/>
  <c r="G90" i="79"/>
  <c r="P24" i="94"/>
  <c r="G97" i="79"/>
  <c r="H432" i="88"/>
  <c r="P26" i="94"/>
  <c r="G89" i="79"/>
  <c r="H413" i="88"/>
  <c r="P22" i="94"/>
  <c r="G96" i="79"/>
  <c r="H431" i="88"/>
  <c r="P25" i="94"/>
  <c r="H423" i="88"/>
  <c r="G94" i="79"/>
  <c r="G99" i="79"/>
  <c r="H433" i="88"/>
  <c r="G92" i="79"/>
  <c r="H416" i="88"/>
  <c r="P27" i="94"/>
  <c r="G87" i="79"/>
  <c r="H403" i="88"/>
  <c r="G88" i="79"/>
  <c r="H412" i="88"/>
  <c r="P23" i="94"/>
  <c r="G95" i="79"/>
  <c r="P21" i="94"/>
  <c r="G91" i="79"/>
  <c r="H415" i="88"/>
  <c r="P20" i="94"/>
  <c r="G98" i="79"/>
  <c r="G93" i="79"/>
  <c r="H417" i="88"/>
  <c r="G86" i="79"/>
  <c r="H394" i="88"/>
  <c r="F100" i="79"/>
  <c r="G434" i="88"/>
  <c r="A434" i="88" s="1"/>
  <c r="F97" i="79"/>
  <c r="G432" i="88"/>
  <c r="A432" i="88" s="1"/>
  <c r="G431" i="88"/>
  <c r="F96" i="79"/>
  <c r="F94" i="79"/>
  <c r="G423" i="88"/>
  <c r="F95" i="79"/>
  <c r="A427" i="88"/>
  <c r="G416" i="88"/>
  <c r="A416" i="88" s="1"/>
  <c r="F92" i="79"/>
  <c r="F89" i="79"/>
  <c r="G413" i="88"/>
  <c r="A413" i="88" s="1"/>
  <c r="F91" i="79"/>
  <c r="G415" i="88"/>
  <c r="A415" i="88" s="1"/>
  <c r="F98" i="79"/>
  <c r="G412" i="88"/>
  <c r="A412" i="88" s="1"/>
  <c r="F88" i="79"/>
  <c r="F90" i="79"/>
  <c r="G414" i="88"/>
  <c r="G433" i="88"/>
  <c r="A433" i="88" s="1"/>
  <c r="F99" i="79"/>
  <c r="F93" i="79"/>
  <c r="G417" i="88"/>
  <c r="A417" i="88" s="1"/>
  <c r="F87" i="79"/>
  <c r="G403" i="88"/>
  <c r="F86" i="79"/>
  <c r="G394" i="88"/>
  <c r="A394" i="88" s="1"/>
  <c r="F71" i="90"/>
  <c r="G71" i="90" s="1"/>
  <c r="F53" i="79"/>
  <c r="G370" i="88"/>
  <c r="A370" i="88" s="1"/>
  <c r="J37" i="90"/>
  <c r="G122" i="88"/>
  <c r="J54" i="90"/>
  <c r="F70" i="79"/>
  <c r="G385" i="88"/>
  <c r="J35" i="90"/>
  <c r="F51" i="79"/>
  <c r="G369" i="88"/>
  <c r="A369" i="88" s="1"/>
  <c r="F72" i="79"/>
  <c r="J56" i="90"/>
  <c r="F43" i="79"/>
  <c r="A362" i="88"/>
  <c r="J27" i="90"/>
  <c r="J21" i="90"/>
  <c r="F37" i="79"/>
  <c r="G357" i="88"/>
  <c r="A357" i="88" s="1"/>
  <c r="F62" i="79"/>
  <c r="G378" i="88"/>
  <c r="A378" i="88" s="1"/>
  <c r="J46" i="90"/>
  <c r="G134" i="88"/>
  <c r="J45" i="90"/>
  <c r="F61" i="79"/>
  <c r="G377" i="88"/>
  <c r="A377" i="88" s="1"/>
  <c r="G133" i="88"/>
  <c r="F74" i="79"/>
  <c r="A387" i="88"/>
  <c r="J58" i="90"/>
  <c r="G383" i="88"/>
  <c r="A383" i="88" s="1"/>
  <c r="F68" i="79"/>
  <c r="J52" i="90"/>
  <c r="F64" i="79"/>
  <c r="J48" i="90"/>
  <c r="G380" i="88"/>
  <c r="A380" i="88" s="1"/>
  <c r="F67" i="79"/>
  <c r="G382" i="88"/>
  <c r="A382" i="88" s="1"/>
  <c r="J51" i="90"/>
  <c r="G375" i="88"/>
  <c r="A375" i="88" s="1"/>
  <c r="J42" i="90"/>
  <c r="F58" i="79"/>
  <c r="J38" i="90"/>
  <c r="G371" i="88"/>
  <c r="A371" i="88" s="1"/>
  <c r="F54" i="79"/>
  <c r="G123" i="88"/>
  <c r="F78" i="79"/>
  <c r="J62" i="90"/>
  <c r="F46" i="79"/>
  <c r="J30" i="90"/>
  <c r="A364" i="88"/>
  <c r="G112" i="88"/>
  <c r="J33" i="90"/>
  <c r="G367" i="88"/>
  <c r="F49" i="79"/>
  <c r="J17" i="90"/>
  <c r="F33" i="79"/>
  <c r="G353" i="88"/>
  <c r="A353" i="88" s="1"/>
  <c r="G92" i="88"/>
  <c r="F60" i="79"/>
  <c r="J44" i="90"/>
  <c r="G376" i="88"/>
  <c r="A376" i="88" s="1"/>
  <c r="G132" i="88"/>
  <c r="F47" i="79"/>
  <c r="G365" i="88"/>
  <c r="A365" i="88" s="1"/>
  <c r="J31" i="90"/>
  <c r="G113" i="88"/>
  <c r="J49" i="90"/>
  <c r="F65" i="79"/>
  <c r="G381" i="88"/>
  <c r="A381" i="88" s="1"/>
  <c r="F56" i="79"/>
  <c r="G373" i="88"/>
  <c r="A373" i="88" s="1"/>
  <c r="J40" i="90"/>
  <c r="F34" i="79"/>
  <c r="G354" i="88"/>
  <c r="J18" i="90"/>
  <c r="G93" i="88"/>
  <c r="F42" i="79"/>
  <c r="G361" i="88"/>
  <c r="A361" i="88" s="1"/>
  <c r="J26" i="90"/>
  <c r="G379" i="88"/>
  <c r="A379" i="88" s="1"/>
  <c r="J47" i="90"/>
  <c r="F63" i="79"/>
  <c r="G135" i="88"/>
  <c r="F71" i="79"/>
  <c r="G386" i="88"/>
  <c r="J55" i="90"/>
  <c r="F84" i="79"/>
  <c r="F48" i="79"/>
  <c r="A366" i="88"/>
  <c r="J32" i="90"/>
  <c r="G114" i="88"/>
  <c r="F76" i="79"/>
  <c r="J60" i="90"/>
  <c r="G389" i="88"/>
  <c r="A389" i="88" s="1"/>
  <c r="J59" i="90"/>
  <c r="F75" i="79"/>
  <c r="G388" i="88"/>
  <c r="A388" i="88" s="1"/>
  <c r="F83" i="79"/>
  <c r="F81" i="79"/>
  <c r="G391" i="88"/>
  <c r="F41" i="79"/>
  <c r="J25" i="90"/>
  <c r="G108" i="88"/>
  <c r="F82" i="79"/>
  <c r="G392" i="88"/>
  <c r="F40" i="79"/>
  <c r="J24" i="90"/>
  <c r="G390" i="88"/>
  <c r="A390" i="88" s="1"/>
  <c r="J61" i="90"/>
  <c r="F77" i="79"/>
  <c r="F57" i="79"/>
  <c r="G374" i="88"/>
  <c r="A374" i="88" s="1"/>
  <c r="J41" i="90"/>
  <c r="F79" i="79"/>
  <c r="J63" i="90"/>
  <c r="F55" i="79"/>
  <c r="G372" i="88"/>
  <c r="A372" i="88" s="1"/>
  <c r="J39" i="90"/>
  <c r="J19" i="90"/>
  <c r="F35" i="79"/>
  <c r="G355" i="88"/>
  <c r="A355" i="88" s="1"/>
  <c r="F69" i="79"/>
  <c r="J53" i="90"/>
  <c r="G384" i="88"/>
  <c r="F39" i="79"/>
  <c r="G358" i="88"/>
  <c r="A358" i="88" s="1"/>
  <c r="J23" i="90"/>
  <c r="F50" i="79"/>
  <c r="J34" i="90"/>
  <c r="F36" i="79"/>
  <c r="G356" i="88"/>
  <c r="J20" i="90"/>
  <c r="F44" i="79"/>
  <c r="G363" i="88"/>
  <c r="J28" i="90"/>
  <c r="J16" i="90"/>
  <c r="F32" i="79"/>
  <c r="G352" i="88"/>
  <c r="G91" i="88"/>
  <c r="A36" i="88"/>
  <c r="G42" i="79"/>
  <c r="H361" i="88"/>
  <c r="I26" i="90"/>
  <c r="I27" i="90"/>
  <c r="G43" i="79"/>
  <c r="I32" i="90"/>
  <c r="G48" i="79"/>
  <c r="H114" i="88"/>
  <c r="G69" i="79"/>
  <c r="H384" i="88"/>
  <c r="I53" i="90"/>
  <c r="I60" i="90"/>
  <c r="G76" i="79"/>
  <c r="H389" i="88"/>
  <c r="H374" i="88"/>
  <c r="G57" i="79"/>
  <c r="I41" i="90"/>
  <c r="G55" i="79"/>
  <c r="H372" i="88"/>
  <c r="I39" i="90"/>
  <c r="H371" i="88"/>
  <c r="I38" i="90"/>
  <c r="G54" i="79"/>
  <c r="H123" i="88"/>
  <c r="H379" i="88"/>
  <c r="I47" i="90"/>
  <c r="G63" i="79"/>
  <c r="H135" i="88"/>
  <c r="G84" i="79"/>
  <c r="G41" i="79"/>
  <c r="I25" i="90"/>
  <c r="H108" i="88"/>
  <c r="H382" i="88"/>
  <c r="I51" i="90"/>
  <c r="G67" i="79"/>
  <c r="I28" i="90"/>
  <c r="H363" i="88"/>
  <c r="G44" i="79"/>
  <c r="G83" i="79"/>
  <c r="H392" i="88"/>
  <c r="G82" i="79"/>
  <c r="P15" i="94"/>
  <c r="G56" i="79"/>
  <c r="I40" i="90"/>
  <c r="H373" i="88"/>
  <c r="H370" i="88"/>
  <c r="G53" i="79"/>
  <c r="I37" i="90"/>
  <c r="H122" i="88"/>
  <c r="H355" i="88"/>
  <c r="I19" i="90"/>
  <c r="G35" i="79"/>
  <c r="I33" i="90"/>
  <c r="H367" i="88"/>
  <c r="G49" i="79"/>
  <c r="G64" i="79"/>
  <c r="H380" i="88"/>
  <c r="I48" i="90"/>
  <c r="H354" i="88"/>
  <c r="I18" i="90"/>
  <c r="G34" i="79"/>
  <c r="H93" i="88"/>
  <c r="I45" i="90"/>
  <c r="G61" i="79"/>
  <c r="H377" i="88"/>
  <c r="H133" i="88"/>
  <c r="H388" i="88"/>
  <c r="G75" i="79"/>
  <c r="I59" i="90"/>
  <c r="G74" i="79"/>
  <c r="I58" i="90"/>
  <c r="G37" i="79"/>
  <c r="I21" i="90"/>
  <c r="H357" i="88"/>
  <c r="G60" i="79"/>
  <c r="H376" i="88"/>
  <c r="I44" i="90"/>
  <c r="H132" i="88"/>
  <c r="G51" i="79"/>
  <c r="H369" i="88"/>
  <c r="I35" i="90"/>
  <c r="G50" i="79"/>
  <c r="I34" i="90"/>
  <c r="I49" i="90"/>
  <c r="G65" i="79"/>
  <c r="H381" i="88"/>
  <c r="G81" i="79"/>
  <c r="H391" i="88"/>
  <c r="G79" i="79"/>
  <c r="I63" i="90"/>
  <c r="H378" i="88"/>
  <c r="I46" i="90"/>
  <c r="G62" i="79"/>
  <c r="H134" i="88"/>
  <c r="G58" i="79"/>
  <c r="I42" i="90"/>
  <c r="H375" i="88"/>
  <c r="I24" i="90"/>
  <c r="G40" i="79"/>
  <c r="G33" i="79"/>
  <c r="I17" i="90"/>
  <c r="H353" i="88"/>
  <c r="H92" i="88"/>
  <c r="I56" i="90"/>
  <c r="G72" i="79"/>
  <c r="I52" i="90"/>
  <c r="H383" i="88"/>
  <c r="G68" i="79"/>
  <c r="H390" i="88"/>
  <c r="I61" i="90"/>
  <c r="G77" i="79"/>
  <c r="G46" i="79"/>
  <c r="I30" i="90"/>
  <c r="H112" i="88"/>
  <c r="H386" i="88"/>
  <c r="I55" i="90"/>
  <c r="G71" i="79"/>
  <c r="G36" i="79"/>
  <c r="H356" i="88"/>
  <c r="I20" i="90"/>
  <c r="G70" i="79"/>
  <c r="I54" i="90"/>
  <c r="H385" i="88"/>
  <c r="H358" i="88"/>
  <c r="G39" i="79"/>
  <c r="I23" i="90"/>
  <c r="G47" i="79"/>
  <c r="H365" i="88"/>
  <c r="I31" i="90"/>
  <c r="H113" i="88"/>
  <c r="G78" i="79"/>
  <c r="I62" i="90"/>
  <c r="I16" i="90"/>
  <c r="G32" i="79"/>
  <c r="H352" i="88"/>
  <c r="H91" i="88"/>
  <c r="I4" i="90"/>
  <c r="J4" i="90"/>
  <c r="E4" i="90" s="1"/>
  <c r="A24" i="81"/>
  <c r="E8" i="90"/>
  <c r="F8" i="90"/>
  <c r="H11" i="88"/>
  <c r="A56" i="81"/>
  <c r="E5" i="90"/>
  <c r="F5" i="90"/>
  <c r="E6" i="90"/>
  <c r="F6" i="90"/>
  <c r="A29" i="81"/>
  <c r="A57" i="81"/>
  <c r="A36" i="81"/>
  <c r="A38" i="81"/>
  <c r="A33" i="81"/>
  <c r="A8" i="81"/>
  <c r="A31" i="81"/>
  <c r="A45" i="81"/>
  <c r="A47" i="81"/>
  <c r="A17" i="81"/>
  <c r="A52" i="81"/>
  <c r="A40" i="81"/>
  <c r="A50" i="81"/>
  <c r="A26" i="81"/>
  <c r="A19" i="81"/>
  <c r="A10" i="81"/>
  <c r="A54" i="81"/>
  <c r="A58" i="81"/>
  <c r="A43" i="81"/>
  <c r="A74" i="81"/>
  <c r="A15" i="81"/>
  <c r="A22" i="81"/>
  <c r="A59" i="81"/>
  <c r="A12" i="81"/>
  <c r="A78" i="81"/>
  <c r="A79" i="81"/>
  <c r="A82" i="81"/>
  <c r="A84" i="81"/>
  <c r="A81" i="81"/>
  <c r="A83" i="81"/>
  <c r="A80" i="81"/>
  <c r="A77" i="81"/>
  <c r="E13" i="90" l="1"/>
  <c r="G13" i="90" s="1"/>
  <c r="F66" i="90"/>
  <c r="A38" i="88"/>
  <c r="F11" i="90"/>
  <c r="G11" i="90" s="1"/>
  <c r="A37" i="88"/>
  <c r="E64" i="90"/>
  <c r="E7" i="90"/>
  <c r="G7" i="90" s="1"/>
  <c r="F10" i="90"/>
  <c r="G10" i="90" s="1"/>
  <c r="E36" i="90"/>
  <c r="F50" i="90"/>
  <c r="J459" i="88"/>
  <c r="F65" i="90"/>
  <c r="G115" i="79"/>
  <c r="J456" i="88"/>
  <c r="F15" i="90"/>
  <c r="F43" i="90"/>
  <c r="F9" i="90"/>
  <c r="G9" i="90" s="1"/>
  <c r="F12" i="90"/>
  <c r="G12" i="90" s="1"/>
  <c r="F57" i="90"/>
  <c r="F29" i="90"/>
  <c r="I459" i="88"/>
  <c r="J457" i="88"/>
  <c r="I457" i="88"/>
  <c r="G113" i="79"/>
  <c r="E22" i="90"/>
  <c r="I456" i="88"/>
  <c r="E67" i="90"/>
  <c r="F70" i="90"/>
  <c r="E70" i="90"/>
  <c r="F68" i="90"/>
  <c r="E68" i="90"/>
  <c r="F69" i="90"/>
  <c r="E69" i="90"/>
  <c r="F4" i="90"/>
  <c r="G4" i="90" s="1"/>
  <c r="G109" i="79"/>
  <c r="H453" i="88"/>
  <c r="H450" i="88"/>
  <c r="G106" i="79"/>
  <c r="H454" i="88"/>
  <c r="G110" i="79"/>
  <c r="J449" i="88"/>
  <c r="I452" i="88"/>
  <c r="I453" i="88"/>
  <c r="I450" i="88"/>
  <c r="G107" i="79"/>
  <c r="H451" i="88"/>
  <c r="J454" i="88"/>
  <c r="H449" i="88"/>
  <c r="G105" i="79"/>
  <c r="I455" i="88"/>
  <c r="J453" i="88"/>
  <c r="J450" i="88"/>
  <c r="I451" i="88"/>
  <c r="I454" i="88"/>
  <c r="G111" i="79"/>
  <c r="H455" i="88"/>
  <c r="J455" i="88"/>
  <c r="J452" i="88"/>
  <c r="J451" i="88"/>
  <c r="I449" i="88"/>
  <c r="H452" i="88"/>
  <c r="G108" i="79"/>
  <c r="A55" i="81"/>
  <c r="I448" i="88"/>
  <c r="J448" i="88"/>
  <c r="G104" i="79"/>
  <c r="H448" i="88"/>
  <c r="E75" i="81"/>
  <c r="A75" i="81" s="1"/>
  <c r="F53" i="90"/>
  <c r="E53" i="90"/>
  <c r="F61" i="90"/>
  <c r="E61" i="90"/>
  <c r="F25" i="90"/>
  <c r="E25" i="90"/>
  <c r="F18" i="90"/>
  <c r="E18" i="90"/>
  <c r="F17" i="90"/>
  <c r="E17" i="90"/>
  <c r="F38" i="90"/>
  <c r="E38" i="90"/>
  <c r="F42" i="90"/>
  <c r="E42" i="90"/>
  <c r="F51" i="90"/>
  <c r="E51" i="90"/>
  <c r="F45" i="90"/>
  <c r="E45" i="90"/>
  <c r="F35" i="90"/>
  <c r="E35" i="90"/>
  <c r="F37" i="90"/>
  <c r="E37" i="90"/>
  <c r="A351" i="88"/>
  <c r="F28" i="90"/>
  <c r="E28" i="90"/>
  <c r="F34" i="90"/>
  <c r="E34" i="90"/>
  <c r="F23" i="90"/>
  <c r="E23" i="90"/>
  <c r="F24" i="90"/>
  <c r="E24" i="90"/>
  <c r="F47" i="90"/>
  <c r="E47" i="90"/>
  <c r="F31" i="90"/>
  <c r="E31" i="90"/>
  <c r="F44" i="90"/>
  <c r="E44" i="90"/>
  <c r="F33" i="90"/>
  <c r="E33" i="90"/>
  <c r="F27" i="90"/>
  <c r="E27" i="90"/>
  <c r="F54" i="90"/>
  <c r="E54" i="90"/>
  <c r="F19" i="90"/>
  <c r="E19" i="90"/>
  <c r="F39" i="90"/>
  <c r="E39" i="90"/>
  <c r="F41" i="90"/>
  <c r="E41" i="90"/>
  <c r="F55" i="90"/>
  <c r="E55" i="90"/>
  <c r="F26" i="90"/>
  <c r="E26" i="90"/>
  <c r="F40" i="90"/>
  <c r="E40" i="90"/>
  <c r="F49" i="90"/>
  <c r="E49" i="90"/>
  <c r="F62" i="90"/>
  <c r="E62" i="90"/>
  <c r="F52" i="90"/>
  <c r="E52" i="90"/>
  <c r="F56" i="90"/>
  <c r="E56" i="90"/>
  <c r="F20" i="90"/>
  <c r="E20" i="90"/>
  <c r="F63" i="90"/>
  <c r="E63" i="90"/>
  <c r="F59" i="90"/>
  <c r="E59" i="90"/>
  <c r="F60" i="90"/>
  <c r="E60" i="90"/>
  <c r="F32" i="90"/>
  <c r="E32" i="90"/>
  <c r="F30" i="90"/>
  <c r="E30" i="90"/>
  <c r="F48" i="90"/>
  <c r="E48" i="90"/>
  <c r="F58" i="90"/>
  <c r="E58" i="90"/>
  <c r="F46" i="90"/>
  <c r="E46" i="90"/>
  <c r="F21" i="90"/>
  <c r="E21" i="90"/>
  <c r="F16" i="90"/>
  <c r="E16" i="90"/>
  <c r="G8" i="90"/>
  <c r="G6" i="90"/>
  <c r="G5" i="90"/>
  <c r="G102" i="79" l="1"/>
  <c r="G64" i="90"/>
  <c r="G29" i="90"/>
  <c r="G100" i="79"/>
  <c r="H434" i="88"/>
  <c r="G57" i="90"/>
  <c r="G43" i="90"/>
  <c r="G22" i="90"/>
  <c r="G36" i="90"/>
  <c r="G50" i="90"/>
  <c r="E95" i="90"/>
  <c r="F95" i="90"/>
  <c r="F97" i="90" s="1"/>
  <c r="G15" i="90"/>
  <c r="G95" i="90" l="1"/>
</calcChain>
</file>

<file path=xl/sharedStrings.xml><?xml version="1.0" encoding="utf-8"?>
<sst xmlns="http://schemas.openxmlformats.org/spreadsheetml/2006/main" count="24210" uniqueCount="3618">
  <si>
    <t>GRADO</t>
  </si>
  <si>
    <t>2T</t>
  </si>
  <si>
    <t>1T</t>
  </si>
  <si>
    <t>CABO 1RO.</t>
  </si>
  <si>
    <t>CABO 2DO.</t>
  </si>
  <si>
    <t>BARRIOS SEPULVEDA DIEGO EDUARDO</t>
  </si>
  <si>
    <t>3T</t>
  </si>
  <si>
    <t>LOPEZ VILCHES SEBASTIAN ALEJANDRO</t>
  </si>
  <si>
    <t>ZEPEDA SANTOS ALEX ALEJANDRO</t>
  </si>
  <si>
    <t>HENRIQUEZ TAPIA FERNANDO ANDRES</t>
  </si>
  <si>
    <t>TENIENTE</t>
  </si>
  <si>
    <t>S.O.M.</t>
  </si>
  <si>
    <t>VERA SAAVEDRA GERMAN ALEXIS</t>
  </si>
  <si>
    <t>FERIADO</t>
  </si>
  <si>
    <t>CARABINERO</t>
  </si>
  <si>
    <t>ARENAS LOYOLA EDUARDO ALEJANDRO</t>
  </si>
  <si>
    <t>PROSERVIPOL</t>
  </si>
  <si>
    <t>SUBOFICIAL</t>
  </si>
  <si>
    <t>MUÑOZ CORTES JUAN JERVACIO</t>
  </si>
  <si>
    <t>BRAVO VALDERRAMA OSCAR MAURICIO</t>
  </si>
  <si>
    <t>PILQUIMAN MANQUI MIGUEL ANGEL</t>
  </si>
  <si>
    <t>JARAMILLO VIDAL RUBEN PATRICIO</t>
  </si>
  <si>
    <t>TELEFONISTA</t>
  </si>
  <si>
    <t>TRABAJO CUARTEL</t>
  </si>
  <si>
    <t>BRIONES FICA SERGIO ROLANDO</t>
  </si>
  <si>
    <t>SILVA LIRA ORLANDO ENRIQUE</t>
  </si>
  <si>
    <t>CORNEJO RUMINADO JUAN</t>
  </si>
  <si>
    <t>LEIVA LILLO CAMILO FERNANDO</t>
  </si>
  <si>
    <t>RETAMAL CACERES WILLIAM ALEXIS</t>
  </si>
  <si>
    <t>GONZALEZ BARRA VICTOR MANUEL</t>
  </si>
  <si>
    <t>LIRA MUÑOZ OSCAR FABIAN</t>
  </si>
  <si>
    <t>VARGAS MALDONADO MIGUEL ANGEL</t>
  </si>
  <si>
    <t>DIAZ ORTIZ NICOLAS FRANCISCO</t>
  </si>
  <si>
    <t>JELDRES REYES EDUARD DANILO</t>
  </si>
  <si>
    <t>MUÑOZ BRAVO MARCELO ALEXIS</t>
  </si>
  <si>
    <t>ARIAS MONROY JAIME</t>
  </si>
  <si>
    <t>FERNANDEZ CASTILLO LEONARDO ENRIQUE</t>
  </si>
  <si>
    <t>SEGURA TORRES MIGUEL ARIEL</t>
  </si>
  <si>
    <t>SANTIBAÑEZ FLORES JOSE ANDRES</t>
  </si>
  <si>
    <t>MANSILLA BUSTOS PABLO ANDRES</t>
  </si>
  <si>
    <t>MELLA MORALES MARCO ALEXIS</t>
  </si>
  <si>
    <t>RIOS MUÑOZ ARIEL MOISES</t>
  </si>
  <si>
    <t>ARREDONDO MARTINEZ LORENZO ANDRES</t>
  </si>
  <si>
    <t>MANRIQUEZ MURGA CARLOS RAUL</t>
  </si>
  <si>
    <t>PADILLA CANALES MOISES ESTEBAN</t>
  </si>
  <si>
    <t>PORTILLA ARAYA LEONARDO MANUEL</t>
  </si>
  <si>
    <t>PACHECO SOTO PABLO</t>
  </si>
  <si>
    <t>ZUÑIGA MONTECINO JUAN ANDRES</t>
  </si>
  <si>
    <t>FAUNDEZ HENRIQUEZ LUIS ALEJANDRO</t>
  </si>
  <si>
    <t>MANCILLA OPORTO JORGE ALBERTO</t>
  </si>
  <si>
    <t>PRADENA VILLARROEL JOSE EDUARDO</t>
  </si>
  <si>
    <t>ULLOA CARRASCO MATIAS IGNACIO</t>
  </si>
  <si>
    <t>CORONA REYES VICTOR HUGO</t>
  </si>
  <si>
    <t>REYES ROJAS JUAN GABRIEL</t>
  </si>
  <si>
    <t>HENRIQUEZ ROJAS DIEGO ALEJANDRO</t>
  </si>
  <si>
    <t>VIVANCO MUNDACA FRANCISCO</t>
  </si>
  <si>
    <t>TORRES BECERRA GONZALO ENRIQUE</t>
  </si>
  <si>
    <t>CANCINO JARA JAIME FELIPE</t>
  </si>
  <si>
    <t>ZELADA MORALES CRISTOPHER ANDRE</t>
  </si>
  <si>
    <t>ARAVENA ARAYA GEORGE ALEXIS</t>
  </si>
  <si>
    <t>VERGARA BARRERA ROBINSON EDGARDO</t>
  </si>
  <si>
    <t>ROJAS RETAMAL JUAN FERNANDO</t>
  </si>
  <si>
    <t>ALMARZA GONZALEZ JULIO JOHANS</t>
  </si>
  <si>
    <t>RIQUELME FUENTEALBA RICHARD JAVIER</t>
  </si>
  <si>
    <t>PINTO IRARRAZABAL CAROLINA ANDREA</t>
  </si>
  <si>
    <t>RODRIGUEZ GAETE JOSE DIONISIO</t>
  </si>
  <si>
    <t>PTL-12</t>
  </si>
  <si>
    <t>PTL-11</t>
  </si>
  <si>
    <t>SEPULVEDA GUZMAN SERGIO</t>
  </si>
  <si>
    <t>SILVA LOYOLA JOSE ALFONSO</t>
  </si>
  <si>
    <t>PALACIOS LOPEZ WALTER</t>
  </si>
  <si>
    <t>ROMERO LIZAMA LEONARDO AGUSTIN</t>
  </si>
  <si>
    <t>INVENTARIO</t>
  </si>
  <si>
    <t>NAVARRO ELGUETA NELSON JAVIER</t>
  </si>
  <si>
    <t>CASTRO VERDUGO JOSE LUIS</t>
  </si>
  <si>
    <t>ORTEGA DELGADO MARCELO ROLANDO</t>
  </si>
  <si>
    <t>MELLADO MAULEN ALADIN</t>
  </si>
  <si>
    <t>MECANICO</t>
  </si>
  <si>
    <t>ARAYA QUIJADA JACQUELINE DEL CARMEN</t>
  </si>
  <si>
    <t>ARANCIBIA GONZALEZ ALEJANDRO ANDRES</t>
  </si>
  <si>
    <t>CRUCES TAPIA MIGUEL ANGEL</t>
  </si>
  <si>
    <t>VALDIVIA CACERES DANIEL GUILLERMO</t>
  </si>
  <si>
    <t>PINTO ARANCIBIA JUAN LUIS</t>
  </si>
  <si>
    <t>ECONOMATO</t>
  </si>
  <si>
    <t>ALARCON BECERRA VICTOR HUGO</t>
  </si>
  <si>
    <t>GAJARDO NAVARRETE RAFAEL ANTONIO</t>
  </si>
  <si>
    <t>MEZA CERON GONZALO ARIEL</t>
  </si>
  <si>
    <t>ROJAS TAPIA JAIME MAURICIO</t>
  </si>
  <si>
    <t>GARZON</t>
  </si>
  <si>
    <t>SGTO 1RO.</t>
  </si>
  <si>
    <t>SEMEP</t>
  </si>
  <si>
    <t>AGUILERA PLACENCIA MARIA JOSE</t>
  </si>
  <si>
    <t>BEROIZA TRONCOSO NORA LUZ</t>
  </si>
  <si>
    <t>JERIA VALDIVIA JAVIERA FRANCISCA</t>
  </si>
  <si>
    <t>ZAPATA OÑATE ANDREA VALENTINA</t>
  </si>
  <si>
    <t>MUÑOZ BRAVO BARBARA CAROLINA</t>
  </si>
  <si>
    <t>SILVA SILVA CAMILA ALEJANDRA</t>
  </si>
  <si>
    <t>SEGUEL SANDOVAL GUILLERMO SALVADOR</t>
  </si>
  <si>
    <t>VALDEBENITO PETTET SEBASTIAN ALEXIS</t>
  </si>
  <si>
    <t>BURGOS STUARDO VICTOR DAVID</t>
  </si>
  <si>
    <t>GARRIDO POBLETE MIGUEL EDUARDO</t>
  </si>
  <si>
    <t>INOSTROZA MANQUILEF FABIAN ALEXIS</t>
  </si>
  <si>
    <t>ARANCIBIA ARANCIBIA DIEGO ANTONIO</t>
  </si>
  <si>
    <t>CABRERA GARRIDO FABIAN JESUS</t>
  </si>
  <si>
    <t>CARRASCO ISLA DIEGO FELIPE</t>
  </si>
  <si>
    <t>ESTRADA OCHOA MANUEL IGNACIO</t>
  </si>
  <si>
    <t>NAVARRO NAVARRO CLAUDIO ALEJANDRO</t>
  </si>
  <si>
    <t>VARGAS ROJAS VICENTE IGNACIO</t>
  </si>
  <si>
    <t>ZAPATA PEREZ CRISTOPHER ANTONIO</t>
  </si>
  <si>
    <t>GREZ BRAVO JUAN JESUS</t>
  </si>
  <si>
    <t>SEPULVEDA RIFFO LUIS LEONARDO SEBASTIAN</t>
  </si>
  <si>
    <t>HUENUPI REBOLLEDO JUAN MOISES</t>
  </si>
  <si>
    <t>CURANAHUEL LEINLAF RUTH LUCIA</t>
  </si>
  <si>
    <t>PTL-14</t>
  </si>
  <si>
    <t>CALDERON CALDERON FRANCISCO</t>
  </si>
  <si>
    <t>ESCOBAR PEREZ MATIAS</t>
  </si>
  <si>
    <t>VENEGAS FERNANDEZ FERNANDO</t>
  </si>
  <si>
    <t>LEPIN SOLAR MAXIMILIANO ARTURO</t>
  </si>
  <si>
    <t>SERVICIO</t>
  </si>
  <si>
    <t>TTE. CRL.</t>
  </si>
  <si>
    <t>CORONEL</t>
  </si>
  <si>
    <t>ORELLANA CAUCHUPAN JOSE</t>
  </si>
  <si>
    <t>PALMA LUNA MARCO ANTONIO</t>
  </si>
  <si>
    <t>ASTETE RIQUELME DANIEL ALEJANDRO</t>
  </si>
  <si>
    <t>JELDRES FIGUEROA JULIO LEONARDO</t>
  </si>
  <si>
    <t>MATUS MEDINA LUCAS LEONEL</t>
  </si>
  <si>
    <t>RIVAS ROLDAN FREDDY IGNACIO</t>
  </si>
  <si>
    <t>CABELLO ESPINOZA GENESIS PALOMA</t>
  </si>
  <si>
    <t>BRAVO MORALES SIMON NATANAEL</t>
  </si>
  <si>
    <t>MARINAO VASQUEZ PEDRO ELOGIO</t>
  </si>
  <si>
    <t>MENDEZ URRA CRISTIAN FELIPE</t>
  </si>
  <si>
    <t>CABRERA PONCE ERICK CHRISTOPER ALEXANDER</t>
  </si>
  <si>
    <t>SANDOVAL VERA HUGO TOMAS</t>
  </si>
  <si>
    <t>SEPULVEDA GRANDON IGNACIO ANDRES</t>
  </si>
  <si>
    <t>VASQUEZ ESPINOZA CAMILO ANDRES</t>
  </si>
  <si>
    <t>RUIZ VIDAL IAN CARLOS FERNANDO</t>
  </si>
  <si>
    <t>GARCES MONSALVE DANITZA BELEN</t>
  </si>
  <si>
    <t>GUTIERREZ CARRASCO YAMPIER ALEJANDRO</t>
  </si>
  <si>
    <t>REYES CASTILLO IGNACIO ANDRES</t>
  </si>
  <si>
    <t>HIDALGO REYES BRAULIO ANDRES</t>
  </si>
  <si>
    <t>ORTEGA SANDOVAL FRANCISCO JAVIER</t>
  </si>
  <si>
    <t>VILLENA GAJARDO ADRIAN PATRICIO</t>
  </si>
  <si>
    <t>LOYOLA HERNANDEZ CRISTIAN RODRIGO</t>
  </si>
  <si>
    <t>ORTIZ RIVAS ELIAS ANTONIO</t>
  </si>
  <si>
    <t>TRABOL CARO MATIAS IGNACIO</t>
  </si>
  <si>
    <t>LIZAMA ROMERO GONZALO MICHAEL</t>
  </si>
  <si>
    <t>IRRIBARRA CONCHA RAMON ALFONSO</t>
  </si>
  <si>
    <t>SALINAS RODRIGUEZ JULLIAN REINALDO</t>
  </si>
  <si>
    <t>GUAJARDO TORRES BASTIAN ANDRES</t>
  </si>
  <si>
    <t>PONCE CASTRO RAUL HUMBERTO</t>
  </si>
  <si>
    <t>ROJAS SERON JORGE OSVALDO</t>
  </si>
  <si>
    <t>MELLA GUTIERREZ SEBASTIAN ANDRES</t>
  </si>
  <si>
    <t>RIVAS ROJAS FERNANDA DANIELA</t>
  </si>
  <si>
    <t>PEÑA PEÑA RICARDO IGNACIO</t>
  </si>
  <si>
    <t>MORALES ROMERO ELIAS PATRICIO</t>
  </si>
  <si>
    <t>JARA RAMIREZ BRAYAN ROLANDO</t>
  </si>
  <si>
    <t>VIDAL MONTENEGRO JUAN ERNESTO</t>
  </si>
  <si>
    <t>DIAZ GARCIA RODRIGO ALEJANDRO</t>
  </si>
  <si>
    <t>GAJARDO MONDACA LEANDRO ANDRES</t>
  </si>
  <si>
    <t>CORREA FUENTES JAVIERA FERNANDA</t>
  </si>
  <si>
    <t>MELLA MELLA CATALINA ANDREA</t>
  </si>
  <si>
    <t>CACERES PAEZ JAVIER IGNACIO</t>
  </si>
  <si>
    <t>CASTAGNOLI VILLALOBOS NICOLAS ANDRES</t>
  </si>
  <si>
    <t>GONZALEZ HUIRCAN VICTOR</t>
  </si>
  <si>
    <t>CERPA OLIVO CARLOS ARIEL</t>
  </si>
  <si>
    <t>BRAVO ADASME FRANCO ELIAS</t>
  </si>
  <si>
    <t>GALMES MUÑOZ MATIAS CRISTOFER</t>
  </si>
  <si>
    <t>MANSILLA ARAVENA LUIS OMAR</t>
  </si>
  <si>
    <t>MATUS DE LA PARRA BECERRA FELIPE ENDRES</t>
  </si>
  <si>
    <t>MUÑOZ ROJAS PEDRO BRAYAN ANDRES</t>
  </si>
  <si>
    <t>PAREDES HERRERA ROBERTO ARIEL</t>
  </si>
  <si>
    <t>REBOLLEDO TRUJILLO RAUL IGNACIO</t>
  </si>
  <si>
    <t>VILLAGRA RIVAS BENJAMIN ESTEBAN</t>
  </si>
  <si>
    <t>ZAMBRANO GUZMAN DANIELA BELEN</t>
  </si>
  <si>
    <t>PEÑA LAGOS RAMON OSVALDO</t>
  </si>
  <si>
    <t>PAILLAQUEO JARA LUIS ALEJANDRO</t>
  </si>
  <si>
    <t>SANHUEZA MARIN VALENTINA ANTONIA</t>
  </si>
  <si>
    <t>GATICA NAVARRETE ROBERTO FELIPE</t>
  </si>
  <si>
    <t>BURGOS TAMAYO YARIXA FERNANDA</t>
  </si>
  <si>
    <t>BARRA DEL VALLE SEBASTIAN IGNACIO</t>
  </si>
  <si>
    <t>MUÑOZ FONSECA JAVIERA DENISSE</t>
  </si>
  <si>
    <t>CONCHA SOTO JOSE RAUL</t>
  </si>
  <si>
    <t>GUTIERREZ YAUPE GASTON GONZALO</t>
  </si>
  <si>
    <t>CARRASCO CACERES BRYAN HUGO</t>
  </si>
  <si>
    <t>ARAVENA SALAZAR FRANCISCO JAVIER</t>
  </si>
  <si>
    <t>MILLAR SOLIS AQUILINO JUAN ANDRES</t>
  </si>
  <si>
    <t>MUÑOZ OVALLE CRISTIAN ANDRES</t>
  </si>
  <si>
    <t>PERALTA LEON JENNIFER CAMILA</t>
  </si>
  <si>
    <t>VARGAS SALDIVIA SIGISFREDO DAVID</t>
  </si>
  <si>
    <t>HENRIQUEZ CISTERNA TOMAS ALBERTO</t>
  </si>
  <si>
    <t>ZAMBRANO NOVOA KEVIN ANDRES</t>
  </si>
  <si>
    <t>NOVOA GRANDON RUBEN ARLY</t>
  </si>
  <si>
    <t>ORELLANA YEVENES PABLO SEBASTIAN</t>
  </si>
  <si>
    <t>PATRULLA DE RESCATE</t>
  </si>
  <si>
    <t>PTL-13</t>
  </si>
  <si>
    <t>PTL-15</t>
  </si>
  <si>
    <t>PTL-16</t>
  </si>
  <si>
    <t>PTL-17</t>
  </si>
  <si>
    <t>PTL-18</t>
  </si>
  <si>
    <t>GRIFO 16</t>
  </si>
  <si>
    <t>AQUEVEQUE SAN MARTIN JAVIER ENRIQUE</t>
  </si>
  <si>
    <t>LEON VERGARA EVELYN MACARENA</t>
  </si>
  <si>
    <t>ZONA ESTE</t>
  </si>
  <si>
    <t>ARMERO ARTIFICIERO</t>
  </si>
  <si>
    <t>GATICA VIDAL WILLIAMS BERNADO</t>
  </si>
  <si>
    <t>PINO SALAS DIEGO REINERIO</t>
  </si>
  <si>
    <t>REGIMEN INTERNO</t>
  </si>
  <si>
    <t>FLORES VALDES PATRICIO ANDRES</t>
  </si>
  <si>
    <t>ASISTENTE SOCIAL</t>
  </si>
  <si>
    <t>SGTO 2DO.</t>
  </si>
  <si>
    <t>VALENCIA AGUIRRE MARISOL DEL LUJAN</t>
  </si>
  <si>
    <t>BREVIS GALVARINO VICTOR HUMBERTO</t>
  </si>
  <si>
    <t>MARTINEZ PEREZ ESCARLET JESUS</t>
  </si>
  <si>
    <t>GONZALEZ ALARCON MATIAS IGNACIO</t>
  </si>
  <si>
    <t>LECAROS RIQUELME JORGE ANDRES</t>
  </si>
  <si>
    <t>MARCHANT SALDAÑA PEDRO ALFREDO</t>
  </si>
  <si>
    <t>PERMISO ADMINISTRATIVO</t>
  </si>
  <si>
    <t>NEUMANN VIDAL CRISTIAN ALEJANDRO</t>
  </si>
  <si>
    <t>OF. OPERACIONES</t>
  </si>
  <si>
    <t>VILLEGA NUÑEZ DIEGO ALONSO</t>
  </si>
  <si>
    <t>WELLMANN LOBOS JAVIER IGNACIO</t>
  </si>
  <si>
    <t>RIVERA PEREZ EDUARDO ANDRES</t>
  </si>
  <si>
    <t>SANDOVAL CARO FELIPE ISAAC</t>
  </si>
  <si>
    <t>NAVARRO VELASQUEZ RODOLFO</t>
  </si>
  <si>
    <t>GRIFO 11</t>
  </si>
  <si>
    <t>MALTEZ GUZMAN CAROLAINE TAMARA</t>
  </si>
  <si>
    <t>BORQUEZ YAÑEZ JONATHAN ESTEBAN</t>
  </si>
  <si>
    <t>SILVA BARRIA FRANCISCO</t>
  </si>
  <si>
    <t>RAÑILEO SAEZ ROMINA ANGELICA</t>
  </si>
  <si>
    <t>CASTILLO SANTOS GERMAN ANDRES</t>
  </si>
  <si>
    <t>SUBTENIENTE</t>
  </si>
  <si>
    <t>REBOLLEDO CASTRO ALEXANDRA E.</t>
  </si>
  <si>
    <t>CAYUPAN ANTIPIL CESAR ABRAHAM</t>
  </si>
  <si>
    <t>JIMENEZ HENRIQUEZ EDUARDO ANTONIO</t>
  </si>
  <si>
    <t>REYES CORDOVA CARLOS HUMBERTO</t>
  </si>
  <si>
    <t>SERRANO ARRIAGADA MARJORIE ROXANA</t>
  </si>
  <si>
    <t>DIAZ SILVA PATRICIO ANDRES</t>
  </si>
  <si>
    <t>YAÑEZ GAJARDO ROBERTO CARLOS</t>
  </si>
  <si>
    <t>HUILIPAN MOLINA JOSE EMILIO</t>
  </si>
  <si>
    <t>BERRIOS ESPINOZA FRANCISCO BRIAN ENAMUELLE</t>
  </si>
  <si>
    <t>VILA VALDIVIA PAULINA VALERA</t>
  </si>
  <si>
    <t>GRIFO 12</t>
  </si>
  <si>
    <t>GRIFO 15</t>
  </si>
  <si>
    <t>MALDONADO LIZANA EXEQUIEL ALEJANDRO</t>
  </si>
  <si>
    <t>VERGARA TAPIA FABIAN FERNANDO</t>
  </si>
  <si>
    <t>LUNA CASTILLO NICOLAS ERNESTO</t>
  </si>
  <si>
    <t>BECERRA ROA NICOLAS ELIAS</t>
  </si>
  <si>
    <t>ESPINOZA TOLOZA JOSE VLADIMIR</t>
  </si>
  <si>
    <t>MUÑOZ CARRASCO JOSE LUIS</t>
  </si>
  <si>
    <t>ORELLANA ROCHA ROSA ALEJANDRA</t>
  </si>
  <si>
    <t>OSSANDON OSSANDON MANUEL FELIPE</t>
  </si>
  <si>
    <t>GRIFO 13</t>
  </si>
  <si>
    <t>GRIFO 14</t>
  </si>
  <si>
    <t>FONSECA VASQUEZ DARWIN MAURICIO</t>
  </si>
  <si>
    <t>GARRIDO BARRIA JAVIERA ALEJANDRA</t>
  </si>
  <si>
    <t>CASTAÑEDA JARA MATIAS</t>
  </si>
  <si>
    <t>SALINAS CONCHA CARLOS ANTONIO</t>
  </si>
  <si>
    <t>FERNANDEZ MONTES JOSE DEL CARMEN</t>
  </si>
  <si>
    <t>MORALES LEVIO MARCO ANTONIO</t>
  </si>
  <si>
    <t>LIBERADO DEL SERVICIO</t>
  </si>
  <si>
    <t>FRIZ RODRIGUEZ CRISTOFFER</t>
  </si>
  <si>
    <t>POBLETE GONZALEZ PATRICIO ALFONSO</t>
  </si>
  <si>
    <t>ALVARADO REBOLLEDO MATIAS</t>
  </si>
  <si>
    <t>PAVEZ BERMUDEZ MARIA JOSE</t>
  </si>
  <si>
    <t>BECERRA MENDEZ JORGUE IGNACIO</t>
  </si>
  <si>
    <t>VALLADARES CASTILLO JUAN OSVALDO</t>
  </si>
  <si>
    <t>ESTRADA PARRA DIEGO</t>
  </si>
  <si>
    <t>SOTO BUSTAMANTE JONATHAN ALEXIS</t>
  </si>
  <si>
    <t>FUENTES DIAZ FERNANDO ANTONIO</t>
  </si>
  <si>
    <t>970599B</t>
  </si>
  <si>
    <t>975838T</t>
  </si>
  <si>
    <t>960715C</t>
  </si>
  <si>
    <t>958638R</t>
  </si>
  <si>
    <t>019102X</t>
  </si>
  <si>
    <t>20070486K</t>
  </si>
  <si>
    <t>960322A</t>
  </si>
  <si>
    <t>989294Z</t>
  </si>
  <si>
    <t>973128Z</t>
  </si>
  <si>
    <t>995292M</t>
  </si>
  <si>
    <t>941167Y</t>
  </si>
  <si>
    <t>964940A</t>
  </si>
  <si>
    <t>008761Q</t>
  </si>
  <si>
    <t>018539T</t>
  </si>
  <si>
    <t>20726637K</t>
  </si>
  <si>
    <t>962959F</t>
  </si>
  <si>
    <t>018463X</t>
  </si>
  <si>
    <t>019156U</t>
  </si>
  <si>
    <t>018902Y</t>
  </si>
  <si>
    <t>956028X</t>
  </si>
  <si>
    <t>982581A</t>
  </si>
  <si>
    <t>017068V</t>
  </si>
  <si>
    <t>018439X</t>
  </si>
  <si>
    <t>018506T</t>
  </si>
  <si>
    <t>972338A</t>
  </si>
  <si>
    <t>000438H</t>
  </si>
  <si>
    <t>958353K</t>
  </si>
  <si>
    <t>985237K</t>
  </si>
  <si>
    <t>950908M</t>
  </si>
  <si>
    <t>992840T</t>
  </si>
  <si>
    <t>956579C</t>
  </si>
  <si>
    <t>017277T</t>
  </si>
  <si>
    <t>978645L</t>
  </si>
  <si>
    <t>020323Y</t>
  </si>
  <si>
    <t>949701Q</t>
  </si>
  <si>
    <t>000657L</t>
  </si>
  <si>
    <t>943321U</t>
  </si>
  <si>
    <t>985952Q</t>
  </si>
  <si>
    <t>983595H</t>
  </si>
  <si>
    <t>008982X</t>
  </si>
  <si>
    <t>941852X</t>
  </si>
  <si>
    <t>995457J</t>
  </si>
  <si>
    <t>950582W</t>
  </si>
  <si>
    <t>968705P</t>
  </si>
  <si>
    <t>985867K</t>
  </si>
  <si>
    <t>977219G</t>
  </si>
  <si>
    <t>994359E</t>
  </si>
  <si>
    <t>16840333K</t>
  </si>
  <si>
    <t>957853Y</t>
  </si>
  <si>
    <t>995120L</t>
  </si>
  <si>
    <t>002923M</t>
  </si>
  <si>
    <t>19066922K</t>
  </si>
  <si>
    <t>978968Q</t>
  </si>
  <si>
    <t>16694662K</t>
  </si>
  <si>
    <t>957591J</t>
  </si>
  <si>
    <t>956824J</t>
  </si>
  <si>
    <t>020204A</t>
  </si>
  <si>
    <t>018513R</t>
  </si>
  <si>
    <t>945120Z</t>
  </si>
  <si>
    <t>017042K</t>
  </si>
  <si>
    <t>008094Y</t>
  </si>
  <si>
    <t>988376H</t>
  </si>
  <si>
    <t>018888S</t>
  </si>
  <si>
    <t>998478A</t>
  </si>
  <si>
    <t>972146S</t>
  </si>
  <si>
    <t>982253Y</t>
  </si>
  <si>
    <t>017602S</t>
  </si>
  <si>
    <t>018939U</t>
  </si>
  <si>
    <t>017628T</t>
  </si>
  <si>
    <t>019106T</t>
  </si>
  <si>
    <t>959460L</t>
  </si>
  <si>
    <t>018914K</t>
  </si>
  <si>
    <t>971602B</t>
  </si>
  <si>
    <t>989111R</t>
  </si>
  <si>
    <t>017159V</t>
  </si>
  <si>
    <t>017085F</t>
  </si>
  <si>
    <t>020084M</t>
  </si>
  <si>
    <t>016969Y</t>
  </si>
  <si>
    <t>979363J</t>
  </si>
  <si>
    <t>019193J</t>
  </si>
  <si>
    <t>968406C</t>
  </si>
  <si>
    <t>962326U</t>
  </si>
  <si>
    <t>967619F</t>
  </si>
  <si>
    <t>020107Z</t>
  </si>
  <si>
    <t>008807G</t>
  </si>
  <si>
    <t>951883R</t>
  </si>
  <si>
    <t>008978J</t>
  </si>
  <si>
    <t>985779A</t>
  </si>
  <si>
    <t>019037Q</t>
  </si>
  <si>
    <t>960026V</t>
  </si>
  <si>
    <t>967207B</t>
  </si>
  <si>
    <t>992670G</t>
  </si>
  <si>
    <t>972199Y</t>
  </si>
  <si>
    <t>020214T</t>
  </si>
  <si>
    <t>981873M</t>
  </si>
  <si>
    <t>010584M</t>
  </si>
  <si>
    <t>009068N</t>
  </si>
  <si>
    <t>018633Z</t>
  </si>
  <si>
    <t>017339Z</t>
  </si>
  <si>
    <t>016937G</t>
  </si>
  <si>
    <t>19287193K</t>
  </si>
  <si>
    <t>018518W</t>
  </si>
  <si>
    <t>018605E</t>
  </si>
  <si>
    <t>956829X</t>
  </si>
  <si>
    <t>963694X</t>
  </si>
  <si>
    <t>977888Y</t>
  </si>
  <si>
    <t>17582538K</t>
  </si>
  <si>
    <t>020068C</t>
  </si>
  <si>
    <t>017071Q</t>
  </si>
  <si>
    <t>018962T</t>
  </si>
  <si>
    <t>017292K</t>
  </si>
  <si>
    <t>020128V</t>
  </si>
  <si>
    <t>952593P</t>
  </si>
  <si>
    <t>959446A</t>
  </si>
  <si>
    <t>984968X</t>
  </si>
  <si>
    <t>016897H</t>
  </si>
  <si>
    <t>19821907K</t>
  </si>
  <si>
    <t>018936R</t>
  </si>
  <si>
    <t>971766E</t>
  </si>
  <si>
    <t>977632W</t>
  </si>
  <si>
    <t>019126N</t>
  </si>
  <si>
    <t>019222W</t>
  </si>
  <si>
    <t>019209J</t>
  </si>
  <si>
    <t>951119S</t>
  </si>
  <si>
    <t>010658N</t>
  </si>
  <si>
    <t>018119W</t>
  </si>
  <si>
    <t>016788T</t>
  </si>
  <si>
    <t>016755Z</t>
  </si>
  <si>
    <t>018725V</t>
  </si>
  <si>
    <t>20373185K</t>
  </si>
  <si>
    <t>968432V</t>
  </si>
  <si>
    <t>993038P</t>
  </si>
  <si>
    <t>17984754K</t>
  </si>
  <si>
    <t>957952T</t>
  </si>
  <si>
    <t>976698G</t>
  </si>
  <si>
    <t>961200J</t>
  </si>
  <si>
    <t>000911T</t>
  </si>
  <si>
    <t>012609C</t>
  </si>
  <si>
    <t>020162X</t>
  </si>
  <si>
    <t>014124F</t>
  </si>
  <si>
    <t>018451T</t>
  </si>
  <si>
    <t>020312V</t>
  </si>
  <si>
    <t>013836G</t>
  </si>
  <si>
    <t>019071S</t>
  </si>
  <si>
    <t>985801J</t>
  </si>
  <si>
    <t>17694482K</t>
  </si>
  <si>
    <t>957482M</t>
  </si>
  <si>
    <t>984833G</t>
  </si>
  <si>
    <t>018528Y</t>
  </si>
  <si>
    <t>018891M</t>
  </si>
  <si>
    <t>018345G</t>
  </si>
  <si>
    <t>017209G</t>
  </si>
  <si>
    <t>956618B</t>
  </si>
  <si>
    <t>959075H</t>
  </si>
  <si>
    <t>004603F</t>
  </si>
  <si>
    <t>018764C</t>
  </si>
  <si>
    <t>983378E</t>
  </si>
  <si>
    <t>16433810K</t>
  </si>
  <si>
    <t>963647F</t>
  </si>
  <si>
    <t>967445Z</t>
  </si>
  <si>
    <t>980908C</t>
  </si>
  <si>
    <t>985898K</t>
  </si>
  <si>
    <t>984899K</t>
  </si>
  <si>
    <t>014035H</t>
  </si>
  <si>
    <t>018768Q</t>
  </si>
  <si>
    <t>959506F</t>
  </si>
  <si>
    <t>013447J</t>
  </si>
  <si>
    <t>010408D</t>
  </si>
  <si>
    <t>006967V</t>
  </si>
  <si>
    <t>18110998K</t>
  </si>
  <si>
    <t>018293V</t>
  </si>
  <si>
    <t>971942X</t>
  </si>
  <si>
    <t>15591386K</t>
  </si>
  <si>
    <t>952669J</t>
  </si>
  <si>
    <t>966137K</t>
  </si>
  <si>
    <t>978891U</t>
  </si>
  <si>
    <t>17147082K</t>
  </si>
  <si>
    <t>973059F</t>
  </si>
  <si>
    <t>978541C</t>
  </si>
  <si>
    <t>963035M</t>
  </si>
  <si>
    <t>14024810K</t>
  </si>
  <si>
    <t>973195M</t>
  </si>
  <si>
    <t>980487N</t>
  </si>
  <si>
    <t>018774E</t>
  </si>
  <si>
    <t>016807P</t>
  </si>
  <si>
    <t>020097J</t>
  </si>
  <si>
    <t>018421M</t>
  </si>
  <si>
    <t>018446W</t>
  </si>
  <si>
    <t>967703C</t>
  </si>
  <si>
    <t>15194566K</t>
  </si>
  <si>
    <t>949710L</t>
  </si>
  <si>
    <t>966382Z</t>
  </si>
  <si>
    <t>010706F</t>
  </si>
  <si>
    <t>18677928-2</t>
  </si>
  <si>
    <t>020219G</t>
  </si>
  <si>
    <t>009011V</t>
  </si>
  <si>
    <t>019144Y</t>
  </si>
  <si>
    <t>018919Y</t>
  </si>
  <si>
    <t>020115Q</t>
  </si>
  <si>
    <t>018499U</t>
  </si>
  <si>
    <t>018938T</t>
  </si>
  <si>
    <t>018680D</t>
  </si>
  <si>
    <t>018435K</t>
  </si>
  <si>
    <t>950820G</t>
  </si>
  <si>
    <t>965957Y</t>
  </si>
  <si>
    <t>976647C</t>
  </si>
  <si>
    <t>013592C</t>
  </si>
  <si>
    <t>018748L</t>
  </si>
  <si>
    <t>020059B</t>
  </si>
  <si>
    <t>019101W</t>
  </si>
  <si>
    <t>978764K</t>
  </si>
  <si>
    <t>977287V</t>
  </si>
  <si>
    <t>979319N</t>
  </si>
  <si>
    <t>978864G</t>
  </si>
  <si>
    <t>983273V</t>
  </si>
  <si>
    <t>983847M</t>
  </si>
  <si>
    <t>013344S</t>
  </si>
  <si>
    <t>010504V</t>
  </si>
  <si>
    <t>013860U</t>
  </si>
  <si>
    <t>013446R</t>
  </si>
  <si>
    <t>968771Q</t>
  </si>
  <si>
    <t>993371Z</t>
  </si>
  <si>
    <t>942165X</t>
  </si>
  <si>
    <t>019153Z</t>
  </si>
  <si>
    <t>987544R</t>
  </si>
  <si>
    <t>20255296K</t>
  </si>
  <si>
    <t>967302A</t>
  </si>
  <si>
    <t>008920C</t>
  </si>
  <si>
    <t>004675E</t>
  </si>
  <si>
    <t>956551Y</t>
  </si>
  <si>
    <t>961404T</t>
  </si>
  <si>
    <t>961134K</t>
  </si>
  <si>
    <t>017269B</t>
  </si>
  <si>
    <t>961360R</t>
  </si>
  <si>
    <t>007056Y</t>
  </si>
  <si>
    <t>011596E</t>
  </si>
  <si>
    <t>961366B</t>
  </si>
  <si>
    <t>963122R</t>
  </si>
  <si>
    <t>017088J</t>
  </si>
  <si>
    <t>945443Z</t>
  </si>
  <si>
    <t>960302P</t>
  </si>
  <si>
    <t>971759P</t>
  </si>
  <si>
    <t>969855E</t>
  </si>
  <si>
    <t>15251123K</t>
  </si>
  <si>
    <t>001132K</t>
  </si>
  <si>
    <t>016906J</t>
  </si>
  <si>
    <t>985714R</t>
  </si>
  <si>
    <t>962072Z</t>
  </si>
  <si>
    <t>958736B</t>
  </si>
  <si>
    <t>951708R</t>
  </si>
  <si>
    <t>977216V</t>
  </si>
  <si>
    <t>963127N</t>
  </si>
  <si>
    <t>960899E</t>
  </si>
  <si>
    <t>962195J</t>
  </si>
  <si>
    <t>950654M</t>
  </si>
  <si>
    <t>956333V</t>
  </si>
  <si>
    <t>974813R</t>
  </si>
  <si>
    <t>963777H</t>
  </si>
  <si>
    <t>974687T</t>
  </si>
  <si>
    <t>983585F</t>
  </si>
  <si>
    <t>992586H</t>
  </si>
  <si>
    <t>971487Q</t>
  </si>
  <si>
    <t>965207H</t>
  </si>
  <si>
    <t>966501Z</t>
  </si>
  <si>
    <t>13342489K</t>
  </si>
  <si>
    <t>955151W</t>
  </si>
  <si>
    <t>018478E</t>
  </si>
  <si>
    <t>018517M</t>
  </si>
  <si>
    <t>018545Z</t>
  </si>
  <si>
    <t>017142L</t>
  </si>
  <si>
    <t>013920Q</t>
  </si>
  <si>
    <t>019098W</t>
  </si>
  <si>
    <t>955704H</t>
  </si>
  <si>
    <t>989408C</t>
  </si>
  <si>
    <t>947733V</t>
  </si>
  <si>
    <t>997461Q</t>
  </si>
  <si>
    <t>978889A</t>
  </si>
  <si>
    <t>980164Z</t>
  </si>
  <si>
    <t>980750Q</t>
  </si>
  <si>
    <t>018454W</t>
  </si>
  <si>
    <t>952330A</t>
  </si>
  <si>
    <t>968496W</t>
  </si>
  <si>
    <t>009095S</t>
  </si>
  <si>
    <t>19769176K</t>
  </si>
  <si>
    <t>949670U</t>
  </si>
  <si>
    <t>982131E</t>
  </si>
  <si>
    <t>965865U</t>
  </si>
  <si>
    <t>15165360K</t>
  </si>
  <si>
    <t>967003S</t>
  </si>
  <si>
    <t>957833L</t>
  </si>
  <si>
    <t>12980016K</t>
  </si>
  <si>
    <t>950383E</t>
  </si>
  <si>
    <t>944236Y</t>
  </si>
  <si>
    <t>950464F</t>
  </si>
  <si>
    <t>954945Z</t>
  </si>
  <si>
    <t>018760L</t>
  </si>
  <si>
    <t>977040C</t>
  </si>
  <si>
    <t>947587L</t>
  </si>
  <si>
    <t>952500E</t>
  </si>
  <si>
    <t>020123Q</t>
  </si>
  <si>
    <t>963058C</t>
  </si>
  <si>
    <t>947606F</t>
  </si>
  <si>
    <t>968289N</t>
  </si>
  <si>
    <t>998492R</t>
  </si>
  <si>
    <t>952498Y</t>
  </si>
  <si>
    <t>955103X</t>
  </si>
  <si>
    <t>989000A</t>
  </si>
  <si>
    <t>966595P</t>
  </si>
  <si>
    <t>017222L</t>
  </si>
  <si>
    <t>017057J</t>
  </si>
  <si>
    <t>963289H</t>
  </si>
  <si>
    <t>004398H</t>
  </si>
  <si>
    <t>983440Z</t>
  </si>
  <si>
    <t>988983K</t>
  </si>
  <si>
    <t>992014E</t>
  </si>
  <si>
    <t>17845594K</t>
  </si>
  <si>
    <t>018542W</t>
  </si>
  <si>
    <t>020135L</t>
  </si>
  <si>
    <t>017217P</t>
  </si>
  <si>
    <t>992175L</t>
  </si>
  <si>
    <t>989017N</t>
  </si>
  <si>
    <t>013890K</t>
  </si>
  <si>
    <t>989446Z</t>
  </si>
  <si>
    <t>017106R</t>
  </si>
  <si>
    <t>984786R</t>
  </si>
  <si>
    <t>019868E</t>
  </si>
  <si>
    <t>985312N</t>
  </si>
  <si>
    <t>017343V</t>
  </si>
  <si>
    <t>964356C</t>
  </si>
  <si>
    <t>008729Q</t>
  </si>
  <si>
    <t>025347Z</t>
  </si>
  <si>
    <t>936989L</t>
  </si>
  <si>
    <t>992945Q</t>
  </si>
  <si>
    <t>FUENTES BRAVO MARIA ALEJANDRA</t>
  </si>
  <si>
    <t>TORRES BISSO PAULA ALEJANDRA</t>
  </si>
  <si>
    <t>001831Q</t>
  </si>
  <si>
    <t>AGUILAR GONZALEZ ASTRID PAULINA</t>
  </si>
  <si>
    <t>970752K</t>
  </si>
  <si>
    <t>RAMIREZ GAJARDO ELIZABETH DEL CARMEN</t>
  </si>
  <si>
    <t>030635T</t>
  </si>
  <si>
    <t>FERNANDEZ LA REGLA DANIEL ELIAS</t>
  </si>
  <si>
    <t>991801Q</t>
  </si>
  <si>
    <t>ZAMORA CLIFT JAVIER IGNACIO</t>
  </si>
  <si>
    <t>003977U</t>
  </si>
  <si>
    <t>962689H</t>
  </si>
  <si>
    <t>12513808K</t>
  </si>
  <si>
    <t>971050G</t>
  </si>
  <si>
    <t>973958H</t>
  </si>
  <si>
    <t>114990R</t>
  </si>
  <si>
    <t>964074V</t>
  </si>
  <si>
    <t>001065T</t>
  </si>
  <si>
    <t>FERNANDEZ VOELCKER PATRICIO ORLANDO</t>
  </si>
  <si>
    <t>971170D</t>
  </si>
  <si>
    <t xml:space="preserve">030638E </t>
  </si>
  <si>
    <t>GONZALEZ ROMERO ADOLFO ENRIQUE</t>
  </si>
  <si>
    <t>966876Y</t>
  </si>
  <si>
    <t>IBANEZ ZUNIGA JORGE ANDRES</t>
  </si>
  <si>
    <t>971062Y</t>
  </si>
  <si>
    <t>15408200K</t>
  </si>
  <si>
    <t>964460H</t>
  </si>
  <si>
    <t>030636U</t>
  </si>
  <si>
    <t>966891Q</t>
  </si>
  <si>
    <t>13079825K</t>
  </si>
  <si>
    <t>PEREZ SALAZAR RAMON RODRIGO</t>
  </si>
  <si>
    <t>974247H</t>
  </si>
  <si>
    <t xml:space="preserve">030637V </t>
  </si>
  <si>
    <t>QUEZADA SILVA BARBARA ARLINE</t>
  </si>
  <si>
    <t>964439Y</t>
  </si>
  <si>
    <t>997876Q</t>
  </si>
  <si>
    <t>965572W</t>
  </si>
  <si>
    <t>ARCHIVERO</t>
  </si>
  <si>
    <t>OLAVE SEPULVEDA FERNANDO ALEXANDER</t>
  </si>
  <si>
    <t>974868G</t>
  </si>
  <si>
    <t>964858C</t>
  </si>
  <si>
    <t>971446W</t>
  </si>
  <si>
    <t>978983Y</t>
  </si>
  <si>
    <t>980780F</t>
  </si>
  <si>
    <t>PEÑA TRONCOSO MANUEL ALEJANDRO</t>
  </si>
  <si>
    <t>983584E</t>
  </si>
  <si>
    <t>17726945K</t>
  </si>
  <si>
    <t>986218Z</t>
  </si>
  <si>
    <t>URRUTIA MONTOYA JUAN PABLO</t>
  </si>
  <si>
    <t>979576G</t>
  </si>
  <si>
    <t>ESPINOZA REYES VICTOR HUGO</t>
  </si>
  <si>
    <t>994357U</t>
  </si>
  <si>
    <t>BARRIGA PAVEZ ROBERT MOISES</t>
  </si>
  <si>
    <t>974667E</t>
  </si>
  <si>
    <t>16146449K</t>
  </si>
  <si>
    <t>QUIDEQUEO BERRIOS JORGE ARIEL</t>
  </si>
  <si>
    <t>971379J</t>
  </si>
  <si>
    <t>008544F</t>
  </si>
  <si>
    <t>AYALA PEÑAILILLO ESTEFANIA PATRICIA</t>
  </si>
  <si>
    <t>016935E</t>
  </si>
  <si>
    <t>967276F</t>
  </si>
  <si>
    <t xml:space="preserve"> </t>
  </si>
  <si>
    <t>007109B</t>
  </si>
  <si>
    <t>995565N</t>
  </si>
  <si>
    <t>16526195K</t>
  </si>
  <si>
    <t>GRIFO 17</t>
  </si>
  <si>
    <t>GRIFO 18</t>
  </si>
  <si>
    <t>GRIFO 19</t>
  </si>
  <si>
    <t>GRIFO 20</t>
  </si>
  <si>
    <t>974640P</t>
  </si>
  <si>
    <t>CAPITÁN</t>
  </si>
  <si>
    <t>979733D</t>
  </si>
  <si>
    <t>982423B</t>
  </si>
  <si>
    <t>008552F</t>
  </si>
  <si>
    <t>016830R</t>
  </si>
  <si>
    <t>013957R</t>
  </si>
  <si>
    <t>018558E</t>
  </si>
  <si>
    <t>PATRULLA AMUNICIONADORA</t>
  </si>
  <si>
    <t>PTL-21</t>
  </si>
  <si>
    <t>014047M</t>
  </si>
  <si>
    <t>MATUS MEDINA MARIO EVANS</t>
  </si>
  <si>
    <t>960315B</t>
  </si>
  <si>
    <t>VIDAL BURGOS GEOVANNY ELIZANDRO</t>
  </si>
  <si>
    <t>DOTACIÓN</t>
  </si>
  <si>
    <t>OF. RESERVADOS</t>
  </si>
  <si>
    <t>TORRES AGUILAR PEDRO IGNACIO</t>
  </si>
  <si>
    <t>ANDERS CONTRERAS LEONARDO IGNACIO</t>
  </si>
  <si>
    <t>972998Z</t>
  </si>
  <si>
    <t>016776W</t>
  </si>
  <si>
    <t>018365C</t>
  </si>
  <si>
    <t>011317M</t>
  </si>
  <si>
    <t>APELLIDOS Y NOMBRES</t>
  </si>
  <si>
    <t>G2-E</t>
  </si>
  <si>
    <t>G3-E</t>
  </si>
  <si>
    <t>G4-E</t>
  </si>
  <si>
    <t>A/J</t>
  </si>
  <si>
    <t>C40-B</t>
  </si>
  <si>
    <t>C40-C</t>
  </si>
  <si>
    <t>S-42</t>
  </si>
  <si>
    <t>S-37</t>
  </si>
  <si>
    <t>S-34</t>
  </si>
  <si>
    <t>S-47</t>
  </si>
  <si>
    <t>S-38</t>
  </si>
  <si>
    <t>INTERNO 2</t>
  </si>
  <si>
    <t>INTERNO 3</t>
  </si>
  <si>
    <t>INTERNO 4</t>
  </si>
  <si>
    <t>INTERNO 1</t>
  </si>
  <si>
    <t>JO-40</t>
  </si>
  <si>
    <t>C40-A</t>
  </si>
  <si>
    <t>S-41</t>
  </si>
  <si>
    <t>S-36</t>
  </si>
  <si>
    <t>S-32</t>
  </si>
  <si>
    <t>S-30</t>
  </si>
  <si>
    <t>S-40</t>
  </si>
  <si>
    <t>S-43</t>
  </si>
  <si>
    <t>S-46</t>
  </si>
  <si>
    <t>APOYO REGIMEN INTERNO</t>
  </si>
  <si>
    <t>PTR-G-11</t>
  </si>
  <si>
    <t>PTR-G-12</t>
  </si>
  <si>
    <t>PTR-G-13</t>
  </si>
  <si>
    <t>PTR-G-14</t>
  </si>
  <si>
    <t>PTR-G-15</t>
  </si>
  <si>
    <t>PTR-G-16</t>
  </si>
  <si>
    <t>JEFE/S-42</t>
  </si>
  <si>
    <t>S-31</t>
  </si>
  <si>
    <t>PTR-G-18</t>
  </si>
  <si>
    <t>JEFE/S-31</t>
  </si>
  <si>
    <t>PTR-G-17</t>
  </si>
  <si>
    <t>S-48</t>
  </si>
  <si>
    <t>S-45</t>
  </si>
  <si>
    <t>JEFE/S-45</t>
  </si>
  <si>
    <t>JEFE/S-41</t>
  </si>
  <si>
    <t>JEFE/S-34</t>
  </si>
  <si>
    <t>PTR-G-20</t>
  </si>
  <si>
    <t>PTR-G-19</t>
  </si>
  <si>
    <t>JEFE/S-30</t>
  </si>
  <si>
    <t>JEFE/S-32</t>
  </si>
  <si>
    <t>JEFE/S-33</t>
  </si>
  <si>
    <t>S-33</t>
  </si>
  <si>
    <t>JEFE/S-44</t>
  </si>
  <si>
    <t>S-35</t>
  </si>
  <si>
    <t>JEFE/S-35</t>
  </si>
  <si>
    <t>JEFE/S-36</t>
  </si>
  <si>
    <t>JEFE/S-43</t>
  </si>
  <si>
    <t>JEFE/S-37</t>
  </si>
  <si>
    <t>OBSERVACIÓN</t>
  </si>
  <si>
    <t>JEFE/S-38</t>
  </si>
  <si>
    <t>JEFE/S-39</t>
  </si>
  <si>
    <t>S-39</t>
  </si>
  <si>
    <t>JEFE/S-40</t>
  </si>
  <si>
    <t>S-44</t>
  </si>
  <si>
    <t>JEFE/S-46</t>
  </si>
  <si>
    <t>PTL-22</t>
  </si>
  <si>
    <t>JEFE/S-47</t>
  </si>
  <si>
    <t>JEFE/S-48</t>
  </si>
  <si>
    <t>S-49</t>
  </si>
  <si>
    <t>JEFE/S-49</t>
  </si>
  <si>
    <t>JEFE/PTL-11</t>
  </si>
  <si>
    <t>JEFE/PTL-12</t>
  </si>
  <si>
    <t>JEFE/PTL-13</t>
  </si>
  <si>
    <t>JEFE/PTL-14</t>
  </si>
  <si>
    <t>JEFE/PTL-15</t>
  </si>
  <si>
    <t>JEFE/PTL-16</t>
  </si>
  <si>
    <t>JEFE/PTL-18</t>
  </si>
  <si>
    <t>JEFE/PTL-20</t>
  </si>
  <si>
    <t>PTL-20</t>
  </si>
  <si>
    <t>JEFE/PTL-19</t>
  </si>
  <si>
    <t>PTL-19</t>
  </si>
  <si>
    <t>PTI-1</t>
  </si>
  <si>
    <t>PTI-2</t>
  </si>
  <si>
    <t>S-EV</t>
  </si>
  <si>
    <t>PROCESO DE DESPACHO</t>
  </si>
  <si>
    <t>MOVILIZACIÓN</t>
  </si>
  <si>
    <t>COMANDO Y CONTROL</t>
  </si>
  <si>
    <t>CAPACITACIÓN Y REENTRENAMIENTO</t>
  </si>
  <si>
    <t>RUT</t>
  </si>
  <si>
    <t>SEPULVEDA BUSTOS ALVARO SEBASTIAN</t>
  </si>
  <si>
    <t>GENERO</t>
  </si>
  <si>
    <t>SAN MARTIN NEIRA SILVIA DEL CARMEN</t>
  </si>
  <si>
    <t>C40</t>
  </si>
  <si>
    <t>PELUQUERÍA</t>
  </si>
  <si>
    <t>PROF. EDUCACIÓN FÍSICA</t>
  </si>
  <si>
    <t>O.P.U. PREFECTURA</t>
  </si>
  <si>
    <t>OF. REQUERIMIENTOS</t>
  </si>
  <si>
    <t>OF. DE ENLACE FINANCIERO</t>
  </si>
  <si>
    <t>SECCIÓN OPERACIONES PREF.</t>
  </si>
  <si>
    <t>OF. ANÁLISIS TÁCTICO Y ESTADÍSTICAS</t>
  </si>
  <si>
    <t>AYUDANTÍA</t>
  </si>
  <si>
    <t>ESTAFETA PREF.</t>
  </si>
  <si>
    <t>OF. ADMINISTRATIVA</t>
  </si>
  <si>
    <t>LAVANDERÍA</t>
  </si>
  <si>
    <t>GUARDIA CUARTEL 1</t>
  </si>
  <si>
    <t>GUARDIA CUARTEL 2</t>
  </si>
  <si>
    <t>GUARDIA CUARTEL 3</t>
  </si>
  <si>
    <t>OF. COMUNICACIONES Y AUDIOVISUALES</t>
  </si>
  <si>
    <t>LICENCIA MATERNAL PRE NATAL</t>
  </si>
  <si>
    <t>LICENCIA MATERNAL POST NATAL</t>
  </si>
  <si>
    <t>LICENCIA MÉDICA PREVENTIVA PARENTAL</t>
  </si>
  <si>
    <t>PERMISO ESPECIAL DIGCAR</t>
  </si>
  <si>
    <t>PERMISO POR MATRIMONIO</t>
  </si>
  <si>
    <t>PERMISO NACIMIENTO HIJO</t>
  </si>
  <si>
    <t>PERMISO MUERTES DE HIJO O CÓNYUGE</t>
  </si>
  <si>
    <t>PERMISO MUERTE HIJO PERIODO DE GESTACIÓN</t>
  </si>
  <si>
    <t>PERMISO MUERTE MADRE O PADRE</t>
  </si>
  <si>
    <t>PERMISO DESCANSO REPARATORIO PERSONAL DE SALUD</t>
  </si>
  <si>
    <t>LICENCIA ACCIDENTE EN ACTO DE SERVICIO</t>
  </si>
  <si>
    <t>LICENCIA ENFERMEDAD GRAVE HIJO MENOR DE UN AÑO</t>
  </si>
  <si>
    <t>LICENCIA ENFERMEDAD O ACCIDENTE COMÚN</t>
  </si>
  <si>
    <t>LICENCIA ENFERMEDAD PROFESIONAL</t>
  </si>
  <si>
    <t>LICENCIA PATOLOGÍA DEL EMBARAZO</t>
  </si>
  <si>
    <t>LICENCIA PRORROGA MEDICINA PREVENTIVA</t>
  </si>
  <si>
    <t>OF. PSICOLOGÍA 40° COMISARIA COP</t>
  </si>
  <si>
    <t>OF. PSICOLOGÍA PREF.</t>
  </si>
  <si>
    <t>C/F</t>
  </si>
  <si>
    <t>HOMBRE</t>
  </si>
  <si>
    <t>MUJER</t>
  </si>
  <si>
    <t>CPR</t>
  </si>
  <si>
    <t>G1-E</t>
  </si>
  <si>
    <t>GUARDIA CUARTEL 4</t>
  </si>
  <si>
    <t>P.F. ROBERTO DEL RIO 1</t>
  </si>
  <si>
    <t>P.F. ROBERTO DEL RIO 2</t>
  </si>
  <si>
    <t>P.F. ROBERTO DEL RIO 3</t>
  </si>
  <si>
    <t>P.F. ROBERTO DEL RIO 4</t>
  </si>
  <si>
    <t>PRACTICA DE TIRO</t>
  </si>
  <si>
    <t>CONDUCTOR DISPONIBLE</t>
  </si>
  <si>
    <t>GRIFO 21</t>
  </si>
  <si>
    <t>PTR-G-21</t>
  </si>
  <si>
    <t>GRIFO 22</t>
  </si>
  <si>
    <t>PTR-G-22</t>
  </si>
  <si>
    <t>TURNO</t>
  </si>
  <si>
    <t>O/S</t>
  </si>
  <si>
    <t>JUSTICIA</t>
  </si>
  <si>
    <t>A/L</t>
  </si>
  <si>
    <t>GRADOS</t>
  </si>
  <si>
    <t>SEC.</t>
  </si>
  <si>
    <t>ESC.</t>
  </si>
  <si>
    <t>FUNCIONARIO A CARGO</t>
  </si>
  <si>
    <t>HORAS</t>
  </si>
  <si>
    <t>NORM.</t>
  </si>
  <si>
    <t>DOTACIÓN ACTUAL</t>
  </si>
  <si>
    <t>OBSERVACIÓN 2</t>
  </si>
  <si>
    <t>ESCUADRÓN</t>
  </si>
  <si>
    <t>ESC. 11</t>
  </si>
  <si>
    <t>ESC. 12</t>
  </si>
  <si>
    <t>ESC. 13</t>
  </si>
  <si>
    <t>ESC. 14</t>
  </si>
  <si>
    <t>ESC. 15</t>
  </si>
  <si>
    <t>ESC. 16</t>
  </si>
  <si>
    <t>SECCIONES</t>
  </si>
  <si>
    <t>FUERZA EFECTIVA</t>
  </si>
  <si>
    <t>TURNOS</t>
  </si>
  <si>
    <t>1P</t>
  </si>
  <si>
    <t>2P</t>
  </si>
  <si>
    <t>F</t>
  </si>
  <si>
    <t>S-EV-2</t>
  </si>
  <si>
    <t>PTL-EV</t>
  </si>
  <si>
    <t>PTL-EV-2</t>
  </si>
  <si>
    <t>PATRULLAS LANZA AGUA</t>
  </si>
  <si>
    <t>JEFE/S-EV</t>
  </si>
  <si>
    <t>JEFE/S-EV-2</t>
  </si>
  <si>
    <t>JEFE/PTL-17</t>
  </si>
  <si>
    <t>JEFE/PTL-21</t>
  </si>
  <si>
    <t>JEFE/PTL-22</t>
  </si>
  <si>
    <t>JEFE/PTL-EV</t>
  </si>
  <si>
    <t>JEFE/PTL-EV-2</t>
  </si>
  <si>
    <t>ENCUADRE JEFES</t>
  </si>
  <si>
    <t>GIMNASIO</t>
  </si>
  <si>
    <t>ESCALAFÓN</t>
  </si>
  <si>
    <t>REPARTICIÓN</t>
  </si>
  <si>
    <t>PREFECTURA COP</t>
  </si>
  <si>
    <t>40° COMISARIA COP</t>
  </si>
  <si>
    <t>FUERA ZONA</t>
  </si>
  <si>
    <t>DENTRO ZONA</t>
  </si>
  <si>
    <t>ORDEN Y PINTAR</t>
  </si>
  <si>
    <t>FECHA</t>
  </si>
  <si>
    <t>FECHAS</t>
  </si>
  <si>
    <t>FORMULA TURNO</t>
  </si>
  <si>
    <t>FORMULA SERVICIO</t>
  </si>
  <si>
    <t>APRESTO</t>
  </si>
  <si>
    <t>TELETRABAJO</t>
  </si>
  <si>
    <t>ARIETE NOCTURNO</t>
  </si>
  <si>
    <t>CUR.</t>
  </si>
  <si>
    <t>PER.</t>
  </si>
  <si>
    <t>FER.</t>
  </si>
  <si>
    <t>SIGLA</t>
  </si>
  <si>
    <t>F.E.</t>
  </si>
  <si>
    <t>VEH.</t>
  </si>
  <si>
    <t>H. I.</t>
  </si>
  <si>
    <t>H.T.</t>
  </si>
  <si>
    <t>A/C</t>
  </si>
  <si>
    <t>J-1226</t>
  </si>
  <si>
    <t>J-1230</t>
  </si>
  <si>
    <t>J-020</t>
  </si>
  <si>
    <t>S/VEH.</t>
  </si>
  <si>
    <t>MANDO REPARTICIÓN</t>
  </si>
  <si>
    <t>MANDO UNIDAD</t>
  </si>
  <si>
    <t>OFICIALES</t>
  </si>
  <si>
    <t>ENCUADRE PATRULLAS</t>
  </si>
  <si>
    <t>H.I.</t>
  </si>
  <si>
    <t>AA-1</t>
  </si>
  <si>
    <t>AA-2</t>
  </si>
  <si>
    <t>LA-059</t>
  </si>
  <si>
    <t>LA-060</t>
  </si>
  <si>
    <t>LA-061</t>
  </si>
  <si>
    <t>LA-062</t>
  </si>
  <si>
    <t>LA-065</t>
  </si>
  <si>
    <t>LA-066</t>
  </si>
  <si>
    <t>LIC.</t>
  </si>
  <si>
    <t>LICENCIA COVID-19</t>
  </si>
  <si>
    <t>LICENCIA POSIBLE COVID-19</t>
  </si>
  <si>
    <t>ENCUADRE PATRULLAS A GAMA</t>
  </si>
  <si>
    <t>LIC. FER. PER.</t>
  </si>
  <si>
    <t>Etiquetas de fila</t>
  </si>
  <si>
    <t>Total general</t>
  </si>
  <si>
    <t>CER. PISTOLA</t>
  </si>
  <si>
    <t>PNI O/S</t>
  </si>
  <si>
    <t>PNS O/S</t>
  </si>
  <si>
    <t>SERVICIOS POBLACION</t>
  </si>
  <si>
    <t>DOTACION</t>
  </si>
  <si>
    <t>24 HORAS</t>
  </si>
  <si>
    <t>FOCALIZ.</t>
  </si>
  <si>
    <t>SER. EXTR-</t>
  </si>
  <si>
    <t>SIP</t>
  </si>
  <si>
    <t>DISPONIBLE</t>
  </si>
  <si>
    <t>ZONA PAIS</t>
  </si>
  <si>
    <t>PNS</t>
  </si>
  <si>
    <t>PNI</t>
  </si>
  <si>
    <t>COPEI</t>
  </si>
  <si>
    <t>SERVICIOS INTRACUARTELES ADMINISTRATIVOS</t>
  </si>
  <si>
    <t>ADMINIST.</t>
  </si>
  <si>
    <t>AGRE. DENTRO</t>
  </si>
  <si>
    <t>AGRE. FUERA</t>
  </si>
  <si>
    <t>LICENCIAS</t>
  </si>
  <si>
    <t>FER. Y PERM.</t>
  </si>
  <si>
    <t>FRANCOS</t>
  </si>
  <si>
    <t>AL SERVICIO DIA DE HOY</t>
  </si>
  <si>
    <t>PERSONAL FRANCO</t>
  </si>
  <si>
    <t>PERSONAL LIC. MÉDICA</t>
  </si>
  <si>
    <t>PERSONAL FERIADO</t>
  </si>
  <si>
    <t>PERSONAL C/PERMISO</t>
  </si>
  <si>
    <t>AGREG. OTRAS REPART.</t>
  </si>
  <si>
    <t>LICENCIA</t>
  </si>
  <si>
    <t>1G</t>
  </si>
  <si>
    <t>2G</t>
  </si>
  <si>
    <t>RESULTADO</t>
  </si>
  <si>
    <t>SERVICIOS ORDINARIOS</t>
  </si>
  <si>
    <t>SERVICIOS EXTRAORDINARIOS</t>
  </si>
  <si>
    <t>INTRACUARTEL</t>
  </si>
  <si>
    <t>SALIENTES DE SERVICIO</t>
  </si>
  <si>
    <t>COMISION SERVICIO</t>
  </si>
  <si>
    <t>LICENCIA MEDICA (otra enfermedad)</t>
  </si>
  <si>
    <t>PERMISO</t>
  </si>
  <si>
    <t xml:space="preserve">CUARENTENA MEDICA </t>
  </si>
  <si>
    <t>CUARENTENA POLICIAL</t>
  </si>
  <si>
    <t>CONTAGIADOS COVID</t>
  </si>
  <si>
    <t>ZONA FAMILIA</t>
  </si>
  <si>
    <t>ZONA TTO Y CARRETERAS</t>
  </si>
  <si>
    <t>ZONA FRONTERAS Y SERV.</t>
  </si>
  <si>
    <t>ZONA OESTE</t>
  </si>
  <si>
    <t>ZONA SEG. PRIV.</t>
  </si>
  <si>
    <t>AG.</t>
  </si>
  <si>
    <t>ZONA</t>
  </si>
  <si>
    <t>1ER. TURNO</t>
  </si>
  <si>
    <t>MED. LOG.</t>
  </si>
  <si>
    <t>2DO. TURNO</t>
  </si>
  <si>
    <t>1ER. PATRULLAJE</t>
  </si>
  <si>
    <t>3ER. TURNO</t>
  </si>
  <si>
    <t>MED. LOG</t>
  </si>
  <si>
    <t>2DO. PATRULLAJE</t>
  </si>
  <si>
    <t>EXTRORDINARIOS</t>
  </si>
  <si>
    <t>LIC. , FERIADO, C. SERV. Y OTROS</t>
  </si>
  <si>
    <t>TOTAL</t>
  </si>
  <si>
    <t>ANDES</t>
  </si>
  <si>
    <t>ORIENTE</t>
  </si>
  <si>
    <t>SUR</t>
  </si>
  <si>
    <t>CORDILLERA</t>
  </si>
  <si>
    <t>MAIPO</t>
  </si>
  <si>
    <t>FF.EE.ESTE</t>
  </si>
  <si>
    <t>RP.ESTE</t>
  </si>
  <si>
    <t>PERMISO (ADM., NACI., MATRI., ETC.)</t>
  </si>
  <si>
    <t>ACOGIDO A RETIRO</t>
  </si>
  <si>
    <t xml:space="preserve">AGREGADO/ C. SERV. </t>
  </si>
  <si>
    <t>TRAMITE DE BAJA</t>
  </si>
  <si>
    <t>DICTAMEN O MEDIDA CAUTELARES</t>
  </si>
  <si>
    <t xml:space="preserve">DESERCIÓN </t>
  </si>
  <si>
    <t>JUICIO ORAL</t>
  </si>
  <si>
    <t xml:space="preserve">ENFER. COMUN </t>
  </si>
  <si>
    <t>ACT. DEL SERV.</t>
  </si>
  <si>
    <t>CORONAVIRUS CASO POSITIVO (COVID -19)</t>
  </si>
  <si>
    <t>CORONAVIRUS LICENCIA PREVENTIVA (COVID -19)</t>
  </si>
  <si>
    <t>DENTRO ZM (ALTA REP., REP, UNID., ETC)</t>
  </si>
  <si>
    <t>FUERA ZM (ALTA REP., REP, UNID., ETC)</t>
  </si>
  <si>
    <t>PERSONAL ADMINISTRATIVO APRESTO</t>
  </si>
  <si>
    <t>PERSONAL OPERATIVO APRESTO</t>
  </si>
  <si>
    <t>PERSONAL APRESTO CUARTEL</t>
  </si>
  <si>
    <t>TOTAL APRESTO</t>
  </si>
  <si>
    <t>SERVICIO MEDICO</t>
  </si>
  <si>
    <t>DISPONIBLE CUARTEL</t>
  </si>
  <si>
    <t>PERSONAL DISPONIBLE</t>
  </si>
  <si>
    <t>ENCUADRE. ESC.</t>
  </si>
  <si>
    <t>OLIVARES MUÑOZ VICTOR MANUEL</t>
  </si>
  <si>
    <t>AA-023</t>
  </si>
  <si>
    <t>AB-255</t>
  </si>
  <si>
    <t>AB-272</t>
  </si>
  <si>
    <t>AB-273</t>
  </si>
  <si>
    <t>AB-347</t>
  </si>
  <si>
    <t>AB-364</t>
  </si>
  <si>
    <t>AB-365</t>
  </si>
  <si>
    <t>AB-366</t>
  </si>
  <si>
    <t>AB-369</t>
  </si>
  <si>
    <t>AB-377</t>
  </si>
  <si>
    <t>AG-045</t>
  </si>
  <si>
    <t>AP-107</t>
  </si>
  <si>
    <t>AP-305</t>
  </si>
  <si>
    <t>B-382</t>
  </si>
  <si>
    <t>B-482</t>
  </si>
  <si>
    <t>B-484</t>
  </si>
  <si>
    <t>B-497</t>
  </si>
  <si>
    <t>B-498</t>
  </si>
  <si>
    <t>B-499</t>
  </si>
  <si>
    <t>B-500</t>
  </si>
  <si>
    <t>B-504</t>
  </si>
  <si>
    <t>B-505</t>
  </si>
  <si>
    <t>B-508</t>
  </si>
  <si>
    <t>B-512</t>
  </si>
  <si>
    <t>B-514</t>
  </si>
  <si>
    <t>B-644</t>
  </si>
  <si>
    <t>B-645</t>
  </si>
  <si>
    <t>B-646</t>
  </si>
  <si>
    <t>B-647</t>
  </si>
  <si>
    <t>B-650</t>
  </si>
  <si>
    <t>B-680</t>
  </si>
  <si>
    <t>B-681</t>
  </si>
  <si>
    <t>B-682</t>
  </si>
  <si>
    <t>B-683</t>
  </si>
  <si>
    <t>B-684</t>
  </si>
  <si>
    <t>B-685</t>
  </si>
  <si>
    <t>B-686</t>
  </si>
  <si>
    <t>B-687</t>
  </si>
  <si>
    <t>B-688</t>
  </si>
  <si>
    <t>B-700</t>
  </si>
  <si>
    <t>C-011</t>
  </si>
  <si>
    <t>C-106</t>
  </si>
  <si>
    <t>HRKR-33</t>
  </si>
  <si>
    <t>J-009</t>
  </si>
  <si>
    <t>J-010</t>
  </si>
  <si>
    <t>J-022</t>
  </si>
  <si>
    <t>J-027</t>
  </si>
  <si>
    <t>J-030</t>
  </si>
  <si>
    <t>J-032</t>
  </si>
  <si>
    <t>J-033</t>
  </si>
  <si>
    <t>J-035</t>
  </si>
  <si>
    <t>J-1227</t>
  </si>
  <si>
    <t>J-1228</t>
  </si>
  <si>
    <t>J-1229</t>
  </si>
  <si>
    <t>LA-020</t>
  </si>
  <si>
    <t>LA-042</t>
  </si>
  <si>
    <t>LA-044</t>
  </si>
  <si>
    <t>LA-064</t>
  </si>
  <si>
    <t>RP-2802</t>
  </si>
  <si>
    <t>RP-3682</t>
  </si>
  <si>
    <t>TPB-0057</t>
  </si>
  <si>
    <t>TPB-0266</t>
  </si>
  <si>
    <t>TPB-0337</t>
  </si>
  <si>
    <t>TPB-0341</t>
  </si>
  <si>
    <t>Z-3190</t>
  </si>
  <si>
    <t>Z-3410</t>
  </si>
  <si>
    <t>Z-4112</t>
  </si>
  <si>
    <t>Z-4277</t>
  </si>
  <si>
    <t>Z-5142</t>
  </si>
  <si>
    <t>Z-5143</t>
  </si>
  <si>
    <t>Z-6953</t>
  </si>
  <si>
    <t>LIBERADO</t>
  </si>
  <si>
    <t>ADM.</t>
  </si>
  <si>
    <t>JEFATURA DE ZONA</t>
  </si>
  <si>
    <t>SUB-TOTAL</t>
  </si>
  <si>
    <t>GUARDIA CUARTEL</t>
  </si>
  <si>
    <t>PROCESO RETIRO</t>
  </si>
  <si>
    <t>RANCHO</t>
  </si>
  <si>
    <t>MANTENCIÓN DE CUARTEL</t>
  </si>
  <si>
    <t>Etiquetas de columna</t>
  </si>
  <si>
    <t>RETIRO</t>
  </si>
  <si>
    <t>OPERATIVO</t>
  </si>
  <si>
    <t>NO OPERATIVO</t>
  </si>
  <si>
    <t>VEHÍCULO</t>
  </si>
  <si>
    <t>HORARIO</t>
  </si>
  <si>
    <t>OBSERVACIONES</t>
  </si>
  <si>
    <t>desde</t>
  </si>
  <si>
    <t>hasta</t>
  </si>
  <si>
    <t>APELLIDOS Y NOMBRE</t>
  </si>
  <si>
    <t>ARIETE 11 1</t>
  </si>
  <si>
    <t>ARIETE 11 2</t>
  </si>
  <si>
    <t>ARIETE 11 3</t>
  </si>
  <si>
    <t>ARIETE 11 4</t>
  </si>
  <si>
    <t>ARIETE 11 5</t>
  </si>
  <si>
    <t>ARIETE 12 2</t>
  </si>
  <si>
    <t>ARIETE 12 3</t>
  </si>
  <si>
    <t>ARIETE 12 4</t>
  </si>
  <si>
    <t>ARIETE 12 5</t>
  </si>
  <si>
    <t>ARIETE 13 1</t>
  </si>
  <si>
    <t>ARIETE 13 2</t>
  </si>
  <si>
    <t>ARIETE 13 3</t>
  </si>
  <si>
    <t>ARIETE 13 4</t>
  </si>
  <si>
    <t>ARIETE 13 5</t>
  </si>
  <si>
    <t>ARIETE 14 1</t>
  </si>
  <si>
    <t>ARIETE 14 2</t>
  </si>
  <si>
    <t>ARIETE 14 4</t>
  </si>
  <si>
    <t>ARIETE 14 5</t>
  </si>
  <si>
    <t>ARIETE 15 1</t>
  </si>
  <si>
    <t>ARIETE 15 2</t>
  </si>
  <si>
    <t>ARIETE 15 3</t>
  </si>
  <si>
    <t>ARIETE 15 4</t>
  </si>
  <si>
    <t>ARIETE 15 5</t>
  </si>
  <si>
    <t>ARIETE 16 1</t>
  </si>
  <si>
    <t>ARIETE 16 2</t>
  </si>
  <si>
    <t>ARIETE 16 3</t>
  </si>
  <si>
    <t>ARIETE 16 4</t>
  </si>
  <si>
    <t>ARIETE 16 5</t>
  </si>
  <si>
    <t>ARIETE 17 1</t>
  </si>
  <si>
    <t>ARIETE 17 2</t>
  </si>
  <si>
    <t>ARIETE 17 3</t>
  </si>
  <si>
    <t>ARIETE 17 4</t>
  </si>
  <si>
    <t>ARIETE 17 5</t>
  </si>
  <si>
    <t>ARIETE 18 1</t>
  </si>
  <si>
    <t>ARIETE 18 2</t>
  </si>
  <si>
    <t>ARIETE 18 3</t>
  </si>
  <si>
    <t>ARIETE 18 4</t>
  </si>
  <si>
    <t>ARIETE 18 5</t>
  </si>
  <si>
    <t>ARIETE 19 1</t>
  </si>
  <si>
    <t>ARIETE 19 2</t>
  </si>
  <si>
    <t>ARIETE 19 4</t>
  </si>
  <si>
    <t>ARIETE 19 5</t>
  </si>
  <si>
    <t>ARIETE 20 1</t>
  </si>
  <si>
    <t>ARIETE 20 2</t>
  </si>
  <si>
    <t>ARIETE 20 3</t>
  </si>
  <si>
    <t>ARIETE 20 4</t>
  </si>
  <si>
    <t>ARIETE 20 5</t>
  </si>
  <si>
    <t>ARIETE 21 2</t>
  </si>
  <si>
    <t>ARIETE 21 3</t>
  </si>
  <si>
    <t>ARIETE 21 4</t>
  </si>
  <si>
    <t>ARIETE 21 5</t>
  </si>
  <si>
    <t>ARIETE 22 1</t>
  </si>
  <si>
    <t>ARIETE 22 2</t>
  </si>
  <si>
    <t>ARIETE 22 3</t>
  </si>
  <si>
    <t>ARIETE 22 4</t>
  </si>
  <si>
    <t>ARIETE 22 5</t>
  </si>
  <si>
    <t>ARIETE C40-A 1</t>
  </si>
  <si>
    <t>ARIETE C40-A 2</t>
  </si>
  <si>
    <t>ARIETE C40-A 3</t>
  </si>
  <si>
    <t>ARIETE C40-A 4</t>
  </si>
  <si>
    <t>ARIETE C40-A 5</t>
  </si>
  <si>
    <t>ARIETE C40-B 1</t>
  </si>
  <si>
    <t>ARIETE C40-B 2</t>
  </si>
  <si>
    <t>ARIETE C40-B 3</t>
  </si>
  <si>
    <t>ARIETE C40-B 4</t>
  </si>
  <si>
    <t>ARIETE C40-B 5</t>
  </si>
  <si>
    <t>ARIETE C40-C 1</t>
  </si>
  <si>
    <t>ARIETE C40-C 2</t>
  </si>
  <si>
    <t>ARIETE C40-C 3</t>
  </si>
  <si>
    <t>ARIETE C40-C 4</t>
  </si>
  <si>
    <t>ARIETE C40-C 5</t>
  </si>
  <si>
    <t>PREFECTO</t>
  </si>
  <si>
    <t>ARIETE 12 1</t>
  </si>
  <si>
    <t>FECHA:</t>
  </si>
  <si>
    <t>FUERZA EFECTIVA APOYO</t>
  </si>
  <si>
    <t>SERVICIOS DE APOYO</t>
  </si>
  <si>
    <t>Cuenta de TURNO</t>
  </si>
  <si>
    <t>ARIETES</t>
  </si>
  <si>
    <t>OBSERVACIÓN DISTRIBUCIÓN</t>
  </si>
  <si>
    <t>DESDE</t>
  </si>
  <si>
    <t>HASTA</t>
  </si>
  <si>
    <t>NRO.</t>
  </si>
  <si>
    <t>DOTACIÓN PARA EL SERVICIO</t>
  </si>
  <si>
    <t>PIE DE FIRMA</t>
  </si>
  <si>
    <t>CALCULO DIAS</t>
  </si>
  <si>
    <t>CODIGO</t>
  </si>
  <si>
    <t>CONTRASEÑA</t>
  </si>
  <si>
    <t>Usuario Infresado</t>
  </si>
  <si>
    <t>3346</t>
  </si>
  <si>
    <t>Cantidad de Codigo</t>
  </si>
  <si>
    <t>NOMBRE</t>
  </si>
  <si>
    <t>DEPENDENCIA</t>
  </si>
  <si>
    <t>OF. ANALISIS</t>
  </si>
  <si>
    <t>Fecha</t>
  </si>
  <si>
    <t>Funcionario Eliminado</t>
  </si>
  <si>
    <t>Funcionario Eliminador</t>
  </si>
  <si>
    <t>CARABINERO CARLOS ALARCÓN LAGOS - OF. ANALISIS</t>
  </si>
  <si>
    <t>ELIMINACIÓN</t>
  </si>
  <si>
    <t>REPARTICION</t>
  </si>
  <si>
    <t>(Ejemplo: 017222L)</t>
  </si>
  <si>
    <t>(Ejemplo: 00.000.000-0)</t>
  </si>
  <si>
    <t>AGREGAR NUEVO FUNCIONARIO</t>
  </si>
  <si>
    <t>Genero</t>
  </si>
  <si>
    <t>*OBLIGATORIO</t>
  </si>
  <si>
    <t>CÓDIGO DE FUNCIONARIO:</t>
  </si>
  <si>
    <t>RUT:</t>
  </si>
  <si>
    <t>GRADO:</t>
  </si>
  <si>
    <t>ESCALAFÓN:</t>
  </si>
  <si>
    <t>APELLIDOS Y NOMBRES:</t>
  </si>
  <si>
    <t>GENERO:</t>
  </si>
  <si>
    <t>REPARTICIÓN:</t>
  </si>
  <si>
    <t>DOTACIÓN:</t>
  </si>
  <si>
    <t>SEMEP:</t>
  </si>
  <si>
    <t>Usuario Ingresador:</t>
  </si>
  <si>
    <t>Funcionario Agregado</t>
  </si>
  <si>
    <t>Agregado</t>
  </si>
  <si>
    <t>Funcionario Agregador</t>
  </si>
  <si>
    <t>ORDEN1</t>
  </si>
  <si>
    <t>ORDEN2</t>
  </si>
  <si>
    <t>ORDEN3</t>
  </si>
  <si>
    <t>ORDEN4</t>
  </si>
  <si>
    <t>Dispositivo</t>
  </si>
  <si>
    <t>USUARIO:</t>
  </si>
  <si>
    <t>SGTO 1RO. NELSON VEGA SOTO</t>
  </si>
  <si>
    <t>9643</t>
  </si>
  <si>
    <t>OPERACIONES PREF.</t>
  </si>
  <si>
    <t>2308</t>
  </si>
  <si>
    <t>CABO 2DO. JAVIERA MUÑOZ FONSECA</t>
  </si>
  <si>
    <t>FRANCO</t>
  </si>
  <si>
    <t>SGTO 2DO. BURGOS ESPINOZA CRISTIAN ESTEBAN - S-38</t>
  </si>
  <si>
    <t>CABO 2DO. LOPEZ QUINTANA PABLO CRISTOBAL ANDRES - S-34</t>
  </si>
  <si>
    <t>SUBTENIENTE MELLADO RIDEAU SEBASTIAN MOISES - JEFE/S-32</t>
  </si>
  <si>
    <t>13.845.945-4</t>
  </si>
  <si>
    <t>SGTO 2DO. ZAPATA CARTES FERNANDO ARTURO  - S-39</t>
  </si>
  <si>
    <t>SGTO 1RO. MANRIQUEZ LARA JAIME EDUARDO - PTL-16</t>
  </si>
  <si>
    <t>NUMERO MES</t>
  </si>
  <si>
    <t>MES</t>
  </si>
  <si>
    <t>GAMA 2-E</t>
  </si>
  <si>
    <t>TTE. CRL. CLAUDIO DONOSO IRIBARREN</t>
  </si>
  <si>
    <t>951469H</t>
  </si>
  <si>
    <t>1234</t>
  </si>
  <si>
    <t>Cuenta de DOTACIÓN ACTUAL</t>
  </si>
  <si>
    <t>BAJA</t>
  </si>
  <si>
    <t>S-30-B</t>
  </si>
  <si>
    <t>S-31-B</t>
  </si>
  <si>
    <t>S-32-B</t>
  </si>
  <si>
    <t>S-33-B</t>
  </si>
  <si>
    <t>S-34-B</t>
  </si>
  <si>
    <t>S-35-B</t>
  </si>
  <si>
    <t>S-36-B</t>
  </si>
  <si>
    <t>S-37-B</t>
  </si>
  <si>
    <t>S-38-B</t>
  </si>
  <si>
    <t>S-39-B</t>
  </si>
  <si>
    <t>S-40-B</t>
  </si>
  <si>
    <t>S-41-B</t>
  </si>
  <si>
    <t>S-42-B</t>
  </si>
  <si>
    <t>S-43-B</t>
  </si>
  <si>
    <t>S-44-B</t>
  </si>
  <si>
    <t>S-45-B</t>
  </si>
  <si>
    <t>S-46-B</t>
  </si>
  <si>
    <t>S-47-B</t>
  </si>
  <si>
    <t>S-48-B</t>
  </si>
  <si>
    <t>S-49-B</t>
  </si>
  <si>
    <t>JEFE/S-30-B</t>
  </si>
  <si>
    <t>JEFE/S-31-B</t>
  </si>
  <si>
    <t>JEFE/S-32-B</t>
  </si>
  <si>
    <t>JEFE/S-33-B</t>
  </si>
  <si>
    <t>JEFE/S-34-B</t>
  </si>
  <si>
    <t>JEFE/S-35-B</t>
  </si>
  <si>
    <t>JEFE/S-36-B</t>
  </si>
  <si>
    <t>JEFE/S-37-B</t>
  </si>
  <si>
    <t>JEFE/S-38-B</t>
  </si>
  <si>
    <t>JEFE/S-39-B</t>
  </si>
  <si>
    <t>JEFE/S-40-B</t>
  </si>
  <si>
    <t>JEFE/S-41-B</t>
  </si>
  <si>
    <t>JEFE/S-42-B</t>
  </si>
  <si>
    <t>JEFE/S-43-B</t>
  </si>
  <si>
    <t>JEFE/S-44-B</t>
  </si>
  <si>
    <t>JEFE/S-45-B</t>
  </si>
  <si>
    <t>JEFE/S-46-B</t>
  </si>
  <si>
    <t>JEFE/S-47-B</t>
  </si>
  <si>
    <t>JEFE/S-48-B</t>
  </si>
  <si>
    <t>JEFE/S-49-B</t>
  </si>
  <si>
    <t>CERTIFICACION DE ESCOPETA</t>
  </si>
  <si>
    <t>1T 1</t>
  </si>
  <si>
    <t>1T 2</t>
  </si>
  <si>
    <t>1T 3</t>
  </si>
  <si>
    <t>1T 4</t>
  </si>
  <si>
    <t>1T 5</t>
  </si>
  <si>
    <t>1T 6</t>
  </si>
  <si>
    <t>1T 7</t>
  </si>
  <si>
    <t>1T 8</t>
  </si>
  <si>
    <t>1T 9</t>
  </si>
  <si>
    <t>1T 10</t>
  </si>
  <si>
    <t>1T 11</t>
  </si>
  <si>
    <t>1T 12</t>
  </si>
  <si>
    <t>1T 13</t>
  </si>
  <si>
    <t>1T 14</t>
  </si>
  <si>
    <t>1T 15</t>
  </si>
  <si>
    <t>1T 16</t>
  </si>
  <si>
    <t>1T 17</t>
  </si>
  <si>
    <t>1T 18</t>
  </si>
  <si>
    <t>1T 19</t>
  </si>
  <si>
    <t>1T 20</t>
  </si>
  <si>
    <t>2T 1</t>
  </si>
  <si>
    <t>2T 2</t>
  </si>
  <si>
    <t>2T 3</t>
  </si>
  <si>
    <t>2T 4</t>
  </si>
  <si>
    <t>2T 5</t>
  </si>
  <si>
    <t>2T 6</t>
  </si>
  <si>
    <t>2T 7</t>
  </si>
  <si>
    <t>2T 8</t>
  </si>
  <si>
    <t>2T 9</t>
  </si>
  <si>
    <t>2T 10</t>
  </si>
  <si>
    <t>2T 11</t>
  </si>
  <si>
    <t>2T 12</t>
  </si>
  <si>
    <t>2T 13</t>
  </si>
  <si>
    <t>2T 14</t>
  </si>
  <si>
    <t>2T 15</t>
  </si>
  <si>
    <t>2T 16</t>
  </si>
  <si>
    <t>2T 17</t>
  </si>
  <si>
    <t>2T 18</t>
  </si>
  <si>
    <t>2T 19</t>
  </si>
  <si>
    <t>2T 20</t>
  </si>
  <si>
    <t>3T 1</t>
  </si>
  <si>
    <t>3T 2</t>
  </si>
  <si>
    <t>3T 3</t>
  </si>
  <si>
    <t>3T 4</t>
  </si>
  <si>
    <t>3T 5</t>
  </si>
  <si>
    <t>3T 6</t>
  </si>
  <si>
    <t>3T 7</t>
  </si>
  <si>
    <t>3T 8</t>
  </si>
  <si>
    <t>3T 9</t>
  </si>
  <si>
    <t>3T 10</t>
  </si>
  <si>
    <t>3T 11</t>
  </si>
  <si>
    <t>3T 12</t>
  </si>
  <si>
    <t>3T 13</t>
  </si>
  <si>
    <t>3T 14</t>
  </si>
  <si>
    <t>3T 15</t>
  </si>
  <si>
    <t>3T 16</t>
  </si>
  <si>
    <t>3T 17</t>
  </si>
  <si>
    <t>3T 18</t>
  </si>
  <si>
    <t>3T 19</t>
  </si>
  <si>
    <t>3T 20</t>
  </si>
  <si>
    <t>1P 1</t>
  </si>
  <si>
    <t>1P 2</t>
  </si>
  <si>
    <t>1P 3</t>
  </si>
  <si>
    <t>1P 4</t>
  </si>
  <si>
    <t>1P 5</t>
  </si>
  <si>
    <t>1P 6</t>
  </si>
  <si>
    <t>1P 7</t>
  </si>
  <si>
    <t>1P 8</t>
  </si>
  <si>
    <t>1P 9</t>
  </si>
  <si>
    <t>1P 10</t>
  </si>
  <si>
    <t>1P 11</t>
  </si>
  <si>
    <t>1P 12</t>
  </si>
  <si>
    <t>1P 13</t>
  </si>
  <si>
    <t>1P 14</t>
  </si>
  <si>
    <t>1P 15</t>
  </si>
  <si>
    <t>1P 16</t>
  </si>
  <si>
    <t>1P 17</t>
  </si>
  <si>
    <t>1P 18</t>
  </si>
  <si>
    <t>1P 19</t>
  </si>
  <si>
    <t>1P 20</t>
  </si>
  <si>
    <t>2P 1</t>
  </si>
  <si>
    <t>2P 2</t>
  </si>
  <si>
    <t>2P 3</t>
  </si>
  <si>
    <t>2P 4</t>
  </si>
  <si>
    <t>2P 5</t>
  </si>
  <si>
    <t>2P 6</t>
  </si>
  <si>
    <t>2P 7</t>
  </si>
  <si>
    <t>2P 8</t>
  </si>
  <si>
    <t>2P 9</t>
  </si>
  <si>
    <t>2P 10</t>
  </si>
  <si>
    <t>2P 11</t>
  </si>
  <si>
    <t>2P 12</t>
  </si>
  <si>
    <t>2P 13</t>
  </si>
  <si>
    <t>2P 14</t>
  </si>
  <si>
    <t>2P 15</t>
  </si>
  <si>
    <t>2P 16</t>
  </si>
  <si>
    <t>2P 17</t>
  </si>
  <si>
    <t>2P 18</t>
  </si>
  <si>
    <t>2P 19</t>
  </si>
  <si>
    <t>F 1</t>
  </si>
  <si>
    <t>F 2</t>
  </si>
  <si>
    <t>F 3</t>
  </si>
  <si>
    <t>F 4</t>
  </si>
  <si>
    <t>F 5</t>
  </si>
  <si>
    <t>F 6</t>
  </si>
  <si>
    <t>F 7</t>
  </si>
  <si>
    <t>F 8</t>
  </si>
  <si>
    <t>F 9</t>
  </si>
  <si>
    <t>F 10</t>
  </si>
  <si>
    <t>F 11</t>
  </si>
  <si>
    <t>F 12</t>
  </si>
  <si>
    <t>F 13</t>
  </si>
  <si>
    <t>F 14</t>
  </si>
  <si>
    <t>F 15</t>
  </si>
  <si>
    <t>F 16</t>
  </si>
  <si>
    <t>F 17</t>
  </si>
  <si>
    <t>F 18</t>
  </si>
  <si>
    <t>F 19</t>
  </si>
  <si>
    <t>F 20</t>
  </si>
  <si>
    <t>CARABINERO LUMAN ROMERO MANUEL EDUARDO - S-37</t>
  </si>
  <si>
    <t>CABO 2DO. CARLOS ALARCÓN LAGOS</t>
  </si>
  <si>
    <t>CABO 2DO. FERNANDO CALDERÓN CASANOVA - OF. OPERACIONES</t>
  </si>
  <si>
    <t>AGREGADOS</t>
  </si>
  <si>
    <t>PTI-EV</t>
  </si>
  <si>
    <t>CARABINERO NAVARRO CASTILLO FELIPE - S-EV</t>
  </si>
  <si>
    <t>S.O.M. NAVARRO ELGUETA NELSON JAVIER - SECCIÓN REJAS Y CORDELES</t>
  </si>
  <si>
    <t>CABO 2DO. CARLOS ALARCÓN LAGOS - OF. ANALISIS</t>
  </si>
  <si>
    <t>(Varios elementos)</t>
  </si>
  <si>
    <t>LEGUA EMERGENCIA</t>
  </si>
  <si>
    <t>SUBCOMISARIO ADMINISTRATIVO</t>
  </si>
  <si>
    <t>SUBPREF. ADM.</t>
  </si>
  <si>
    <t>J-1189</t>
  </si>
  <si>
    <t>AA-054</t>
  </si>
  <si>
    <t>CARABINERO NAVARRO CASTILLO FELIPE - PERSONAL DISPONIBLE</t>
  </si>
  <si>
    <t>SGTO 1RO. BADILLA MENESES MANUEL - PTL-EV-2</t>
  </si>
  <si>
    <t>PATRULLA PERIFONEO</t>
  </si>
  <si>
    <t>DESTINACIONES</t>
  </si>
  <si>
    <t>SGTO 1RO. JUAN ZUÑIGA MONTECINO</t>
  </si>
  <si>
    <t>9670</t>
  </si>
  <si>
    <t>FUERZA EFECTIVA PTL</t>
  </si>
  <si>
    <t>PATRULLA DE RESCATE 1</t>
  </si>
  <si>
    <t>PATRULLA DE RESCATE 2</t>
  </si>
  <si>
    <t>PATRULLA DE RESCATE 3</t>
  </si>
  <si>
    <t>ACTIVIDAD</t>
  </si>
  <si>
    <t xml:space="preserve">FECHA </t>
  </si>
  <si>
    <t>MEDIOS COP</t>
  </si>
  <si>
    <t>ESCUADRON C40-A 1</t>
  </si>
  <si>
    <t>ESCUADRON C40-A 2</t>
  </si>
  <si>
    <t>ESCUADRON C40-A 3</t>
  </si>
  <si>
    <t>ESCUADRON C40-A 4</t>
  </si>
  <si>
    <t>ESCUADRON C40-A 5</t>
  </si>
  <si>
    <t>ESCUADRON C40-B 1</t>
  </si>
  <si>
    <t>ESCUADRON C40-B 2</t>
  </si>
  <si>
    <t>ESCUADRON C40-B 3</t>
  </si>
  <si>
    <t>ESCUADRON C40-B 4</t>
  </si>
  <si>
    <t>ESCUADRON C40-B 5</t>
  </si>
  <si>
    <t>ESCUADRON C40-C 1</t>
  </si>
  <si>
    <t>ESCUADRON C40-C 2</t>
  </si>
  <si>
    <t>ESCUADRON C40-C 3</t>
  </si>
  <si>
    <t>ESCUADRON C40-C 4</t>
  </si>
  <si>
    <t>ESCUADRON C40-C 5</t>
  </si>
  <si>
    <t>ESCUADRON 11 1</t>
  </si>
  <si>
    <t>ESCUADRON 11 2</t>
  </si>
  <si>
    <t>ESCUADRON 11 3</t>
  </si>
  <si>
    <t>ESCUADRON 11 4</t>
  </si>
  <si>
    <t>ESCUADRON 11 5</t>
  </si>
  <si>
    <t>ESCUADRON 12 1</t>
  </si>
  <si>
    <t>ESCUADRON 12 2</t>
  </si>
  <si>
    <t>ESCUADRON 12 3</t>
  </si>
  <si>
    <t>ESCUADRON 12 4</t>
  </si>
  <si>
    <t>ESCUADRON 12 5</t>
  </si>
  <si>
    <t>ESCUADRON 13 1</t>
  </si>
  <si>
    <t>ESCUADRON 13 2</t>
  </si>
  <si>
    <t>ESCUADRON 13 3</t>
  </si>
  <si>
    <t>ESCUADRON 13 4</t>
  </si>
  <si>
    <t>ESCUADRON 13 5</t>
  </si>
  <si>
    <t>ESCUADRON 16</t>
  </si>
  <si>
    <t>ESCUADRON 14 1</t>
  </si>
  <si>
    <t>ESCUADRON 14 2</t>
  </si>
  <si>
    <t>ESCUADRON 14 4</t>
  </si>
  <si>
    <t>ESCUADRON 14 5</t>
  </si>
  <si>
    <t>ESCUADRON 15 1</t>
  </si>
  <si>
    <t>ESCUADRON 15 2</t>
  </si>
  <si>
    <t>ESCUADRON 15 3</t>
  </si>
  <si>
    <t>ESCUADRON 15 4</t>
  </si>
  <si>
    <t>ESCUADRON 15 5</t>
  </si>
  <si>
    <t>ESCUADRON 16 1</t>
  </si>
  <si>
    <t>ESCUADRON 16 2</t>
  </si>
  <si>
    <t>ESCUADRON 16 3</t>
  </si>
  <si>
    <t>ESCUADRON 16 4</t>
  </si>
  <si>
    <t>ESCUADRON 16 5</t>
  </si>
  <si>
    <t>ESCUADRON 17 1</t>
  </si>
  <si>
    <t>ESCUADRON 17 2</t>
  </si>
  <si>
    <t>ESCUADRON 17 3</t>
  </si>
  <si>
    <t>ESCUADRON 17 4</t>
  </si>
  <si>
    <t>ESCUADRON 17 5</t>
  </si>
  <si>
    <t>BAQUEDANO</t>
  </si>
  <si>
    <t>METRO 1</t>
  </si>
  <si>
    <t>METRO 2</t>
  </si>
  <si>
    <t>MONEDA 1</t>
  </si>
  <si>
    <t>MONEDA 2</t>
  </si>
  <si>
    <t>CONSTITUCION 1</t>
  </si>
  <si>
    <t>CONSTITUCION 2</t>
  </si>
  <si>
    <t>CIUDADANIA 1</t>
  </si>
  <si>
    <t>CIUDADANIA 2</t>
  </si>
  <si>
    <t>APOYO APS 1</t>
  </si>
  <si>
    <t>APOYO APS 2</t>
  </si>
  <si>
    <t>NOTIFICAR</t>
  </si>
  <si>
    <t>DOMICILIO EX SE 1</t>
  </si>
  <si>
    <t>DOMICILIO EX SE 2</t>
  </si>
  <si>
    <t>DOMICILIO EX SE 3</t>
  </si>
  <si>
    <t>DOMICILIO EX SE 4</t>
  </si>
  <si>
    <t>SERVICIO DOMICILIO EX SE</t>
  </si>
  <si>
    <t>LEGUA EMERGENCIA 1</t>
  </si>
  <si>
    <t>LEGUA EMERGENCIA 2</t>
  </si>
  <si>
    <t>LEGUA EMERGENCIA 3</t>
  </si>
  <si>
    <t>LEGUA EMERGENCIA 4</t>
  </si>
  <si>
    <t>SERVICIO APS</t>
  </si>
  <si>
    <t>MANDO DE UNIDAD</t>
  </si>
  <si>
    <t>MANDO DE REPARTICIÓN</t>
  </si>
  <si>
    <t>OFICIALES NO OPERATIVOS</t>
  </si>
  <si>
    <t>OTROS</t>
  </si>
  <si>
    <t>DISPOSITIVOS FRANCOS</t>
  </si>
  <si>
    <t>SERVICIO METRO</t>
  </si>
  <si>
    <t>SERVICIOS 2DO. PATRULLAJE</t>
  </si>
  <si>
    <t>SERVICIOS 1ER. PATRULLAJE</t>
  </si>
  <si>
    <t>SERVICIOS 3ER. TURNO</t>
  </si>
  <si>
    <t>SERVICIOS 2DO. TURNO</t>
  </si>
  <si>
    <t>SERVICIOS 1ER. TURNO</t>
  </si>
  <si>
    <t>SERVICIO LEGUA EMERGENCIA</t>
  </si>
  <si>
    <t>JEFE APS 1</t>
  </si>
  <si>
    <t>JEFE APS 2</t>
  </si>
  <si>
    <t>SUBOFICIAL ANCAMIL MARICAN CARLOS ROBERTO   - S-EV</t>
  </si>
  <si>
    <t>CARABINERO RIQUELME JAIME YERSON SEBASTIAN - S-48</t>
  </si>
  <si>
    <t>SSOO 1</t>
  </si>
  <si>
    <t>SSOO 2</t>
  </si>
  <si>
    <t>SSOO 3</t>
  </si>
  <si>
    <t>SSOO 4</t>
  </si>
  <si>
    <t>SSOO 5</t>
  </si>
  <si>
    <t>SSOO 6</t>
  </si>
  <si>
    <t>PTR-SSOO 1</t>
  </si>
  <si>
    <t>PTR-SSOO 2</t>
  </si>
  <si>
    <t>PTR-SSOO 3</t>
  </si>
  <si>
    <t>PTR-SSOO 4</t>
  </si>
  <si>
    <t>PTR-SSOO 5</t>
  </si>
  <si>
    <t>PTR-SSOO 6</t>
  </si>
  <si>
    <t>SS.OO</t>
  </si>
  <si>
    <t>S.O.M. GONZALEZ VILLALOBOS ALEJANDRO - PELUQUERÍA</t>
  </si>
  <si>
    <t>SGTO 1RO. JUAN JARA ELGUETA - OF. OPERACIONES</t>
  </si>
  <si>
    <t>0089</t>
  </si>
  <si>
    <t>CABO 2DO. DIEGO PINO SALAS</t>
  </si>
  <si>
    <t>LICENCIA MEDICA PENDIENTE</t>
  </si>
  <si>
    <t>Cuenta de GENERO</t>
  </si>
  <si>
    <t>40° comisaria cop</t>
  </si>
  <si>
    <t>fuera zona</t>
  </si>
  <si>
    <t>dentro zona</t>
  </si>
  <si>
    <t>OF. PARTES</t>
  </si>
  <si>
    <t>SERVICIOS GUARDIAS (NO EN CARTA DE SERVICIO)</t>
  </si>
  <si>
    <t>CAAMAÑO JARA RODRIGO ALEJANDRO</t>
  </si>
  <si>
    <t>999139X</t>
  </si>
  <si>
    <t>940840J</t>
  </si>
  <si>
    <t>12285261K</t>
  </si>
  <si>
    <t>942294Z</t>
  </si>
  <si>
    <t>017674Z</t>
  </si>
  <si>
    <t>ESCUADRON 11</t>
  </si>
  <si>
    <t>ESCUADRON 12</t>
  </si>
  <si>
    <t>ESCUADRON 13</t>
  </si>
  <si>
    <t>ESCUADRON 14</t>
  </si>
  <si>
    <t>ESCUADRON 15</t>
  </si>
  <si>
    <t>ESCUADRON 17</t>
  </si>
  <si>
    <t>ESCUADRONES PARA TABLA</t>
  </si>
  <si>
    <t>TABLA DE SERVICIO</t>
  </si>
  <si>
    <t>CPR OLIVA FERNANDEZ CARMEN JAZMIN  - GARZON</t>
  </si>
  <si>
    <t>994544Q</t>
  </si>
  <si>
    <t>984132H</t>
  </si>
  <si>
    <t>NOMBRE RESPALDO</t>
  </si>
  <si>
    <t>FARIAS LIZANA OSCAR DAVID</t>
  </si>
  <si>
    <t>AGUILAR REYES MAURICIO OSVALDO</t>
  </si>
  <si>
    <t>VIDAL RIVAS PABLO ALEXIS</t>
  </si>
  <si>
    <t>TORRES ERIZA JOSE MANUEL</t>
  </si>
  <si>
    <t>MOYA ROJAS PATRICIO ANTONIO</t>
  </si>
  <si>
    <t>LEON PEREZ GUIDO ARIEL</t>
  </si>
  <si>
    <t>VERA ORTEGA JOEL ESTEBAN</t>
  </si>
  <si>
    <t>MEZA MENDEZ JUAN MARCELO</t>
  </si>
  <si>
    <t>SALDIAS LAGOS PATRICIO ALEJANDRO</t>
  </si>
  <si>
    <t>HERNANDEZ CRUCES DIEGO ESTEBAN</t>
  </si>
  <si>
    <t>CORTES MORAGA ENRIQUE IVAN</t>
  </si>
  <si>
    <t>MARDONES GODOY OSCAR BORIS</t>
  </si>
  <si>
    <t>ROA PAREDES CARLOS MICHAEL</t>
  </si>
  <si>
    <t>BAHAMONDE SEPULVEDA LUIS GONZALO</t>
  </si>
  <si>
    <t>ZAPATA CARTES FERNANDO ARTURO</t>
  </si>
  <si>
    <t>VILLAGRA AREVALO SERGIO HUMBERTO</t>
  </si>
  <si>
    <t>RIQUELME PARADA CARLOS ROBERTO</t>
  </si>
  <si>
    <t>SANTANDER VILLASECA JUAN ANDRES</t>
  </si>
  <si>
    <t>MUÑOZ CISTERNA EDSON ANDRES</t>
  </si>
  <si>
    <t>GARAY SEGURA JORGE IGNACIO</t>
  </si>
  <si>
    <t>MOLINA VALDES JOSE DANIEL</t>
  </si>
  <si>
    <t>SABANDO VERGARA CLAUDIO</t>
  </si>
  <si>
    <t>GODOY ALARCON HECTOR LEONARDO</t>
  </si>
  <si>
    <t>JUANICOTENA TAPIA MANUEL</t>
  </si>
  <si>
    <t>PULIDO PASMINO OSCAR GONZALO</t>
  </si>
  <si>
    <t>SAN MARTIN FIGUEROA OMAR ALEJANDRO</t>
  </si>
  <si>
    <t>PRADO VALLEJOS LUCIANO ESTEBAN</t>
  </si>
  <si>
    <t>CARREÑO MENA MAIKOL CLAUDIO</t>
  </si>
  <si>
    <t>CONTRERAS GALLEGUILLOS RODRIGO IGNACIO</t>
  </si>
  <si>
    <t>ORTIZ NOVA PATRICIO EDUARDO</t>
  </si>
  <si>
    <t>GODOY CANALES ALEX</t>
  </si>
  <si>
    <t>IGOR CORONADO GUSTAVO A.</t>
  </si>
  <si>
    <t>ARENA QUIÑONES ALEXANDER NEFTALI</t>
  </si>
  <si>
    <t>ESPARZA GARCIA ANDRES</t>
  </si>
  <si>
    <t>ZUÑIGA NARVAEZ GUSTAVO FERNANDO</t>
  </si>
  <si>
    <t>ACEVEDO CALDERON FERNANDO</t>
  </si>
  <si>
    <t>JIMENEZ ARRIAGADA FERNANDO ESTEBAN</t>
  </si>
  <si>
    <t>TOLOZA ROJAS CRISTIAN ALEJANDRO</t>
  </si>
  <si>
    <t>ARENAS PEÑA RUBEN</t>
  </si>
  <si>
    <t>HERRERA HERRERA MICHAEL EDUARDO</t>
  </si>
  <si>
    <t>CASTILLO YAÑEZ EFRAN RODRIGO ANTONIO</t>
  </si>
  <si>
    <t>ZAPATA MARTINEZ JORGE ORLANDO</t>
  </si>
  <si>
    <t>GUZMAN SILVA FELIX ALBERTO</t>
  </si>
  <si>
    <t>VALDIVIA MUÑOZ CAROLYN ANDREA</t>
  </si>
  <si>
    <t>CASTRO BERRIOS CARLOS IGNACIO</t>
  </si>
  <si>
    <t>DIAZ SILVA GABRIEL OSMIN</t>
  </si>
  <si>
    <t>SEGOVIA ORTIZ FREDDY ARIEL</t>
  </si>
  <si>
    <t>COLOMA LUENGO IVAN ALEJANDRO</t>
  </si>
  <si>
    <t>CIFUENTES NAVARRETE VICTOR</t>
  </si>
  <si>
    <t>VALDES GARCIA MARCELO RICARDO</t>
  </si>
  <si>
    <t>BARROS PEREZ VICTOR HUGO</t>
  </si>
  <si>
    <t>CARES CONTRERAS LUIS ALBERTO</t>
  </si>
  <si>
    <t>CARRASCO BARRIENTOS ESTEBAN ALEJANDRO</t>
  </si>
  <si>
    <t>ROCO BUSTOS MIGUEL ANGEL</t>
  </si>
  <si>
    <t>SGTO 1RO. JUAN ZUÑIGA MONTECINO - OF. OPERACIONES</t>
  </si>
  <si>
    <t>CABO 2DO. ESPINOZA ARRATIA EDUARDO ANDRES - S-38</t>
  </si>
  <si>
    <t>016653T</t>
  </si>
  <si>
    <t>19.993.956-4</t>
  </si>
  <si>
    <t>CABO 2DO. CORDERO ALBORNOZ - S-38</t>
  </si>
  <si>
    <t>CORDERO ALBORNOZ ALAM MATIAS</t>
  </si>
  <si>
    <t>FUERZA
EFECTIVA</t>
  </si>
  <si>
    <t>CABO 1RO. JAQUE RIOS DAVID ALEJANDRO ( L ) - S-37</t>
  </si>
  <si>
    <t>1P 21</t>
  </si>
  <si>
    <t>1P 22</t>
  </si>
  <si>
    <t>1P 23</t>
  </si>
  <si>
    <t>1P 24</t>
  </si>
  <si>
    <t>1P 25</t>
  </si>
  <si>
    <t>1P 26</t>
  </si>
  <si>
    <t>1P 27</t>
  </si>
  <si>
    <t>1P 28</t>
  </si>
  <si>
    <t>1P 29</t>
  </si>
  <si>
    <t>1P 30</t>
  </si>
  <si>
    <t>GUARDIAS</t>
  </si>
  <si>
    <t>CAPITÁN DIAZ WILHELM CARLOS ANDRÉS - C40-C</t>
  </si>
  <si>
    <t>CORONEL PEREZ GUERRERO JUAN - G1-E</t>
  </si>
  <si>
    <t>CABO 2DO. DIEGO PINO SALAS - OF. OPERACIONES</t>
  </si>
  <si>
    <t>CAPITÁN MAIRA VERA NELSON - GRIFO 14</t>
  </si>
  <si>
    <t>ARIETE NOCTURNO 1</t>
  </si>
  <si>
    <t>ARIETE NOCTURNO 2</t>
  </si>
  <si>
    <t>ARIETE NOCTURNO 3</t>
  </si>
  <si>
    <t>ARIETE NOCTURNO 4</t>
  </si>
  <si>
    <t>ARIETE NOCTURNO 5</t>
  </si>
  <si>
    <t>*PROYECTIVO DE SERVICIOS SUJETO A MODIFICACIONES*</t>
  </si>
  <si>
    <t>SSOO</t>
  </si>
  <si>
    <t>HOSPITALIZADO</t>
  </si>
  <si>
    <t>CARABINERO RIQUELME SAEZ DIEGO ALEXIS - PTR-5</t>
  </si>
  <si>
    <t>S.O.M. BRAVO BRAVO ALEX  GONZALO - S-35</t>
  </si>
  <si>
    <t>MAYOR  SCHULZ VARGAS FELIPE ALBERTO - C40</t>
  </si>
  <si>
    <t>ESCUADRON C40 1</t>
  </si>
  <si>
    <t>ESCUADRON C40 2</t>
  </si>
  <si>
    <t>ESCUADRON C40 3</t>
  </si>
  <si>
    <t>ESCUADRON C40 4</t>
  </si>
  <si>
    <t>ESCUADRON C40 5</t>
  </si>
  <si>
    <t>ARIETE C40 1</t>
  </si>
  <si>
    <t>ARIETE C40 2</t>
  </si>
  <si>
    <t>ARIETE C40 3</t>
  </si>
  <si>
    <t>ARIETE C40 4</t>
  </si>
  <si>
    <t>ARIETE C40 5</t>
  </si>
  <si>
    <t>MAYOR</t>
  </si>
  <si>
    <t>ARIETE JO-40 1</t>
  </si>
  <si>
    <t>ARIETE JO-40 2</t>
  </si>
  <si>
    <t>ARIETE JO-40 3</t>
  </si>
  <si>
    <t>ARIETE JO-40 4</t>
  </si>
  <si>
    <t>ARIETE JO-40 5</t>
  </si>
  <si>
    <t>ESCUADRON JO-40 1</t>
  </si>
  <si>
    <t>ESCUADRON JO-40 2</t>
  </si>
  <si>
    <t>ESCUADRON JO-40 3</t>
  </si>
  <si>
    <t>ESCUADRON JO-40 4</t>
  </si>
  <si>
    <t>ESCUADRON JO-40 5</t>
  </si>
  <si>
    <t>SERVICIO BAQUEDANO</t>
  </si>
  <si>
    <t>BAQUEDANO 1</t>
  </si>
  <si>
    <t>BAQUEDANO 2</t>
  </si>
  <si>
    <t>BAQUEDANO 3</t>
  </si>
  <si>
    <t>BAQUEDANO 4</t>
  </si>
  <si>
    <t>BAQUEDANO 5</t>
  </si>
  <si>
    <t>BAQUEDANO 6</t>
  </si>
  <si>
    <t>BAQUEDANO 7</t>
  </si>
  <si>
    <t>BAQUEDANO 8</t>
  </si>
  <si>
    <t>FEBRE SANTIS FRANCISCO JAVIER</t>
  </si>
  <si>
    <t>962595K</t>
  </si>
  <si>
    <t>MAYOR FEBRE SANTIS FRANCISCO JAVIER - G3-E</t>
  </si>
  <si>
    <t>TTE. CRL. ANFOSSY SALAZAR CRISTIAN  ANTONIO - C40</t>
  </si>
  <si>
    <t>TTE. CRL. BASCUR VILLAGRAN GERARDO ANTONIO - G2-E</t>
  </si>
  <si>
    <t>S-EV-3</t>
  </si>
  <si>
    <t>S-EV-4</t>
  </si>
  <si>
    <t>JEFE/S-EV-3</t>
  </si>
  <si>
    <t>JEFE/S-EV-4</t>
  </si>
  <si>
    <t>SERVICIOS INTRACUARTEL</t>
  </si>
  <si>
    <t>231020</t>
  </si>
  <si>
    <t>CABO 2DO. JAVIERA JERIA VALDIVIA</t>
  </si>
  <si>
    <t>F. NAC.</t>
  </si>
  <si>
    <t>976681X</t>
  </si>
  <si>
    <t>ESCUADRÓN 11</t>
  </si>
  <si>
    <t>ESCUADRÓN 12</t>
  </si>
  <si>
    <t>ESCUADRÓN 13</t>
  </si>
  <si>
    <t>ESCUADRÓN 14</t>
  </si>
  <si>
    <t>ESCUADRÓN 15</t>
  </si>
  <si>
    <t>ESCUADRÓN 16</t>
  </si>
  <si>
    <t>SECCIONES EVENTUAL</t>
  </si>
  <si>
    <t>MEDIOS</t>
  </si>
  <si>
    <t>*PROYECTIVO SEMANAL SUJETO A MODIFICACIONES*</t>
  </si>
  <si>
    <t>969948K</t>
  </si>
  <si>
    <t>16410317K</t>
  </si>
  <si>
    <t>MARCHANT VASQUEZ GONZALO EDUARDO</t>
  </si>
  <si>
    <t>SGTO 2DO. MARCHANT VASQUEZ GONZALO EDUARDO - DISPONIBLE CUARTEL</t>
  </si>
  <si>
    <t>977309K</t>
  </si>
  <si>
    <t>SOTO ESCOBAR MILTON PABLO</t>
  </si>
  <si>
    <t>SGTO 2DO. SOTO ESCOBAR MILTON PABLO - DISPONIBLE CUARTEL</t>
  </si>
  <si>
    <t>982105M</t>
  </si>
  <si>
    <t>HERRERA HERNADEZ MARCO ERNESTO</t>
  </si>
  <si>
    <t>CABO 1RO. HERRERA HERNADEZ MARCO ERNESTO - DISPONIBLE CUARTEL</t>
  </si>
  <si>
    <t>986309D</t>
  </si>
  <si>
    <t>MORA TORRES ECSMAYN ALBERTO</t>
  </si>
  <si>
    <t>CABO 1RO. MORA TORRES ECSMAYN ALBERTO - DISPONIBLE CUARTEL</t>
  </si>
  <si>
    <t>996535H</t>
  </si>
  <si>
    <t>SEPULVEDA ABURTO FIDEL ALEXIS</t>
  </si>
  <si>
    <t>CABO 1RO. SEPULVEDA ABURTO FIDEL ALEXIS - DISPONIBLE CUARTEL</t>
  </si>
  <si>
    <t>983841P</t>
  </si>
  <si>
    <t>CABO 1RO. VALENZUELA SALAZAR PATRICIO SAMUEL - DISPONIBLE CUARTEL</t>
  </si>
  <si>
    <t>003306C</t>
  </si>
  <si>
    <t>YUBINI VARELA DANAIS YULIETHEMELINA</t>
  </si>
  <si>
    <t>CABO 1RO. YUBINI VARELA DANAIS YULIETHEMELINA - DISPONIBLE CUARTEL</t>
  </si>
  <si>
    <t>ESCUADRÓN EVENTUAL</t>
  </si>
  <si>
    <t>CABO 2DO. GRANDON GARRIDO CRISTIAN RICARDO - PTR-G-14</t>
  </si>
  <si>
    <t>Motivo Eliminado</t>
  </si>
  <si>
    <t>TRASLADO DOE - 174441916</t>
  </si>
  <si>
    <t>FECHA NACIMIENTO:</t>
  </si>
  <si>
    <t>(Ejemplo: DD-MM-AAAA)</t>
  </si>
  <si>
    <t>SALA DE ARMAS</t>
  </si>
  <si>
    <t>CABO 2DO. DE LA GUARDA PAILLALEF JOHAN IVAN - S-49</t>
  </si>
  <si>
    <t>CARABINERO VERA ARANGUIZ BENJAMIN ANDRES - S-46</t>
  </si>
  <si>
    <t>S</t>
  </si>
  <si>
    <t>INTERNOS</t>
  </si>
  <si>
    <t>ROBERTO DEL RIO</t>
  </si>
  <si>
    <t>SUBOFICIAL INOSTROZA ORMEÑO  MARGOT - O.P.U. PREFECTURA</t>
  </si>
  <si>
    <t>TRASLADO - DOE 174664573</t>
  </si>
  <si>
    <t>CABO 1RO. SOTO UGARTE KARINA DE LOS ÁNGELES  - AYUDANTÍA</t>
  </si>
  <si>
    <t>TRASLADO - DOE 174664576</t>
  </si>
  <si>
    <t>CARABINERO PINCHEIRA PINCHEIRA NICOLAS MARCELO - PROCESO DE DESPACHO</t>
  </si>
  <si>
    <t>DESPACHO 174677364</t>
  </si>
  <si>
    <t>CABO 2DO. VELASQUEZ BUSTOS CLAUDIO JOSE - S-40</t>
  </si>
  <si>
    <t>SGTO 2DO. ACEVEDO OLIVERA ENRIQUE SEBASTIAN - GUARDIA CUARTEL 3</t>
  </si>
  <si>
    <t>DESPACHO 174675925</t>
  </si>
  <si>
    <t>CARABINERO DIAZ PIZARRO NICOLAS ALEJANDRO - S-41</t>
  </si>
  <si>
    <t>DESPACHO DOE 174672947</t>
  </si>
  <si>
    <t>CABO 2DO. SILVA SILVA SEBASTIAN ANTONIO - S-45</t>
  </si>
  <si>
    <t>CARABINERO BRAVO GALDAMES DAVID ISMAEL - S-43</t>
  </si>
  <si>
    <t>DESPACHO 174672947</t>
  </si>
  <si>
    <t>CARABINERO ARIAS VASQUEZ MATIAS IGNACIO - S-36</t>
  </si>
  <si>
    <t xml:space="preserve">CABO 2DO. YAÑEZ GAJARDO CRISTOFER ALEXANDER - ESUCAR </t>
  </si>
  <si>
    <t>DESPACHO DOE 174666291</t>
  </si>
  <si>
    <t xml:space="preserve">CABO 1RO. PARIS CARTES JORGE MILTON  - ESUCAR </t>
  </si>
  <si>
    <t>DESPACHO DOE 174663154</t>
  </si>
  <si>
    <t xml:space="preserve">CABO 1RO. RUBILAR GARCES FABIAN HERNAN - ESUCAR </t>
  </si>
  <si>
    <t>DESPACHO 174663154</t>
  </si>
  <si>
    <t xml:space="preserve">CABO 1RO. HURTADO OLIVARES JUAN FRANCISCO                                                                                                                                                                                                       - ESUCAR </t>
  </si>
  <si>
    <t xml:space="preserve">SGTO 2DO. GODOY VERGARA CAMILO ROGER ( L-P-T ) - ESUCAR </t>
  </si>
  <si>
    <t xml:space="preserve">SGTO 2DO. SAAVEDRA GASEP DIEGO ALFREDO - ESUCAR </t>
  </si>
  <si>
    <t xml:space="preserve">CABO 2DO. CARREÑO CONTRERAS JEAN PAUL  - ESUCAR </t>
  </si>
  <si>
    <t xml:space="preserve">CABO 1RO. NAVARRETE CANCINO GONZALO GERMAN ( L - T  ) - ESUCAR </t>
  </si>
  <si>
    <t xml:space="preserve">CABO 2DO. TORRES VILLARROEL NICOLE - ESUCAR </t>
  </si>
  <si>
    <t xml:space="preserve">CABO 1RO. ROBLES MEZA CRISTIAN  MAURICIO - ESUCAR </t>
  </si>
  <si>
    <t xml:space="preserve">CABO 1RO. VEGA MIRANDA PABLO ANTONIO - ESUCAR </t>
  </si>
  <si>
    <t xml:space="preserve">CABO 1RO. CONCHA GUTIERREZ JUAN CARLOS - ESUCAR </t>
  </si>
  <si>
    <t>SUBOFICIAL INOSTROZA ORMEÑO MARGOT - DISPONIBLE CUARTEL</t>
  </si>
  <si>
    <t>CABO 1RO. SOTO UGARTE KARINA DE LOS ANGELES - DISPONIBLE CUARTEL</t>
  </si>
  <si>
    <t>CABO 2DO. JAVIERA JERIA VALDIVIA - OF. OPERACIONES</t>
  </si>
  <si>
    <t xml:space="preserve">CABO 1RO. LILLO PEÑA ARIEL VIVIANO - ESUCAR </t>
  </si>
  <si>
    <t>DESPACHO DOE 174731605</t>
  </si>
  <si>
    <t xml:space="preserve">SGTO 2DO. SALAS VARGAS JOSE MANUEL  ( L-P ) - ESUCAR </t>
  </si>
  <si>
    <t>DESPACHO-DOE 174731605</t>
  </si>
  <si>
    <t xml:space="preserve">CABO 1RO. LANDAETA LOPEZ CESAR ( L-T-P ) - ESUCAR </t>
  </si>
  <si>
    <t>DESPACHO- DOE 174731605</t>
  </si>
  <si>
    <t>SGTO 2DO. PADILLA MEDINA CLAUDIO ALEXIS  (L-T-P-S) - PTR-2</t>
  </si>
  <si>
    <t>TRASLADO 174759308</t>
  </si>
  <si>
    <t>SGTO 2DO. REYES OLIVARES FELIPE - OF. REQUERIMIENTOS</t>
  </si>
  <si>
    <t>CABO 2DO. ALCARRUZ MENDOZA BYRON PATRICIO (L) - PTR-2</t>
  </si>
  <si>
    <t>SGTO 2DO. MURRAY VELOSO BOB ROGER - OF. COMUNICACIONES Y AUDIOVISUALES</t>
  </si>
  <si>
    <t>TRASLADO 174759843</t>
  </si>
  <si>
    <t>TRASLADO</t>
  </si>
  <si>
    <t>TRASLADO 174763757</t>
  </si>
  <si>
    <t>AUDIOVISUAL X ORDEN G 2</t>
  </si>
  <si>
    <t>SGTO 1RO. GUZMAN CRUZ RAFAEL - PTR-1</t>
  </si>
  <si>
    <t>DESPACHO DOE 174905980</t>
  </si>
  <si>
    <t>SGTO 2DO. AGURTO CANALES MARISEL  - OF. ADMINISTRATIVA</t>
  </si>
  <si>
    <t>CABO 1RO. CALDERON GONZALEZ PATRICIO ANDRES - PTR-1</t>
  </si>
  <si>
    <t>FISCALIZADOR</t>
  </si>
  <si>
    <t>975371E</t>
  </si>
  <si>
    <t>VALENZUELA VERGARA SEBASTIAN EDUARDO</t>
  </si>
  <si>
    <t>SGTO 2DO. VALENZUELA VERGARA SEBASTIAN EDUARDO - DISPONIBLE CUARTEL</t>
  </si>
  <si>
    <t>CABO 1RO. PEÑA CIUDAD ALEJANDRO DE JESUS  - S-43</t>
  </si>
  <si>
    <t>DESPACHO DOE 174926172</t>
  </si>
  <si>
    <t>CARABINERO CORREA FERRADA CATALINA JAVIERA - S-31</t>
  </si>
  <si>
    <t>TENIENTE JANSANA SOTO JOAQUIN     - SSOO 6</t>
  </si>
  <si>
    <t>DESPACHO DOE 174937615</t>
  </si>
  <si>
    <t>962254T</t>
  </si>
  <si>
    <t>SOLIS SAEZ HECTOR ALEXIS</t>
  </si>
  <si>
    <t>SGTO 2DO. SOLIS SAEZ HECTOR ALEXIS - DISPONIBLE CUARTEL</t>
  </si>
  <si>
    <t>CARABINERO IMIO HUENCHUPAN JULIO CESAR - S-36</t>
  </si>
  <si>
    <t>RETIRO VOLUNTARIO DOE 174997133</t>
  </si>
  <si>
    <t>CABO 1RO. VERA VEGA NICOLAS ANTONIO ( L-T ) - DISPONIBLE CUARTEL</t>
  </si>
  <si>
    <t xml:space="preserve">FUERO MATERNAL </t>
  </si>
  <si>
    <t>ESCUADRON</t>
  </si>
  <si>
    <t>CARABINERO AVELLO FLORES CHARLIE OSVALDO - S-47</t>
  </si>
  <si>
    <t>TRASLADO DOE 175294787</t>
  </si>
  <si>
    <t>GRIFO 11 (S)</t>
  </si>
  <si>
    <t>GRIFO 12 (S)</t>
  </si>
  <si>
    <t>GRIFO 13 (S)</t>
  </si>
  <si>
    <t>GRIFO 14 (S)</t>
  </si>
  <si>
    <t>GRIFO 15 (S)</t>
  </si>
  <si>
    <t>GRIFO 16 (S)</t>
  </si>
  <si>
    <t>GRIFO 17 (S)</t>
  </si>
  <si>
    <t>GRIFO 18 (S)</t>
  </si>
  <si>
    <t>GRIFO 19 (S)</t>
  </si>
  <si>
    <t>GRIFO 20 (S)</t>
  </si>
  <si>
    <t>GRIFO 21 (S)</t>
  </si>
  <si>
    <t>GRIFO 22 (S)</t>
  </si>
  <si>
    <t>PTR-G-11 (S)</t>
  </si>
  <si>
    <t>PTR-G-12 (S)</t>
  </si>
  <si>
    <t>PTR-G-13 (S)</t>
  </si>
  <si>
    <t>PTR-G-14 (S)</t>
  </si>
  <si>
    <t>PTR-G-15 (S)</t>
  </si>
  <si>
    <t>PTR-G-16 (S)</t>
  </si>
  <si>
    <t>PTR-G-17 (S)</t>
  </si>
  <si>
    <t>PTR-G-18 (S)</t>
  </si>
  <si>
    <t>PTR-G-19 (S)</t>
  </si>
  <si>
    <t>PTR-G-20 (S)</t>
  </si>
  <si>
    <t>PTR-G-21 (S)</t>
  </si>
  <si>
    <t>PTR-G-22 (S)</t>
  </si>
  <si>
    <t>ESCUADRON EVENTUAL</t>
  </si>
  <si>
    <t>000684G</t>
  </si>
  <si>
    <t>18.856.866-1</t>
  </si>
  <si>
    <t>MORAGA RUIZ MARIO IGNACIO</t>
  </si>
  <si>
    <t>TENIENTE MORAGA RUIZ MARIO IGNACIO - SSOO 5</t>
  </si>
  <si>
    <t>TENIENTE SILVA NAVARRO JUAN MIGUEL - S-44</t>
  </si>
  <si>
    <t>TRASLADO 175489072</t>
  </si>
  <si>
    <t>CAPITÁN SEPULVEDA BERMUDEZ JOSE ANTONIO - C40-A</t>
  </si>
  <si>
    <t>CABO 2DO. MORA FREDES PABLO ESTEBAN - S-33</t>
  </si>
  <si>
    <t>TRASLADO 175910473</t>
  </si>
  <si>
    <t>ENFERMEDAD COMUN</t>
  </si>
  <si>
    <t>S-50</t>
  </si>
  <si>
    <t>S-50-B</t>
  </si>
  <si>
    <t>JEFE/S-50</t>
  </si>
  <si>
    <t>JEFE/S-50-B</t>
  </si>
  <si>
    <t>JEFE/S-51-B</t>
  </si>
  <si>
    <t>S-51-B</t>
  </si>
  <si>
    <t>JEFE/S-51</t>
  </si>
  <si>
    <t>S-51</t>
  </si>
  <si>
    <t>HERRERA RIVAS JUVENAL AGUSTIN</t>
  </si>
  <si>
    <t>FUENTES BRICEÑO DANIELA DEL CARMEN</t>
  </si>
  <si>
    <t>REYES MUÑOZ OSCAR</t>
  </si>
  <si>
    <t>ROMERO VENEGAS SERGIO HERNAN</t>
  </si>
  <si>
    <t>GARCES ORELLANA DIEGO ANDRES</t>
  </si>
  <si>
    <t>PALAVECINO LLANOS CAROLINA VIVIANA</t>
  </si>
  <si>
    <t>BARROS SOLAR FELIX</t>
  </si>
  <si>
    <t>TORRES GONZALEZ LUIS ALEXIS</t>
  </si>
  <si>
    <t>GARCIA VARGAS WILLIAMS</t>
  </si>
  <si>
    <t>HENRIQUEZ JARAMILLO FIDEL</t>
  </si>
  <si>
    <t>SEPULVEDA SANHUEZA NELSON E.</t>
  </si>
  <si>
    <t>ITURRA ISLA CRISTOBAL NICOLAS</t>
  </si>
  <si>
    <t>BUSTAMANTE CATALAN ESTEBAN HUMBERTO</t>
  </si>
  <si>
    <t>SABANDO VARELA CONSTANZA BELEN</t>
  </si>
  <si>
    <t>BARROS QUIJANO FABIAN ELIAS</t>
  </si>
  <si>
    <t>DIAZ CAAMAÑO JOSE LUIS</t>
  </si>
  <si>
    <t>ESQUIVEL CANCINO JOSE SEBASTIAN</t>
  </si>
  <si>
    <t>SANDOVAL CAMPOS LEONARDO JAVIER</t>
  </si>
  <si>
    <t>MONTIEL ULLOA CESAR</t>
  </si>
  <si>
    <t>CONTRERAS INOSTROZA FELIPE NEFTALI</t>
  </si>
  <si>
    <t>URRUTIA GALLARDO MARCELO</t>
  </si>
  <si>
    <t>SALAZAR CARVAJAL CARLOS</t>
  </si>
  <si>
    <t>BUSTOS QUEZADA RODRIGO</t>
  </si>
  <si>
    <t>ARIAS POLANCO LUIS MANUEL</t>
  </si>
  <si>
    <t>CANDIA LEPEZ DANIEL ALEXANDER</t>
  </si>
  <si>
    <t>VALLEJOS ELGUETA CRISTIAN</t>
  </si>
  <si>
    <t>OLIVARES VERA JOSE ALFREDO</t>
  </si>
  <si>
    <t>DURAN ARANEDA SIMON</t>
  </si>
  <si>
    <t>JELDES OYARZO DANIEL</t>
  </si>
  <si>
    <t>ZUÑIGA MONTECINO MAURICIO</t>
  </si>
  <si>
    <t>MATUS DE LA PARRA MALDONADO ALEX</t>
  </si>
  <si>
    <t>JARA ELGUETA JUAN</t>
  </si>
  <si>
    <t>ROZAS LARA PETRONILA DEL CARMEN</t>
  </si>
  <si>
    <t>GUAMPARITO SARMIENTO EDUARDO</t>
  </si>
  <si>
    <t>MUÑOZ RAMOS RODRIGO</t>
  </si>
  <si>
    <t>DUMONT GUZMAN NICOLE ANDREA</t>
  </si>
  <si>
    <t>MIRANDA MALDONADO ANDREA</t>
  </si>
  <si>
    <t>SANZANA DIAZ JORGE</t>
  </si>
  <si>
    <t>SOTO BECAR CRISTIAN ALEJANDRO</t>
  </si>
  <si>
    <t>ALVAREZ MANRIQUEZ RUBEN FERNANDO</t>
  </si>
  <si>
    <t>CARRILLO CASTILLO OFRICINIO MAURICO</t>
  </si>
  <si>
    <t>CORTES GALLARDO JAVIER</t>
  </si>
  <si>
    <t>NAVARRETE RAMOS RODRIGO IVAN</t>
  </si>
  <si>
    <t>VASQUEZ CID ALVARO RODRIGO</t>
  </si>
  <si>
    <t>GALLEGUILLOS LOPEZ RAMON ALEJANDRO</t>
  </si>
  <si>
    <t>VILCHE EVERT ISAIAS MARCELO</t>
  </si>
  <si>
    <t>URIBE GONZALEZ ALEXI</t>
  </si>
  <si>
    <t>GODOY BOBADILLA JUAN SEBASTIAN</t>
  </si>
  <si>
    <t>PALMA PINTO SAVKA ANAIS ANGELICA</t>
  </si>
  <si>
    <t>RAMIREZ ARAYA ALEX OMAR</t>
  </si>
  <si>
    <t>FERRADA CALDERON MANUEL IGNACIO</t>
  </si>
  <si>
    <t>NAVARRETE SEPULVEDA RICHAR</t>
  </si>
  <si>
    <t>SOTO ZUÑIGA JENNIFER MICHEL</t>
  </si>
  <si>
    <t>PARRA RIVAS ESTEBAN NICOLAS</t>
  </si>
  <si>
    <t>FUENTES RODRIGUEZ DIEGO ALEXIS</t>
  </si>
  <si>
    <t>VALENZUELA AGUILERA ENZO</t>
  </si>
  <si>
    <t>ARRATIA CONTRERAS CARLOS ALBERTO</t>
  </si>
  <si>
    <t>VEGA SOTO NELSON HUGO</t>
  </si>
  <si>
    <t>CEBALLOS SANHUEZA NELSON</t>
  </si>
  <si>
    <t>HORMAZABAL VALDES SAMUEL</t>
  </si>
  <si>
    <t>CACERES GOMEZ CAMILA</t>
  </si>
  <si>
    <t>MENDEZ NAVARRO DANIELA</t>
  </si>
  <si>
    <t>ORTIZ SALGADO AARON ADOLFO</t>
  </si>
  <si>
    <t>AVARIA LETELIER NICOLAS</t>
  </si>
  <si>
    <t>VALENZUELA SALAZAR PATRICIO SAMUEL</t>
  </si>
  <si>
    <t>VIDAL BURGOS GEOVANNY ELIZANDRO (L)</t>
  </si>
  <si>
    <t>CAPITÁN ZURITA MORGADO MARCO ANTONIO - JO-40</t>
  </si>
  <si>
    <t>TRASLADO ESCAR DOE 176324090</t>
  </si>
  <si>
    <t>CAPITÁN CALDERON CALDERON NICOLAS MAURICIO - SSOO 4</t>
  </si>
  <si>
    <t>ESCAR DOE 176324090</t>
  </si>
  <si>
    <t>VIDAL RIVAS PABLO ALEXIS (L - T -S)</t>
  </si>
  <si>
    <t>MARDONES GODOY OSCAR BORIS (L - P)</t>
  </si>
  <si>
    <t>GONZALEZ ALARCON MATIAS IGNACIO (L)</t>
  </si>
  <si>
    <t>ZUÑIGA NARVAEZ GUSTAVO FERNANDO (L - P - T)</t>
  </si>
  <si>
    <t>GODOY ALARCON HECTOR LEONARDO (L - T - P)</t>
  </si>
  <si>
    <t>PRADO VALLEJOS LUCIANO ESTEBAN (P - L - LA)</t>
  </si>
  <si>
    <t>GARAY SEGURA JORGE IGNACIO (T - L - P - LA)</t>
  </si>
  <si>
    <t>CASTILLO YAÑEZ EFRAN RODRIGO ANTONIO (L - P - T)</t>
  </si>
  <si>
    <t>ARENA QUIÑONES ALEXANDER NEFTALI (GRUA - L - P - T)</t>
  </si>
  <si>
    <t>GODOY CANALES ALEX (L - P - T - GRUA)</t>
  </si>
  <si>
    <t>CARREÑO MENA MAIKOL CLAUDIO (P - L - LA)</t>
  </si>
  <si>
    <t>PULIDO PASMINO OSCAR GONZALO (L - P - LA - T)</t>
  </si>
  <si>
    <t>ESPARZA GARCIA ANDRES (L - P - T)</t>
  </si>
  <si>
    <t>HERRERA HERRERA MICHAEL EDUARDO (L - P)</t>
  </si>
  <si>
    <t>IGOR CORONADO GUSTAVO A. (L - P - T)</t>
  </si>
  <si>
    <t>SAN MARTIN FIGUEROA OMAR ALEJANDRO (L - P-LA - T)</t>
  </si>
  <si>
    <t>TENIENTE SAENS SUAREZ GASPAR ALONSO - GRIFO 16</t>
  </si>
  <si>
    <t>NO PRESENTADO</t>
  </si>
  <si>
    <t>RESUMEN OFERTA OPERATIVA  Y ADMINISTRATIVA UNIFICADA ZONAS C.O.P ESTE 23-01-2023</t>
  </si>
  <si>
    <t>MANDOS DE LA REPARTICIÓN Y UNIDADES</t>
  </si>
  <si>
    <t>CARGO</t>
  </si>
  <si>
    <t>SUBPREFECTO SERVICIOS 1 COP ESTE</t>
  </si>
  <si>
    <t>SUBPREFECTO ADM. ESTE</t>
  </si>
  <si>
    <t xml:space="preserve">COMISARIO </t>
  </si>
  <si>
    <t>JEFE OPERATIVO</t>
  </si>
  <si>
    <t>SUBCOMISARIO DE LOS SERVICIOS 1</t>
  </si>
  <si>
    <t>SUBCOMISARIO DE LOS SERVICIOS 2</t>
  </si>
  <si>
    <t>SALIENTE SERVICIO NOCTURNO</t>
  </si>
  <si>
    <t>PATRULLA TR-TL - TI Y MOWAG</t>
  </si>
  <si>
    <t>PATRULLA TRASLADO DE IMPUTADOS</t>
  </si>
  <si>
    <t>PATRULLAS TANGO ROMEO</t>
  </si>
  <si>
    <t>PATRULLAS MOWAG</t>
  </si>
  <si>
    <t>ESCUADRON (SERVICIO GUARDIA)</t>
  </si>
  <si>
    <t>PUNTO FIJO ROBERTO DEL RIO</t>
  </si>
  <si>
    <t>COMISIÓN REJAS</t>
  </si>
  <si>
    <t>ESCUADRON (INTRACUARTEL)</t>
  </si>
  <si>
    <t>SOM ORDENES</t>
  </si>
  <si>
    <t>OFICINA DE OPERACIONES</t>
  </si>
  <si>
    <t>CAMPAMENTO TÁCTICO</t>
  </si>
  <si>
    <t>TALLER MECÁNICO</t>
  </si>
  <si>
    <t>PATRULLA AMUNICIODORA</t>
  </si>
  <si>
    <t>ASESOR JURÍDICO</t>
  </si>
  <si>
    <t>OTROS SERVICIOS</t>
  </si>
  <si>
    <t xml:space="preserve">FERIADOS Y PERMISO </t>
  </si>
  <si>
    <t>LICENCIAS MÉDICAS</t>
  </si>
  <si>
    <t>AGREGADOS PREFECTURA ESTE</t>
  </si>
  <si>
    <t>AGREGADOS OTRAS ZONAS</t>
  </si>
  <si>
    <t xml:space="preserve">  </t>
  </si>
  <si>
    <t>SGTO 2DO. SOTO MELLA JULIO ALEJANDRO (L) - S-43</t>
  </si>
  <si>
    <t>TRASLADO DOE 176735067</t>
  </si>
  <si>
    <t>CABO 1RO. ANDRADE VENEGAS ADAN ANDRES (L - P) - S-51</t>
  </si>
  <si>
    <t>CABO 1RO. CALDERON CASANOVA FERNANDO - S-43</t>
  </si>
  <si>
    <t>CABO 2DO. TORO FUENTES MARCO ALFREDO - S-37</t>
  </si>
  <si>
    <t>Cuenta de GRADO</t>
  </si>
  <si>
    <t>031371X</t>
  </si>
  <si>
    <t>16974663K</t>
  </si>
  <si>
    <t>GONZALEZ GONZALEZ JUAN ALBERTO</t>
  </si>
  <si>
    <t>CPR GONZALEZ GONZALEZ JUAN ALBERTO - RANCHO</t>
  </si>
  <si>
    <t>LUGAR</t>
  </si>
  <si>
    <t>ESC. 17</t>
  </si>
  <si>
    <t>SANTANDER VILLASECA JUAN ANDRES (L - P - S)</t>
  </si>
  <si>
    <t>17323636-0</t>
  </si>
  <si>
    <t>NOMBRE ACTIVIDAD O EVENTO</t>
  </si>
  <si>
    <t>992291R</t>
  </si>
  <si>
    <t>SAENS SUAREZ GASPAR ALONSO</t>
  </si>
  <si>
    <t>TENIENTE SAENS SUAREZ GASPAR ALONSO - SSOO 6</t>
  </si>
  <si>
    <t>CORDERO ALBORNOZ ALAN MATIAS</t>
  </si>
  <si>
    <t>SGTO 2DO. MAÑAN CACERES EDUARDO BENITO - S-31</t>
  </si>
  <si>
    <t>DOE 177407622</t>
  </si>
  <si>
    <t>ESCUADRÓN 17</t>
  </si>
  <si>
    <t>PTL-EV-3</t>
  </si>
  <si>
    <t>PTL-EV-4</t>
  </si>
  <si>
    <t>BECERRA MENDEZ JORGE IGNACIO</t>
  </si>
  <si>
    <t xml:space="preserve">ESCUADRON </t>
  </si>
  <si>
    <t>SECCIÓN REJAS</t>
  </si>
  <si>
    <t>SECCIÓN REJAS Y CORDELES 1</t>
  </si>
  <si>
    <t>SECCIÓN REJAS Y CORDELES 2</t>
  </si>
  <si>
    <t>SECCIÓN REJAS Y CORDELES 3</t>
  </si>
  <si>
    <t xml:space="preserve">JEFE DEL SERVICIO </t>
  </si>
  <si>
    <t>CARRILLO CASTILLO OFRICINIO MAURICO (L-T-P)</t>
  </si>
  <si>
    <t>PTR-G1</t>
  </si>
  <si>
    <t>PTR-G2</t>
  </si>
  <si>
    <t>PTR-G3</t>
  </si>
  <si>
    <t>PTR-G4</t>
  </si>
  <si>
    <t>PTR-C40</t>
  </si>
  <si>
    <t>PTR-JO-40</t>
  </si>
  <si>
    <t>PTR-C40-A</t>
  </si>
  <si>
    <t>PTR-C40-B</t>
  </si>
  <si>
    <t>PTR-C40-C</t>
  </si>
  <si>
    <t>PERMISO ENFERMEDAD GRAVE HIJO MENOR 1 AÑO</t>
  </si>
  <si>
    <t>SGTO 2DO. CORONADO GALLEGOS ROMINA NATALY - S-50</t>
  </si>
  <si>
    <t>S-53</t>
  </si>
  <si>
    <t>CABO 1RO. VERA VEGA NICOLAS ANTONIO (L - T) - S-47</t>
  </si>
  <si>
    <t>TRASLADO DOE 178473827</t>
  </si>
  <si>
    <t>001652C</t>
  </si>
  <si>
    <t>DEL PINO CASTILLO SUSANA ESTEFANIA</t>
  </si>
  <si>
    <t>CABO 2DO. DEL PINO CASTILLO SUSANA ESTEFANIA - S-50</t>
  </si>
  <si>
    <t>SGTO 1RO. CORREA GUZMAN RAIMUNDO (L) - S-40</t>
  </si>
  <si>
    <t>TRASLADO DOE NRO. XXXXX</t>
  </si>
  <si>
    <t>S.O.M. GUTIERREZ QUIJADA WILLIAMS - S-50</t>
  </si>
  <si>
    <t>TRASLADO DOE NRO. XXXX</t>
  </si>
  <si>
    <t>SGTO 2DO. SANHUEZA FIGUEROA JOSE EDUARDO (L) - CAPACITACIÓN Y REENTRENAMIENTO</t>
  </si>
  <si>
    <t>OFICIAL TERRITORIAL</t>
  </si>
  <si>
    <t>ESCUADRON 18</t>
  </si>
  <si>
    <t>ESCUADRON 19</t>
  </si>
  <si>
    <t>PTL-23</t>
  </si>
  <si>
    <t>VASQUEZ SILVA JOSE ROBERTO</t>
  </si>
  <si>
    <t>SGTO 2DO. VASQUEZ SILVA JOSE ROBERTO - MANTENCIÓN DE CUARTEL</t>
  </si>
  <si>
    <t>JEFE/PTL-23</t>
  </si>
  <si>
    <t>017276S</t>
  </si>
  <si>
    <t>189445547-7</t>
  </si>
  <si>
    <t>GRANDON PAVEZ KAREN MARLEN</t>
  </si>
  <si>
    <t>CARABINERO GRANDON PAVEZ KAREN MARLEN - S-53</t>
  </si>
  <si>
    <t>967726-S</t>
  </si>
  <si>
    <t>15.704.333-1</t>
  </si>
  <si>
    <t>SGTO 2DO. VASQUEZ SILVA JOSE ROBERTO - S-53</t>
  </si>
  <si>
    <t>DUPLICADO</t>
  </si>
  <si>
    <t>984042J</t>
  </si>
  <si>
    <t>17.448.653-0</t>
  </si>
  <si>
    <t>MARCO ROCA RUBEN ELIAS</t>
  </si>
  <si>
    <t>CABO 1RO. MARCO ROCA RUBEN ELIAS - S-49</t>
  </si>
  <si>
    <t>980367C</t>
  </si>
  <si>
    <t>RAMIREZ CORNEJO</t>
  </si>
  <si>
    <t>CABO 1RO. RAMIREZ CORNEJO - PERSONAL DISPONIBLE</t>
  </si>
  <si>
    <t>HORA</t>
  </si>
  <si>
    <t>S.O.M. URRA LOPEZ MARCELO - PROCESO RETIRO</t>
  </si>
  <si>
    <t xml:space="preserve">RETIRO </t>
  </si>
  <si>
    <t>S.O.M. SALAMANCA SEPULVEDA ROBERTO - PROCESO RETIRO</t>
  </si>
  <si>
    <t>SGTO 1RO. BENITEZ CARES ENRIQUE ALBERTO (L - P) - PROCESO RETIRO</t>
  </si>
  <si>
    <t>SUBOFICIAL AGUILA ESCOBAR GUILERMO EULOGIO - S-34</t>
  </si>
  <si>
    <t>BAJA DOE 179467122 RES. 121</t>
  </si>
  <si>
    <t>CPR CABRALES ROJAS FABIAN  - MECANICO</t>
  </si>
  <si>
    <t>CABO 1RO. CASTILLO PEREZ SOLEDAD ANGELICA - PROCESO DE DESPACHO</t>
  </si>
  <si>
    <t>DESPACHO DOE 179659108</t>
  </si>
  <si>
    <t>CABO 2DO. SANCHEZ MADRID FELIPE IGNACIO - S-53</t>
  </si>
  <si>
    <t>CARABINERO URRA BORQUEZ JONATHAN MATIAS - S-39</t>
  </si>
  <si>
    <t>PTL-VOLANTES</t>
  </si>
  <si>
    <t>GRECIA MACUL</t>
  </si>
  <si>
    <t>CONTROL ORDEN PUBLICO</t>
  </si>
  <si>
    <t>CONSTITUCION</t>
  </si>
  <si>
    <t>HORA DE PRESENTACION</t>
  </si>
  <si>
    <t>GRIFO 23</t>
  </si>
  <si>
    <t>GRIFO 24</t>
  </si>
  <si>
    <t>GRIFO 25</t>
  </si>
  <si>
    <t>GRIFO 26</t>
  </si>
  <si>
    <t>SUBCOM.  ADM.</t>
  </si>
  <si>
    <t>CARABINERO VILLAGRA LOPEZ DANIEL JOSE - S-53</t>
  </si>
  <si>
    <t>18116070311 RENUNCIA DEL EMPLEO</t>
  </si>
  <si>
    <t>SGTO 1RO. FARIAS LAVIGNE EDUARDO ARTURO - S-53</t>
  </si>
  <si>
    <t>RETIRO 179661805</t>
  </si>
  <si>
    <t>SGTO 1RO. PASTEN TUREN RODRIGO DANIEL - AGREGADOS</t>
  </si>
  <si>
    <t>BAJA VOLUNTARIA DOE 181476338</t>
  </si>
  <si>
    <t>CABO 1RO. ZELADA MORALES CRISTOPHER ANDRE - DISPONIBLE CUARTEL</t>
  </si>
  <si>
    <t xml:space="preserve">NO CUENTA </t>
  </si>
  <si>
    <t>CARABINERO URIBE CARRASCO YERKO IGNACIO - DISPONIBLE CUARTEL</t>
  </si>
  <si>
    <t>031516H</t>
  </si>
  <si>
    <t xml:space="preserve">OLMEDO GARCIA GASPAR </t>
  </si>
  <si>
    <t>CPR OLMEDO GARCIA GASPAR  - MECANICO</t>
  </si>
  <si>
    <t>CABO 2DO. HERNANDEZ TOPP JAIRO PATRICIO - S-46</t>
  </si>
  <si>
    <t>BAJA DOE 182149665</t>
  </si>
  <si>
    <t>CARABINERO URRA BORQUEZ JONATHAN MATIAS - S-35</t>
  </si>
  <si>
    <t>TRASLADO DOE 182436273</t>
  </si>
  <si>
    <t>CONTRERAS GALLEGUILLOS RODRIGO IGNACIO (S T P )</t>
  </si>
  <si>
    <t>SUBTENIENTE SALVATIERRA TOLEDO EDUARDO ALEXANDER - S-39</t>
  </si>
  <si>
    <t>BAJA 182721950</t>
  </si>
  <si>
    <t>CABO 1RO. MUÑOZ SEPULVEDA FREDY ANDRES - S-53</t>
  </si>
  <si>
    <t>BAJA VOLUNTARIA 182784209</t>
  </si>
  <si>
    <t>MENDEZ URRA CRISTIAN FELIPE (IFEX)</t>
  </si>
  <si>
    <t>MATUS MEDINA LUCAS LEONEL (IFEX)</t>
  </si>
  <si>
    <t>Ausentabilidad</t>
  </si>
  <si>
    <t>Parametro</t>
  </si>
  <si>
    <t>Obtenida</t>
  </si>
  <si>
    <t>UNIDAD / DESTACAMENTO</t>
  </si>
  <si>
    <t>TIPO DE SERVICIO</t>
  </si>
  <si>
    <t>COP ESTE</t>
  </si>
  <si>
    <t>PLANA MAYOR COP ESTE</t>
  </si>
  <si>
    <t>Plana Mayor COP Este</t>
  </si>
  <si>
    <t>Servicios Población</t>
  </si>
  <si>
    <t>1T Pob.</t>
  </si>
  <si>
    <t>FZ</t>
  </si>
  <si>
    <t>RP</t>
  </si>
  <si>
    <t>RM</t>
  </si>
  <si>
    <t>MTT</t>
  </si>
  <si>
    <t>AC</t>
  </si>
  <si>
    <t>BIC</t>
  </si>
  <si>
    <t>AB</t>
  </si>
  <si>
    <t>TL</t>
  </si>
  <si>
    <t>TR</t>
  </si>
  <si>
    <t>2T Pob.</t>
  </si>
  <si>
    <t>3T Pob.</t>
  </si>
  <si>
    <t>1P Pob.</t>
  </si>
  <si>
    <t>2P Pob.</t>
  </si>
  <si>
    <t>Suma Automática</t>
  </si>
  <si>
    <t>24 HRS Pob.</t>
  </si>
  <si>
    <t>VERIFICADOR</t>
  </si>
  <si>
    <t>Servicios Intracuarteles y Administrativos</t>
  </si>
  <si>
    <t>24 HRS</t>
  </si>
  <si>
    <t>SERV. EXT.</t>
  </si>
  <si>
    <t>Panne</t>
  </si>
  <si>
    <t>Tramite de Baja</t>
  </si>
  <si>
    <t>ECO</t>
  </si>
  <si>
    <t>Operativo (Sin Servicio)</t>
  </si>
  <si>
    <t>PAR</t>
  </si>
  <si>
    <t>1T Int.</t>
  </si>
  <si>
    <t>2T Int.</t>
  </si>
  <si>
    <t>3T Int.</t>
  </si>
  <si>
    <t>1P Int.</t>
  </si>
  <si>
    <t>2P Int.</t>
  </si>
  <si>
    <t>24 HRS Int.</t>
  </si>
  <si>
    <t>Otros</t>
  </si>
  <si>
    <t>AGR. DENTRO</t>
  </si>
  <si>
    <t>AGR. FUERA</t>
  </si>
  <si>
    <t>SALIENTE NOCHE</t>
  </si>
  <si>
    <t>CAPACITACIONES</t>
  </si>
  <si>
    <t>40° Comisaría COP</t>
  </si>
  <si>
    <t>SN</t>
  </si>
  <si>
    <t>CABO 1RO. ARAVENA MATAMALA CAMILO RAMON ESTEBAN - S-37</t>
  </si>
  <si>
    <t>DESPACHO DOE 183237102</t>
  </si>
  <si>
    <t>MELLADO MAULEN ALADIN MOISES</t>
  </si>
  <si>
    <t>MAYOR RIVERA LEVANCCINI MAURICIO - A/J</t>
  </si>
  <si>
    <t>(Todas)</t>
  </si>
  <si>
    <t>SGTO 1RO. VALENZUELA TAPIA VICTOR ANDRES - S-43</t>
  </si>
  <si>
    <t>BAJA DOE. 183715210</t>
  </si>
  <si>
    <t>CABO 1RO. VILLANUEVA CARREÑO RAFAELA - S-53</t>
  </si>
  <si>
    <t>BAJA 184058610</t>
  </si>
  <si>
    <t>JEFE/PTL-EV-3</t>
  </si>
  <si>
    <t>OF. ORDENES JUDICIALES</t>
  </si>
  <si>
    <t>SGTO 1RO. ENCINA CASTILLO ARNOLDO ESTEBAN - S-53</t>
  </si>
  <si>
    <t>RETIRO VOLUNTARIO 182704810</t>
  </si>
  <si>
    <t>DOM. EX SE</t>
  </si>
  <si>
    <t>MARCOS ROCA RUBEN ELIAS</t>
  </si>
  <si>
    <t>CARABINERO URIBE CARRASCO YERKO IGNACIO - GUARDIA CUARTEL 3</t>
  </si>
  <si>
    <t>TRASLADO. DOE. 185662756</t>
  </si>
  <si>
    <t>SEPULVEDA SANHUEZA NELSON EDUARDO</t>
  </si>
  <si>
    <t>URIBE GONZALEZ ALEXI RODRIGO</t>
  </si>
  <si>
    <t>DURAN ARANEDA SIMON ELEASER</t>
  </si>
  <si>
    <t>SGTO 1RO. RAMIREZ CASTILLO BORIS ALEXIS - INTERNO 3</t>
  </si>
  <si>
    <t>DESPACHO DOE 185976028</t>
  </si>
  <si>
    <t>CABO 1RO. SEPULVEDA GUZMAN LEOMER ARIEL   (IFEX) - S-39</t>
  </si>
  <si>
    <t>CABO 1RO. VIVANCO TORRES PABLO - S-50</t>
  </si>
  <si>
    <t>CABO 2DO. REBILLOT REYES ROCIO ANDREA - INVENTARIO</t>
  </si>
  <si>
    <t>CABO 2DO. AVILA TAPIA LUIS NICOLAS - S-38</t>
  </si>
  <si>
    <t>CABO 1RO. HERNANDEZ HERNANDEZ ANGELO ROGELIO - S-46</t>
  </si>
  <si>
    <t>DESPACHO DOE 185996704</t>
  </si>
  <si>
    <t>CABO 2DO. CALDERON FARFAN RUBEN ANDRES  (L) - S-51</t>
  </si>
  <si>
    <t>CABO 2DO. SANCHEZ BARRIA CARLOS IGNACIO  (IFEX) - S-36</t>
  </si>
  <si>
    <t>CABO 2DO. RUBILAR SALAZAR NICOLAS ANTONIO - S-33</t>
  </si>
  <si>
    <t>CABO 2DO. TORRES HUENUPI OSCAR PATRICIO - S-35</t>
  </si>
  <si>
    <t>CABO 1RO. SEPULVEDA MANRIQUEZ CRISTOBAL - S-36</t>
  </si>
  <si>
    <t>DESPACHO DOE 186003577</t>
  </si>
  <si>
    <t>021939P</t>
  </si>
  <si>
    <t>18359870-8</t>
  </si>
  <si>
    <t>MAUREIRA VILLALOBOS PEDRO LUIS</t>
  </si>
  <si>
    <t>CARABINERO MAUREIRA VILLALOBOS PEDRO LUIS - DISPONIBLE CUARTEL</t>
  </si>
  <si>
    <t>CIVIL GRADO EQUIVALENTE</t>
  </si>
  <si>
    <t>998121L</t>
  </si>
  <si>
    <t>QUEZADA VERGARA GABRIEL ANTONIO</t>
  </si>
  <si>
    <t>CABO 1RO. QUEZADA VERGARA GABRIEL ANTONIO - APOYO REGIMEN INTERNO</t>
  </si>
  <si>
    <t>CABO 2DO. DURAN CONTRERAS CRISTOPHER MATIAS - S-46</t>
  </si>
  <si>
    <t>DESPACHO DOE 186086353</t>
  </si>
  <si>
    <t>CABO 1RO. DOMINGUEZ QUEZADA CLAUDIO - P.F. ROBERTO DEL RIO 2</t>
  </si>
  <si>
    <t>978461C</t>
  </si>
  <si>
    <t>16.279.778-6</t>
  </si>
  <si>
    <t>ALISTE TORRES FRANCSICO GEOVANNI</t>
  </si>
  <si>
    <t>CABO 1RO. ALISTE TORRES FRANCSICO GEOVANNI - DISPONIBLE CUARTEL</t>
  </si>
  <si>
    <t>001191P</t>
  </si>
  <si>
    <t>19.317.693-3</t>
  </si>
  <si>
    <t>CABO 1RO. RIQUELME MONTECINOS MARCOS ARTURO (L) - APOYO REGIMEN INTERNO</t>
  </si>
  <si>
    <t>953013M</t>
  </si>
  <si>
    <t>12.995.287-3</t>
  </si>
  <si>
    <t>SUBOFICIAL ROSALES CALDERON MARCO ANTONIO (L) - APOYO REGIMEN INTERNO</t>
  </si>
  <si>
    <t>CASTILLO SANTOS GERMAN ANDRES ALEXIS</t>
  </si>
  <si>
    <t>005134R</t>
  </si>
  <si>
    <t>19518015-6</t>
  </si>
  <si>
    <t>GARCIA GARCIA MACARENA SOLEDAD</t>
  </si>
  <si>
    <t>CABO 2DO. GARCIA GARCIA MACARENA SOLEDAD - APOYO REGIMEN INTERNO</t>
  </si>
  <si>
    <t>CABO 2DO. GALLARDO LIENQUEO JOVANNI GERARDO - S-33</t>
  </si>
  <si>
    <t>TRASLADO DOE 186003577</t>
  </si>
  <si>
    <t>022113C</t>
  </si>
  <si>
    <t>18.682.255-2</t>
  </si>
  <si>
    <t>TOLEDO MARQUEZ FRANCO FRABRICIO</t>
  </si>
  <si>
    <t>CARABINERO TOLEDO MARQUEZ FRANCO FRABRICIO - APOYO REGIMEN INTERNO</t>
  </si>
  <si>
    <t>972179B</t>
  </si>
  <si>
    <t>10631149-8</t>
  </si>
  <si>
    <t>SANHUEZA VARGAS JULIAN RODRIGO</t>
  </si>
  <si>
    <t>SGTO 2DO. SANHUEZA VARGAS JULIAN RODRIGO - APOYO REGIMEN INTERNO</t>
  </si>
  <si>
    <t>021806K</t>
  </si>
  <si>
    <t>18,877,931-K</t>
  </si>
  <si>
    <t>FUENTES GONZALEZ VALENTINA ANDREA</t>
  </si>
  <si>
    <t>CARABINERO FUENTES GONZALEZ VALENTINA ANDREA - APOYO REGIMEN INTERNO</t>
  </si>
  <si>
    <t>983432D</t>
  </si>
  <si>
    <t>17460997-7</t>
  </si>
  <si>
    <t>VALENZUELA SANDOVAL CESAR MAURICIO</t>
  </si>
  <si>
    <t>CABO 1RO. VALENZUELA SANDOVAL CESAR MAURICIO - APOYO REGIMEN INTERNO</t>
  </si>
  <si>
    <t>S.O.M. GRANDON MUÑOZ DAVID - PROCESO RETIRO</t>
  </si>
  <si>
    <t>RETIRO DOE 174597152</t>
  </si>
  <si>
    <t>015449W</t>
  </si>
  <si>
    <t>19070253-7</t>
  </si>
  <si>
    <t>CEBALLOS ORTEGA SANDRO ALEX</t>
  </si>
  <si>
    <t>CABO 2DO. CEBALLOS ORTEGA SANDRO ALEX - APOYO REGIMEN INTERNO</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</si>
  <si>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</si>
  <si>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</si>
  <si>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</si>
  <si>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</si>
  <si>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</si>
  <si>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</si>
  <si>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</si>
  <si>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</si>
  <si>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</si>
  <si>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</si>
  <si>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</si>
  <si>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</si>
  <si>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</si>
  <si>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</si>
  <si>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</si>
  <si>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</si>
  <si>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</si>
  <si>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</si>
  <si>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</si>
  <si>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</si>
  <si>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</si>
  <si>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</si>
  <si>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</si>
  <si>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</si>
  <si>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</si>
  <si>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</si>
  <si>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</si>
  <si>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</si>
  <si>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</si>
  <si>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</si>
  <si>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</si>
  <si>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</si>
  <si>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</si>
  <si>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</si>
  <si>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</si>
  <si>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</si>
  <si>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</si>
  <si>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SALAS CABEZAS JUAN MANUEL</t>
  </si>
  <si>
    <t>15627367-8</t>
  </si>
  <si>
    <t>962848G</t>
  </si>
  <si>
    <t>SGTO 1RO. SALAS CABEZAS JUAN MANUEL - APOYO REGIMEN INTERNO</t>
  </si>
  <si>
    <t>973713T</t>
  </si>
  <si>
    <t>16289416-1</t>
  </si>
  <si>
    <t>ROMERO QUEZADA VICTOR MANUEL</t>
  </si>
  <si>
    <t>SGTO 2DO. ROMERO QUEZADA VICTOR MANUEL - APOYO REGIMEN INTERNO</t>
  </si>
  <si>
    <t>023175K</t>
  </si>
  <si>
    <t>20275062-1</t>
  </si>
  <si>
    <t>GUTIERREZ MARTINEZ  MATIAS IGNACIO</t>
  </si>
  <si>
    <t>CARABINERO GUTIERREZ MARTINEZ  MATIAS IGNACIO - APOYO REGIMEN INTERNO</t>
  </si>
  <si>
    <t>DIAZ SILVA GABRIEL OSMIN (L - P - T)</t>
  </si>
  <si>
    <t>SEPULVEDA ABURTO FIDEL ALEXIS (L - P - S - T)</t>
  </si>
  <si>
    <t>AGUILAR REYES MAURICIO OSVALDO (L - T - P)</t>
  </si>
  <si>
    <t>MOYA ROJAS PATRICIO ANTONIO (L - T)</t>
  </si>
  <si>
    <t>GUZMAN SILVA FELIX ALBERTO (L - P - T)</t>
  </si>
  <si>
    <t>VIVANCO MUNDACA FRANCISCO (IFEX)</t>
  </si>
  <si>
    <t>GALMES MUÑOZ MATIAS CRISTOFER (IFEX)</t>
  </si>
  <si>
    <t>CABRERA PONCE ERICK CHRISTOPER ALEXANDER (IFEX)</t>
  </si>
  <si>
    <t>ESQUIVEL CANCINO JOSE SEBASTIAN (IFEX)</t>
  </si>
  <si>
    <t>CARRASCO CACERES BRYAN HUGO (IFEX)</t>
  </si>
  <si>
    <t>GUAJARDO TORRES BASTIAN ANDRES (IFEX)</t>
  </si>
  <si>
    <t>CABELLO ESPINOZA GENESIS PALOMA (IFEX)</t>
  </si>
  <si>
    <t>GARRIDO BARRIA JAVIERA ALEJANDRA (IFEX)</t>
  </si>
  <si>
    <t>PARRA RIVAS ESTEBAN NICOLAS (IFEX)</t>
  </si>
  <si>
    <t>WELLMANN LOBOS JAVIER IGNACIO (IFEX)</t>
  </si>
  <si>
    <t>PEÑA PEÑA RICARDO IGNACIO (IFEX)</t>
  </si>
  <si>
    <t>RETAMAL CACERES WILLIAM ALEXIS (IFEX)</t>
  </si>
  <si>
    <t>SABANDO VARELA CONSTANZA BELEN (IFEX)</t>
  </si>
  <si>
    <t>IRRIBARRA CONCHA RAMON ALFONSO (IFEX)</t>
  </si>
  <si>
    <t>DIAZ CAAMAÑO JOSE LUIS (IFEX)</t>
  </si>
  <si>
    <t>ARIAS POLANCO LUIS MANUEL (IFEX)</t>
  </si>
  <si>
    <t>BARRIGA PAVEZ ROBERT MOISES (IFEX)</t>
  </si>
  <si>
    <t>CURANAHUEL LEINLAF RUTH LUCIA (IFEX)</t>
  </si>
  <si>
    <t>LIZAMA ROMERO GONZALO MICHAEL (IFEX)</t>
  </si>
  <si>
    <t>ORTEGA SANDOVAL FRANCISCO JAVIER (IFEX)</t>
  </si>
  <si>
    <t>ZAPATA OÑATE ANDREA VALENTINA ( IFEX)</t>
  </si>
  <si>
    <t>ORTIZ NOVA PATRICIO EDUARDO (L - P - T)</t>
  </si>
  <si>
    <t>ALVAREZ MANRIQUEZ RUBEN FERNANDO (L - P)</t>
  </si>
  <si>
    <t>MOLINA VALDES JOSE DANIEL (L - T - P)</t>
  </si>
  <si>
    <t>OLMEDO GARCIA GASPAR</t>
  </si>
  <si>
    <t>APS</t>
  </si>
  <si>
    <t/>
  </si>
  <si>
    <t>(L - P - T)</t>
  </si>
  <si>
    <t>(L - P - S - T)</t>
  </si>
  <si>
    <t>(L-T)</t>
  </si>
  <si>
    <t>(L - T - P)</t>
  </si>
  <si>
    <t>(L - T -S)</t>
  </si>
  <si>
    <t>(L-T-P)</t>
  </si>
  <si>
    <t>(L - T)</t>
  </si>
  <si>
    <t>(T-S )</t>
  </si>
  <si>
    <t>(L - P - S)</t>
  </si>
  <si>
    <t>(T)</t>
  </si>
  <si>
    <t>(IFEX)</t>
  </si>
  <si>
    <t>( T )</t>
  </si>
  <si>
    <t>(S T P )</t>
  </si>
  <si>
    <t>(T - L - S)</t>
  </si>
  <si>
    <t>(L)</t>
  </si>
  <si>
    <t>(L - T-S )</t>
  </si>
  <si>
    <t>(L -T -S)</t>
  </si>
  <si>
    <t>( L )</t>
  </si>
  <si>
    <t>(L-P)</t>
  </si>
  <si>
    <t>( IFEX)</t>
  </si>
  <si>
    <t>(P - L - LA)</t>
  </si>
  <si>
    <t>(L - P-LA - T)</t>
  </si>
  <si>
    <t>(L - P - LA - T)</t>
  </si>
  <si>
    <t>(T - L - P - LA)</t>
  </si>
  <si>
    <t>(L - P - T - GRUA)</t>
  </si>
  <si>
    <t>(L - P)</t>
  </si>
  <si>
    <t>(GRUA - L - P - T)</t>
  </si>
  <si>
    <t>(L - P-T)</t>
  </si>
  <si>
    <t>012267U</t>
  </si>
  <si>
    <t>19.738.519-7</t>
  </si>
  <si>
    <t xml:space="preserve">QUEZADA AREVALO GABRIEL ALFREDO </t>
  </si>
  <si>
    <t>PROYECTO_PINO</t>
  </si>
  <si>
    <t>994458S</t>
  </si>
  <si>
    <t>17222458-K</t>
  </si>
  <si>
    <t>ACEVEDO CEBALLOS LUIS EDUARDO (L)</t>
  </si>
  <si>
    <t>CABO 1RO. FUENTES MAULEN MARCELA PAZ - S-31</t>
  </si>
  <si>
    <t>TRASLADO ( A ) DOE 187003379</t>
  </si>
  <si>
    <t>CARABINERO FUENTES ARANCIBIA DIEGO JAVIER (IFEX) - S-48</t>
  </si>
  <si>
    <t>TRASLADO DOE 187001977</t>
  </si>
  <si>
    <t>(T-J-P)</t>
  </si>
  <si>
    <t>966615S</t>
  </si>
  <si>
    <t>15.367.991-6</t>
  </si>
  <si>
    <t>PEREZ BASTIAS LUIS ANTONIO</t>
  </si>
  <si>
    <t>SGTO 2DO. PEREZ BASTIAS LUIS ANTONIO - APOYO REGIMEN INTERNO</t>
  </si>
  <si>
    <t>CABO 1RO. GALLARDO CARDENAS CARLOS JAVIER (L - P) - S-39</t>
  </si>
  <si>
    <t>DESPACHO DOE 187124681</t>
  </si>
  <si>
    <t xml:space="preserve">CIUDADANIA </t>
  </si>
  <si>
    <t>995427C</t>
  </si>
  <si>
    <t>VARGAS NEIRA HECTOR OSVALDO</t>
  </si>
  <si>
    <t>CABO 1RO. VARGAS NEIRA HECTOR OSVALDO - APOYO REGIMEN INTERNO</t>
  </si>
  <si>
    <t>CABO 2DO. PALMA ALVAREZ ILEINNG ANDREA - GUARDIA CUARTEL 4</t>
  </si>
  <si>
    <t>TRASLADAO DOE 187154995</t>
  </si>
  <si>
    <t>GALLEGUILLO LOPEZ RAMON ALEJANDRO</t>
  </si>
  <si>
    <t>020393X</t>
  </si>
  <si>
    <t>19648169-9</t>
  </si>
  <si>
    <t>BECERRA SAGREDO SEBASTIAN ALEJANDRO</t>
  </si>
  <si>
    <t>CARABINERO BECERRA SAGREDO SEBASTIAN ALEJANDRO - APOYO REGIMEN INTERNO</t>
  </si>
  <si>
    <t>956814Q</t>
  </si>
  <si>
    <t>CORTES VARA MARCO EDGARDO</t>
  </si>
  <si>
    <t>CABO 1RO. RUBEN MARCOS ROCA</t>
  </si>
  <si>
    <t>9840</t>
  </si>
  <si>
    <t>(L - T )</t>
  </si>
  <si>
    <t>CPR MUÑOZ ORTIZ JORGE ANDRES - MECANICO</t>
  </si>
  <si>
    <t>BAJA VOLUNTARIA</t>
  </si>
  <si>
    <t>CABO 2DO. MUÑOZ MELLA WLADEMIR WILLIANS - S-53</t>
  </si>
  <si>
    <t>DESPACHO DOE 188311133</t>
  </si>
  <si>
    <t>CABO 1RO. FERNANDEZ SILVA FRANCESCA PAOLA - S-46</t>
  </si>
  <si>
    <t>DESPACHO DOE 188310240</t>
  </si>
  <si>
    <t>CABO 1RO. RUBEN MARCOS ROCA - OF. OPERACIONES</t>
  </si>
  <si>
    <t>001265G</t>
  </si>
  <si>
    <t>DIAZ OPAZO ESTEBAN ALEJANDRO</t>
  </si>
  <si>
    <t>18.967.472-4</t>
  </si>
  <si>
    <t>CABO 2DO. DIAZ OPAZO ESTEBAN ALEJANDRO - APOYO REGIMEN INTERNO</t>
  </si>
  <si>
    <t>CABO 1RO. SANDOVAL ROSAS SERGIO ALFONSO - S-42</t>
  </si>
  <si>
    <t>DESPACHO POR TRASLADO DOE 188676992</t>
  </si>
  <si>
    <t>000121T</t>
  </si>
  <si>
    <t>17.997.131-3</t>
  </si>
  <si>
    <t>MANCILLA BASCHMANN LUIS ALEJANDRO</t>
  </si>
  <si>
    <t>CABO 1RO. MANCILLA BASCHMANN LUIS ALEJANDRO - APOYO REGIMEN INTERNO</t>
  </si>
  <si>
    <t>CAPITÁN FUENTES FUENTES CAROLINA - GRIFO 12</t>
  </si>
  <si>
    <t>TRASLADO DOE 188903294</t>
  </si>
  <si>
    <t>CIUDADANIA</t>
  </si>
  <si>
    <t>15608342-9</t>
  </si>
  <si>
    <t>982804J</t>
  </si>
  <si>
    <t>CAPITÁN VÍCTOR MANUEL SÁNCHEZ CASTRO - SSOO 6</t>
  </si>
  <si>
    <t>CACERES GOMEZ CAMILA ISABEL</t>
  </si>
  <si>
    <t>PTR-G-23</t>
  </si>
  <si>
    <t>SANCHEZ CASTRO VICTOR MANUEL</t>
  </si>
  <si>
    <t>RELACION DISPOSITIVO BLINDADOS TERRITORIALES Y COP ESTE</t>
  </si>
  <si>
    <t>JEFE DE DISPOSITIVO</t>
  </si>
  <si>
    <t>DISPOSITIVO BLINDADO</t>
  </si>
  <si>
    <t>MEDIOS HUMANOS</t>
  </si>
  <si>
    <t>NRO</t>
  </si>
  <si>
    <t>UNIDAD</t>
  </si>
  <si>
    <t>NOMBRE Y APELLIDO</t>
  </si>
  <si>
    <t>FONO</t>
  </si>
  <si>
    <t>ESTADO</t>
  </si>
  <si>
    <t>HORARIO DEL SERVICIO</t>
  </si>
  <si>
    <t>FACCION</t>
  </si>
  <si>
    <t>OBSERVACION</t>
  </si>
  <si>
    <t>40 COP ESTE</t>
  </si>
  <si>
    <t>PANNE</t>
  </si>
  <si>
    <t>AGREGADO</t>
  </si>
  <si>
    <t>TPB-341</t>
  </si>
  <si>
    <t>TPB-337</t>
  </si>
  <si>
    <t>TPB-057</t>
  </si>
  <si>
    <t>CABO 1RO. HUENCHO CERDA VALERIA - S-53</t>
  </si>
  <si>
    <t>TRASLADO DOE 189454733</t>
  </si>
  <si>
    <t>NO CORRESPONDE</t>
  </si>
  <si>
    <t>PEÑA TRONCOSO MANUEL ALEJANDRO ( L )</t>
  </si>
  <si>
    <t>ORDEN CONDOR 40 / KIOSCO</t>
  </si>
  <si>
    <t xml:space="preserve">COLOMA LUENGO IVAN ALEJANDRO </t>
  </si>
  <si>
    <t>SGTO 2DO. CACERES FUENTES CLAUDIO ANDRES (L - P - T) - S-53</t>
  </si>
  <si>
    <t>TRASLADO DOE.190023827</t>
  </si>
  <si>
    <t>SGTO 2DO. CACERES FUENTES CLAUDIO ANDRES - S-53</t>
  </si>
  <si>
    <t>SGTO 2DO. CARILAO HUENUPE MARCELO JAVIER (L - P - T -) - S-53</t>
  </si>
  <si>
    <t>TTE. CRL. DONOSO IRIBARREN CLAUDIO ALBERTO - G1-E</t>
  </si>
  <si>
    <t>TRASLADO 190184786</t>
  </si>
  <si>
    <t>BASCUR VILLAGRAN GERARDO ANTONIO</t>
  </si>
  <si>
    <t>14.514.232-6</t>
  </si>
  <si>
    <t>TTE. CRL. BASCUR VILLAGRAN GERARDO ANTONIO - G1-E</t>
  </si>
  <si>
    <t>CABO 2DO. LEGUIZAMON SEGOVIA RUBEN DAMIAN - S-33</t>
  </si>
  <si>
    <t>BAJA VOLINTARIA DOE 190238513</t>
  </si>
  <si>
    <t>MONUMENTO</t>
  </si>
  <si>
    <t>ROSALES CALDERON MARCO ANTONIO</t>
  </si>
  <si>
    <t>ACEVEDO CEBALLOS LUIS EDUARDO</t>
  </si>
  <si>
    <t>RIQUELME MONTECINOS MARCOS ARTURO</t>
  </si>
  <si>
    <t>SGTO 1RO. ACUÑA FLORES CESAR ENRIQUE - S-53</t>
  </si>
  <si>
    <t xml:space="preserve">DOE 190497136, RETIRO </t>
  </si>
  <si>
    <t>MONUMENTO MARTIRES</t>
  </si>
  <si>
    <t>SGTO 1RO. ASTUDILLO RODRIGUEZ JUAN - PTR-G1</t>
  </si>
  <si>
    <t>DESPACHO DOE 190570739</t>
  </si>
  <si>
    <t>SUBOFICIAL ILLANES CEA JUAN (L - P - T) - PTR-G1</t>
  </si>
  <si>
    <t>SGTO 2DO. GONZALEZ PARRA ARMANDO ANTONIO - PTR-G1</t>
  </si>
  <si>
    <t>CABO 2DO. ALARCON LAGOS CARLOS DANIEL - OF. ANÁLISIS TÁCTICO Y ESTADÍSTICAS</t>
  </si>
  <si>
    <t>DESPACHO DOE 190593216</t>
  </si>
  <si>
    <t>CABO 2DO. DUMENEZ VILLALOBOS DIEGO IGNACIO - S-41</t>
  </si>
  <si>
    <t>( P-T-L )</t>
  </si>
  <si>
    <t>ARENAS PEÑA RUBEN ESTEBAN              (T)</t>
  </si>
  <si>
    <t>960889-C</t>
  </si>
  <si>
    <t>PADILLA MEDINA CLAUDIO ALEXIS</t>
  </si>
  <si>
    <t>SGTO 2DO. PADILLA MEDINA CLAUDIO ALEXIS - G1-E</t>
  </si>
  <si>
    <t>971384-Y</t>
  </si>
  <si>
    <t>REYES OLIVARES FELIPE EDUARDO</t>
  </si>
  <si>
    <t>SGTO 2DO. REYES OLIVARES FELIPE EDUARDO - PTR-G1</t>
  </si>
  <si>
    <t>CABO 2DO. ALCARRUZ MENDOZA BYRON PATRICIO - PTR-G1</t>
  </si>
  <si>
    <t>MAYOR HERNANDEZ ESTATOPULOS LUIS - AGREGADOS</t>
  </si>
  <si>
    <t>MAYOR DROULLY HURTADO FERNANDO HENRIQUEZ - AGREGADOS</t>
  </si>
  <si>
    <t>MAYOR HERNANDEZ ESTATOPULOS LUIS ESTEFANO - SSOO 1</t>
  </si>
  <si>
    <t>MAYOR DROULLY HURTADO FERNANDO ENRIQUE - SSOO 2</t>
  </si>
  <si>
    <t>946398D</t>
  </si>
  <si>
    <t>12704208-K</t>
  </si>
  <si>
    <t>GUTIERREZ QUIJADA WILLIAMS HENRY</t>
  </si>
  <si>
    <t>S.O.M. GUTIERREZ QUIJADA WILLIAMS HENRY - AGREGADOS</t>
  </si>
  <si>
    <t>S.O.M. GUTIERREZ QUIJADA WILLIAMS HENRY - CAPACITACIÓN Y REENTRENAMIENTO</t>
  </si>
  <si>
    <t>959401E</t>
  </si>
  <si>
    <t>9471695-0</t>
  </si>
  <si>
    <t>CORREA GUZMAN RAIMUNDO</t>
  </si>
  <si>
    <t>00-00-00</t>
  </si>
  <si>
    <t>SGTO 1RO. CORREA GUZMAN RAIMUNDO - CAPACITACIÓN Y REENTRENAMIENTO</t>
  </si>
  <si>
    <t>982826F</t>
  </si>
  <si>
    <t>16845313-2</t>
  </si>
  <si>
    <t>SANHUEZA FIGUEROA JOSE EDUARDO</t>
  </si>
  <si>
    <t>SGTO 2DO. SANHUEZA FIGUEROA JOSE EDUARDO - CAPACITACIÓN Y REENTRENAMIENTO</t>
  </si>
  <si>
    <t>TRASLADO DE IMPUTADO</t>
  </si>
  <si>
    <t>MONEDA</t>
  </si>
  <si>
    <t>CABO 1RO. DIAZ ALVAREZ CLAUDIO JESUS - PROCESO DE DESPACHO</t>
  </si>
  <si>
    <t>TRASLADO DOE 190975068</t>
  </si>
  <si>
    <t>DOE 191107935</t>
  </si>
  <si>
    <t>(T - P- S)</t>
  </si>
  <si>
    <t>951454S</t>
  </si>
  <si>
    <t>CABO 2DO. BUSTOS URIBE CRISTOFER OCTAVIO (L) - S-38</t>
  </si>
  <si>
    <t>BAJA DOE 191411794</t>
  </si>
  <si>
    <t>SGTO 1RO. ORELLANA ORTIZ CESAR - ECONOMATO</t>
  </si>
  <si>
    <t>RETIRO RESOLUCION 376</t>
  </si>
  <si>
    <t>023026H</t>
  </si>
  <si>
    <t xml:space="preserve">RODRIGUEZ MARDONES CRISTOBAL </t>
  </si>
  <si>
    <t>CARABINERO RODRIGUEZ MARDONES CRISTOBAL  - DISPONIBLE CUARTEL</t>
  </si>
  <si>
    <t>SGTO 1RO. DIAZ BECERRA RODRIGO ERNESTO - PROCESO DE DESPACHO</t>
  </si>
  <si>
    <t>RETIRO VOLUNTARIO DOE 191655170</t>
  </si>
  <si>
    <t>CABO 2DO. JARA VILLALOBOS ANGEL SEBASTIAN - S-53</t>
  </si>
  <si>
    <t>DESPACHO DOE 191712646</t>
  </si>
  <si>
    <t>SUBOFICIAL CONCHA CRISOSTOMO JUAN - MECANICO</t>
  </si>
  <si>
    <t>SUBOFICIAL AYANCAN MONTECINOS RAUL (L - T - P) - S-46</t>
  </si>
  <si>
    <t>DESPACHO DOE 192193403</t>
  </si>
  <si>
    <t xml:space="preserve">ZENTENO </t>
  </si>
  <si>
    <t>973834M</t>
  </si>
  <si>
    <t>CABO 1RO. ZENTENO  - RANCHO</t>
  </si>
  <si>
    <t>ZENTENO FERNANDEZ JORGE EDUARDO</t>
  </si>
  <si>
    <t xml:space="preserve">MONEDA </t>
  </si>
  <si>
    <t>962403T</t>
  </si>
  <si>
    <t>CAROCA SANDOVAL PEDRO DAMIEAN</t>
  </si>
  <si>
    <t>SGTO 1RO. CAROCA SANDOVAL PEDRO DAMIEAN - AGREGADOS</t>
  </si>
  <si>
    <t>MAYOR ZURITA MORGADO MARCO ANTONIO - SSOO 1</t>
  </si>
  <si>
    <t>CAPITÁN CALDERON CALDERON NICOLAS MAURICIO - SSOO 2</t>
  </si>
  <si>
    <t>JEFE SERV. APS</t>
  </si>
  <si>
    <t>CABO 2DO. OLAVE SEPULVEDA MARTIN IGNACIO - S-48</t>
  </si>
  <si>
    <t>DESPACHO DOE 192912978</t>
  </si>
  <si>
    <t xml:space="preserve">MUÑOZ CISTERNA EDSON ANDRES             </t>
  </si>
  <si>
    <t>CABO 2DO. ANTIVIL COLIL DANIELA ELIZABETH - S-53</t>
  </si>
  <si>
    <t>CORTES GALLARDO JAVIER ALBERTO</t>
  </si>
  <si>
    <t>INSTRUCCIONES</t>
  </si>
  <si>
    <t>ACTIVIDAD O EVENTO</t>
  </si>
  <si>
    <t>REFORZAR LOS SERVICIOS POLICIALES EN LUGARES PÚBLICOS DE ESPARCIMIENTO POR PARTE DE DELEGACIONES Y/O COMPETIDORES, TALES COMO RESTAURANTES, LUGARES DE COMIDA RÁPIDA, CENTROS COMERCIALES, ENTRE OTROS, EN DONDE SE MANTENGA CONOCIMIENTO DE CONCURRENCIA DE DICHOS DEPORTISTAS, CON EL FIN DE PREVENIR DELITOS EN DICHO LUGAR QUE AFECTEN A DICHAS PERSONAS, COMO TAMBIÉN A LOS DEMÁS CIUDADANOS QUE CONCURREN A ESOS CENTROS GASTRONÓMICOS Y/O COMERCIALES.</t>
  </si>
  <si>
    <t>FUERO MATERNAL HASTA 18-05-2024</t>
  </si>
  <si>
    <t>PARA LOS OFICIALES QUE HACEN SERVICIO BAQUEDANO, LA INSTALACIÓN ES EN PARQUE BUSTAMANTE CERCANO AL CAFÉ LITERARIO, DESDE AHÍ SE TRASLADAN A LAS DIFERENTES CONTINGENCIAS COMUNICANDO A CEGEOP, PARA QUE SE DISPONGA PERSONAL TERRITORIAL, ORDEN DE CARÁCTER PERMANENTE, DAR CUMPLIMIENTO. -</t>
  </si>
  <si>
    <t xml:space="preserve">ACTIVIDAD PROYECTADA NRO.01
D/E. N.C.U,193469292, 22.10.202, DE LA PREFECTURA CONTROL ORDEN PUBLICO ESTE   </t>
  </si>
  <si>
    <t xml:space="preserve">ACTIVIDAD PROYECTADA NRO.02
D/E. N.C.U,XX, 24.10.202, DE LA PREFECTURA CONTROL ORDEN PUBLICO ESTE   </t>
  </si>
  <si>
    <t>CABO 1RO. CANDIA RIVERA FRANCISCO JAVIER - S-51</t>
  </si>
  <si>
    <t xml:space="preserve">DO. 193740946 RETIRO </t>
  </si>
  <si>
    <t>VALDES GARCIA MARCELO RICARDO           (T - L - S)</t>
  </si>
  <si>
    <t>BAHAMONDE SEPULVEDA LUIS GONZALO        (L - P-T)</t>
  </si>
  <si>
    <t>YAÑEZ GAJARDO ROBERTO CARLOS                   ( T )</t>
  </si>
  <si>
    <t>RAMIREZ CORNEJO GUSTAVO ALFONSO      (L-P)</t>
  </si>
  <si>
    <t xml:space="preserve">PADILLA MEDINA CLAUDIO ALEXIS  ( P-T-S) </t>
  </si>
  <si>
    <t xml:space="preserve">( P-T-S) </t>
  </si>
  <si>
    <t>SANHUEZA VARGAS JULIAN RODRIGO            (T-J-P)</t>
  </si>
  <si>
    <t>BUSTOS QUEZADA RODRIGO                         ( P-T-L )</t>
  </si>
  <si>
    <t>ROCO BUSTOS MIGUEL ANGEL                  (L - T-S )</t>
  </si>
  <si>
    <t>BARROS PEREZ VICTOR HUGO                (T - L - S)</t>
  </si>
  <si>
    <t>VASQUEZ SILVA JOSE ROBERTO                     (T)</t>
  </si>
  <si>
    <t>ZAPATA CARTES FERNANDO ARTURO            (L - P - T)</t>
  </si>
  <si>
    <t>S.O.M. LOPEZ CRUCES CRISTIAN - AA-1</t>
  </si>
  <si>
    <t>RETIRO VOLUNTARIO</t>
  </si>
  <si>
    <t>OPERACIONES PREFECTURA 
ORDEN G2</t>
  </si>
  <si>
    <t>BARROS SOLAR FELIX                                (L -T -S)</t>
  </si>
  <si>
    <t>ARIETE 15 | ESTADIO</t>
  </si>
  <si>
    <t>SERVICIO MEDICO PREFECTURA</t>
  </si>
  <si>
    <t>955897K</t>
  </si>
  <si>
    <t>VERA CASTRO MARIA CRISTINA</t>
  </si>
  <si>
    <t>SGTO 1RO. VERA CASTRO MARIA CRISTINA - INVENTARIO</t>
  </si>
  <si>
    <t>CORTES MORAGA ENRIQUE IVAN               (T-J)</t>
  </si>
  <si>
    <t>(T-J)</t>
  </si>
  <si>
    <t>RIQUELME MONTECINOS MARCOS ARTURO   (L)</t>
  </si>
  <si>
    <t>BAJA DOE 194854338</t>
  </si>
  <si>
    <t>VERA ORTEGA JOEL ESTEBAN              (T-S )</t>
  </si>
  <si>
    <t>FARIAS LIZANA OSCAR DAVID              (T - L - S)</t>
  </si>
  <si>
    <t>MEZA MENDEZ JUAN MARCELO                       (T)</t>
  </si>
  <si>
    <t>SANDOVAL VERA HUGO TOMAS                 (L)</t>
  </si>
  <si>
    <t>HERNANDEZ CRUCES DIEGO ESTEBAN              (T - P- S)</t>
  </si>
  <si>
    <t>DOE.187040580 AGREGADO</t>
  </si>
  <si>
    <t xml:space="preserve">TOLOZA ROJAS CRISTIAN ALEJANDRO      (T-J-S)    </t>
  </si>
  <si>
    <t xml:space="preserve">(T-J-S)    </t>
  </si>
  <si>
    <t>GUTIERREZ MARTINEZ MATIAS IGNACIO</t>
  </si>
  <si>
    <t>997523E</t>
  </si>
  <si>
    <t>18536474-7</t>
  </si>
  <si>
    <t>ELGUETA MARTINEZ ROBERTO ANDRES</t>
  </si>
  <si>
    <t>CABO 1RO. ELGUETA MARTINEZ ROBERTO ANDRES - APOYO REGIMEN INTERNO</t>
  </si>
  <si>
    <t>SGTO 2DO. SANCHEZ PAVEZ VICTOR - S-53</t>
  </si>
  <si>
    <t>RETIRO RESOLUCION 440</t>
  </si>
  <si>
    <t>VALENZUELA SALAZAR PATRICIO SAMUEL (T)</t>
  </si>
  <si>
    <t>ROSALES CALDERON MARCO ANTONIO ( T )</t>
  </si>
  <si>
    <t>RIQUELME PARADA CARLOS ROBERTO            ( T)</t>
  </si>
  <si>
    <t>( T)</t>
  </si>
  <si>
    <t xml:space="preserve">AUTORIZADO ESTUDIAR NRO 14 </t>
  </si>
  <si>
    <t>957316V</t>
  </si>
  <si>
    <t>MATUS TORRES CRISTIAN GABRIEL GASTON</t>
  </si>
  <si>
    <t>TTE. CRL. MATUS TORRES CRISTIAN GABRIEL GASTON - SSOO 1</t>
  </si>
  <si>
    <t>SANDOVAL CAMPOS LEONARDO JAVIER ( IFEX )</t>
  </si>
  <si>
    <t>( IFEX )</t>
  </si>
  <si>
    <t>983058Z</t>
  </si>
  <si>
    <t>17396725K</t>
  </si>
  <si>
    <t>VERA VEGA NICOLAS ANTONIO ( T)</t>
  </si>
  <si>
    <t>CABO 1RO. VERA VEGA NICOLAS ANTONIO ( T) - APOYO REGIMEN INTERNO</t>
  </si>
  <si>
    <t>DESPACHO</t>
  </si>
  <si>
    <t>DESPCHO</t>
  </si>
  <si>
    <t>VALDIVIA MUÑOZ CAROLYN ANDREA                   (T)</t>
  </si>
  <si>
    <t xml:space="preserve">VARGAS NEIRA HECTOR OSVALDO              (T)    </t>
  </si>
  <si>
    <t xml:space="preserve">(T)    </t>
  </si>
  <si>
    <t>ARIETE 20 | ESTADIO</t>
  </si>
  <si>
    <t>S-EV-5</t>
  </si>
  <si>
    <t>S-EV-6</t>
  </si>
  <si>
    <t>S-EV-7</t>
  </si>
  <si>
    <t>S-EV-8</t>
  </si>
  <si>
    <t>S-EV-9</t>
  </si>
  <si>
    <t>S-EV-10</t>
  </si>
  <si>
    <t>S-EV-11</t>
  </si>
  <si>
    <t>S-EV-12</t>
  </si>
  <si>
    <t>S-EV-13</t>
  </si>
  <si>
    <t>S-EV-14</t>
  </si>
  <si>
    <t>S-EV-15</t>
  </si>
  <si>
    <t>PTL-EV-5</t>
  </si>
  <si>
    <t>PTL-EV-6</t>
  </si>
  <si>
    <t>PTL-EV-7</t>
  </si>
  <si>
    <t>PTL-EV-8</t>
  </si>
  <si>
    <t>PTL-EV-9</t>
  </si>
  <si>
    <t>PTL-EV-10</t>
  </si>
  <si>
    <t>JEFE/PTL-EV-4</t>
  </si>
  <si>
    <t>JEFE/PTL-EV-5</t>
  </si>
  <si>
    <t>JEFE/PTL-EV-6</t>
  </si>
  <si>
    <t>JEFE/PTL-EV-7</t>
  </si>
  <si>
    <t>JEFE/PTL-EV-8</t>
  </si>
  <si>
    <t>JEFE/PTL-EV-9</t>
  </si>
  <si>
    <t>JEFE/PTL-EV-10</t>
  </si>
  <si>
    <t>JEFE/S-EV-5</t>
  </si>
  <si>
    <t>JEFE/S-EV-6</t>
  </si>
  <si>
    <t>JEFE/S-EV-7</t>
  </si>
  <si>
    <t>JEFE/S-EV-8</t>
  </si>
  <si>
    <t>JEFE/S-EV-9</t>
  </si>
  <si>
    <t>JEFE/S-EV-10</t>
  </si>
  <si>
    <t>JEFE/S-EV-11</t>
  </si>
  <si>
    <t>JEFE/S-EV-12</t>
  </si>
  <si>
    <t>JEFE/S-EV-13</t>
  </si>
  <si>
    <t>JEFE/S-EV-14</t>
  </si>
  <si>
    <t>JEFE/S-EV-15</t>
  </si>
  <si>
    <t>Columna1</t>
  </si>
  <si>
    <t>CER. ESCOPETA</t>
  </si>
  <si>
    <t>GRIFO 27</t>
  </si>
  <si>
    <t>GRIFO 28</t>
  </si>
  <si>
    <t>GRIFO 29</t>
  </si>
  <si>
    <t>GRIFO 30</t>
  </si>
  <si>
    <t>SSOO 7</t>
  </si>
  <si>
    <t>SSOO 8</t>
  </si>
  <si>
    <t>SSOO 9</t>
  </si>
  <si>
    <t>SSOO 10</t>
  </si>
  <si>
    <t>PTR-G-24</t>
  </si>
  <si>
    <t>PTR-G-25</t>
  </si>
  <si>
    <t>PTR-G-26</t>
  </si>
  <si>
    <t>PTR-G-27</t>
  </si>
  <si>
    <t>PTR-G-28</t>
  </si>
  <si>
    <t>PTR-G-29</t>
  </si>
  <si>
    <t>PTR-G-30</t>
  </si>
  <si>
    <t>PTR-SSOO 7</t>
  </si>
  <si>
    <t>PTR-SSOO 8</t>
  </si>
  <si>
    <t>PTR-SSOO 9</t>
  </si>
  <si>
    <t>PTR-SSOO 10</t>
  </si>
  <si>
    <t>TENIENTE DOMINGUEZ GARRIDO TATIANA MARIELA - GRIFO 16</t>
  </si>
  <si>
    <t>DESPACHO DOE 196153444</t>
  </si>
  <si>
    <t>TRASLADO DOE 196233899</t>
  </si>
  <si>
    <t>979727F</t>
  </si>
  <si>
    <t>17515339-K</t>
  </si>
  <si>
    <t>ACEVEDO MORALES ANGELO FELIPE</t>
  </si>
  <si>
    <t>00-00-0000</t>
  </si>
  <si>
    <t>CAPITÁN ACEVEDO MORALES ANGELO FELIPE - SUBCOM. ADM.</t>
  </si>
  <si>
    <t>SUBTENIENTE MELLADO RIDEAU SEBASTIAN MOISES - S-30</t>
  </si>
  <si>
    <t>TRASLADO DOE 196300401</t>
  </si>
  <si>
    <t>ROMERO QUEZADA VICTOR MANUEL           (T)</t>
  </si>
  <si>
    <t>CARTER DROLETT MIGUEL</t>
  </si>
  <si>
    <t>SUBTENIENTE CARTER DROLETT MIGUEL - APOYO REGIMEN INTERNO</t>
  </si>
  <si>
    <t>ARIETE 16</t>
  </si>
  <si>
    <t>ARIETE 18</t>
  </si>
  <si>
    <t>SALIENTE DE NOCHE</t>
  </si>
  <si>
    <t>008430H</t>
  </si>
  <si>
    <t>CARTER DROLETT MIGUEL ISAIAS</t>
  </si>
  <si>
    <t>ARIETE 15</t>
  </si>
  <si>
    <t>NAVARRETE SEPULVEDA RICHARD</t>
  </si>
  <si>
    <t>CPR CABRALES ROJAS FABIAN - MECANICO</t>
  </si>
  <si>
    <t>RENUNCIA VOLUNTARIA 196529309</t>
  </si>
  <si>
    <t>ROA PAREDES CARLOS MICHAEL                   ( P-S-J )</t>
  </si>
  <si>
    <t>( P-S-J )</t>
  </si>
  <si>
    <t>( T-J)</t>
  </si>
  <si>
    <t>TTE. CRL. AGUILERA BERRIOS MANUEL ALFONSO - G2-E</t>
  </si>
  <si>
    <t>TRASLADAO 28° COM. DOE. 196578456</t>
  </si>
  <si>
    <t>DOM. EX SE.</t>
  </si>
  <si>
    <t>966666D</t>
  </si>
  <si>
    <t>DIAZ CASTAÑEDA JORGE ANDRES</t>
  </si>
  <si>
    <t>MAYOR DIAZ CASTAÑEDA JORGE ANDRES - JO-40</t>
  </si>
  <si>
    <t xml:space="preserve">JEFE OPERATIVO </t>
  </si>
  <si>
    <t>JORGE A. DIAZ CASTAÑEDA</t>
  </si>
  <si>
    <t xml:space="preserve">ARIETE NOCTURNO </t>
  </si>
  <si>
    <t>ARIETE 12</t>
  </si>
  <si>
    <t xml:space="preserve">VILLAGRA AREVALO SERGIO HUMBERTO      ( P )  </t>
  </si>
  <si>
    <t xml:space="preserve">( P )  </t>
  </si>
  <si>
    <t>ARIETE 11</t>
  </si>
  <si>
    <t>TENIENTE PEREZ BERRIOS MARCELO - S-42</t>
  </si>
  <si>
    <t>TRASLADO DOE 197129230</t>
  </si>
  <si>
    <t>961734U</t>
  </si>
  <si>
    <t>15648597-7</t>
  </si>
  <si>
    <t>NORAMBUENA CONEJEROS CRISTIAN HERNAN</t>
  </si>
  <si>
    <t>MAYOR NORAMBUENA CONEJEROS CRISTIAN HERNAN - G3-E</t>
  </si>
  <si>
    <t>SUBPREF. SERV. 2</t>
  </si>
  <si>
    <t>SUBPREF. SERV. 1</t>
  </si>
  <si>
    <t>(T-P-LA)</t>
  </si>
  <si>
    <t>963479F</t>
  </si>
  <si>
    <t>15972008-K</t>
  </si>
  <si>
    <t>NAZAR OSSA JOAQUIN PAULO</t>
  </si>
  <si>
    <t>MAYOR NAZAR OSSA JOAQUIN PAULO - C40</t>
  </si>
  <si>
    <t>COMISARIO</t>
  </si>
  <si>
    <t>MANCILLA BASCHMANN LUIS ALEJANDRO   ( L)</t>
  </si>
  <si>
    <t>( L)</t>
  </si>
  <si>
    <t>987928J</t>
  </si>
  <si>
    <t>17449166-6</t>
  </si>
  <si>
    <t>AVILA RIVERO ANA CAREN</t>
  </si>
  <si>
    <t>CABO 1RO. AVILA RIVERO ANA CAREN - ASISTENTE SOCIAL</t>
  </si>
  <si>
    <t>994629V</t>
  </si>
  <si>
    <t>18433453-4</t>
  </si>
  <si>
    <t>FERNANDEZ CARRASCO CARLOS ESTEBAN</t>
  </si>
  <si>
    <t>CABO 1RO. FERNANDEZ CARRASCO CARLOS ESTEBAN - APOYO REGIMEN INTERNO</t>
  </si>
  <si>
    <t>985259H</t>
  </si>
  <si>
    <t>16980017-1</t>
  </si>
  <si>
    <t>NAHUELPAN ANTIL ALEXIS JUAN</t>
  </si>
  <si>
    <t>CABO 1RO. NAHUELPAN ANTIL ALEXIS JUAN - S-50</t>
  </si>
  <si>
    <t>997427E</t>
  </si>
  <si>
    <t>17410418-2</t>
  </si>
  <si>
    <t>PAREJAS RIVAS JAIME EMILIO</t>
  </si>
  <si>
    <t>CABO 1RO. PAREJAS RIVAS JAIME EMILIO - APOYO REGIMEN INTERNO</t>
  </si>
  <si>
    <t>989345B</t>
  </si>
  <si>
    <t>17851555-1</t>
  </si>
  <si>
    <t>PACHECO CIFUENTES HUMBERTO ARIEL</t>
  </si>
  <si>
    <t>CABO 1RO. PACHECO CIFUENTES HUMBERTO ARIEL - APOYO REGIMEN INTERNO</t>
  </si>
  <si>
    <t>976603H</t>
  </si>
  <si>
    <t>16197541-9</t>
  </si>
  <si>
    <t>SANTIBAÑEZ SERRANO CARLOS ENRIQUE</t>
  </si>
  <si>
    <t>SGTO 2DO. SANTIBAÑEZ SERRANO CARLOS ENRIQUE - APOYO REGIMEN INTERNO</t>
  </si>
  <si>
    <t>998324X</t>
  </si>
  <si>
    <t>18525333-3</t>
  </si>
  <si>
    <t>OVANDO GODOY SERGIO ERNALDO</t>
  </si>
  <si>
    <t>CABO 1RO. OVANDO GODOY SERGIO ERNALDO - APOYO REGIMEN INTERNO</t>
  </si>
  <si>
    <t>ARIETE 21</t>
  </si>
  <si>
    <t>VARGAS SALDIVIA SIGISFREDO DAVID ( L)</t>
  </si>
  <si>
    <t>R. RIO</t>
  </si>
  <si>
    <t>ORTEGA DELGADO MARCELO ROLANDO (L-T)</t>
  </si>
  <si>
    <t>SALAS CABEZAS JUAN MANUEL (T)</t>
  </si>
  <si>
    <t>CAAMAÑO JARA RODRIGO ALEJANDRO  ( P-LA)</t>
  </si>
  <si>
    <t>( P-LA)</t>
  </si>
  <si>
    <t>SABANDO VERGARA CLAUDIO  (T-LA)</t>
  </si>
  <si>
    <t>(T-LA)</t>
  </si>
  <si>
    <t>CABO 1RO. MEDEL MEDEL RODRIGO - INTERNO 4</t>
  </si>
  <si>
    <t>DESPACHO DOE 197805153</t>
  </si>
  <si>
    <t>SGTO 1RO. QUIROZ BASUALTO PABLO HUMBERTO - S-32</t>
  </si>
  <si>
    <t>DESPCHO DOE 197805938</t>
  </si>
  <si>
    <t>CABO 2DO. MONSALVE HERMOSILLA OLIVER ORIEL - S-37</t>
  </si>
  <si>
    <t>DESPACHO DOE 197798378</t>
  </si>
  <si>
    <t>SGTO 2DO. ORDENES CHACANA ANGEL FLAVIO - S-39</t>
  </si>
  <si>
    <t>DESPACHO DOE 197797805</t>
  </si>
  <si>
    <t>CABO 1RO. NAMONCURA CHAPARRO IGNACIO MANUEL         (L - T-) - S-37</t>
  </si>
  <si>
    <t>DESPACHO DOE 197807278</t>
  </si>
  <si>
    <t>CABO 2DO. CATALAN CAMPOS MATIAS NICOLAS - S-45</t>
  </si>
  <si>
    <t>DESPACHO DOE 197815795</t>
  </si>
  <si>
    <t>CABO 2DO. SANCHEZ MADRID FELIPE IGNACIO - GUARDIA CUARTEL 2</t>
  </si>
  <si>
    <t>DESPACHO DOE 197841989</t>
  </si>
  <si>
    <t>MAYOR SCHULZ VARGAS FELIPE ALBERTO - C40</t>
  </si>
  <si>
    <t>TENIENTE MARTINEZ ACUÑA MATIAS VALENTIN - S-36</t>
  </si>
  <si>
    <t>TRASLADO DOE 197884716</t>
  </si>
  <si>
    <t>SGTO 2DO. FERREIRA CARRASCO ANDRES ALBERTO (L - T) - PTR-G-14</t>
  </si>
  <si>
    <t>TRASLADO DOE 197905085</t>
  </si>
  <si>
    <t>CABO 1RO. SOLIS CEA FABIAN ANDRES - OF. REQUERIMIENTOS</t>
  </si>
  <si>
    <t>CABO 1RO. SEPULVEDA HERNANDEZ SERGIO JESUS - PTR-C40-A</t>
  </si>
  <si>
    <t>TRASLADO DOE 197905634</t>
  </si>
  <si>
    <t>SGTO 1RO. PRUSSING DIAZ OMAR ARIEL - S-47</t>
  </si>
  <si>
    <t>TRASLADO DOE 197909106</t>
  </si>
  <si>
    <t>CABO 1RO. GONZALEZ ORELLANA JORGE IGNACIO - OF. PARTES</t>
  </si>
  <si>
    <t>TRASLADO DOE 197908540</t>
  </si>
  <si>
    <t>CABO 1RO. REYES HERNANDEZ ALEJANDRO HUMBERTO (T - L) - S-48</t>
  </si>
  <si>
    <t>TRASLADO DOE 197907214</t>
  </si>
  <si>
    <t>CABO 1RO. ARIAS VIDAL JUAN PABLO - S-37</t>
  </si>
  <si>
    <t>CABO 1RO. CANCINO JARA OMAR GABRIEL    ( L ) - ECONOMATO</t>
  </si>
  <si>
    <t>CABO 1RO. MORAGA FUENTES JUAN ANTONIO - PTL-23</t>
  </si>
  <si>
    <t>CABO 1RO. PALMA COLIMAN LUIS ALBERTO - PTR-C40</t>
  </si>
  <si>
    <t>SGTO 2DO. CORONADO GALLEGOS ROMINA NATALY - INVENTARIO</t>
  </si>
  <si>
    <t>TRASLADO DOE 197903806</t>
  </si>
  <si>
    <t>SGTO 2DO. GATICA AEDO HERNAN - P.F. ROBERTO DEL RIO 2</t>
  </si>
  <si>
    <t>CABO 1RO. BERNAL BERNAL OSCAR FERNANDO - PTR-G-11</t>
  </si>
  <si>
    <t>CABO 1RO. SOTO ROMERO JOCELYN - S-50</t>
  </si>
  <si>
    <t>CABO 2DO. PAIVA GALLEGOS VICTOR IGNACIO - S-37</t>
  </si>
  <si>
    <t>CABO 1RO. GARCES VARGAS MIRIAM DEL CARMEN - S-35</t>
  </si>
  <si>
    <t>TRASLADO DOE 197906033</t>
  </si>
  <si>
    <t>SGTO 2DO. ZAMORANO ZUÑIGA MAURICIO ALEXANDER - PTL-22</t>
  </si>
  <si>
    <t>DESPACHO DOE 197934284</t>
  </si>
  <si>
    <t>OF DE PARTES</t>
  </si>
  <si>
    <t>CAPITÁN AGURTO PEÑA FELIPE - GRIFO 11</t>
  </si>
  <si>
    <t>TRASLADO DOE 198044342</t>
  </si>
  <si>
    <t>CABO 1RO. OJEDA VERA GUILLERMO ANDRES - S-44</t>
  </si>
  <si>
    <t>TRASLADO DOE 198043002</t>
  </si>
  <si>
    <t>SGTO 2DO. ESCOBAR TRONCOSO ANGELO FABIAN - O.P.U. PREFECTURA</t>
  </si>
  <si>
    <t>TRASLADO DOE 198042416</t>
  </si>
  <si>
    <t>AGREGADA OF. ASISTENTE SOCIAL</t>
  </si>
  <si>
    <t>CABO 2DO. MORALES GONZALEZ RODRIGO ALEXIS - PTR-G-15</t>
  </si>
  <si>
    <t>TRASLADO GOPE DOE 198113179</t>
  </si>
  <si>
    <t>SALIENTE DE SERVICIO</t>
  </si>
  <si>
    <t>TRASLADO DOE 198195657</t>
  </si>
  <si>
    <t>GUARDIA</t>
  </si>
  <si>
    <t>CABO 2DO. NOVOA ROA VANESSA CAROLINA - S-53</t>
  </si>
  <si>
    <t>TRASLADO DOE 198339869</t>
  </si>
  <si>
    <t>OPORTUNA</t>
  </si>
  <si>
    <t>CAPITÁN ARAYA LAVIL ANDRES MATIAS - C40-A</t>
  </si>
  <si>
    <t>TRASLADO DOE 198357019</t>
  </si>
  <si>
    <t>DOE 198380009</t>
  </si>
  <si>
    <t>960875D</t>
  </si>
  <si>
    <t>MEDINA VILLEGAS CARLOS ALEJANDRO (P)</t>
  </si>
  <si>
    <t>SGTO 2DO. MEDINA VILLEGAS CARLOS ALEJANDRO (P) - APOYO REGIMEN INTERNO</t>
  </si>
  <si>
    <t>(P)</t>
  </si>
  <si>
    <t>986489J</t>
  </si>
  <si>
    <t xml:space="preserve">ROJAS ROJAS FRANCO RODRIGO </t>
  </si>
  <si>
    <t>CABO 1RO. ROJAS ROJAS FRANCO RODRIGO  - APOYO REGIMEN INTERNO</t>
  </si>
  <si>
    <t>17756047-2</t>
  </si>
  <si>
    <t>ELGUETA ARAVENA BORIS WALTER</t>
  </si>
  <si>
    <t>981854-J</t>
  </si>
  <si>
    <t>CAPITÁN ELGUETA ARAVENA BORIS WALTER - GRIFO 11</t>
  </si>
  <si>
    <t>992168V</t>
  </si>
  <si>
    <t>DIAZ CARCAMO OLGA ELIZABETH</t>
  </si>
  <si>
    <t>TENIENTE DIAZ CARCAMO OLGA ELIZABETH - JEFE/S-30</t>
  </si>
  <si>
    <t>JIMENEZ ARRIAGADA FERNANDO ESTEBAN (L -T- J- S)</t>
  </si>
  <si>
    <t>(L -T- J- S)</t>
  </si>
  <si>
    <t>CABO 2DO. VASQUEZ FLORES CRISTIAN PATRICIO - S-53</t>
  </si>
  <si>
    <t>BAJA DOE 198938920</t>
  </si>
  <si>
    <t>SUBTENIENTE ARRIAZA HORMAZABAL MARIO-IGNACIO - S-53</t>
  </si>
  <si>
    <t>DESPACHO DOE 198948363</t>
  </si>
  <si>
    <t>VERA CASTRO MARIA CRISTINA  (L)</t>
  </si>
  <si>
    <t>CABO 2DO. CASTRO CASTILLO HECTOR ELIAS - S-53</t>
  </si>
  <si>
    <t>RENUNCIA DOE 199005478</t>
  </si>
  <si>
    <t>CABO 2DO. CASTRO CASTILLO HECTOR ELIAS - DISPONIBLE CUARTEL</t>
  </si>
  <si>
    <t>RENUNCIA VOLUNTARIA DOE N° 199040827 RES. EX. 23</t>
  </si>
  <si>
    <t xml:space="preserve">ESPINOZA TOLOZA JOSE VLADIMIR          (L-T-S-J) </t>
  </si>
  <si>
    <t>LOPEZ VILCHES SEBASTIAN ALEJANDRO          ( L-T -J-S )</t>
  </si>
  <si>
    <t>DIAZ GARCIA RODRIGO ALEJANDRO                    ( L-T-J-S)</t>
  </si>
  <si>
    <t>( L-T-J-S)</t>
  </si>
  <si>
    <t>( L-T -J-S )</t>
  </si>
  <si>
    <t xml:space="preserve">(L-T-S-J) </t>
  </si>
  <si>
    <t>000643N</t>
  </si>
  <si>
    <t>18.791.077-3</t>
  </si>
  <si>
    <t>HUERTA BOHUS PATRICIO ALEJANDRO</t>
  </si>
  <si>
    <t>TENIENTE HUERTA BOHUS PATRICIO ALEJANDRO - JEFE/S-47</t>
  </si>
  <si>
    <t>CABO 1RO. ZUÑIGA VELASQUEZ PAOLA - ASISTENTE SOCIAL</t>
  </si>
  <si>
    <t>DESPACHO ESCUELA ESPECIALIDADES DOE 198975277</t>
  </si>
  <si>
    <t>CABO 2DO. ARIAS ZERENE FARIT YAMIL - AA-2</t>
  </si>
  <si>
    <t>INTERNO</t>
  </si>
  <si>
    <t>TENIENTE DUBO CASTILLO DANKO ALEJANDRO - GRIFO 15</t>
  </si>
  <si>
    <t>VASQUEZ ESPINOZA CAMILO ANDRES     (L)</t>
  </si>
  <si>
    <t>CABO 2DO. CUEVAS SAN MARTIN MARCELO ANDRES - PATRULLA DE RESCATE</t>
  </si>
  <si>
    <t>DESPACHO DOE 199159403</t>
  </si>
  <si>
    <t>CABO 1RO. RETAMALES VERGARA NICOLAS ALBERTO (IFEX) - S-47</t>
  </si>
  <si>
    <t>DESPACHO DOE 199173378</t>
  </si>
  <si>
    <t>ARIETE 24</t>
  </si>
  <si>
    <t>LIC. MED. 22-11 AL 21-12-24</t>
  </si>
  <si>
    <t>CARABINERO SALGADO SALGADO CARLOS FELIPE - S-38</t>
  </si>
  <si>
    <t>CABO 1RO. LLANQUILEF RAIN VICTOR (L - P - T) - S-43</t>
  </si>
  <si>
    <t>BAJA DOE 199634382</t>
  </si>
  <si>
    <t>SEPULVEDA GUZMAN SERGIO ALEJANDRO</t>
  </si>
  <si>
    <t>OJEDA SOTO RICARDO ANTONIO</t>
  </si>
  <si>
    <t>24-03-19983</t>
  </si>
  <si>
    <t>973522L</t>
  </si>
  <si>
    <t>SGTO 2DO. OJEDA SOTO RICARDO ANTONIO - APOYO REGIMEN INTERNO</t>
  </si>
  <si>
    <t>987462P</t>
  </si>
  <si>
    <t>ZULOAGA MUÑOZ SEBASTIAN ALEJANDRO</t>
  </si>
  <si>
    <t>TENIENTE ZULOAGA MUÑOZ SEBASTIAN ALEJANDRO - GRIFO 14</t>
  </si>
  <si>
    <t>COMISION HASTA 20-01-2024 DOE 198471339,199280615//</t>
  </si>
  <si>
    <t>006590Y</t>
  </si>
  <si>
    <t>19285573K</t>
  </si>
  <si>
    <t>OTAROLA SILVA SCARLETT CECILIA</t>
  </si>
  <si>
    <t>CABO 1RO. OTAROLA SILVA SCARLETT CECILIA - APOYO REGIMEN INTERNO</t>
  </si>
  <si>
    <t>995615Q</t>
  </si>
  <si>
    <t>QUINTANILLA ROJAS RAUL ENRIQUE (L)</t>
  </si>
  <si>
    <t>CABO 1RO. QUINTANILLA ROJAS RAUL ENRIQUE (L) - APOYO REGIMEN INTERNO</t>
  </si>
  <si>
    <t>988650Q</t>
  </si>
  <si>
    <t>SOLAR JARA CARLOS ALEX</t>
  </si>
  <si>
    <t>CABO 1RO. SOLAR JARA CARLOS ALEX - APOYO REGIMEN INTERNO</t>
  </si>
  <si>
    <t>SALIENTE SERVICIO</t>
  </si>
  <si>
    <t>SUBOFICIAL CISTERNA GAYOSO OSCAR ALEJANDRO (L - P - T) - PTR-G2</t>
  </si>
  <si>
    <t>DESPACHO NRO DOE 199858149</t>
  </si>
  <si>
    <t>SGTO 2DO. OYARZUN PINO CARLOS PATRICIO (L - P - T) - PTR-G2</t>
  </si>
  <si>
    <t>DESPACHO DOE N°199858149</t>
  </si>
  <si>
    <t>CABO 2DO. AGUILERA VASQUEZ ALVARO SEBASTIAN - PTR-G2</t>
  </si>
  <si>
    <t>DESPACHO DOE N° 199858149</t>
  </si>
  <si>
    <t>COMISION VALPARAISO</t>
  </si>
  <si>
    <t>COMISION VIÑA DEL MAR</t>
  </si>
  <si>
    <t>MONUMENTOS</t>
  </si>
  <si>
    <t>BAQUEDANO / MONUMENTO</t>
  </si>
  <si>
    <t>TRASLADO IMPUTADO</t>
  </si>
  <si>
    <t xml:space="preserve">BAQUEDANO </t>
  </si>
  <si>
    <t>P.F. ROBERTO DEL RIO</t>
  </si>
  <si>
    <t>PEREZ BASTIAS LUIS ANTONIO             ( P-LA )</t>
  </si>
  <si>
    <t>( P-LA )</t>
  </si>
  <si>
    <t>&lt;</t>
  </si>
  <si>
    <t>PLAN 2 / PTR-01 SAN BERNARDO</t>
  </si>
  <si>
    <t>ROJAS SERON JORGE ORLANDO</t>
  </si>
  <si>
    <t>CONSTITUCIÓN</t>
  </si>
  <si>
    <t>DOMICILIO EX SE</t>
  </si>
  <si>
    <t>PLAN DE FORTALECIMIENTO DE PREVENCION EN LA REGION METROPOLITANA- PLAN 1</t>
  </si>
  <si>
    <t>ESUCAR</t>
  </si>
  <si>
    <t>ESCUADRON 18 1</t>
  </si>
  <si>
    <t>ESCUADRON 18 2</t>
  </si>
  <si>
    <t>ESCUADRON 18 3</t>
  </si>
  <si>
    <t>ESCUADRON 18 4</t>
  </si>
  <si>
    <t>ESCUADRON 18 5</t>
  </si>
  <si>
    <t>ESCUADRON 19 1</t>
  </si>
  <si>
    <t>ESCUADRON 19 2</t>
  </si>
  <si>
    <t>ESCUADRON 19 4</t>
  </si>
  <si>
    <t>ESCUADRON 19 5</t>
  </si>
  <si>
    <t xml:space="preserve">SALIENTE SERVICIO </t>
  </si>
  <si>
    <t>SERV. APS.</t>
  </si>
  <si>
    <t>DOMICILIO EX SE.</t>
  </si>
  <si>
    <t xml:space="preserve">A CONTAR DEL 16-02-2024 HASTA </t>
  </si>
  <si>
    <t>ESCUADRON 20 1</t>
  </si>
  <si>
    <t>ESCUADRON 20 2</t>
  </si>
  <si>
    <t>ESCUADRON 20 3</t>
  </si>
  <si>
    <t>ESCUADRON 20 4</t>
  </si>
  <si>
    <t>ESCUADRON 20 5</t>
  </si>
  <si>
    <t>ESCUADRON 21 2</t>
  </si>
  <si>
    <t>ESCUADRON 21 3</t>
  </si>
  <si>
    <t>ESCUADRON 21 4</t>
  </si>
  <si>
    <t>ESCUADRON 21 5</t>
  </si>
  <si>
    <t>ESCUADRON 22 1</t>
  </si>
  <si>
    <t>ESCUADRON 22 2</t>
  </si>
  <si>
    <t>ESCUADRON 22 3</t>
  </si>
  <si>
    <t>ESCUADRON 22 4</t>
  </si>
  <si>
    <t>ESCUADRON 22 5</t>
  </si>
  <si>
    <t>MATUS DE LA PARRA BECERRA FELIPE OCTAVIO (IFEX)</t>
  </si>
  <si>
    <t>JEFE OPERATIVO / COMISARIO</t>
  </si>
  <si>
    <t xml:space="preserve">SUBCOM. SERV </t>
  </si>
  <si>
    <t>CURSO ECO</t>
  </si>
  <si>
    <t>SERV. APS</t>
  </si>
  <si>
    <t>MORA TORRES JECSMAYN ALBERTO             ( T-LA )</t>
  </si>
  <si>
    <t>( T-LA )</t>
  </si>
  <si>
    <t>HENRIQUEZ CISTERNA TOMAS ALBERTO           (L)</t>
  </si>
  <si>
    <t>SOTO BUSTAMANTE JONATHAN ALEXIS            (L-P)</t>
  </si>
  <si>
    <t>986317L</t>
  </si>
  <si>
    <t>OJEDA VILLEGAS IVÁN ERNESTO</t>
  </si>
  <si>
    <t>CABO 1RO. OJEDA VILLEGAS IVÁN ERNESTO - PTR-C40-B</t>
  </si>
  <si>
    <t>EX DOM S.E</t>
  </si>
  <si>
    <t>TORRES ERIZA JOSE MANUEL    (L - T )</t>
  </si>
  <si>
    <t>SGTO 2DO. CARLOS SANTIBAÑEZ SERRANO</t>
  </si>
  <si>
    <t>9766</t>
  </si>
  <si>
    <t xml:space="preserve">proceso de retiro </t>
  </si>
  <si>
    <t>ARIETE 14 | ESTADIO</t>
  </si>
  <si>
    <t>COM.FESTIVAL VIÑA DEL MAR</t>
  </si>
  <si>
    <t xml:space="preserve">SANHUEZA FIGUEROA JOSE EDUARDO  ( L ) </t>
  </si>
  <si>
    <t xml:space="preserve">( L ) </t>
  </si>
  <si>
    <t>CORTES VARA MARCO EDGARDO              (T-J)</t>
  </si>
  <si>
    <t>VERA VEGA NICOLAS ANTONIO              ( T-J)</t>
  </si>
  <si>
    <t>ARIETE 14 6</t>
  </si>
  <si>
    <t>ESCUADRON 14 6</t>
  </si>
  <si>
    <t>EX DOM SE</t>
  </si>
  <si>
    <t>SOLAR JARA CARLOS ALEX          (L-P)</t>
  </si>
  <si>
    <t xml:space="preserve">OF. REQUERIMIENTOS / FUERO MATERNAL 09:00 A 17:00 HRS // REQ. </t>
  </si>
  <si>
    <t>PLAN 2 / PTR-02 PUENTE ALTO</t>
  </si>
  <si>
    <t>DOMICILIO S.E. GABRIEL BORIC FONT</t>
  </si>
  <si>
    <t>APOYO JEFE APS</t>
  </si>
  <si>
    <t>LISTO</t>
  </si>
  <si>
    <t xml:space="preserve">LISTO </t>
  </si>
  <si>
    <t>LISTO      SECCION CAZADORES 
DOE 201203630 CITACION 13° JUZ. GARANTIA 05-03-2024 09:00 HRS</t>
  </si>
  <si>
    <t>LISTO   DOE 201203630 CITACION 8° JUZ GARANTIA STGO. 17-05-2024 11:00 HRS</t>
  </si>
  <si>
    <t xml:space="preserve">LISTO // DOE 201203630 JGO. GARANTIA STGO 15-03-2024 A LAS 09:00 HRS,Y 15-04-24 A LAS 11:00 HRS. JG. P. ALTO. </t>
  </si>
  <si>
    <t>LISTO       DOE 201203630 CITACION 2° TOP STGO. 20-05-2024 09:00 HRS</t>
  </si>
  <si>
    <t>LISTO 08-03-2024 JZDO 10:00 HRS DOE 201275620</t>
  </si>
  <si>
    <t xml:space="preserve">SALIENTE DE NOCHE </t>
  </si>
  <si>
    <t>SALIENTE DE SERVICIO NOC.</t>
  </si>
  <si>
    <t>ESCUADRON 14 3</t>
  </si>
  <si>
    <t>ARIETE 14 3</t>
  </si>
  <si>
    <t>ARIETE 14 8</t>
  </si>
  <si>
    <t>ESCUADRON 14 8</t>
  </si>
  <si>
    <t>ARIETE 11 | ESTADIO</t>
  </si>
  <si>
    <t>ARIETE 15 |ESTADIO</t>
  </si>
  <si>
    <t>ARIETE 14 9</t>
  </si>
  <si>
    <t>ESCUADRON 14 9</t>
  </si>
  <si>
    <t>JEFE/PTL-24</t>
  </si>
  <si>
    <t>PTL-24</t>
  </si>
  <si>
    <t>LISTO COMISION SERVCIO VALPO</t>
  </si>
  <si>
    <t>LISTO    DOE. 200808326 4° TRIBUNAL O.P. S. 18-03-24 A LAS 09:00 HRS.</t>
  </si>
  <si>
    <t>LISTO   DOE. 200808326 4° TRIBUNAL O.P. S. 18-03-24 A LAS 09:00 HRS.</t>
  </si>
  <si>
    <t>MARZO</t>
  </si>
  <si>
    <t>ARIETE 19 3</t>
  </si>
  <si>
    <t>ESCUADRON 19 3</t>
  </si>
  <si>
    <t>ARIETE 22 | CONCIERTO L.M.</t>
  </si>
  <si>
    <t>ARIETE 12 | CONCIERTO L.M.</t>
  </si>
  <si>
    <t>PREVENTIVO</t>
  </si>
  <si>
    <t>MEDIOS APRESTO</t>
  </si>
  <si>
    <t>“RESGUARDO EMBAJADA DE ECUADOR EN CHILE. (PUNTO FIJO)</t>
  </si>
  <si>
    <t>AVENIDA ANDRES BELLO N° 2233, COMUNA PROVIDENCIA</t>
  </si>
  <si>
    <t>PRIMER PATRULLAJE: 08:00 A 20:00 HORAS.</t>
  </si>
  <si>
    <t>SEGUNDO PATRULLAJE: 20:00 A 08:00 HORAS.</t>
  </si>
  <si>
    <t>OFICIAL TERRITORIAL.</t>
  </si>
  <si>
    <t>DESDE EL LUNES 09 HASTA NUEVA ORDEN.-</t>
  </si>
  <si>
    <t xml:space="preserve">EQUIPO TRABAJO PLAN ESUCAR </t>
  </si>
  <si>
    <t>SER. APS.</t>
  </si>
  <si>
    <t>AR. 17 | CONC. L. M.</t>
  </si>
  <si>
    <t>AR. 24 | CONC. L. M.</t>
  </si>
  <si>
    <t>AR. 17 | CONC. L.M.</t>
  </si>
  <si>
    <t>AR. 24 | CONC. L.M.</t>
  </si>
  <si>
    <t>EQUIPO TRABAJO PLAN FORTAL.</t>
  </si>
  <si>
    <t>ARIETE 21 | ESTADIO</t>
  </si>
  <si>
    <t>AR.21| ESTADIO</t>
  </si>
  <si>
    <t>S-EV-7 // B-645</t>
  </si>
  <si>
    <t>S-EV-8 // B-512</t>
  </si>
  <si>
    <t>S-EV-10 // B-644</t>
  </si>
  <si>
    <t>025183E</t>
  </si>
  <si>
    <t>CUMSILLE QUINTANILLA MIGUEL EDUARDO JACOB</t>
  </si>
  <si>
    <t>CPR CUMSILLE QUINTANILLA MIGUEL EDUARDO JACOB - AGREGADOS</t>
  </si>
  <si>
    <t>LISTO      DOE 201203630 CITACION 3° JUZ. 
GARANTIA STGO. 285-03-2024 13:00 HRS</t>
  </si>
  <si>
    <t>LISTO    DOE 191579991 AUTORIZACION PARA ESTUDIAR //
23-05-2024 12:30 HRS DOE 195671296 /// KIOSKO</t>
  </si>
  <si>
    <t xml:space="preserve"> CONCIERTO L.M.</t>
  </si>
  <si>
    <t>ARIETE 17 | CONC. L. M.</t>
  </si>
  <si>
    <t xml:space="preserve">APOYO JEFE APS </t>
  </si>
  <si>
    <t>BAQUEDANO | MONUMENTO</t>
  </si>
  <si>
    <t>ARIETE 12 | ESTADIO</t>
  </si>
  <si>
    <t>APS. | ARIETE  12 ESTADIO</t>
  </si>
  <si>
    <t>QUINTANILLA ROJAS RAUL ENRIQUE             (L)</t>
  </si>
  <si>
    <t>ARIETE 18 6</t>
  </si>
  <si>
    <t>ESCUADRON 18 6</t>
  </si>
  <si>
    <t xml:space="preserve">ARIETE 12 </t>
  </si>
  <si>
    <t>ARIETE 21 MECANIZADO</t>
  </si>
  <si>
    <t>LISTO  AUTORIZADO ESTUDIAR RESOLUCIONNRO 131 // DOE.193979908</t>
  </si>
  <si>
    <t xml:space="preserve">ARIETE 14 | INST. NACIONAL </t>
  </si>
  <si>
    <t>JEFE APS</t>
  </si>
  <si>
    <t>ARIETE 14 | INST. NACIONAL</t>
  </si>
  <si>
    <t xml:space="preserve">ARIETE 17  |LIC. APLICACIONES </t>
  </si>
  <si>
    <t>XXXXXXXXX</t>
  </si>
  <si>
    <t>PREDIO CURACAVI | ESCOPETA Y C.L.</t>
  </si>
  <si>
    <t>ARIETE 25 | LICEO APLICACIONES</t>
  </si>
  <si>
    <t>ARIETE 17 6</t>
  </si>
  <si>
    <t>ESCUADRON 17 6</t>
  </si>
  <si>
    <t>ARIETE C40 6</t>
  </si>
  <si>
    <t>ESCUADRON C40 6</t>
  </si>
  <si>
    <t>ARIETE C40 7</t>
  </si>
  <si>
    <t>ESCUADRON C40 7</t>
  </si>
  <si>
    <t>ARIETE 17 / APLICACIÓN</t>
  </si>
  <si>
    <t>FISCALIZADOR LIC. MEDICAS</t>
  </si>
  <si>
    <t>ARIETE C40A | BORGOÑO</t>
  </si>
  <si>
    <t>ARIETE 11 | INBA</t>
  </si>
  <si>
    <t>ARIETE 20 / NACIONAL</t>
  </si>
  <si>
    <t>SALIENTE DE NOCHE APS</t>
  </si>
  <si>
    <t>ARIETE 22 / APLICACIÓN</t>
  </si>
  <si>
    <t xml:space="preserve">LISTO     </t>
  </si>
  <si>
    <t>ARIETE 12 / INBA</t>
  </si>
  <si>
    <t>ARIETE C-40-A / BORGOÑO</t>
  </si>
  <si>
    <t>KIOSCO</t>
  </si>
  <si>
    <t>ARIETE 17 / NACIONAL</t>
  </si>
  <si>
    <t>ARIETE 19 / APLICACIÓN</t>
  </si>
  <si>
    <t>ARIETE  11/ BORGOÑO</t>
  </si>
  <si>
    <t>ARIETE 11 / BORGOÑO</t>
  </si>
  <si>
    <t>SECCION FEMENINA 1</t>
  </si>
  <si>
    <t>SECCION FEMENINA 2</t>
  </si>
  <si>
    <t>S-EV-9  // B-647</t>
  </si>
  <si>
    <t>NOTIFICAR // DOE. 200814951 15-04-2024 11:00 HRS JG. P. ALTO
DOE 201203630 CITACION JUZ. GARANTIA PUENTE ALTO 15-04-2024 11:00 HRS</t>
  </si>
  <si>
    <t>MANTENCION LA</t>
  </si>
  <si>
    <t xml:space="preserve">DEL PINO CASTILLO SUSANA ESTEFANIA   ( L ) </t>
  </si>
  <si>
    <t xml:space="preserve">BAQUEDANO | MECANIZADO </t>
  </si>
  <si>
    <t xml:space="preserve">APRESTO | INSTRUCCION </t>
  </si>
  <si>
    <t>ARIETE 18 7</t>
  </si>
  <si>
    <t>ESCUADRON 18 7</t>
  </si>
  <si>
    <t>ARIETE 18 9</t>
  </si>
  <si>
    <t>ESCUADRON 18 9</t>
  </si>
  <si>
    <t>ARIETE 11 | INBA | MARCHA 8M</t>
  </si>
  <si>
    <t>ARIETE 12 | BORGOÑO | 20° COM P. ALTO</t>
  </si>
  <si>
    <t>APOYO JEFE APS.</t>
  </si>
  <si>
    <t>SALIENTE SERV. APS.</t>
  </si>
  <si>
    <t>BAQUEDANO | MARCHA 8 M.</t>
  </si>
  <si>
    <t>ARIET 19 | MARCHA 8M.</t>
  </si>
  <si>
    <t>ARIETE 20 | APLICACIONES | MARCHA 8M</t>
  </si>
  <si>
    <t>ARIETE 21 | NACIONAL | MARCHA 8 M</t>
  </si>
  <si>
    <t xml:space="preserve">GRECIA MACUL | 43° COM- PEÑALOLEN </t>
  </si>
  <si>
    <t>APRESTO | 8M.-</t>
  </si>
  <si>
    <t>APRESTO | TM-341</t>
  </si>
  <si>
    <t>ZAPATA MARTINEZ JORGE ORLANDO               (L-T-P)</t>
  </si>
  <si>
    <t>CARES CONTRERAS LUIS ALBERTO           (L - P - T)</t>
  </si>
  <si>
    <t>ACEVEDO CALDERON FERNANDO        (L - T)</t>
  </si>
  <si>
    <t>LEON PEREZ GUIDO ARIEL                     (L - P - T)</t>
  </si>
  <si>
    <t>ALISTE TORRES FRANCSICO GIOVANNI             (T)</t>
  </si>
  <si>
    <t>ARIETE C40 8</t>
  </si>
  <si>
    <t>ESCUADRON C40 8</t>
  </si>
  <si>
    <t>GARRIDO POBLETE MIGUEL EDUARDO   ( L )</t>
  </si>
  <si>
    <t>POR DEFINIR</t>
  </si>
  <si>
    <t xml:space="preserve">ARIETE C40-A </t>
  </si>
  <si>
    <t xml:space="preserve">APRESTO </t>
  </si>
  <si>
    <t>APRESTO  CAMBIO DE GUARDIA</t>
  </si>
  <si>
    <t>1ER TURNO APS / APRESTO</t>
  </si>
  <si>
    <t xml:space="preserve">JEFE SERV. APS </t>
  </si>
  <si>
    <t xml:space="preserve">ARIETE 14 </t>
  </si>
  <si>
    <t>ARIETE 11 | B. BORGOÑO | ESTADIO</t>
  </si>
  <si>
    <t>JEFE SERV APS</t>
  </si>
  <si>
    <t>ARIETE 20 | INST. NACIONAL</t>
  </si>
  <si>
    <t>ARIETE 24 | LIC. APLICACIONES | ESTADIO</t>
  </si>
  <si>
    <t>ARIETE C40A | INBA</t>
  </si>
  <si>
    <t>ARIETE REF. 11 | ESTADIO</t>
  </si>
  <si>
    <t>PREDIO CURACAVI ESCP. Y C.L.G.</t>
  </si>
  <si>
    <t xml:space="preserve">MONUMENTO MARTIRES </t>
  </si>
  <si>
    <t xml:space="preserve">VALENZUELA SANDOVAL CESAR MAURICIO   ( L ) </t>
  </si>
  <si>
    <t>ARIETE 12 | B. BORGOÑO</t>
  </si>
  <si>
    <t>ARIETE 17 | INST. NACIONAL</t>
  </si>
  <si>
    <t>APOYO APS</t>
  </si>
  <si>
    <t xml:space="preserve">ARIETE 19 | LIC. APLICACIONES </t>
  </si>
  <si>
    <t>ARIETE 17 | INS. NACIONAL</t>
  </si>
  <si>
    <t>ARIETE 17 |INST. NACIONAL</t>
  </si>
  <si>
    <t>VALENZUELA AGUILERA ENZO ANTONIO</t>
  </si>
  <si>
    <t>CABO 2DO. CANDIA TORRES JOSE IGNACIO - S-50</t>
  </si>
  <si>
    <t>RETIRO TEMPORAL COMISION MEDICA DOE. 202042350 F. 11-03-2024</t>
  </si>
  <si>
    <t xml:space="preserve">TRABAJO LIVIANO </t>
  </si>
  <si>
    <t>ARIETE 12 / INBA ESTADIO</t>
  </si>
  <si>
    <t>ARIETE 20 / APLICACIONES / ESTADIO</t>
  </si>
  <si>
    <t>ARIETE C-40-A BORGOÑO</t>
  </si>
  <si>
    <t>MEDINA VILLEGAS CARLOS ALEJANDRO       (P)</t>
  </si>
  <si>
    <t>LISTO // JUICIO 16-04-2024 09:00 HRS DOE 202176726</t>
  </si>
  <si>
    <t>INSTRUCCIÓN MOWAG</t>
  </si>
  <si>
    <t>APRESTO FUNERAL</t>
  </si>
  <si>
    <t xml:space="preserve">GRECIA MACUL </t>
  </si>
  <si>
    <t>ALLANAMIENTO</t>
  </si>
  <si>
    <t>ARIETE 14 / NACIONAL ESTADIO</t>
  </si>
  <si>
    <t>ARIETE 11 | B. BORGOÑO</t>
  </si>
  <si>
    <t>APOYO JEFE SERV. APS</t>
  </si>
  <si>
    <t>ARIETE 25| LICEO APLIACCIONES</t>
  </si>
  <si>
    <t>ARIETE 24 | INST. NACIONAL</t>
  </si>
  <si>
    <t>ARIETE 24|INST. NACIONAL</t>
  </si>
  <si>
    <t xml:space="preserve">DISPONIBLE </t>
  </si>
  <si>
    <t xml:space="preserve">ARIETE C40A | INBA </t>
  </si>
  <si>
    <t>CASTRO BERRIOS CARLOS IGNACIO      (L-T-S)</t>
  </si>
  <si>
    <t>(L-T-S)</t>
  </si>
  <si>
    <t>PRACTICA DE TIRO CURACAVI</t>
  </si>
  <si>
    <t>JELDRES FIGUEROA JULIO LEONARDO     (L-J)</t>
  </si>
  <si>
    <t>(L-J)</t>
  </si>
  <si>
    <t>LIC HASTA EL 26-03-2024</t>
  </si>
  <si>
    <t>SUBOFICIAL ZAPATA MUÑOZ LUIS ALEJANDRO ( P) - JEFE/S-34</t>
  </si>
  <si>
    <t>BAJA DOE 202315072</t>
  </si>
  <si>
    <t>ARIETE 11 / INBA</t>
  </si>
  <si>
    <t>ARIETE 12 / BORGOÑO</t>
  </si>
  <si>
    <t>ARIETE 14 / APLICACIONES</t>
  </si>
  <si>
    <t>SALDIAS LAGOS PATRICIO ALEJANDRO   (T)</t>
  </si>
  <si>
    <t>VILLAGRA RIVAS BENJAMIN ESTEBAN           (L-J-S)</t>
  </si>
  <si>
    <t>(L-J-S)</t>
  </si>
  <si>
    <t>PREVENTIVO.-</t>
  </si>
  <si>
    <t xml:space="preserve">SERVICIO FOCALIZADO BARRIO YUNGAY.- </t>
  </si>
  <si>
    <t>BARRIO YUNGAY FACCIÓN CONFORME A DESPLIEGUE ADJUNTO</t>
  </si>
  <si>
    <t>OFICIAL DE GRADO CAPITÁN O MAYOR DE LA PREF. STGO. CENTRAL</t>
  </si>
  <si>
    <t>PRESENTACIÓN</t>
  </si>
  <si>
    <t>30 MIN ANTES DEL INICIO DEL SERVICIO EN LA 3° COM. STGO. CENTRAL</t>
  </si>
  <si>
    <t>LUNES: 17:00 A 22:00 HORAS.</t>
  </si>
  <si>
    <t>MARTES: 14:00 A 19:00 HORAS.</t>
  </si>
  <si>
    <t>MIERCOLES: 10:00 A 15:00 HORAS.</t>
  </si>
  <si>
    <t>JUEVES: 18:00 A 23:00 HORAS.</t>
  </si>
  <si>
    <t>VIERNES: 19:00 A 23:59 HORAS.</t>
  </si>
  <si>
    <t>ARIETE 17</t>
  </si>
  <si>
    <t>ARIETE 22 | ESTADIO</t>
  </si>
  <si>
    <t>ARIETE 25 | ESTADIO</t>
  </si>
  <si>
    <t>ARIETE 13 6</t>
  </si>
  <si>
    <t>ESCUADRON 13 6</t>
  </si>
  <si>
    <t>ARIETE 13 7</t>
  </si>
  <si>
    <t>ESCUADRON 13 7</t>
  </si>
  <si>
    <t>ARIETE 13 8</t>
  </si>
  <si>
    <t>ESCUADRON 13 8</t>
  </si>
  <si>
    <t xml:space="preserve">ESCUADRON 13 </t>
  </si>
  <si>
    <t>SABADO 16 Y DOMINGO 17</t>
  </si>
  <si>
    <t xml:space="preserve">ORD. JUDICIALES </t>
  </si>
  <si>
    <t>SABADO: 20:00 A 01:00 HORAS.</t>
  </si>
  <si>
    <t xml:space="preserve">KIOSCO </t>
  </si>
  <si>
    <t>ARIETE 21 / ESTADIO</t>
  </si>
  <si>
    <t>ASIGNAR SECCION</t>
  </si>
  <si>
    <t>APRESTO /2T JEFE SERV. APS</t>
  </si>
  <si>
    <t xml:space="preserve"> 1T JEFE SERV. APS / APRESTO</t>
  </si>
  <si>
    <t>ARIETE C40A/ BORGOÑO</t>
  </si>
  <si>
    <t>ARIETE 25 / NACIONAL</t>
  </si>
  <si>
    <t>DOM. EX S.E</t>
  </si>
  <si>
    <t>ARIETE C40A / BORGOÑO</t>
  </si>
  <si>
    <t>CURSO MOWAG</t>
  </si>
  <si>
    <t>REENTRENAMIENTO</t>
  </si>
  <si>
    <t>APRESTO MANTENCION</t>
  </si>
  <si>
    <t>ARIETE 20 / APLICACIONES</t>
  </si>
  <si>
    <t>APOYO JEFE DE APS</t>
  </si>
  <si>
    <t>ARIETE 19 / NACIONAL</t>
  </si>
  <si>
    <t>SUBPREF. SERV. 2 / JEFE APS</t>
  </si>
  <si>
    <t>DOM EX SE</t>
  </si>
  <si>
    <t>934952L</t>
  </si>
  <si>
    <t>LOPEZ FICA JULIAN EDUARDO</t>
  </si>
  <si>
    <t>S.O.M. LOPEZ FICA JULIAN EDUARDO - SALA DE ARMAS</t>
  </si>
  <si>
    <t>ORELLANA CAUCHUPAN JOSE   ( L)</t>
  </si>
  <si>
    <t>942154U</t>
  </si>
  <si>
    <t>GONZALEZ CUEVAS JORGE HERNAN</t>
  </si>
  <si>
    <t>S.O.M. GONZALEZ CUEVAS JORGE HERNAN - OF. ORDENES JUDICIALES</t>
  </si>
  <si>
    <t>ENCARGADO OR. JZ. NO SACAR</t>
  </si>
  <si>
    <t>ENCARGADO SALA DE ARMAS NO SACAR</t>
  </si>
  <si>
    <t>MONUMENTO MARTIR</t>
  </si>
  <si>
    <t>ARIETE 18 / NACIONAL</t>
  </si>
  <si>
    <t>DOM. EX. SE</t>
  </si>
  <si>
    <t>PTR-G-19 TTE. DIAZ</t>
  </si>
  <si>
    <t>CABO 2DO. QUIROZ MUÑOZ JAROL ANTONIO - S-53</t>
  </si>
  <si>
    <t>SGTO 2DO. CARLOS SANTIBAÑEZ SERRANO - OF. OPERACIONES</t>
  </si>
  <si>
    <t>RENUNCIA VOLUNTARIA, NRO. DOE. 202646411</t>
  </si>
  <si>
    <t>ARIETE 25 / APLICACIONES</t>
  </si>
  <si>
    <t>ÁRIETE 13 / NACIONAL</t>
  </si>
  <si>
    <t>ARIETE 19 / APLICACIONES</t>
  </si>
  <si>
    <t>EX DOM. S.E</t>
  </si>
  <si>
    <t>ARIETE 13 / NACIONAL</t>
  </si>
  <si>
    <t>975085L</t>
  </si>
  <si>
    <t>QUIDILAO MARTINEZ JONATHAN JAVIER</t>
  </si>
  <si>
    <t>SGTO 2DO. QUIDILAO MARTINEZ JONATHAN JAVIER - S-EV-13</t>
  </si>
  <si>
    <t>976419Y</t>
  </si>
  <si>
    <t>DIAZ AHUMADA EDUARDO ANDRES</t>
  </si>
  <si>
    <t>SGTO 2DO. DIAZ AHUMADA EDUARDO ANDRES - S-EV-13</t>
  </si>
  <si>
    <t>979400M</t>
  </si>
  <si>
    <t>AVILES IBACACHE CRISTOPHER ENRIQUE</t>
  </si>
  <si>
    <t>SGTO 2DO. AVILES IBACACHE CRISTOPHER ENRIQUE - S-EV-13</t>
  </si>
  <si>
    <t>985197C</t>
  </si>
  <si>
    <t>CARRASCO MIRANDA DANIEL ANTONIO</t>
  </si>
  <si>
    <t>SGTO 2DO. CARRASCO MIRANDA DANIEL ANTONIO - S-EV-13</t>
  </si>
  <si>
    <t>CARRASCO MIRANDA DANIEL ANTONIO  (L)</t>
  </si>
  <si>
    <t>997674V</t>
  </si>
  <si>
    <t>CASTRO MELLADO ANGELICA DEL PILAR</t>
  </si>
  <si>
    <t>CABO 1RO. CASTRO MELLADO ANGELICA DEL PILAR - S-EV-13</t>
  </si>
  <si>
    <t>983069U</t>
  </si>
  <si>
    <t>VERGARA TORRES TIARE NOEMI</t>
  </si>
  <si>
    <t>CABO 1RO. VERGARA TORRES TIARE NOEMI - S-EV-13</t>
  </si>
  <si>
    <t>973391Z</t>
  </si>
  <si>
    <t>GONZALEZ RETAMAL CRISTIAN CLODOMIRO</t>
  </si>
  <si>
    <t>CABO 1RO. GONZALEZ RETAMAL CRISTIAN CLODOMIRO - S-EV-13</t>
  </si>
  <si>
    <t>993641Y</t>
  </si>
  <si>
    <t>16860145K</t>
  </si>
  <si>
    <t>URBINA SOLIS LUIS AGUSTIN</t>
  </si>
  <si>
    <t>CABO 1RO. URBINA SOLIS LUIS AGUSTIN - S-EV-13</t>
  </si>
  <si>
    <t>001140F</t>
  </si>
  <si>
    <t>MARQUEZ CAMPOS FELIPE SANTIAGO</t>
  </si>
  <si>
    <t>CABO 1RO. MARQUEZ CAMPOS FELIPE SANTIAGO - S-EV-13</t>
  </si>
  <si>
    <t>984071P</t>
  </si>
  <si>
    <t>PUNOY GUTIERREZ DANIEL ALEJANDRO</t>
  </si>
  <si>
    <t>CABO 1RO. PUNOY GUTIERREZ DANIEL ALEJANDRO - S-EV-13</t>
  </si>
  <si>
    <t>992747Z</t>
  </si>
  <si>
    <t>LARA MOLINA ALEJANDRO IGNACIO</t>
  </si>
  <si>
    <t>CABO 1RO. LARA MOLINA ALEJANDRO IGNACIO - S-EV-13</t>
  </si>
  <si>
    <t>001110Z</t>
  </si>
  <si>
    <t>GOMEZ SEGUEL MIGUEL ANGEL</t>
  </si>
  <si>
    <t>CABO 1RO. GOMEZ SEGUEL MIGUEL ANGEL - S-EV-13</t>
  </si>
  <si>
    <t>001568G</t>
  </si>
  <si>
    <t>URREA FIGUEROA LEONARDO ENRIQUE</t>
  </si>
  <si>
    <t>CABO 1RO. URREA FIGUEROA LEONARDO ENRIQUE - S-EV-13</t>
  </si>
  <si>
    <t>997329T</t>
  </si>
  <si>
    <t>BLANCO BLANCO NICOLAS FRANCISCO</t>
  </si>
  <si>
    <t>CABO 1RO. BLANCO BLANCO NICOLAS FRANCISCO - S-EV-13</t>
  </si>
  <si>
    <t>BLANCO BLANCO NICOLAS FRANCISCO (L)</t>
  </si>
  <si>
    <t>985765U</t>
  </si>
  <si>
    <t>URRUTIA ASTUDILLO HECTOR NEFTALI</t>
  </si>
  <si>
    <t>CABO 1RO. URRUTIA ASTUDILLO HECTOR NEFTALI - S-EV-13</t>
  </si>
  <si>
    <t>997629Y</t>
  </si>
  <si>
    <t>SANDOVAL PAVEZ RODRIGO EMILIO</t>
  </si>
  <si>
    <t>CABO 1RO. SANDOVAL PAVEZ RODRIGO EMILIO - S-EV-13</t>
  </si>
  <si>
    <t>985914A</t>
  </si>
  <si>
    <t>LILLO PEÑA ARIEL VIVIANO</t>
  </si>
  <si>
    <t>CABO 1RO. LILLO PEÑA ARIEL VIVIANO - S-EV-13</t>
  </si>
  <si>
    <t>982447K</t>
  </si>
  <si>
    <t>NUÑEZ NAHUELHUAL FRANCISCO JAVIER</t>
  </si>
  <si>
    <t>SGTO 2DO. NUÑEZ NAHUELHUAL FRANCISCO JAVIER - S-EV-13</t>
  </si>
  <si>
    <t>979136X</t>
  </si>
  <si>
    <t>SANHUEZA DARWITG JORGE ANDRES</t>
  </si>
  <si>
    <t>CABO 1RO. SANHUEZA DARWITG JORGE ANDRES - S-EV-13</t>
  </si>
  <si>
    <t>980220D</t>
  </si>
  <si>
    <t>PARIS CARTES JORGE MILTON</t>
  </si>
  <si>
    <t>CABO 1RO. PARIS CARTES JORGE MILTON - S-EV-13</t>
  </si>
  <si>
    <t>986568Y</t>
  </si>
  <si>
    <t>GONZALEZ LAGOS GUSTAVO ALEXIS</t>
  </si>
  <si>
    <t>CABO 1RO. GONZALEZ LAGOS GUSTAVO ALEXIS - S-EV-13</t>
  </si>
  <si>
    <t>004033N</t>
  </si>
  <si>
    <t>CID IRARRAZABAL DAVID HENRRY</t>
  </si>
  <si>
    <t>CABO 1RO. CID IRARRAZABAL DAVID HENRRY - S-EV-13</t>
  </si>
  <si>
    <t>004350L</t>
  </si>
  <si>
    <t>QUINTEROS BRIONES SEBASTIAN ALEJANDRO</t>
  </si>
  <si>
    <t>CABO 1RO. QUINTEROS BRIONES SEBASTIAN ALEJANDRO - S-EV-13</t>
  </si>
  <si>
    <t>008102D</t>
  </si>
  <si>
    <t>MELIPIL VARGAS MARCELO ANTONIO (L)</t>
  </si>
  <si>
    <t>CABO 2DO. MELIPIL VARGAS MARCELO ANTONIO (L) - S-EV-13</t>
  </si>
  <si>
    <t>984949U</t>
  </si>
  <si>
    <t>HURTADO OLIVARES JUAN FRANCISCO</t>
  </si>
  <si>
    <t>CABO 1RO. HURTADO OLIVARES JUAN FRANCISCO - S-EV-13</t>
  </si>
  <si>
    <t>MACUL 5</t>
  </si>
  <si>
    <t>MACUL 6</t>
  </si>
  <si>
    <t>MACUL 4</t>
  </si>
  <si>
    <t>FRANCO AL LLAMADO</t>
  </si>
  <si>
    <t xml:space="preserve">MACUL 4 | CIUDADANIA </t>
  </si>
  <si>
    <t>MACUL 5 | CONSTITUCION</t>
  </si>
  <si>
    <t xml:space="preserve">MACUL 6 | MONEDA </t>
  </si>
  <si>
    <t>ARIETE 11/ INBA</t>
  </si>
  <si>
    <t>POSIBLE CONTINGENCIA.- ( NOCHE )</t>
  </si>
  <si>
    <t>DESDE EL 20 HASTA NUEVA ORDEN.-</t>
  </si>
  <si>
    <t xml:space="preserve">OPORTUNA </t>
  </si>
  <si>
    <t xml:space="preserve">40° COM. </t>
  </si>
  <si>
    <t xml:space="preserve">COMISARIO DE SERVICIO. </t>
  </si>
  <si>
    <t xml:space="preserve">APRESTO AL LLAMADO NOCHE </t>
  </si>
  <si>
    <t>SEPULVEDA RIFFO LUIS LEONARDO SEBASTIAN (IFEX)</t>
  </si>
  <si>
    <t>ARIETE 12 | INBA</t>
  </si>
  <si>
    <t>ARIETE 11 | BORGOÑO</t>
  </si>
  <si>
    <t>ARIETE 15 | INST. NACIONAL</t>
  </si>
  <si>
    <t>LEGAUA EMERGENCIA</t>
  </si>
  <si>
    <t>ARIETE 11 | B.BORGOÑO</t>
  </si>
  <si>
    <t xml:space="preserve">ARIETE 12 | INBA </t>
  </si>
  <si>
    <t xml:space="preserve">ARIETE 15 | INST. NACIONAL </t>
  </si>
  <si>
    <t>ACTIVIDAD PROYECTADA NRO.04
D/E. N.C.U. 202802547, 21.03.2024, DE LA PREFECTURA CONTROL ORDEN PUBLICO ESTE</t>
  </si>
  <si>
    <t>ACTIVIDAD PROYECTADA NRO.03
D/E. N.C.U. ORDEN VERBAL G1 ESTE, 20.03.2024, DE LA PREFECTURA CONTROL ORDEN PUBLICO ESTE</t>
  </si>
  <si>
    <t>SERVICIO FOCALIZADO</t>
  </si>
  <si>
    <t>SERVICIO PREVENTIVO PERIMETRO CENTROS PENITENCIARIOS COMUNA DE SANTIAGO</t>
  </si>
  <si>
    <t>LUGAR PERÍMETRO</t>
  </si>
  <si>
    <t>EX PENITENCIARIA. </t>
  </si>
  <si>
    <t>SANTIAGO 1 </t>
  </si>
  <si>
    <t>CARCEL DE ALTA SEGURIDAD</t>
  </si>
  <si>
    <t>CENTRO DE JUSTICIA</t>
  </si>
  <si>
    <t>01 Oficial de Grado de Capitán de la Zona Santiago Oeste y Este (conforme el rol de servicio).  </t>
  </si>
  <si>
    <t>1° TURNO: 08:00 HRS A 15:00 HRS.</t>
  </si>
  <si>
    <t>2° TURNO: 15:00 HRS A 22:00 HRS.</t>
  </si>
  <si>
    <t>3° TURNO: 22:00 HRS A 08:00 HRS.</t>
  </si>
  <si>
    <t xml:space="preserve">ARIETE DE BAQEDANO Y EL ARIETE DE LICEO APLICACIONES.- </t>
  </si>
  <si>
    <t xml:space="preserve"> CIUDADANIA </t>
  </si>
  <si>
    <t xml:space="preserve"> CONSTITUCION</t>
  </si>
  <si>
    <t xml:space="preserve"> MONEDA </t>
  </si>
  <si>
    <t>992973L</t>
  </si>
  <si>
    <t>PINTO OVIEDO CAMILA MACARENA</t>
  </si>
  <si>
    <t>CABO 1RO. PINTO OVIEDO CAMILA MACARENA - S-EV-13</t>
  </si>
  <si>
    <t>997026F</t>
  </si>
  <si>
    <t>FUENTES SEPULVEDA ANGEL ISMAEL</t>
  </si>
  <si>
    <t>CABO 1RO. FUENTES SEPULVEDA ANGEL ISMAEL - S-EV-13</t>
  </si>
  <si>
    <t>989031L</t>
  </si>
  <si>
    <t>VILLEGAS GODOY JAIME ANDRES</t>
  </si>
  <si>
    <t>CABO 1RO. VILLEGAS GODOY JAIME ANDRES - S-EV-13</t>
  </si>
  <si>
    <t>986484D</t>
  </si>
  <si>
    <t>17757001K</t>
  </si>
  <si>
    <t>RIQUELME SANDOVAL CRISTIAN ZENON</t>
  </si>
  <si>
    <t>CABO 1RO. RIQUELME SANDOVAL CRISTIAN ZENON - S-EV-13</t>
  </si>
  <si>
    <t>969709U</t>
  </si>
  <si>
    <t>MEZA ALIAGA MARCELO PATRICIO</t>
  </si>
  <si>
    <t>SGTO 2DO. MEZA ALIAGA MARCELO PATRICIO - S-EV-13</t>
  </si>
  <si>
    <t>BAQUEDANO / ESTADIO</t>
  </si>
  <si>
    <t>ARIETE 14/ ESTADIO</t>
  </si>
  <si>
    <t>ARIETE 18 / ESTADIO</t>
  </si>
  <si>
    <t>ARIETE 20 / ESTADIO</t>
  </si>
  <si>
    <t>ARIETE 14 / ESTADIO</t>
  </si>
  <si>
    <t>FRANCO 23-24</t>
  </si>
  <si>
    <t>CERTIFICADO SERVICIOS LIVIANOS</t>
  </si>
  <si>
    <t>FRIZ RODRIGUEZ CRISTOFFER ALEJANDRO</t>
  </si>
  <si>
    <t>ARIETE 13 | ESTADIO</t>
  </si>
  <si>
    <t>ARIETE 18 | ESTADIO</t>
  </si>
  <si>
    <t xml:space="preserve"> 2DO. TURNO APS</t>
  </si>
  <si>
    <t>R. ROBERTO DEL RIO</t>
  </si>
  <si>
    <t>CUENTAS NOCTURNAS</t>
  </si>
  <si>
    <t>ARIETE 14 | INS. NACIONAL</t>
  </si>
  <si>
    <t>ARIETE 20 | LICEO APLICACIONES</t>
  </si>
  <si>
    <t>ARIETE C40A | BORGOÑO | ESTADIO</t>
  </si>
  <si>
    <t>ARIETE 11 | INBA | ESTADIO</t>
  </si>
  <si>
    <t>ARIETE 14 | INST. NACIONAL | ESTADIO</t>
  </si>
  <si>
    <t>ARIETE 20 | LICEO APLIC. | ESTADIO</t>
  </si>
  <si>
    <t>ARIETE C40A | INBA | ESTADIO</t>
  </si>
  <si>
    <t>ARIETE 20 | L. APLICACCIONES | ESTADIO</t>
  </si>
  <si>
    <t>CAP. ARMAMENTO MENOS LETAL</t>
  </si>
  <si>
    <t>CAP. ARMAMENTO MENOS LETAL CURACAVI</t>
  </si>
  <si>
    <t xml:space="preserve">TEST CAPACIDAD FISICA ESUCAR </t>
  </si>
  <si>
    <t>ACTIVIDAD PROYECTADA NRO.06
D/E. N.C.U,  201477224 01.03.2024, DE LA PREFECTURA CONTROL ORDEN PUBLICO ESTE</t>
  </si>
  <si>
    <t>APRESTO | INSTRUCCIÓN DLG.</t>
  </si>
  <si>
    <t>DOE. 202831455 // 5° TRIBUNAL DE JUCIO ORAL EN LO PENAL, PARA EL DIA 10.05.2024, A LAS 09:00 HORAS.</t>
  </si>
  <si>
    <t>DOE. 202831455 // 8° JUZGADO DE GARANTIA SANTIAGO, PARA EL DIA 04.04.2024, A LAS 09:00 HORAS.</t>
  </si>
  <si>
    <t>DOE. 202831455 //8° JUZGADO DE GARANTIA SANTIAGO, PARA EL DIA 01.07.2024, A LAS 11:00 HORAS.</t>
  </si>
  <si>
    <t>DOE. 202831455 //8° JUZGADO DE GARANTIA SANTIAGO, PARA EL DIA 02.07.2024, A LAS 11:00 HORAS.</t>
  </si>
  <si>
    <t>APOYO JEFE SERV. APS.</t>
  </si>
  <si>
    <t xml:space="preserve">APOYO JEFE SERV. APS </t>
  </si>
  <si>
    <t>ARIETE 18 | NACIONAL</t>
  </si>
  <si>
    <t xml:space="preserve">ARIETE 25 | APLICACCIONES </t>
  </si>
  <si>
    <t>ARIETE 11 | BORGAOÑO</t>
  </si>
  <si>
    <t>ARIETE C40B | INBA</t>
  </si>
  <si>
    <t xml:space="preserve">ARIETE 25 | APLICACIONES </t>
  </si>
  <si>
    <t>INSTRUCCIÓN</t>
  </si>
  <si>
    <t>JUANICOTENA TAPIA MANUEL                          (T-P-LA)</t>
  </si>
  <si>
    <t>CERT. TRABAJO LIVIANO DESDE EL 22-03-2024 X 60 DIAS</t>
  </si>
  <si>
    <t>MARCHANT VASQUEZ GONZALO EDUARDO      (L-T-J-TM)</t>
  </si>
  <si>
    <t>ARANCIBIA ARANCIBIA DIEGO ANTONIO         (L-J-S-T-TM)</t>
  </si>
  <si>
    <t xml:space="preserve">MILLAR SOLIS AQUILINO JUAN ANDRES   </t>
  </si>
  <si>
    <t>(L-T-J-TM)</t>
  </si>
  <si>
    <t>(L-J-S-T-TM)</t>
  </si>
  <si>
    <t>COND. GRIFO 17</t>
  </si>
  <si>
    <t>ARIETE C40B / INBA</t>
  </si>
  <si>
    <t>ARIETE C40B / BORGOÑO</t>
  </si>
  <si>
    <t xml:space="preserve">ARIETE 13 /  INT NACIONAL </t>
  </si>
  <si>
    <t>ARIETE11 / INBA</t>
  </si>
  <si>
    <t>DOM. EX. S.E</t>
  </si>
  <si>
    <t>CITADO 1ER. TRIBUNAL J.O.P
 STGO 06-05-2024 A LAS 09:00 HRS</t>
  </si>
  <si>
    <t>CARABINERO SALGADO SALGADO CARLOS FELIPE - S-31</t>
  </si>
  <si>
    <t>DESPACHO, TRASLADO DOE NRO. 203125375</t>
  </si>
  <si>
    <t>CONDOR C40-B CGOP (18:00)</t>
  </si>
  <si>
    <t xml:space="preserve"> DOMICILIO EX S.E.</t>
  </si>
  <si>
    <t>Z.C LA PINTANA</t>
  </si>
  <si>
    <t xml:space="preserve"> MONUMENTO /ARIETE 11 / Z. C PUENTE ALTO 66° COM</t>
  </si>
  <si>
    <t xml:space="preserve"> LEGUA  EMERGENCIA</t>
  </si>
  <si>
    <t xml:space="preserve"> Z. C  SAN BERNARDO</t>
  </si>
  <si>
    <t>Z.C. LA VICTORIA LO ESPEJO</t>
  </si>
  <si>
    <t>Z. C PEÑALOLEN</t>
  </si>
  <si>
    <t>Z. CRITICA PEÑALOLEN (LA-061)</t>
  </si>
  <si>
    <t>POR ORDEN DE CONDOR</t>
  </si>
  <si>
    <t>COND. EQUIPO. TRABAJO</t>
  </si>
  <si>
    <t>FISCALIZACION INTERNO UNIDAD</t>
  </si>
  <si>
    <t>CITACION  T.J.O.P PTE. ALTO 16-04-2024 A LAS 09:00</t>
  </si>
  <si>
    <t>CITACION J.G PTE. ALTO
 14-05-24 A LAS 12:00</t>
  </si>
  <si>
    <t>HORA DE PRESENTACIÓN</t>
  </si>
  <si>
    <t>PREFECTO | JEFE INTEGRAL</t>
  </si>
  <si>
    <t>SUBPREF. SERV. 1 | JEFE  Z. C. SAN BERNARDO</t>
  </si>
  <si>
    <t>SUBPREF. SERV. 2 | JEFE Z. C.  PEÑALOLEN</t>
  </si>
  <si>
    <t>SUBPREF. ADM. | JEFE  Z. C. PUENTE ALTO</t>
  </si>
  <si>
    <t>ARIETE  J.O.| Z.C PEÑALOLEN</t>
  </si>
  <si>
    <t>ARIETE C40A | Z.C.LO ESPEJO Y LA VICTORIA</t>
  </si>
  <si>
    <t xml:space="preserve">ARIETE 12 | Z. C SAN BERNARDO | BORGOÑO </t>
  </si>
  <si>
    <t>ARIETE 14 | Z.C PEÑALOLEN (B-683)</t>
  </si>
  <si>
    <t>A. 21 |Z.C SAN BERNARDO / INST. NACIONAL</t>
  </si>
  <si>
    <t>ARIETE 22 | Z.C EL BOSQUE | APLICACIONES</t>
  </si>
  <si>
    <t>ARIETE 14 | Z. C PEÑALOLEN</t>
  </si>
  <si>
    <t>AR. 21 | Z.C SAN BERNARDO | INST. NACIONAL</t>
  </si>
  <si>
    <t xml:space="preserve"> GRECIA MACUL |  Z.C SAN BERNARDO</t>
  </si>
  <si>
    <t>ARIETE J.O | Z.C PEÑALOLEN</t>
  </si>
  <si>
    <t xml:space="preserve"> Z.C PEÑALOLEN |ARIETE C40A INBA</t>
  </si>
  <si>
    <t xml:space="preserve"> BAQ. | AR. 23 Z.C. P. ALTO 20° COM </t>
  </si>
  <si>
    <t>ARIETE 14 |Z.C PEÑALOLEN (LA-060)</t>
  </si>
  <si>
    <t>AR. 12 | Z. C SAN BERNARDO| BORGOÑO</t>
  </si>
  <si>
    <t>AR. 21 | Z.C SAN BERNARDO|INST. NACIONAL</t>
  </si>
  <si>
    <t>AR. C40A |Z. C LA VICTORIA LO ESPEJO | INBA</t>
  </si>
  <si>
    <t>BAQ. |AR. 11 | Z. C PUENTE ALTO 66° COM</t>
  </si>
  <si>
    <t xml:space="preserve">PATRULLA AMUNICIONADORA </t>
  </si>
  <si>
    <t>Z.C PUENTE ALTO 20° COM  (LA-062)</t>
  </si>
  <si>
    <t>L.  APLICACIONES | Z. C EL BOSQUE (B-688)</t>
  </si>
  <si>
    <t xml:space="preserve">CEGEOP |JEFE  Z. C. LA VICT. Y LO ESPEJO </t>
  </si>
  <si>
    <t xml:space="preserve">AR. 11| INBA  | Z. C. 66° COM. BAJOS DE MENA </t>
  </si>
  <si>
    <r>
      <t xml:space="preserve">A CONTAR DEL 01  DE MARZO HASTA NUEVA ORDEN   </t>
    </r>
    <r>
      <rPr>
        <b/>
        <sz val="10"/>
        <color rgb="FFFF0000"/>
        <rFont val="Arial"/>
        <family val="2"/>
      </rPr>
      <t>( 28 Y 29 DE MARZO SE SUPRIME EL SERVICIO )</t>
    </r>
  </si>
  <si>
    <t xml:space="preserve">ARIETE 11/ Z. C. 66° COM. BAJOS DE MENA </t>
  </si>
  <si>
    <t>ARIETE 23 Z.C 20 COM PUENTE ALTO</t>
  </si>
  <si>
    <t>Z.C SAN BERNARDO (B-685)</t>
  </si>
  <si>
    <t>Z.C EL BOSQUE (B-688)</t>
  </si>
  <si>
    <t>SALIENTE DE SERV. NOCTURNO</t>
  </si>
  <si>
    <t>ARIETE 14 / Z.C PEÑALOLEN (LA-060)</t>
  </si>
  <si>
    <t xml:space="preserve"> ARIETE 23 Z.C PUENTE ALTO 20° COM  (LA-062)</t>
  </si>
  <si>
    <t>1P GRECIA MACUL/ LA-042</t>
  </si>
  <si>
    <t>ARIETE J.O / Z.C PEÑALOLEN (LA-066)</t>
  </si>
  <si>
    <t xml:space="preserve">ARIETE 12 | Z. C SAN BERNARDO </t>
  </si>
  <si>
    <t xml:space="preserve">A. 21 |Z.C SAN BERNARDO </t>
  </si>
  <si>
    <t xml:space="preserve">AR. 21 | Z.C SAN BERNARDO </t>
  </si>
  <si>
    <t xml:space="preserve"> Z.C PEÑALOLEN |ARIETE C-40-A</t>
  </si>
  <si>
    <t>A.C40A / Z. C LA VIC. LO ESPEJO (LA-020)</t>
  </si>
  <si>
    <t xml:space="preserve">ARIETE 12 / Z. C SAN BERNARDO / LA-064 </t>
  </si>
  <si>
    <t>AR 21 / Z.C SAN BERNARDO /  LA-059</t>
  </si>
  <si>
    <t>RES. 246 13-02-2024 AL 30-04-2024 78 DIAS Y RES. 257 01-05-2024 AL 31-05-2024 POR 31 DIAS</t>
  </si>
  <si>
    <t>38° COM PRACTICA D ETIRO VIERNES 05 DE ABRIL A LAS 08:30 HRS.</t>
  </si>
  <si>
    <t>38° COM PRACTICA D ETIRO VIERNES 05 DE ABRIL A LAS 10:30 HRS.</t>
  </si>
  <si>
    <t>38° COM PRACTICA TIRO VIERNES  5 A LAS 08:30 HRS.</t>
  </si>
  <si>
    <t>05 ABRIL 2024 10:00 HRS FZM. DOE 203342403</t>
  </si>
  <si>
    <t>05-ABRIL 2024 09:30 HRS FZM DOE 203342403</t>
  </si>
  <si>
    <t>05-ABRIL2024 10:00 HRS FZM. 203342403</t>
  </si>
  <si>
    <t xml:space="preserve">ARIETE 11 / Z. C PUENTE ALTO 66° COM (LA044) </t>
  </si>
  <si>
    <t>BAQ. MON /ARIETE 11 Z.C PTE ALTO 66 COM</t>
  </si>
  <si>
    <t>ARIETE 18/ ARIETE 23 Z.C 20 COM PTE ALTO</t>
  </si>
  <si>
    <t>COMISARIO DE SERV.</t>
  </si>
  <si>
    <t>MONUMENT MARTIRES</t>
  </si>
  <si>
    <t>DOM EX S.E</t>
  </si>
  <si>
    <t>ARIETE 18 /ESTADIO</t>
  </si>
  <si>
    <t>ARIETE 19 / ESTADIO</t>
  </si>
  <si>
    <t>ARIETE 25/ ESTADIO</t>
  </si>
  <si>
    <t>ARIETE 19/ ESTADIO</t>
  </si>
  <si>
    <t>ARIETE 25 / ESTADIO</t>
  </si>
  <si>
    <t xml:space="preserve"> MACUL 6</t>
  </si>
  <si>
    <t xml:space="preserve">              SECCION CAZADORES </t>
  </si>
  <si>
    <t>PLAN DE FISCALIZACION EN MATERIAS DE SEGURIDAD PRIVADA EN LA ZONA METROPOLITANA 2024</t>
  </si>
  <si>
    <t>1ER TURNO DE 08:00 A 15:00 HRS</t>
  </si>
  <si>
    <t>A CONTAR DEL JUEVES 21 DE MARZO HASTA EL MARTES 31 DE DICIEMBRE 2024.-</t>
  </si>
  <si>
    <t>POR DEFINIR POR PARTE DEL MANDO DE LA 67 COM,-</t>
  </si>
  <si>
    <t xml:space="preserve">DIAS </t>
  </si>
  <si>
    <t>MARTES Y JUEVES</t>
  </si>
  <si>
    <t>CONFORME A PLAN</t>
  </si>
  <si>
    <t>07:30 HRS EN LA 67 COM.-</t>
  </si>
  <si>
    <t>SERVICIO ESQUELETO</t>
  </si>
  <si>
    <t>2DO TURNO JEFE APS</t>
  </si>
  <si>
    <t>ENCUENTRO DE FUTBOL PROFESIONAL ENTRE UNIVERSIDAD CATOLICA VS COBRESAL</t>
  </si>
  <si>
    <t>TENIENTE CORONEL FRANCISCO FEBRE SANTIS FONO : 9-78547122</t>
  </si>
  <si>
    <t>ESTADIO SANTA LAURA - UNIVERSIDAD SEK.</t>
  </si>
  <si>
    <t>SABADO 06  DE ABRIL 2024</t>
  </si>
  <si>
    <t>14:00 HRS</t>
  </si>
  <si>
    <t>15:00 HRS</t>
  </si>
  <si>
    <t>ARIETE C-40-B</t>
  </si>
  <si>
    <t xml:space="preserve">01 ARIETE </t>
  </si>
  <si>
    <t>APRESTO INTR. DLG</t>
  </si>
  <si>
    <t>ARIETE 12/ INBA</t>
  </si>
  <si>
    <t>ARIETE 18/ APLICACIONES</t>
  </si>
  <si>
    <t>ARIETE 12 /INBA</t>
  </si>
  <si>
    <t>ARIETE 18 / APLICACIONES</t>
  </si>
  <si>
    <t>ARIETE C-40-A /BORGOÑO</t>
  </si>
  <si>
    <t>FRANCO 30-31</t>
  </si>
  <si>
    <t>ESTAFETA PREFECTURA A CONTAR DE 01-04-2024  DOE 203437655 NOTIFICAR</t>
  </si>
  <si>
    <t>FERNANDEZ CARRASCO CARLOS ESTEBAN ( P-T-LA)</t>
  </si>
  <si>
    <t>( P-T-LA)</t>
  </si>
  <si>
    <t>ESTAFETA PREFECTURA A CONTAR DE 01-04-2024  DOE 203437655,203453438</t>
  </si>
  <si>
    <t>PLAN OS-10</t>
  </si>
  <si>
    <t>APRESTO INSTR. DLG</t>
  </si>
  <si>
    <t>LICENCIA MEDICA</t>
  </si>
  <si>
    <t>ARIETE 19/ APLICACIONES</t>
  </si>
  <si>
    <t>SECC</t>
  </si>
  <si>
    <t>10:00 A NORM.</t>
  </si>
  <si>
    <t>ACTIVIDAD PROYECTADA NRO.07
D/E. N.C.U.  29.03.2024, DE LA PREFECTURA CONTROL ORDEN PUBLICO ESTE</t>
  </si>
  <si>
    <t xml:space="preserve">DOE 201203630 CITACION TRIBUNAL DE GARANTIA SAN BERNARDO 14-03-2024 13:00 HRS LISTO 
CITADO 04-06-24 A LAS 13:00 HRS T.J.O SAN BERNARDO </t>
  </si>
  <si>
    <t>CITADO DPTO ASUSNTO INTERNO 
13:00 DOE 203562950</t>
  </si>
  <si>
    <t>CABO 1RO. ACEVEDO CEBALLOS LUIS EDUARDO</t>
  </si>
  <si>
    <t>CITACION ESUCAR 03 ABRIL
08 MAYO Y 05 JUNIO 09:30 A 13:00 
CLASES TUTORIA LILY FUENTES</t>
  </si>
  <si>
    <t>LISTO// CRICAR TODOS LOS 
VIERNES A LAS 12:30 HRS              TPB-057</t>
  </si>
  <si>
    <t>PERSONAL SERV. OS10</t>
  </si>
  <si>
    <t>REAL SAN JOAQUÍN VS DEPORTES CONCEPCION</t>
  </si>
  <si>
    <t>17:30 HORAS</t>
  </si>
  <si>
    <t>ESTADIO MUNICIPAL SAN JOAQUÍN, AV. CARLOS VALDOVINOS NRO. 253.</t>
  </si>
  <si>
    <t>TENIENTE MAICKEL JARA BERRIOS, (COMISARIO DE SERVICIO) FONO 9-58793129, 50° COM. SAN JAOQUIN.</t>
  </si>
  <si>
    <t>MEDIOS APRESTO ANTE REQUERIMIENTO</t>
  </si>
  <si>
    <t>COMISARIO DES ERVICIO Y PTL-15 ( SGTO.1RO.RODRIGUEZ  ) , SE CONSTITUYEN EN LA UNIDAD Y CONFORMAN ARIETE NOCTURNO 2, CON LA SECCION LEGUA ( NOCHE).- EN CASO DE ACTIVACION LA GUARDIA REACTIVAR EL PRESENTE SERVICIO.</t>
  </si>
  <si>
    <t>PLAN 2 HOMICIDIOS</t>
  </si>
  <si>
    <t>ARIETE 17 / INST. NACIONAL</t>
  </si>
  <si>
    <t>ARIETE 23 / APLICACIONES</t>
  </si>
  <si>
    <t>ACTIVIDAD PROYECTADA NRO.05
D/E. N.C.U.201441691 29.02.2024, DE LA PREFECTURA CONTROL ORDEN PUBLICO ESTE</t>
  </si>
  <si>
    <t>CONTROL DE ORDEN PUBLICO</t>
  </si>
  <si>
    <t>ACTIVIDAD PROYECTADA NRO.06
D/E. N.C.U.203473675. 14.03.2024, DE LA PREFECTURA CONTROL ORDEN PUBLICO ESTE</t>
  </si>
  <si>
    <t>03-04-2024 HASTA NUEVA ORDEN</t>
  </si>
  <si>
    <t>08:00 HRS A NORM.</t>
  </si>
  <si>
    <t>ENCUENTRO DE FUTBOL PROFESIONAL ENTRE U. ESPAÑOLA VS U. DE CHILE </t>
  </si>
  <si>
    <t>20:00 HRS</t>
  </si>
  <si>
    <t>DOMINGO 07 DE ABRIL DEL 2024</t>
  </si>
  <si>
    <t>16:00 HRS</t>
  </si>
  <si>
    <t>CORONEL CLAUDIO DONOSO IRIBARREN, FONO: 9-40757999</t>
  </si>
  <si>
    <t xml:space="preserve">01 JEFE DE AREA </t>
  </si>
  <si>
    <t>15:00 HRS (01 ESQUELETO COP OESTE)</t>
  </si>
  <si>
    <t>INSTALACION</t>
  </si>
  <si>
    <t>17:30 HRS</t>
  </si>
  <si>
    <t>ARIETE 22 J-010 SECCION 43 LA-061</t>
  </si>
  <si>
    <t>ARIETE 23 J-032 SECCION 44 LA-044</t>
  </si>
  <si>
    <t>ACTIVIDAD PROYECTADA NRO.07
D/E. N.C.U.203582389 02.04.2024, DE LA PREFECTURA CONTROL ORDEN PUBLICO ESTE</t>
  </si>
  <si>
    <r>
      <t>13:00 HRS (</t>
    </r>
    <r>
      <rPr>
        <b/>
        <sz val="10"/>
        <color rgb="FFFF0000"/>
        <rFont val="Arial"/>
        <family val="2"/>
      </rPr>
      <t>01 ARIETE COP ESTE</t>
    </r>
    <r>
      <rPr>
        <sz val="10"/>
        <color theme="1"/>
        <rFont val="Arial"/>
        <family val="2"/>
      </rPr>
      <t>)</t>
    </r>
  </si>
  <si>
    <t>01 JEFE APOYO DEL SERVICIO</t>
  </si>
  <si>
    <t>ARIETE 22 SECCION 39-40 LA-061</t>
  </si>
  <si>
    <t>ARIETE 23 SECCION 41 LA 044</t>
  </si>
  <si>
    <t>TRASLADO DE IMPUTADOS</t>
  </si>
  <si>
    <t>CENTRAL ESTADIO</t>
  </si>
  <si>
    <t>AMBULANCIA</t>
  </si>
  <si>
    <t>LA CARAVANA COMENZARA EN VICUÑA MACKENA 31 A LAS 10 HRS Y RECORRERÁ LAS COMUNAS DE SANTIAGO, ESTACIÓN CENTRAL, LO PRADO, PUDAHUEL Y QUILICURA, EL RECORRIDO ES EL SIGUIENTE</t>
  </si>
  <si>
    <t>ACTO CONMEMORATIVO</t>
  </si>
  <si>
    <t>10:00:00 HRS TERMINO 14:30 HRS</t>
  </si>
  <si>
    <t>04-04-2024 JUICIO  PUENTE ALTO 10.00 HRS</t>
  </si>
  <si>
    <t>ENCUENTRO DE FUTBOL DEPORTIVO ENTRE "MAGALLANES V/S SANTA CRUZ"</t>
  </si>
  <si>
    <t>15:00 HORAS.</t>
  </si>
  <si>
    <t>12:40 HORAS, EN LA 62º COM. SAN BERNARDO.</t>
  </si>
  <si>
    <t>DOMINGO 07 DE ABRIL 2024</t>
  </si>
  <si>
    <t>13:00 HORAS.</t>
  </si>
  <si>
    <t>ESTADIO MUNICIPAL SAN BERNARDO, UBICADO EN CALLE O’HIGGINS 0370, SAN BERNARDO.</t>
  </si>
  <si>
    <t>CAPITÁN GONZALO A. CRUZAT VERDUGO FONO: 9-66724085</t>
  </si>
  <si>
    <t>01 SECCION APRESTO ANTE REQUERIMIENTO POR ALTERACIONES AL ORDEN PUBLICO.-</t>
  </si>
  <si>
    <t>ACTIVIDAD PROYECTADA NRO.07
D/E. N.C.U.203659225 02.04.2024, DE LA PREFECTURA CONTROL ORDEN PUBLICO ESTE</t>
  </si>
  <si>
    <t xml:space="preserve">CUENTA INTEGRAL </t>
  </si>
  <si>
    <t>09-04-2024 09:00 HRS HOSCAR DOE 203671950</t>
  </si>
  <si>
    <t> PLAN (S) N° 2. </t>
  </si>
  <si>
    <t xml:space="preserve">17:00 HRS </t>
  </si>
  <si>
    <t>SECCION EV 4</t>
  </si>
  <si>
    <t>SECCION EV 5</t>
  </si>
  <si>
    <t>SECCION EV 6</t>
  </si>
  <si>
    <t>ARIETE 22 /2DO TURNO BAQUEDANO</t>
  </si>
  <si>
    <t>DOM S.E BORIC</t>
  </si>
  <si>
    <t>MONUMENTO MARTIRES / ARIETE NOCTURNO</t>
  </si>
  <si>
    <t>DOM. S.E BORIC</t>
  </si>
  <si>
    <t>S.E BORIC</t>
  </si>
  <si>
    <t>ARIETE 15 / APLICACIONES</t>
  </si>
  <si>
    <t>ARIETE 21 / NACIONAL</t>
  </si>
  <si>
    <t>ENCUENTRO DE FUTBOL ENTRE UNIVERSIDAD DE CHILE VS COQUIMBO UNIDO</t>
  </si>
  <si>
    <t>DOMINGO 14.04.2024</t>
  </si>
  <si>
    <t>12:30 HORAS</t>
  </si>
  <si>
    <r>
      <t>07:30 HORAS. (</t>
    </r>
    <r>
      <rPr>
        <b/>
        <sz val="10"/>
        <color rgb="FFFF0000"/>
        <rFont val="Arial"/>
        <family val="2"/>
      </rPr>
      <t>01 ARIETE COP ESTE</t>
    </r>
    <r>
      <rPr>
        <sz val="10"/>
        <color theme="1"/>
        <rFont val="Arial"/>
        <family val="2"/>
      </rPr>
      <t>)</t>
    </r>
  </si>
  <si>
    <t>08:00 HORAS</t>
  </si>
  <si>
    <t>08:30 HORAS</t>
  </si>
  <si>
    <t>ESTADIO NACIONAL JULIO MARTINEZ PRADANOS,COMUNA DE ÑUÑOA</t>
  </si>
  <si>
    <t>TENIENTE CORONEL CRISTIAN MATUS TORRES CEL: 9-87299063</t>
  </si>
  <si>
    <t xml:space="preserve">02 JEFE DE AREA </t>
  </si>
  <si>
    <t>TRASLADOS DE IMPUTADOS</t>
  </si>
  <si>
    <t>ACTIVIDAD PROYECTADA NRO.08
D/E. N.C.U,203677657  02.04.2024, DE LA PREFECTURA CONTROL ORDEN PUBLICO ESTE</t>
  </si>
  <si>
    <t>VIERNES 05 CAMBIO DE GUARDIA</t>
  </si>
  <si>
    <t>DOE 201203630 CITACION JUZ. 
GARANTIA PUENTE ALTO 15-04-2024 11:00 HRS / NOTIFICAR
PROHIBICIO USO ARMAMENNTO</t>
  </si>
  <si>
    <t>CITADO TRIBUNAL J.O.P SAN 
 BERNARDO 05-04-2024  A LAS
 09:00 HRS / Y 15-05-24 A LAS 09:00
 HRS MISMO JUZGADO.</t>
  </si>
  <si>
    <t>CITADO A J2 10-04-24 A LAS 10:30 HRS</t>
  </si>
  <si>
    <t>38° COM PRACTICA TIRO JUEVES 4 A LAS 10:30 HRS.</t>
  </si>
  <si>
    <t>09:30 HRS EN EDIFICIO CENTENARIO DE CARABINEROS/ CHARLA A CONDUCTORES / TENIDA APS ZAPATO / NOTIFICAR</t>
  </si>
  <si>
    <t>04-03.2024</t>
  </si>
  <si>
    <t>08.04.2024</t>
  </si>
  <si>
    <t>CITACION 16.04.2024 09:00HRS</t>
  </si>
  <si>
    <t>CITACION FISCALIA ALTO HOSPICIO 08-04-2024 A LAS 09:00 MANTIENE PASAJES 07-04-2024 HASTA 10-04-2024</t>
  </si>
  <si>
    <t>LEGUA</t>
  </si>
  <si>
    <t>S.E. BORIC</t>
  </si>
  <si>
    <t>ARIETE NOCTURNO / MONUMENTO</t>
  </si>
  <si>
    <t>ARIETE 12 / INBA / PLAN 11</t>
  </si>
  <si>
    <t>BAQUEDANO / ARIETE 13 / PLAN 11</t>
  </si>
  <si>
    <t>ARIETE 12 / INBA /PLAN 11</t>
  </si>
  <si>
    <t>BAQUEDANO / MONUMENTO ARIETE 13/ PLAN 11</t>
  </si>
  <si>
    <t xml:space="preserve">ARIETE 12 / INBA / PLAN 11 </t>
  </si>
  <si>
    <t xml:space="preserve">BAQUEDANO  </t>
  </si>
  <si>
    <t>CITADO T.J.O.P IQUIQUE 09-04-24 A LAS 11:00 HRS. / NOTIFICAR</t>
  </si>
  <si>
    <t>CITADO 4TO. TRIBUNAL J.O.P
 STGO 06-05-2024 A LAS 09:00 HRS / TOEP. STGO 24-06-2024 09:00HRS</t>
  </si>
  <si>
    <t>TRASLADAR B-645 A LAS 09:00 HRS DPTO TIC</t>
  </si>
  <si>
    <t>CORRIDA GANA SANTIAGO 2024</t>
  </si>
  <si>
    <t>06:00 HRS</t>
  </si>
  <si>
    <t>07:00 HRS</t>
  </si>
  <si>
    <t>TTE. CRL RODRIGO PEREZ MUJICA, FONO 9988084051</t>
  </si>
  <si>
    <t>DOMINGO 07 DE ABRIL DEL 2023</t>
  </si>
  <si>
    <t>COMUNA DE SANTIAGO Y ESTACION CENTRAL</t>
  </si>
  <si>
    <t>APRESTO APRESTO REQUERIMIENTO</t>
  </si>
  <si>
    <t>ACTIVIDAD PROYECTADA NRO.07
D/E. N.C.U.203745613 29.03.2024, DE LA PREFECTURA CONTROL ORDEN PUBLICO ESTE</t>
  </si>
  <si>
    <t>05/04/204</t>
  </si>
  <si>
    <t>ARIETE 21 / APLICACIONES</t>
  </si>
  <si>
    <t>CITACION FISCALIA ADMINISTRATIVA VIERNES 05 A LAS 09::00 HORAS DOE 203839931</t>
  </si>
  <si>
    <t>08:00 A NORM.</t>
  </si>
  <si>
    <t>APRESTO 2DO TURNO MONUMENTO PLAN 11</t>
  </si>
  <si>
    <t>APRESTO PLAN 11</t>
  </si>
  <si>
    <t>PREFECTO DE SERVICIO</t>
  </si>
  <si>
    <t>S.O BORIC</t>
  </si>
  <si>
    <t xml:space="preserve">ARIETE NOCTURNO / MONUMENTO </t>
  </si>
  <si>
    <t>FIN DE SEMANA FRANCO</t>
  </si>
  <si>
    <r>
      <t xml:space="preserve">DIAS </t>
    </r>
    <r>
      <rPr>
        <b/>
        <sz val="10"/>
        <rFont val="Arial"/>
        <family val="2"/>
      </rPr>
      <t>2</t>
    </r>
    <r>
      <rPr>
        <b/>
        <sz val="10"/>
        <color theme="1"/>
        <rFont val="Arial"/>
        <family val="2"/>
      </rPr>
      <t>,</t>
    </r>
    <r>
      <rPr>
        <b/>
        <sz val="10"/>
        <rFont val="Arial"/>
        <family val="2"/>
      </rPr>
      <t>4</t>
    </r>
    <r>
      <rPr>
        <b/>
        <sz val="10"/>
        <color theme="1"/>
        <rFont val="Arial"/>
        <family val="2"/>
      </rPr>
      <t>,</t>
    </r>
    <r>
      <rPr>
        <b/>
        <sz val="10"/>
        <color rgb="FFFF0000"/>
        <rFont val="Arial"/>
        <family val="2"/>
      </rPr>
      <t>6</t>
    </r>
    <r>
      <rPr>
        <b/>
        <sz val="10"/>
        <color theme="1"/>
        <rFont val="Arial"/>
        <family val="2"/>
      </rPr>
      <t>,9,11,13,16,18,20,23,25,27,30</t>
    </r>
  </si>
  <si>
    <r>
      <t xml:space="preserve">SANTIAGO CENTRO </t>
    </r>
    <r>
      <rPr>
        <b/>
        <sz val="10"/>
        <rFont val="Arial"/>
        <family val="2"/>
      </rPr>
      <t>17:00 HRS 3RA COM</t>
    </r>
  </si>
  <si>
    <r>
      <rPr>
        <b/>
        <sz val="10"/>
        <rFont val="Arial"/>
        <family val="2"/>
      </rPr>
      <t>DIAS HABILES 17:00 A 23:00 HRS</t>
    </r>
    <r>
      <rPr>
        <sz val="10"/>
        <rFont val="Arial"/>
        <family val="2"/>
      </rPr>
      <t xml:space="preserve"> /// FINES DE SEMANA 19:00 A 02:00 HRS</t>
    </r>
  </si>
  <si>
    <t>SELECCIONADO INTS. DOE 203856901 CONCURRE DIAS MARTES, JUEVES, SABADO Y DOMINGO.</t>
  </si>
  <si>
    <t>CITACION FZ ADM 09:00 HRS 08-04-2024 DOE 203828694</t>
  </si>
  <si>
    <t>PIKNIC ELECTRONIK 07.</t>
  </si>
  <si>
    <t>13:00 A 23:00 HORAS.</t>
  </si>
  <si>
    <t>SABADO 06 DE ABRIL 2024</t>
  </si>
  <si>
    <t>INTERIOR PARQUE PADRE SAN ALBERTO HURTADO, UBICADO EN AV. FRANCISCO BILBAO NRO. 7865, LA REINA. </t>
  </si>
  <si>
    <t>TENIENTE FELIPE FARIAS VASQUEZ, FONO:9-34534016</t>
  </si>
  <si>
    <t>TRASLADAR Z-5143 A LAS 09:00 HRS DPTO TIC NOTIFICAR</t>
  </si>
  <si>
    <t>ARIETE 22</t>
  </si>
  <si>
    <t>ARIETE 23</t>
  </si>
  <si>
    <t>MONUMENTO / BAQUEDANO</t>
  </si>
  <si>
    <t>DOMICILIO S.E. BORIC</t>
  </si>
  <si>
    <t>LISTO      DOE 201203630 CITACION 8° JUZ. GARANTIA STGO. 09-04-2024 12:00 HRS /RESOLUCION EXENTA NRO. 143 AUT. ESTUDIO</t>
  </si>
  <si>
    <t>CONCURRE ARIETE NOCTURNO</t>
  </si>
  <si>
    <t>GRAN FESTIVAL CERVECERO INEPENDIENTE 2024</t>
  </si>
  <si>
    <t>12:00 HORAS A 21:30 HORAS.</t>
  </si>
  <si>
    <t>SÁBADO 06 Y DOMINGO 07 DE ABRIL DEL 2024</t>
  </si>
  <si>
    <t>INTERIOR PARQUE PADRE HURTADO, UBICADO EN AVENIDA FRANCISCO BILBAO NRO. 8105, COMUNA DE LA REINA. </t>
  </si>
  <si>
    <t>CAPITÁN MARÍA GARRIDO CHAVEZ, FONO: 9-32438917</t>
  </si>
  <si>
    <t>ACTIVIDAD PROYECTADA NRO.8
D/E. N.C.U.203814393 02.04.2024, DE LA PREFECTURA CONTROL ORDEN PUBLICO ESTE</t>
  </si>
  <si>
    <t>ACTIVIDAD PROYECTADA NRO.9
D/E. N.C.U.203813054 04.04.2024, DE LA PREFECTURA CONTROL ORDEN PUBLICO ESTE</t>
  </si>
  <si>
    <t>ACTIVIDAD PROYECTADA NRO.10
D/E. N.C.U.203603225 02.04.2024, DE LA PREFECTURA CONTROL ORDEN PUBLICO ESTE</t>
  </si>
  <si>
    <t>ACTIVIDAD PROYECTADA NRO.11
D/E. N.C.U.203581335,203820866 04.04.2024, DE LA PREFECTURA CONTROL ORDEN PUBLICO ESTE</t>
  </si>
  <si>
    <t xml:space="preserve"> B-684</t>
  </si>
  <si>
    <t>CITACION JG STGO. 15-07-2024 A LAS 09:00 HORAS</t>
  </si>
  <si>
    <t>ECONOMATO
citacion top san bernardo 28.02.2024 a las 09:00 hrs / 8VO J G STGO. EL 15-07-2024 A LAS 09:00 HORAS</t>
  </si>
  <si>
    <t>DOE 19753367 CITACION 2DO. TOP STGO. 25.03.2024 09:00 HRS / 2DO. TOP STGO. 08-04-2024  A LAS 10:30 HORAS
CITACION JUICIO 29 Y 30 AGOST. 
2024 , DOE. 192734866</t>
  </si>
  <si>
    <t>CELEBRACIÓN DÍA NACIONAL DEL DEPORTE</t>
  </si>
  <si>
    <t>10:45 HORAS</t>
  </si>
  <si>
    <t>ESTADIO NACIONAL JULIO MARTÍNEZ PRÁDANOS, UBICADO EN AVENIDA GRECIA N° 2001, COMUNA DE  ÑUÑOA.</t>
  </si>
  <si>
    <t>08:45 HORAS</t>
  </si>
  <si>
    <t>HORA DE INSTALACION DE LOS SERVICIOS</t>
  </si>
  <si>
    <t>TTE. CRL. FREDDY SALGADO CORREA, CEL. +569-99179158</t>
  </si>
  <si>
    <t>UN ARIETE (ARIETE BAQUEDANO)</t>
  </si>
  <si>
    <t>ACTIVIDAD PROYECTADA NRO.0
D/E. N.C.U.203674460 02.04.2024, DE LA PREFECTURA CONTROL ORDEN PUBLICO ESTE</t>
  </si>
  <si>
    <t>ACTIVIDAD PROYECTADA NRO.07
D/E. N.C.U.203902399 05.04.2024, DE COMISARIO DE LA UNIDAD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</si>
</sst>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 &quot;€&quot;_-;\-* #,##0.00\ &quot;€&quot;_-;_-* &quot;-&quot;??\ &quot;€&quot;_-;_-@_-"/>
    <numFmt numFmtId="165" formatCode="_(* #,##0.00_);_(* \(#,##0.00\);_(* &quot;-&quot;??_);_(@_)"/>
    <numFmt numFmtId="166" formatCode="_-* #,##0.00\ [$€]_-;\-* #,##0.00\ [$€]_-;_-* &quot;-&quot;??\ [$€]_-;_-@_-"/>
    <numFmt numFmtId="167" formatCode="[$-C0A]General"/>
    <numFmt numFmtId="168" formatCode="0.0"/>
    <numFmt numFmtId="169" formatCode="[$-F800]dddd\,\ mmmm\ dd\,\ yyyy"/>
    <numFmt numFmtId="170" formatCode="hh:mm"/>
    <numFmt numFmtId="171" formatCode="m/d/yyyy"/>
  </numFmts>
  <fonts count="140" x14ac:knownFonts="1">
    <font>
      <sz val="11"/>
      <color theme="1"/>
      <name val="Calibri"/>
      <family val="2"/>
      <scheme val="minor"/>
    </font>
    <font>
      <sz val="11"/>
      <color indexed="8"/>
      <name val="Calibri"/>
      <family val="2"/>
    </font>
    <font>
      <sz val="10"/>
      <name val="Arial"/>
      <family val="2"/>
    </font>
    <font>
      <sz val="10"/>
      <color indexed="8"/>
      <name val="Arial"/>
      <family val="2"/>
    </font>
    <font>
      <sz val="12"/>
      <color indexed="8"/>
      <name val="Calibri"/>
      <family val="2"/>
    </font>
    <font>
      <sz val="11"/>
      <color indexed="8"/>
      <name val="Calibri"/>
      <family val="2"/>
    </font>
    <font>
      <sz val="11"/>
      <color indexed="8"/>
      <name val="Calibri"/>
      <family val="2"/>
    </font>
    <font>
      <sz val="11"/>
      <color theme="1"/>
      <name val="Calibri"/>
      <family val="2"/>
      <scheme val="minor"/>
    </font>
    <font>
      <sz val="11"/>
      <color theme="0"/>
      <name val="Calibri"/>
      <family val="2"/>
      <scheme val="minor"/>
    </font>
    <font>
      <sz val="11"/>
      <color rgb="FF000000"/>
      <name val="Calibri"/>
      <family val="2"/>
    </font>
    <font>
      <sz val="11"/>
      <color theme="1"/>
      <name val="Calibri"/>
      <family val="2"/>
    </font>
    <font>
      <sz val="11"/>
      <color indexed="60"/>
      <name val="Calibri"/>
      <family val="2"/>
      <scheme val="minor"/>
    </font>
    <font>
      <b/>
      <sz val="11"/>
      <color theme="1"/>
      <name val="Calibri"/>
      <family val="2"/>
      <scheme val="minor"/>
    </font>
    <font>
      <sz val="8"/>
      <name val="Calibri"/>
      <family val="2"/>
      <scheme val="minor"/>
    </font>
    <font>
      <u/>
      <sz val="11"/>
      <color theme="10"/>
      <name val="Calibri"/>
      <family val="2"/>
      <scheme val="minor"/>
    </font>
    <font>
      <sz val="10"/>
      <color theme="1"/>
      <name val="Calibri"/>
      <family val="2"/>
      <scheme val="minor"/>
    </font>
    <font>
      <b/>
      <sz val="10"/>
      <color theme="1"/>
      <name val="Arial"/>
      <family val="2"/>
    </font>
    <font>
      <b/>
      <sz val="10"/>
      <color theme="0"/>
      <name val="Calibri"/>
      <family val="2"/>
      <scheme val="minor"/>
    </font>
    <font>
      <sz val="11"/>
      <color rgb="FFFF0000"/>
      <name val="Calibri"/>
      <family val="2"/>
      <scheme val="minor"/>
    </font>
    <font>
      <b/>
      <sz val="11"/>
      <color indexed="8"/>
      <name val="Calibri"/>
      <family val="2"/>
    </font>
    <font>
      <sz val="11"/>
      <name val="Calibri"/>
      <family val="2"/>
    </font>
    <font>
      <b/>
      <sz val="10"/>
      <color indexed="8"/>
      <name val="Tahoma"/>
      <family val="2"/>
    </font>
    <font>
      <b/>
      <sz val="18"/>
      <color indexed="9"/>
      <name val="Calibri"/>
      <family val="2"/>
    </font>
    <font>
      <b/>
      <sz val="16"/>
      <color indexed="9"/>
      <name val="Calibri"/>
      <family val="2"/>
    </font>
    <font>
      <b/>
      <sz val="14"/>
      <color indexed="8"/>
      <name val="Calibri"/>
      <family val="2"/>
    </font>
    <font>
      <b/>
      <sz val="14"/>
      <color indexed="49"/>
      <name val="Calibri"/>
      <family val="2"/>
    </font>
    <font>
      <b/>
      <sz val="14"/>
      <color indexed="57"/>
      <name val="Calibri"/>
      <family val="2"/>
    </font>
    <font>
      <b/>
      <sz val="14"/>
      <color indexed="10"/>
      <name val="Calibri"/>
      <family val="2"/>
    </font>
    <font>
      <b/>
      <sz val="12"/>
      <color indexed="9"/>
      <name val="Calibri"/>
      <family val="2"/>
    </font>
    <font>
      <b/>
      <sz val="10"/>
      <color indexed="8"/>
      <name val="Calibri"/>
      <family val="2"/>
    </font>
    <font>
      <b/>
      <sz val="8"/>
      <color indexed="8"/>
      <name val="Calibri"/>
      <family val="2"/>
    </font>
    <font>
      <b/>
      <sz val="11"/>
      <color indexed="9"/>
      <name val="Calibri"/>
      <family val="2"/>
    </font>
    <font>
      <sz val="9"/>
      <color indexed="8"/>
      <name val="Verdana"/>
      <family val="2"/>
    </font>
    <font>
      <b/>
      <sz val="11"/>
      <color indexed="10"/>
      <name val="Calibri"/>
      <family val="2"/>
    </font>
    <font>
      <sz val="11"/>
      <color indexed="9"/>
      <name val="Calibri"/>
      <family val="2"/>
    </font>
    <font>
      <b/>
      <sz val="11"/>
      <name val="Calibri"/>
      <family val="2"/>
    </font>
    <font>
      <b/>
      <sz val="9"/>
      <color indexed="8"/>
      <name val="Calibri"/>
      <family val="2"/>
    </font>
    <font>
      <b/>
      <sz val="10"/>
      <color indexed="9"/>
      <name val="Calibri"/>
      <family val="2"/>
    </font>
    <font>
      <sz val="11"/>
      <color theme="1"/>
      <name val="Arial"/>
      <family val="2"/>
    </font>
    <font>
      <b/>
      <sz val="10"/>
      <color rgb="FFFF0000"/>
      <name val="Arial"/>
      <family val="2"/>
    </font>
    <font>
      <sz val="18"/>
      <color theme="1"/>
      <name val="Calibri"/>
      <family val="2"/>
      <scheme val="minor"/>
    </font>
    <font>
      <b/>
      <sz val="10"/>
      <color theme="0"/>
      <name val="Arial"/>
      <family val="2"/>
    </font>
    <font>
      <b/>
      <sz val="10"/>
      <name val="Calibri"/>
      <family val="2"/>
      <scheme val="minor"/>
    </font>
    <font>
      <b/>
      <sz val="14"/>
      <color theme="1"/>
      <name val="Calibri"/>
      <family val="2"/>
      <scheme val="minor"/>
    </font>
    <font>
      <sz val="22"/>
      <color rgb="FF000000"/>
      <name val="Century Gothic"/>
      <family val="2"/>
    </font>
    <font>
      <b/>
      <u/>
      <sz val="11"/>
      <color theme="1"/>
      <name val="Calibri"/>
      <family val="2"/>
      <scheme val="minor"/>
    </font>
    <font>
      <b/>
      <sz val="11"/>
      <color theme="0"/>
      <name val="Century Gothic"/>
      <family val="2"/>
    </font>
    <font>
      <b/>
      <sz val="11"/>
      <color theme="1"/>
      <name val="Century Gothic"/>
      <family val="2"/>
    </font>
    <font>
      <b/>
      <sz val="8"/>
      <color theme="0"/>
      <name val="Century Gothic"/>
      <family val="2"/>
    </font>
    <font>
      <b/>
      <u/>
      <sz val="16"/>
      <color theme="0"/>
      <name val="Century Gothic"/>
      <family val="2"/>
    </font>
    <font>
      <sz val="11"/>
      <color rgb="FF000000"/>
      <name val="Calibri"/>
      <family val="2"/>
      <charset val="1"/>
    </font>
    <font>
      <b/>
      <sz val="11"/>
      <color rgb="FF000000"/>
      <name val="Calibri"/>
      <family val="2"/>
      <charset val="1"/>
    </font>
    <font>
      <sz val="11"/>
      <name val="Calibri"/>
      <family val="2"/>
      <scheme val="minor"/>
    </font>
    <font>
      <b/>
      <sz val="24"/>
      <color theme="0"/>
      <name val="Calibri"/>
      <family val="2"/>
      <charset val="1"/>
    </font>
    <font>
      <b/>
      <sz val="11"/>
      <color rgb="FF000000"/>
      <name val="Calibri"/>
      <family val="2"/>
    </font>
    <font>
      <b/>
      <sz val="7"/>
      <color rgb="FF000000"/>
      <name val="Calibri"/>
      <family val="2"/>
    </font>
    <font>
      <sz val="7"/>
      <color theme="1"/>
      <name val="Calibri"/>
      <family val="2"/>
      <scheme val="minor"/>
    </font>
    <font>
      <b/>
      <u/>
      <sz val="12"/>
      <color theme="1"/>
      <name val="Calibri"/>
      <family val="2"/>
      <scheme val="minor"/>
    </font>
    <font>
      <b/>
      <sz val="24"/>
      <color theme="1"/>
      <name val="Calibri"/>
      <family val="2"/>
      <charset val="1"/>
    </font>
    <font>
      <b/>
      <sz val="10"/>
      <name val="Arial"/>
      <family val="2"/>
    </font>
    <font>
      <b/>
      <sz val="14"/>
      <color theme="0"/>
      <name val="Calibri"/>
      <family val="2"/>
      <scheme val="minor"/>
    </font>
    <font>
      <b/>
      <u/>
      <sz val="14"/>
      <color theme="0"/>
      <name val="Calibri"/>
      <family val="2"/>
      <scheme val="minor"/>
    </font>
    <font>
      <b/>
      <sz val="10"/>
      <color indexed="8"/>
      <name val="Arial"/>
      <family val="2"/>
    </font>
    <font>
      <sz val="10"/>
      <color rgb="FFFF0000"/>
      <name val="Arial"/>
      <family val="2"/>
    </font>
    <font>
      <sz val="10"/>
      <color theme="0" tint="-0.499984740745262"/>
      <name val="Arial"/>
      <family val="2"/>
    </font>
    <font>
      <b/>
      <sz val="10"/>
      <color rgb="FF000000"/>
      <name val="Arial"/>
      <family val="2"/>
    </font>
    <font>
      <sz val="10"/>
      <color rgb="FF000000"/>
      <name val="Arial"/>
      <family val="2"/>
    </font>
    <font>
      <sz val="18"/>
      <name val="Calibri"/>
      <family val="2"/>
    </font>
    <font>
      <sz val="18"/>
      <color theme="1"/>
      <name val="Calibri"/>
      <family val="2"/>
    </font>
    <font>
      <b/>
      <sz val="18"/>
      <color theme="1"/>
      <name val="Calibri"/>
      <family val="2"/>
    </font>
    <font>
      <b/>
      <sz val="18"/>
      <color rgb="FFFF0000"/>
      <name val="Calibri"/>
      <family val="2"/>
    </font>
    <font>
      <sz val="16"/>
      <color theme="1"/>
      <name val="Calibri"/>
      <family val="2"/>
      <scheme val="minor"/>
    </font>
    <font>
      <b/>
      <sz val="10"/>
      <color theme="1"/>
      <name val="Calibri"/>
      <family val="2"/>
      <scheme val="minor"/>
    </font>
    <font>
      <sz val="10"/>
      <color theme="1"/>
      <name val="Arial"/>
      <family val="2"/>
    </font>
    <font>
      <b/>
      <sz val="16"/>
      <color theme="1"/>
      <name val="Arial"/>
      <family val="2"/>
    </font>
    <font>
      <b/>
      <u/>
      <sz val="26"/>
      <color theme="1"/>
      <name val="Calibri"/>
      <family val="2"/>
      <scheme val="minor"/>
    </font>
    <font>
      <b/>
      <sz val="10"/>
      <color rgb="FFF3F3F3"/>
      <name val="Arial"/>
      <family val="2"/>
    </font>
    <font>
      <sz val="10"/>
      <color rgb="FFF3F3F3"/>
      <name val="Arial"/>
      <family val="2"/>
    </font>
    <font>
      <b/>
      <sz val="12"/>
      <color theme="0"/>
      <name val="Arial"/>
      <family val="2"/>
    </font>
    <font>
      <b/>
      <sz val="10"/>
      <color theme="1"/>
      <name val="Arial"/>
      <family val="2"/>
    </font>
    <font>
      <b/>
      <sz val="10"/>
      <color rgb="FFFF0000"/>
      <name val="Arial"/>
      <family val="2"/>
    </font>
    <font>
      <sz val="16"/>
      <color theme="1"/>
      <name val="Arial"/>
      <family val="2"/>
    </font>
    <font>
      <b/>
      <sz val="20"/>
      <color theme="1"/>
      <name val="Arial"/>
      <family val="2"/>
    </font>
    <font>
      <b/>
      <sz val="11"/>
      <color rgb="FFFF0000"/>
      <name val="Calibri"/>
      <family val="2"/>
      <scheme val="minor"/>
    </font>
    <font>
      <sz val="20"/>
      <color theme="1"/>
      <name val="Arial"/>
      <family val="2"/>
    </font>
    <font>
      <b/>
      <sz val="18"/>
      <color theme="1"/>
      <name val="Century Gothic"/>
      <family val="2"/>
    </font>
    <font>
      <b/>
      <u/>
      <sz val="26"/>
      <color rgb="FFFF0000"/>
      <name val="Century Gothic"/>
      <family val="2"/>
    </font>
    <font>
      <b/>
      <sz val="26"/>
      <color theme="0"/>
      <name val="Century Gothic"/>
      <family val="2"/>
    </font>
    <font>
      <b/>
      <sz val="18"/>
      <color theme="0"/>
      <name val="Century Gothic"/>
      <family val="2"/>
    </font>
    <font>
      <sz val="28"/>
      <name val="Century Gothic"/>
      <family val="2"/>
    </font>
    <font>
      <b/>
      <sz val="18"/>
      <name val="Century Gothic"/>
      <family val="2"/>
    </font>
    <font>
      <b/>
      <sz val="22"/>
      <color theme="1"/>
      <name val="Century Gothic"/>
      <family val="2"/>
    </font>
    <font>
      <sz val="22"/>
      <color theme="1"/>
      <name val="Calibri"/>
      <family val="2"/>
    </font>
    <font>
      <b/>
      <sz val="22"/>
      <color theme="1"/>
      <name val="Calibri"/>
      <family val="2"/>
    </font>
    <font>
      <b/>
      <sz val="16"/>
      <color rgb="FFFF0000"/>
      <name val="Arial"/>
      <family val="2"/>
    </font>
    <font>
      <sz val="16"/>
      <color rgb="FFFF0000"/>
      <name val="Arial"/>
      <family val="2"/>
    </font>
    <font>
      <sz val="16"/>
      <name val="Arial"/>
      <family val="2"/>
    </font>
    <font>
      <b/>
      <u/>
      <sz val="24"/>
      <color theme="1"/>
      <name val="Arial"/>
      <family val="2"/>
    </font>
    <font>
      <b/>
      <u/>
      <sz val="18"/>
      <color rgb="FFFF0000"/>
      <name val="Century Gothic"/>
      <family val="2"/>
    </font>
    <font>
      <b/>
      <sz val="14"/>
      <color theme="1"/>
      <name val="Century Gothic"/>
      <family val="2"/>
    </font>
    <font>
      <b/>
      <sz val="9"/>
      <color theme="1"/>
      <name val="Century Gothic"/>
      <family val="2"/>
    </font>
    <font>
      <sz val="16"/>
      <name val="Century Gothic"/>
      <family val="2"/>
    </font>
    <font>
      <b/>
      <sz val="11"/>
      <color theme="0"/>
      <name val="Calibri"/>
      <family val="2"/>
      <scheme val="minor"/>
    </font>
    <font>
      <b/>
      <sz val="14"/>
      <color rgb="FF000000"/>
      <name val="Arial"/>
      <family val="2"/>
    </font>
    <font>
      <sz val="18"/>
      <color theme="1"/>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0"/>
      <name val="Arial"/>
      <family val="2"/>
    </font>
    <font>
      <u/>
      <sz val="10"/>
      <color theme="10"/>
      <name val="Arial"/>
      <family val="2"/>
    </font>
    <font>
      <sz val="11"/>
      <color rgb="FF9C6500"/>
      <name val="Calibri"/>
      <family val="2"/>
      <scheme val="minor"/>
    </font>
    <font>
      <sz val="7"/>
      <color rgb="FF000000"/>
      <name val="Verdana"/>
      <family val="2"/>
    </font>
    <font>
      <b/>
      <sz val="15"/>
      <color theme="0"/>
      <name val="Calibri"/>
      <family val="2"/>
      <scheme val="minor"/>
    </font>
    <font>
      <b/>
      <sz val="12"/>
      <color theme="0"/>
      <name val="Calibri"/>
      <family val="2"/>
      <scheme val="minor"/>
    </font>
    <font>
      <b/>
      <sz val="12"/>
      <name val="Calibri"/>
      <family val="2"/>
      <scheme val="minor"/>
    </font>
    <font>
      <b/>
      <sz val="12"/>
      <color rgb="FF000000"/>
      <name val="Calibri"/>
      <family val="2"/>
      <scheme val="minor"/>
    </font>
    <font>
      <b/>
      <sz val="12"/>
      <color rgb="FFFF0000"/>
      <name val="Calibri"/>
      <family val="2"/>
      <scheme val="minor"/>
    </font>
    <font>
      <b/>
      <sz val="12"/>
      <color theme="1"/>
      <name val="Calibri"/>
      <family val="2"/>
      <scheme val="minor"/>
    </font>
    <font>
      <sz val="12"/>
      <color theme="1"/>
      <name val="Calibri"/>
      <family val="2"/>
      <scheme val="minor"/>
    </font>
    <font>
      <sz val="12"/>
      <color rgb="FF000000"/>
      <name val="Calibri"/>
      <family val="2"/>
      <scheme val="minor"/>
    </font>
    <font>
      <sz val="12"/>
      <color rgb="FFFF0000"/>
      <name val="Calibri"/>
      <family val="2"/>
      <scheme val="minor"/>
    </font>
    <font>
      <b/>
      <sz val="8"/>
      <color theme="0"/>
      <name val="Calibri"/>
      <family val="2"/>
      <scheme val="minor"/>
    </font>
    <font>
      <b/>
      <sz val="10"/>
      <color rgb="FFFFFFFF"/>
      <name val="Arial"/>
      <family val="2"/>
    </font>
    <font>
      <sz val="10"/>
      <color rgb="FFFFFFFF"/>
      <name val="Arial"/>
      <family val="2"/>
    </font>
    <font>
      <sz val="10"/>
      <color theme="0"/>
      <name val="Arial"/>
      <family val="2"/>
    </font>
    <font>
      <b/>
      <sz val="20"/>
      <color rgb="FF000000"/>
      <name val="Calibri"/>
      <family val="2"/>
    </font>
    <font>
      <b/>
      <sz val="16"/>
      <color rgb="FF000000"/>
      <name val="Calibri"/>
      <family val="2"/>
    </font>
    <font>
      <b/>
      <sz val="11"/>
      <name val="Calibri"/>
      <family val="2"/>
      <scheme val="minor"/>
    </font>
    <font>
      <sz val="10"/>
      <color theme="0"/>
      <name val="Calibri"/>
      <family val="2"/>
      <scheme val="minor"/>
    </font>
    <font>
      <u/>
      <sz val="10"/>
      <color rgb="FF000000"/>
      <name val="Arial"/>
      <family val="2"/>
    </font>
    <font>
      <b/>
      <sz val="9"/>
      <color rgb="FFF3F3F3"/>
      <name val="Arial"/>
      <family val="2"/>
    </font>
    <font>
      <b/>
      <sz val="7"/>
      <color rgb="FF000000"/>
      <name val="Verdana"/>
      <family val="2"/>
    </font>
    <font>
      <b/>
      <i/>
      <sz val="10"/>
      <name val="Arial"/>
      <family val="2"/>
    </font>
  </fonts>
  <fills count="91">
    <fill>
      <patternFill patternType="none"/>
    </fill>
    <fill>
      <patternFill patternType="gray125"/>
    </fill>
    <fill>
      <patternFill patternType="solid">
        <fgColor indexed="62"/>
      </patternFill>
    </fill>
    <fill>
      <patternFill patternType="solid">
        <fgColor rgb="FFFFEB9C"/>
      </patternFill>
    </fill>
    <fill>
      <patternFill patternType="solid">
        <fgColor theme="0" tint="-0.34998626667073579"/>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FFC000"/>
        <bgColor indexed="64"/>
      </patternFill>
    </fill>
    <fill>
      <patternFill patternType="solid">
        <fgColor theme="9" tint="-0.49998474074526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rgb="FF00B0F0"/>
        <bgColor indexed="64"/>
      </patternFill>
    </fill>
    <fill>
      <patternFill patternType="solid">
        <fgColor indexed="44"/>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indexed="57"/>
        <bgColor indexed="64"/>
      </patternFill>
    </fill>
    <fill>
      <patternFill patternType="solid">
        <fgColor indexed="26"/>
        <bgColor indexed="64"/>
      </patternFill>
    </fill>
    <fill>
      <patternFill patternType="solid">
        <fgColor indexed="42"/>
        <bgColor indexed="64"/>
      </patternFill>
    </fill>
    <fill>
      <patternFill patternType="solid">
        <fgColor indexed="10"/>
        <bgColor indexed="64"/>
      </patternFill>
    </fill>
    <fill>
      <patternFill patternType="solid">
        <fgColor indexed="42"/>
        <bgColor indexed="8"/>
      </patternFill>
    </fill>
    <fill>
      <patternFill patternType="solid">
        <fgColor indexed="9"/>
        <bgColor indexed="8"/>
      </patternFill>
    </fill>
    <fill>
      <patternFill patternType="solid">
        <fgColor indexed="6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FF"/>
        <bgColor indexed="64"/>
      </patternFill>
    </fill>
    <fill>
      <patternFill patternType="solid">
        <fgColor theme="0" tint="-4.9989318521683403E-2"/>
        <bgColor indexed="64"/>
      </patternFill>
    </fill>
    <fill>
      <patternFill patternType="solid">
        <fgColor rgb="FF92D050"/>
        <bgColor rgb="FFA9D18E"/>
      </patternFill>
    </fill>
    <fill>
      <patternFill patternType="solid">
        <fgColor theme="9" tint="-0.499984740745262"/>
        <bgColor rgb="FFA9D18E"/>
      </patternFill>
    </fill>
    <fill>
      <patternFill patternType="solid">
        <fgColor theme="9" tint="0.39997558519241921"/>
        <bgColor rgb="FFA9D18E"/>
      </patternFill>
    </fill>
    <fill>
      <patternFill patternType="solid">
        <fgColor theme="8" tint="0.39997558519241921"/>
        <bgColor indexed="64"/>
      </patternFill>
    </fill>
    <fill>
      <patternFill patternType="solid">
        <fgColor rgb="FFFFF2CC"/>
        <bgColor indexed="64"/>
      </patternFill>
    </fill>
    <fill>
      <patternFill patternType="solid">
        <fgColor rgb="FFA9D08E"/>
        <bgColor indexed="64"/>
      </patternFill>
    </fill>
    <fill>
      <patternFill patternType="solid">
        <fgColor rgb="FF0C5846"/>
        <bgColor indexed="64"/>
      </patternFill>
    </fill>
    <fill>
      <patternFill patternType="solid">
        <fgColor theme="0" tint="-0.499984740745262"/>
        <bgColor indexed="64"/>
      </patternFill>
    </fill>
    <fill>
      <patternFill patternType="solid">
        <fgColor rgb="FFAFCC4A"/>
        <bgColor indexed="64"/>
      </patternFill>
    </fill>
    <fill>
      <patternFill patternType="solid">
        <fgColor rgb="FFAF9C3C"/>
        <bgColor indexed="64"/>
      </patternFill>
    </fill>
    <fill>
      <patternFill patternType="solid">
        <fgColor rgb="FF1D7D4D"/>
        <bgColor indexed="64"/>
      </patternFill>
    </fill>
    <fill>
      <patternFill patternType="solid">
        <fgColor rgb="FFC47E4E"/>
        <bgColor indexed="64"/>
      </patternFill>
    </fill>
    <fill>
      <patternFill patternType="solid">
        <fgColor rgb="FF00B050"/>
        <bgColor indexed="64"/>
      </patternFill>
    </fill>
    <fill>
      <patternFill patternType="solid">
        <fgColor theme="0" tint="-0.14999847407452621"/>
        <bgColor theme="0" tint="-0.14999847407452621"/>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14999847407452621"/>
        <bgColor indexed="64"/>
      </patternFill>
    </fill>
    <fill>
      <patternFill patternType="solid">
        <fgColor theme="3" tint="0.79998168889431442"/>
        <bgColor indexed="64"/>
      </patternFill>
    </fill>
    <fill>
      <patternFill patternType="solid">
        <fgColor rgb="FFD5DCE3"/>
      </patternFill>
    </fill>
    <fill>
      <patternFill patternType="solid">
        <fgColor rgb="FF000000"/>
        <bgColor indexed="64"/>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rgb="FF1D7D4D"/>
        <bgColor theme="9"/>
      </patternFill>
    </fill>
    <fill>
      <patternFill patternType="solid">
        <fgColor rgb="FFC47E4E"/>
        <bgColor theme="9" tint="0.79998168889431442"/>
      </patternFill>
    </fill>
    <fill>
      <patternFill patternType="solid">
        <fgColor rgb="FFC00000"/>
        <bgColor indexed="64"/>
      </patternFill>
    </fill>
    <fill>
      <patternFill patternType="solid">
        <fgColor theme="1" tint="0.249977111117893"/>
        <bgColor indexed="64"/>
      </patternFill>
    </fill>
    <fill>
      <patternFill patternType="solid">
        <fgColor theme="0"/>
        <bgColor theme="0" tint="-0.14999847407452621"/>
      </patternFill>
    </fill>
  </fills>
  <borders count="76">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theme="1"/>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rgb="FF000000"/>
      </top>
      <bottom/>
      <diagonal/>
    </border>
    <border>
      <left style="thin">
        <color indexed="64"/>
      </left>
      <right style="thin">
        <color indexed="64"/>
      </right>
      <top style="thin">
        <color rgb="FF000000"/>
      </top>
      <bottom/>
      <diagonal/>
    </border>
    <border>
      <left style="thin">
        <color indexed="64"/>
      </left>
      <right/>
      <top style="thin">
        <color indexed="64"/>
      </top>
      <bottom style="medium">
        <color rgb="FF000000"/>
      </bottom>
      <diagonal/>
    </border>
  </borders>
  <cellStyleXfs count="3209">
    <xf numFmtId="0" fontId="0" fillId="0" borderId="0"/>
    <xf numFmtId="0" fontId="8" fillId="2" borderId="0" applyNumberFormat="0" applyBorder="0" applyAlignment="0" applyProtection="0"/>
    <xf numFmtId="0" fontId="8" fillId="2" borderId="0" applyNumberFormat="0" applyBorder="0" applyAlignment="0" applyProtection="0"/>
    <xf numFmtId="0" fontId="3" fillId="0" borderId="0" applyFont="0" applyFill="0" applyBorder="0" applyAlignment="0" applyProtection="0"/>
    <xf numFmtId="166" fontId="2" fillId="0" borderId="0" applyFont="0" applyFill="0" applyBorder="0" applyAlignment="0" applyProtection="0"/>
    <xf numFmtId="167" fontId="9" fillId="0" borderId="0"/>
    <xf numFmtId="0" fontId="2" fillId="0" borderId="0"/>
    <xf numFmtId="165" fontId="5" fillId="0" borderId="0" applyFont="0" applyFill="0" applyBorder="0" applyAlignment="0" applyProtection="0"/>
    <xf numFmtId="165" fontId="5" fillId="0" borderId="0" applyFont="0" applyFill="0" applyBorder="0" applyAlignment="0" applyProtection="0"/>
    <xf numFmtId="165" fontId="1"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6"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6"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7"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1" fillId="3" borderId="0" applyNumberFormat="0" applyBorder="0" applyAlignment="0" applyProtection="0"/>
    <xf numFmtId="0" fontId="11" fillId="3" borderId="0" applyNumberFormat="0" applyBorder="0" applyAlignment="0" applyProtection="0"/>
    <xf numFmtId="0" fontId="11" fillId="3" borderId="0" applyNumberFormat="0" applyBorder="0" applyAlignment="0" applyProtection="0"/>
    <xf numFmtId="0" fontId="2" fillId="0" borderId="0"/>
    <xf numFmtId="0" fontId="3" fillId="0" borderId="0"/>
    <xf numFmtId="0" fontId="2" fillId="0" borderId="0"/>
    <xf numFmtId="0" fontId="7" fillId="0" borderId="0"/>
    <xf numFmtId="0" fontId="7" fillId="0" borderId="0"/>
    <xf numFmtId="0" fontId="7" fillId="0" borderId="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 fillId="0" borderId="0"/>
    <xf numFmtId="0" fontId="3" fillId="0" borderId="0"/>
    <xf numFmtId="0" fontId="2" fillId="0" borderId="0"/>
    <xf numFmtId="0" fontId="7" fillId="0" borderId="0"/>
    <xf numFmtId="0" fontId="7" fillId="0" borderId="0"/>
    <xf numFmtId="0" fontId="7" fillId="0" borderId="0"/>
    <xf numFmtId="0" fontId="7" fillId="0" borderId="0"/>
    <xf numFmtId="0" fontId="2" fillId="0" borderId="0"/>
    <xf numFmtId="0" fontId="7" fillId="0" borderId="0"/>
    <xf numFmtId="0" fontId="2" fillId="0" borderId="0"/>
    <xf numFmtId="0" fontId="7" fillId="0" borderId="0"/>
    <xf numFmtId="0" fontId="2" fillId="0" borderId="0"/>
    <xf numFmtId="0" fontId="2" fillId="0" borderId="0"/>
    <xf numFmtId="0" fontId="2" fillId="0" borderId="0"/>
    <xf numFmtId="0" fontId="3" fillId="0" borderId="0"/>
    <xf numFmtId="0" fontId="7" fillId="0" borderId="0"/>
    <xf numFmtId="0" fontId="7" fillId="0" borderId="0"/>
    <xf numFmtId="0" fontId="10" fillId="0" borderId="0"/>
    <xf numFmtId="0" fontId="2" fillId="0" borderId="0"/>
    <xf numFmtId="0" fontId="2" fillId="0" borderId="0"/>
    <xf numFmtId="0" fontId="9" fillId="0" borderId="0"/>
    <xf numFmtId="0" fontId="7" fillId="0" borderId="0"/>
    <xf numFmtId="0" fontId="7" fillId="0" borderId="0"/>
    <xf numFmtId="0" fontId="7" fillId="0" borderId="0"/>
    <xf numFmtId="0" fontId="7" fillId="0" borderId="0"/>
    <xf numFmtId="0" fontId="7" fillId="0" borderId="0"/>
    <xf numFmtId="0" fontId="2" fillId="0" borderId="0"/>
    <xf numFmtId="0" fontId="7" fillId="0" borderId="0"/>
    <xf numFmtId="0" fontId="7" fillId="0" borderId="0"/>
    <xf numFmtId="0" fontId="7" fillId="0" borderId="0"/>
    <xf numFmtId="0" fontId="2" fillId="0" borderId="0"/>
    <xf numFmtId="0" fontId="3" fillId="0" borderId="0"/>
    <xf numFmtId="0" fontId="2" fillId="0" borderId="0"/>
    <xf numFmtId="0" fontId="2" fillId="0" borderId="0"/>
    <xf numFmtId="0" fontId="3" fillId="0" borderId="0"/>
    <xf numFmtId="0" fontId="4" fillId="0" borderId="0"/>
    <xf numFmtId="0" fontId="3" fillId="0" borderId="0"/>
    <xf numFmtId="0" fontId="2" fillId="0" borderId="0"/>
    <xf numFmtId="0" fontId="3" fillId="0" borderId="0"/>
    <xf numFmtId="0" fontId="2"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2" fillId="0" borderId="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7" fillId="0" borderId="0" applyFont="0" applyFill="0" applyBorder="0" applyAlignment="0" applyProtection="0"/>
    <xf numFmtId="164" fontId="3"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0" fillId="0" borderId="0" applyFont="0" applyFill="0" applyBorder="0" applyAlignment="0" applyProtection="0"/>
    <xf numFmtId="165" fontId="1" fillId="0" borderId="0" applyFont="0" applyFill="0" applyBorder="0" applyAlignment="0" applyProtection="0"/>
    <xf numFmtId="165" fontId="7" fillId="0" borderId="0" applyFont="0" applyFill="0" applyBorder="0" applyAlignment="0" applyProtection="0"/>
    <xf numFmtId="0" fontId="14" fillId="0" borderId="0" applyNumberFormat="0" applyFill="0" applyBorder="0" applyAlignment="0" applyProtection="0"/>
    <xf numFmtId="0" fontId="38" fillId="0" borderId="0"/>
    <xf numFmtId="0" fontId="50" fillId="0" borderId="0"/>
    <xf numFmtId="0" fontId="38" fillId="0" borderId="0"/>
    <xf numFmtId="0" fontId="38" fillId="0" borderId="0"/>
    <xf numFmtId="0" fontId="105" fillId="0" borderId="0" applyNumberFormat="0" applyFill="0" applyBorder="0" applyAlignment="0" applyProtection="0"/>
    <xf numFmtId="0" fontId="106" fillId="0" borderId="45" applyNumberFormat="0" applyFill="0" applyAlignment="0" applyProtection="0"/>
    <xf numFmtId="0" fontId="107" fillId="0" borderId="46" applyNumberFormat="0" applyFill="0" applyAlignment="0" applyProtection="0"/>
    <xf numFmtId="0" fontId="108" fillId="0" borderId="47" applyNumberFormat="0" applyFill="0" applyAlignment="0" applyProtection="0"/>
    <xf numFmtId="0" fontId="108" fillId="0" borderId="0" applyNumberFormat="0" applyFill="0" applyBorder="0" applyAlignment="0" applyProtection="0"/>
    <xf numFmtId="0" fontId="109" fillId="51" borderId="0" applyNumberFormat="0" applyBorder="0" applyAlignment="0" applyProtection="0"/>
    <xf numFmtId="0" fontId="110" fillId="52" borderId="48" applyNumberFormat="0" applyAlignment="0" applyProtection="0"/>
    <xf numFmtId="0" fontId="111" fillId="53" borderId="49" applyNumberFormat="0" applyAlignment="0" applyProtection="0"/>
    <xf numFmtId="0" fontId="112" fillId="53" borderId="48" applyNumberFormat="0" applyAlignment="0" applyProtection="0"/>
    <xf numFmtId="0" fontId="113" fillId="0" borderId="50" applyNumberFormat="0" applyFill="0" applyAlignment="0" applyProtection="0"/>
    <xf numFmtId="0" fontId="102" fillId="54" borderId="51" applyNumberFormat="0" applyAlignment="0" applyProtection="0"/>
    <xf numFmtId="0" fontId="18" fillId="0" borderId="0" applyNumberFormat="0" applyFill="0" applyBorder="0" applyAlignment="0" applyProtection="0"/>
    <xf numFmtId="0" fontId="7" fillId="55" borderId="52" applyNumberFormat="0" applyFont="0" applyAlignment="0" applyProtection="0"/>
    <xf numFmtId="0" fontId="114" fillId="0" borderId="0" applyNumberFormat="0" applyFill="0" applyBorder="0" applyAlignment="0" applyProtection="0"/>
    <xf numFmtId="0" fontId="12" fillId="0" borderId="53" applyNumberFormat="0" applyFill="0" applyAlignment="0" applyProtection="0"/>
    <xf numFmtId="0" fontId="8" fillId="56"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8" fillId="60"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8" fillId="64" borderId="0" applyNumberFormat="0" applyBorder="0" applyAlignment="0" applyProtection="0"/>
    <xf numFmtId="0" fontId="7" fillId="65" borderId="0" applyNumberFormat="0" applyBorder="0" applyAlignment="0" applyProtection="0"/>
    <xf numFmtId="0" fontId="7" fillId="66" borderId="0" applyNumberFormat="0" applyBorder="0" applyAlignment="0" applyProtection="0"/>
    <xf numFmtId="0" fontId="8" fillId="68" borderId="0" applyNumberFormat="0" applyBorder="0" applyAlignment="0" applyProtection="0"/>
    <xf numFmtId="0" fontId="7" fillId="69" borderId="0" applyNumberFormat="0" applyBorder="0" applyAlignment="0" applyProtection="0"/>
    <xf numFmtId="0" fontId="7" fillId="70" borderId="0" applyNumberFormat="0" applyBorder="0" applyAlignment="0" applyProtection="0"/>
    <xf numFmtId="0" fontId="8" fillId="72" borderId="0" applyNumberFormat="0" applyBorder="0" applyAlignment="0" applyProtection="0"/>
    <xf numFmtId="0" fontId="7" fillId="73" borderId="0" applyNumberFormat="0" applyBorder="0" applyAlignment="0" applyProtection="0"/>
    <xf numFmtId="0" fontId="7" fillId="74" borderId="0" applyNumberFormat="0" applyBorder="0" applyAlignment="0" applyProtection="0"/>
    <xf numFmtId="0" fontId="8" fillId="76" borderId="0" applyNumberFormat="0" applyBorder="0" applyAlignment="0" applyProtection="0"/>
    <xf numFmtId="0" fontId="7" fillId="77" borderId="0" applyNumberFormat="0" applyBorder="0" applyAlignment="0" applyProtection="0"/>
    <xf numFmtId="0" fontId="7" fillId="78" borderId="0" applyNumberFormat="0" applyBorder="0" applyAlignment="0" applyProtection="0"/>
    <xf numFmtId="0" fontId="115" fillId="0" borderId="0"/>
    <xf numFmtId="0" fontId="8" fillId="59" borderId="0" applyNumberFormat="0" applyBorder="0" applyAlignment="0" applyProtection="0"/>
    <xf numFmtId="0" fontId="8" fillId="63" borderId="0" applyNumberFormat="0" applyBorder="0" applyAlignment="0" applyProtection="0"/>
    <xf numFmtId="0" fontId="8" fillId="67" borderId="0" applyNumberFormat="0" applyBorder="0" applyAlignment="0" applyProtection="0"/>
    <xf numFmtId="0" fontId="8" fillId="71" borderId="0" applyNumberFormat="0" applyBorder="0" applyAlignment="0" applyProtection="0"/>
    <xf numFmtId="0" fontId="8" fillId="75" borderId="0" applyNumberFormat="0" applyBorder="0" applyAlignment="0" applyProtection="0"/>
    <xf numFmtId="0" fontId="8" fillId="79" borderId="0" applyNumberFormat="0" applyBorder="0" applyAlignment="0" applyProtection="0"/>
    <xf numFmtId="0" fontId="116" fillId="0" borderId="0" applyNumberFormat="0" applyFill="0" applyBorder="0" applyAlignment="0" applyProtection="0"/>
    <xf numFmtId="0" fontId="117" fillId="3" borderId="0" applyNumberFormat="0" applyBorder="0" applyAlignment="0" applyProtection="0"/>
    <xf numFmtId="0" fontId="7" fillId="0" borderId="0"/>
    <xf numFmtId="9" fontId="7" fillId="0" borderId="0" applyFont="0" applyFill="0" applyBorder="0" applyAlignment="0" applyProtection="0"/>
  </cellStyleXfs>
  <cellXfs count="1378">
    <xf numFmtId="0" fontId="0" fillId="0" borderId="0" xfId="0"/>
    <xf numFmtId="0" fontId="0" fillId="0" borderId="0" xfId="0" applyAlignment="1">
      <alignment horizontal="left"/>
    </xf>
    <xf numFmtId="14" fontId="0" fillId="0" borderId="0" xfId="0" applyNumberFormat="1"/>
    <xf numFmtId="0" fontId="0" fillId="17" borderId="0" xfId="0" applyFill="1"/>
    <xf numFmtId="0" fontId="12" fillId="17" borderId="0" xfId="0" applyFont="1" applyFill="1"/>
    <xf numFmtId="14" fontId="0" fillId="17" borderId="0" xfId="0" applyNumberFormat="1" applyFill="1"/>
    <xf numFmtId="0" fontId="12" fillId="18" borderId="0" xfId="0" applyFont="1" applyFill="1"/>
    <xf numFmtId="0" fontId="0" fillId="18" borderId="0" xfId="0" applyFill="1"/>
    <xf numFmtId="0" fontId="0" fillId="19" borderId="0" xfId="0" applyFill="1"/>
    <xf numFmtId="0" fontId="0" fillId="20" borderId="0" xfId="0" applyFill="1"/>
    <xf numFmtId="0" fontId="12" fillId="15" borderId="0" xfId="0" applyFont="1" applyFill="1"/>
    <xf numFmtId="0" fontId="0" fillId="15" borderId="0" xfId="0" applyFill="1"/>
    <xf numFmtId="20" fontId="0" fillId="15" borderId="0" xfId="0" applyNumberFormat="1" applyFill="1" applyAlignment="1">
      <alignment horizontal="left"/>
    </xf>
    <xf numFmtId="0" fontId="0" fillId="15" borderId="0" xfId="0" applyFill="1" applyAlignment="1">
      <alignment horizontal="left"/>
    </xf>
    <xf numFmtId="0" fontId="0" fillId="13" borderId="0" xfId="0" applyFill="1"/>
    <xf numFmtId="0" fontId="0" fillId="0" borderId="0" xfId="0" applyAlignment="1">
      <alignment horizontal="left" vertical="center"/>
    </xf>
    <xf numFmtId="0" fontId="12" fillId="0" borderId="0" xfId="0" applyFont="1"/>
    <xf numFmtId="0" fontId="15" fillId="4" borderId="0" xfId="0" applyFont="1" applyFill="1" applyAlignment="1" applyProtection="1">
      <alignment vertical="center"/>
      <protection locked="0"/>
    </xf>
    <xf numFmtId="0" fontId="16" fillId="5" borderId="6" xfId="1602" applyFont="1" applyFill="1" applyBorder="1" applyAlignment="1" applyProtection="1">
      <alignment horizontal="center" vertical="center"/>
      <protection locked="0"/>
    </xf>
    <xf numFmtId="0" fontId="16" fillId="5" borderId="5" xfId="1602" applyFont="1" applyFill="1" applyBorder="1" applyAlignment="1" applyProtection="1">
      <alignment horizontal="center" vertical="center"/>
      <protection locked="0"/>
    </xf>
    <xf numFmtId="0" fontId="16" fillId="0" borderId="4" xfId="1602" applyFont="1" applyBorder="1" applyAlignment="1" applyProtection="1">
      <alignment vertical="center" wrapText="1"/>
      <protection locked="0"/>
    </xf>
    <xf numFmtId="0" fontId="15" fillId="4" borderId="0" xfId="0" applyFont="1" applyFill="1" applyAlignment="1">
      <alignment horizontal="right" vertical="center"/>
    </xf>
    <xf numFmtId="0" fontId="0" fillId="4" borderId="0" xfId="0" applyFill="1"/>
    <xf numFmtId="0" fontId="15" fillId="4" borderId="0" xfId="0" applyFont="1" applyFill="1" applyAlignment="1">
      <alignment horizontal="center" vertical="center"/>
    </xf>
    <xf numFmtId="0" fontId="15" fillId="4" borderId="0" xfId="0" applyFont="1" applyFill="1" applyAlignment="1">
      <alignment vertical="center"/>
    </xf>
    <xf numFmtId="0" fontId="15" fillId="4" borderId="0" xfId="0" applyFont="1" applyFill="1" applyAlignment="1">
      <alignment horizontal="left" vertical="center"/>
    </xf>
    <xf numFmtId="0" fontId="16" fillId="5" borderId="4" xfId="1602" applyFont="1" applyFill="1" applyBorder="1" applyAlignment="1">
      <alignment horizontal="center" vertical="center"/>
    </xf>
    <xf numFmtId="0" fontId="15" fillId="4" borderId="0" xfId="0" applyFont="1" applyFill="1" applyAlignment="1">
      <alignment horizontal="center" vertical="center" wrapText="1"/>
    </xf>
    <xf numFmtId="49" fontId="0" fillId="0" borderId="0" xfId="0" applyNumberFormat="1"/>
    <xf numFmtId="0" fontId="43" fillId="4" borderId="0" xfId="0" applyFont="1" applyFill="1" applyAlignment="1">
      <alignment horizontal="left" vertical="center"/>
    </xf>
    <xf numFmtId="22" fontId="0" fillId="0" borderId="0" xfId="0" applyNumberFormat="1"/>
    <xf numFmtId="0" fontId="45" fillId="0" borderId="0" xfId="0" applyFont="1"/>
    <xf numFmtId="0" fontId="47" fillId="36" borderId="0" xfId="0" applyFont="1" applyFill="1" applyProtection="1">
      <protection locked="0"/>
    </xf>
    <xf numFmtId="0" fontId="46" fillId="16" borderId="0" xfId="0" applyFont="1" applyFill="1" applyAlignment="1">
      <alignment horizontal="center"/>
    </xf>
    <xf numFmtId="0" fontId="49" fillId="16" borderId="0" xfId="0" applyFont="1" applyFill="1" applyAlignment="1">
      <alignment horizontal="center"/>
    </xf>
    <xf numFmtId="0" fontId="46" fillId="16" borderId="0" xfId="0" applyFont="1" applyFill="1"/>
    <xf numFmtId="0" fontId="46" fillId="16" borderId="0" xfId="0" applyFont="1" applyFill="1" applyAlignment="1">
      <alignment horizontal="right"/>
    </xf>
    <xf numFmtId="0" fontId="48" fillId="16" borderId="0" xfId="0" applyFont="1" applyFill="1" applyAlignment="1">
      <alignment vertical="top"/>
    </xf>
    <xf numFmtId="0" fontId="47" fillId="16" borderId="0" xfId="0" applyFont="1" applyFill="1"/>
    <xf numFmtId="49" fontId="47" fillId="35" borderId="0" xfId="0" applyNumberFormat="1" applyFont="1" applyFill="1" applyProtection="1">
      <protection locked="0"/>
    </xf>
    <xf numFmtId="0" fontId="12" fillId="15" borderId="0" xfId="0" applyFont="1" applyFill="1" applyAlignment="1">
      <alignment horizontal="center"/>
    </xf>
    <xf numFmtId="0" fontId="43" fillId="4" borderId="0" xfId="0" applyFont="1" applyFill="1" applyAlignment="1">
      <alignment horizontal="right" vertical="center"/>
    </xf>
    <xf numFmtId="0" fontId="0" fillId="0" borderId="0" xfId="0" applyAlignment="1">
      <alignment vertical="center"/>
    </xf>
    <xf numFmtId="0" fontId="0" fillId="0" borderId="4" xfId="3162" applyFont="1" applyBorder="1" applyAlignment="1" applyProtection="1">
      <alignment horizontal="center" vertical="center"/>
      <protection locked="0"/>
    </xf>
    <xf numFmtId="0" fontId="52" fillId="0" borderId="4" xfId="3162" applyFont="1" applyBorder="1" applyAlignment="1" applyProtection="1">
      <alignment horizontal="center" vertical="center"/>
      <protection locked="0"/>
    </xf>
    <xf numFmtId="170" fontId="15" fillId="4" borderId="0" xfId="0" applyNumberFormat="1" applyFont="1" applyFill="1" applyAlignment="1">
      <alignment horizontal="center" vertical="center"/>
    </xf>
    <xf numFmtId="170" fontId="16" fillId="5" borderId="6" xfId="1602" applyNumberFormat="1" applyFont="1" applyFill="1" applyBorder="1" applyAlignment="1" applyProtection="1">
      <alignment horizontal="center" vertical="center"/>
      <protection locked="0"/>
    </xf>
    <xf numFmtId="170" fontId="16" fillId="0" borderId="4" xfId="1602" applyNumberFormat="1" applyFont="1" applyBorder="1" applyAlignment="1" applyProtection="1">
      <alignment horizontal="center" vertical="center"/>
      <protection locked="0"/>
    </xf>
    <xf numFmtId="170" fontId="16" fillId="0" borderId="7" xfId="1602" applyNumberFormat="1" applyFont="1" applyBorder="1" applyAlignment="1" applyProtection="1">
      <alignment horizontal="center" vertical="center"/>
      <protection locked="0"/>
    </xf>
    <xf numFmtId="170" fontId="16" fillId="5" borderId="9" xfId="1602" applyNumberFormat="1" applyFont="1" applyFill="1" applyBorder="1" applyAlignment="1" applyProtection="1">
      <alignment horizontal="center" vertical="center"/>
      <protection locked="0"/>
    </xf>
    <xf numFmtId="170" fontId="15" fillId="4" borderId="0" xfId="0" applyNumberFormat="1" applyFont="1" applyFill="1" applyAlignment="1" applyProtection="1">
      <alignment horizontal="center" vertical="center"/>
      <protection locked="0"/>
    </xf>
    <xf numFmtId="170" fontId="16" fillId="5" borderId="5" xfId="1602" applyNumberFormat="1" applyFont="1" applyFill="1" applyBorder="1" applyAlignment="1" applyProtection="1">
      <alignment horizontal="center" vertical="center"/>
      <protection locked="0"/>
    </xf>
    <xf numFmtId="14" fontId="55" fillId="37" borderId="4" xfId="3162" applyNumberFormat="1" applyFont="1" applyFill="1" applyBorder="1" applyAlignment="1">
      <alignment horizontal="center" vertical="center"/>
    </xf>
    <xf numFmtId="0" fontId="15" fillId="4" borderId="0" xfId="0" applyFont="1" applyFill="1" applyAlignment="1" applyProtection="1">
      <alignment horizontal="center" vertical="center"/>
      <protection hidden="1"/>
    </xf>
    <xf numFmtId="0" fontId="16" fillId="5" borderId="6" xfId="1602" applyFont="1" applyFill="1" applyBorder="1" applyAlignment="1" applyProtection="1">
      <alignment horizontal="center" vertical="center"/>
      <protection hidden="1"/>
    </xf>
    <xf numFmtId="1" fontId="16" fillId="0" borderId="6" xfId="1602" applyNumberFormat="1" applyFont="1" applyBorder="1" applyAlignment="1" applyProtection="1">
      <alignment horizontal="center" vertical="center"/>
      <protection hidden="1"/>
    </xf>
    <xf numFmtId="1" fontId="16" fillId="0" borderId="4" xfId="1602" applyNumberFormat="1" applyFont="1" applyBorder="1" applyAlignment="1" applyProtection="1">
      <alignment horizontal="center" vertical="center"/>
      <protection hidden="1"/>
    </xf>
    <xf numFmtId="1" fontId="16" fillId="0" borderId="7" xfId="1602" applyNumberFormat="1" applyFont="1" applyBorder="1" applyAlignment="1" applyProtection="1">
      <alignment horizontal="center" vertical="center"/>
      <protection hidden="1"/>
    </xf>
    <xf numFmtId="0" fontId="16" fillId="5" borderId="6" xfId="1602" applyFont="1" applyFill="1" applyBorder="1" applyAlignment="1" applyProtection="1">
      <alignment horizontal="center" vertical="center"/>
      <protection locked="0" hidden="1"/>
    </xf>
    <xf numFmtId="0" fontId="16" fillId="0" borderId="4" xfId="1602" applyFont="1" applyBorder="1" applyAlignment="1" applyProtection="1">
      <alignment horizontal="center" vertical="center"/>
      <protection hidden="1"/>
    </xf>
    <xf numFmtId="0" fontId="16" fillId="5" borderId="5" xfId="1602" applyFont="1" applyFill="1" applyBorder="1" applyAlignment="1" applyProtection="1">
      <alignment horizontal="center" vertical="center"/>
      <protection locked="0" hidden="1"/>
    </xf>
    <xf numFmtId="0" fontId="15" fillId="4" borderId="0" xfId="0" applyFont="1" applyFill="1" applyAlignment="1" applyProtection="1">
      <alignment horizontal="center" vertical="center"/>
      <protection locked="0" hidden="1"/>
    </xf>
    <xf numFmtId="0" fontId="0" fillId="0" borderId="0" xfId="0" applyAlignment="1">
      <alignment horizontal="center"/>
    </xf>
    <xf numFmtId="0" fontId="0" fillId="0" borderId="0" xfId="0" pivotButton="1"/>
    <xf numFmtId="0" fontId="0" fillId="0" borderId="0" xfId="0" applyProtection="1">
      <protection hidden="1"/>
    </xf>
    <xf numFmtId="0" fontId="19" fillId="0" borderId="4" xfId="0" applyFont="1" applyBorder="1" applyAlignment="1" applyProtection="1">
      <alignment horizontal="center" vertical="center"/>
      <protection hidden="1"/>
    </xf>
    <xf numFmtId="0" fontId="29" fillId="28" borderId="4" xfId="0" applyFont="1" applyFill="1" applyBorder="1" applyAlignment="1" applyProtection="1">
      <alignment horizontal="center" vertical="center" wrapText="1"/>
      <protection hidden="1"/>
    </xf>
    <xf numFmtId="0" fontId="29" fillId="27" borderId="4" xfId="0" applyFont="1" applyFill="1" applyBorder="1" applyAlignment="1" applyProtection="1">
      <alignment horizontal="center"/>
      <protection hidden="1"/>
    </xf>
    <xf numFmtId="0" fontId="29" fillId="28" borderId="4" xfId="0" applyFont="1" applyFill="1" applyBorder="1" applyAlignment="1" applyProtection="1">
      <alignment horizontal="center"/>
      <protection hidden="1"/>
    </xf>
    <xf numFmtId="0" fontId="29" fillId="24" borderId="4" xfId="0" applyFont="1" applyFill="1" applyBorder="1" applyAlignment="1" applyProtection="1">
      <alignment horizontal="center"/>
      <protection hidden="1"/>
    </xf>
    <xf numFmtId="0" fontId="29" fillId="28" borderId="6" xfId="0" applyFont="1" applyFill="1" applyBorder="1" applyAlignment="1" applyProtection="1">
      <alignment horizontal="center" vertical="center" wrapText="1"/>
      <protection hidden="1"/>
    </xf>
    <xf numFmtId="0" fontId="31" fillId="29" borderId="4" xfId="0" applyFont="1" applyFill="1" applyBorder="1" applyAlignment="1" applyProtection="1">
      <alignment horizontal="center"/>
      <protection hidden="1"/>
    </xf>
    <xf numFmtId="0" fontId="19" fillId="0" borderId="4" xfId="0" applyFont="1" applyBorder="1" applyAlignment="1" applyProtection="1">
      <alignment horizontal="left"/>
      <protection hidden="1"/>
    </xf>
    <xf numFmtId="0" fontId="0" fillId="27" borderId="4" xfId="0" applyFill="1" applyBorder="1" applyAlignment="1" applyProtection="1">
      <alignment horizontal="center"/>
      <protection hidden="1"/>
    </xf>
    <xf numFmtId="0" fontId="0" fillId="28" borderId="4" xfId="0" applyFill="1" applyBorder="1" applyAlignment="1" applyProtection="1">
      <alignment horizontal="center"/>
      <protection hidden="1"/>
    </xf>
    <xf numFmtId="0" fontId="0" fillId="24" borderId="4" xfId="0" applyFill="1" applyBorder="1" applyAlignment="1" applyProtection="1">
      <alignment horizontal="center"/>
      <protection hidden="1"/>
    </xf>
    <xf numFmtId="0" fontId="12" fillId="28" borderId="4" xfId="0" applyFont="1" applyFill="1" applyBorder="1" applyAlignment="1" applyProtection="1">
      <alignment horizontal="center"/>
      <protection hidden="1"/>
    </xf>
    <xf numFmtId="0" fontId="0" fillId="0" borderId="4" xfId="0" applyBorder="1" applyAlignment="1" applyProtection="1">
      <alignment horizontal="center"/>
      <protection hidden="1"/>
    </xf>
    <xf numFmtId="0" fontId="12" fillId="27" borderId="4" xfId="0" applyFont="1" applyFill="1" applyBorder="1" applyAlignment="1" applyProtection="1">
      <alignment horizontal="center"/>
      <protection hidden="1"/>
    </xf>
    <xf numFmtId="0" fontId="12" fillId="0" borderId="4" xfId="0" applyFont="1" applyBorder="1" applyAlignment="1" applyProtection="1">
      <alignment horizontal="center"/>
      <protection hidden="1"/>
    </xf>
    <xf numFmtId="0" fontId="12" fillId="0" borderId="0" xfId="0" applyFont="1" applyProtection="1">
      <protection hidden="1"/>
    </xf>
    <xf numFmtId="0" fontId="18" fillId="0" borderId="4" xfId="0" applyFont="1" applyBorder="1" applyAlignment="1" applyProtection="1">
      <alignment horizontal="center"/>
      <protection hidden="1"/>
    </xf>
    <xf numFmtId="0" fontId="0" fillId="28" borderId="2" xfId="0" applyFill="1" applyBorder="1" applyAlignment="1" applyProtection="1">
      <alignment horizontal="center"/>
      <protection hidden="1"/>
    </xf>
    <xf numFmtId="0" fontId="0" fillId="28" borderId="1" xfId="0" applyFill="1" applyBorder="1" applyAlignment="1" applyProtection="1">
      <alignment horizontal="center"/>
      <protection hidden="1"/>
    </xf>
    <xf numFmtId="0" fontId="0" fillId="24" borderId="2" xfId="0" applyFill="1" applyBorder="1" applyAlignment="1" applyProtection="1">
      <alignment horizontal="center"/>
      <protection hidden="1"/>
    </xf>
    <xf numFmtId="0" fontId="0" fillId="24" borderId="1" xfId="0" applyFill="1" applyBorder="1" applyAlignment="1" applyProtection="1">
      <alignment horizontal="center"/>
      <protection hidden="1"/>
    </xf>
    <xf numFmtId="0" fontId="0" fillId="28" borderId="15" xfId="0" applyFill="1" applyBorder="1" applyAlignment="1" applyProtection="1">
      <alignment horizontal="center"/>
      <protection hidden="1"/>
    </xf>
    <xf numFmtId="0" fontId="0" fillId="0" borderId="2" xfId="0" applyBorder="1" applyAlignment="1" applyProtection="1">
      <alignment horizontal="center"/>
      <protection hidden="1"/>
    </xf>
    <xf numFmtId="0" fontId="0" fillId="24" borderId="15" xfId="0" applyFill="1" applyBorder="1" applyAlignment="1" applyProtection="1">
      <alignment horizontal="center"/>
      <protection hidden="1"/>
    </xf>
    <xf numFmtId="0" fontId="1" fillId="30" borderId="4" xfId="0" applyFont="1" applyFill="1" applyBorder="1" applyAlignment="1" applyProtection="1">
      <alignment horizontal="center"/>
      <protection hidden="1"/>
    </xf>
    <xf numFmtId="0" fontId="1" fillId="30" borderId="6" xfId="0" applyFont="1" applyFill="1" applyBorder="1" applyAlignment="1" applyProtection="1">
      <alignment horizontal="center"/>
      <protection hidden="1"/>
    </xf>
    <xf numFmtId="0" fontId="1" fillId="24" borderId="4" xfId="0" applyFont="1" applyFill="1" applyBorder="1" applyAlignment="1" applyProtection="1">
      <alignment horizontal="center"/>
      <protection hidden="1"/>
    </xf>
    <xf numFmtId="0" fontId="32" fillId="0" borderId="4" xfId="0" applyFont="1" applyBorder="1" applyAlignment="1" applyProtection="1">
      <alignment horizontal="center" vertical="center"/>
      <protection hidden="1"/>
    </xf>
    <xf numFmtId="0" fontId="1" fillId="28" borderId="4" xfId="0" applyFont="1" applyFill="1" applyBorder="1" applyAlignment="1" applyProtection="1">
      <alignment horizontal="center"/>
      <protection hidden="1"/>
    </xf>
    <xf numFmtId="0" fontId="1" fillId="31" borderId="4" xfId="0" applyFont="1" applyFill="1" applyBorder="1" applyAlignment="1" applyProtection="1">
      <alignment horizontal="center"/>
      <protection hidden="1"/>
    </xf>
    <xf numFmtId="0" fontId="1" fillId="31" borderId="6" xfId="0" applyFont="1" applyFill="1" applyBorder="1" applyAlignment="1" applyProtection="1">
      <alignment horizontal="center"/>
      <protection hidden="1"/>
    </xf>
    <xf numFmtId="0" fontId="1" fillId="24" borderId="6" xfId="0" applyFont="1" applyFill="1" applyBorder="1" applyAlignment="1" applyProtection="1">
      <alignment horizontal="center"/>
      <protection hidden="1"/>
    </xf>
    <xf numFmtId="0" fontId="1" fillId="28" borderId="6" xfId="0" applyFont="1" applyFill="1" applyBorder="1" applyAlignment="1" applyProtection="1">
      <alignment horizontal="center"/>
      <protection hidden="1"/>
    </xf>
    <xf numFmtId="0" fontId="1" fillId="0" borderId="4" xfId="0" applyFont="1" applyBorder="1" applyAlignment="1" applyProtection="1">
      <alignment horizontal="center"/>
      <protection hidden="1"/>
    </xf>
    <xf numFmtId="0" fontId="1" fillId="0" borderId="6" xfId="0" applyFont="1" applyBorder="1" applyAlignment="1" applyProtection="1">
      <alignment horizontal="center"/>
      <protection hidden="1"/>
    </xf>
    <xf numFmtId="0" fontId="20" fillId="27" borderId="4" xfId="0" applyFont="1" applyFill="1" applyBorder="1" applyAlignment="1" applyProtection="1">
      <alignment horizontal="center"/>
      <protection hidden="1"/>
    </xf>
    <xf numFmtId="0" fontId="20" fillId="28" borderId="4" xfId="0" applyFont="1" applyFill="1" applyBorder="1" applyAlignment="1" applyProtection="1">
      <alignment horizontal="center"/>
      <protection hidden="1"/>
    </xf>
    <xf numFmtId="0" fontId="20" fillId="24" borderId="4" xfId="0" applyFont="1" applyFill="1" applyBorder="1" applyAlignment="1" applyProtection="1">
      <alignment horizontal="center"/>
      <protection hidden="1"/>
    </xf>
    <xf numFmtId="0" fontId="33" fillId="0" borderId="4" xfId="0" applyFont="1" applyBorder="1" applyAlignment="1" applyProtection="1">
      <alignment horizontal="center"/>
      <protection hidden="1"/>
    </xf>
    <xf numFmtId="0" fontId="33" fillId="27" borderId="4" xfId="0" applyFont="1" applyFill="1" applyBorder="1" applyAlignment="1" applyProtection="1">
      <alignment horizontal="center"/>
      <protection hidden="1"/>
    </xf>
    <xf numFmtId="0" fontId="34" fillId="24" borderId="0" xfId="0" applyFont="1" applyFill="1" applyProtection="1">
      <protection hidden="1"/>
    </xf>
    <xf numFmtId="0" fontId="19" fillId="28" borderId="4" xfId="0" applyFont="1" applyFill="1" applyBorder="1" applyAlignment="1" applyProtection="1">
      <alignment horizontal="center"/>
      <protection hidden="1"/>
    </xf>
    <xf numFmtId="0" fontId="35" fillId="28" borderId="4" xfId="0" applyFont="1" applyFill="1" applyBorder="1" applyAlignment="1" applyProtection="1">
      <alignment horizontal="center"/>
      <protection hidden="1"/>
    </xf>
    <xf numFmtId="0" fontId="0" fillId="25" borderId="0" xfId="0" applyFill="1" applyProtection="1">
      <protection hidden="1"/>
    </xf>
    <xf numFmtId="0" fontId="32" fillId="0" borderId="6" xfId="0" applyFont="1" applyBorder="1" applyAlignment="1" applyProtection="1">
      <alignment horizontal="center" vertical="center"/>
      <protection hidden="1"/>
    </xf>
    <xf numFmtId="0" fontId="19" fillId="28" borderId="4" xfId="0" applyFont="1" applyFill="1" applyBorder="1" applyProtection="1">
      <protection hidden="1"/>
    </xf>
    <xf numFmtId="0" fontId="31" fillId="32" borderId="4" xfId="0" applyFont="1" applyFill="1" applyBorder="1" applyProtection="1">
      <protection hidden="1"/>
    </xf>
    <xf numFmtId="0" fontId="34" fillId="32" borderId="4" xfId="0" applyFont="1" applyFill="1" applyBorder="1" applyAlignment="1" applyProtection="1">
      <alignment horizontal="center"/>
      <protection hidden="1"/>
    </xf>
    <xf numFmtId="0" fontId="31" fillId="32" borderId="4" xfId="0" applyFont="1" applyFill="1" applyBorder="1" applyAlignment="1" applyProtection="1">
      <alignment horizontal="center"/>
      <protection hidden="1"/>
    </xf>
    <xf numFmtId="0" fontId="0" fillId="0" borderId="0" xfId="0" applyAlignment="1" applyProtection="1">
      <alignment horizontal="center" vertical="center"/>
      <protection hidden="1"/>
    </xf>
    <xf numFmtId="0" fontId="0" fillId="0" borderId="0" xfId="0" applyAlignment="1" applyProtection="1">
      <alignment horizontal="center" vertical="center" wrapText="1"/>
      <protection hidden="1"/>
    </xf>
    <xf numFmtId="0" fontId="19" fillId="22" borderId="4" xfId="0" applyFont="1" applyFill="1" applyBorder="1" applyAlignment="1" applyProtection="1">
      <alignment horizontal="center" vertical="center"/>
      <protection hidden="1"/>
    </xf>
    <xf numFmtId="0" fontId="19" fillId="22" borderId="4" xfId="0" applyFont="1" applyFill="1" applyBorder="1" applyAlignment="1" applyProtection="1">
      <alignment horizontal="center" vertical="center" wrapText="1"/>
      <protection hidden="1"/>
    </xf>
    <xf numFmtId="0" fontId="19" fillId="23" borderId="4" xfId="0" applyFont="1" applyFill="1"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24" borderId="0" xfId="0" applyFill="1" applyAlignment="1" applyProtection="1">
      <alignment horizontal="center" vertical="center" wrapText="1"/>
      <protection hidden="1"/>
    </xf>
    <xf numFmtId="0" fontId="0" fillId="24" borderId="4" xfId="0" applyFill="1" applyBorder="1" applyAlignment="1" applyProtection="1">
      <alignment horizontal="center" vertical="center"/>
      <protection hidden="1"/>
    </xf>
    <xf numFmtId="0" fontId="0" fillId="17" borderId="4" xfId="0" applyFill="1" applyBorder="1" applyAlignment="1" applyProtection="1">
      <alignment horizontal="center" vertical="center"/>
      <protection hidden="1"/>
    </xf>
    <xf numFmtId="0" fontId="12" fillId="24" borderId="4" xfId="0" applyFont="1" applyFill="1" applyBorder="1" applyAlignment="1" applyProtection="1">
      <alignment horizontal="center" vertical="center"/>
      <protection hidden="1"/>
    </xf>
    <xf numFmtId="3" fontId="21" fillId="22" borderId="4" xfId="0" applyNumberFormat="1" applyFont="1" applyFill="1" applyBorder="1" applyAlignment="1" applyProtection="1">
      <alignment horizontal="center" vertical="center" wrapText="1"/>
      <protection hidden="1"/>
    </xf>
    <xf numFmtId="0" fontId="0" fillId="0" borderId="2"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0" fillId="0" borderId="0" xfId="0" applyAlignment="1" applyProtection="1">
      <alignment horizontal="left"/>
      <protection hidden="1"/>
    </xf>
    <xf numFmtId="0" fontId="0" fillId="24" borderId="0" xfId="0" applyFill="1" applyProtection="1">
      <protection hidden="1"/>
    </xf>
    <xf numFmtId="0" fontId="23" fillId="26" borderId="16" xfId="0" applyFont="1" applyFill="1" applyBorder="1" applyAlignment="1" applyProtection="1">
      <alignment horizontal="center" vertical="center" wrapText="1"/>
      <protection hidden="1"/>
    </xf>
    <xf numFmtId="0" fontId="24" fillId="0" borderId="20" xfId="0" applyFont="1" applyBorder="1" applyAlignment="1" applyProtection="1">
      <alignment horizontal="center" vertical="center" wrapText="1"/>
      <protection hidden="1"/>
    </xf>
    <xf numFmtId="0" fontId="24" fillId="0" borderId="21" xfId="0" applyFont="1" applyBorder="1" applyAlignment="1" applyProtection="1">
      <alignment horizontal="center" vertical="center" wrapText="1"/>
      <protection hidden="1"/>
    </xf>
    <xf numFmtId="0" fontId="25" fillId="0" borderId="21" xfId="0" applyFont="1" applyBorder="1" applyAlignment="1" applyProtection="1">
      <alignment horizontal="center" vertical="center" wrapText="1"/>
      <protection hidden="1"/>
    </xf>
    <xf numFmtId="0" fontId="26" fillId="0" borderId="22" xfId="0" applyFont="1" applyBorder="1" applyAlignment="1" applyProtection="1">
      <alignment horizontal="center" vertical="center" wrapText="1"/>
      <protection hidden="1"/>
    </xf>
    <xf numFmtId="0" fontId="27" fillId="0" borderId="23" xfId="0" applyFont="1" applyBorder="1" applyAlignment="1" applyProtection="1">
      <alignment horizontal="center" vertical="center" wrapText="1"/>
      <protection hidden="1"/>
    </xf>
    <xf numFmtId="0" fontId="28" fillId="26" borderId="24" xfId="0" applyFont="1" applyFill="1" applyBorder="1" applyAlignment="1" applyProtection="1">
      <alignment horizontal="left" vertical="center" wrapText="1"/>
      <protection hidden="1"/>
    </xf>
    <xf numFmtId="0" fontId="28" fillId="26" borderId="25" xfId="0" applyFont="1" applyFill="1" applyBorder="1" applyAlignment="1" applyProtection="1">
      <alignment horizontal="left" vertical="center" wrapText="1"/>
      <protection hidden="1"/>
    </xf>
    <xf numFmtId="1" fontId="0" fillId="0" borderId="4" xfId="0" applyNumberFormat="1" applyBorder="1" applyAlignment="1" applyProtection="1">
      <alignment horizontal="center" vertical="center"/>
      <protection hidden="1"/>
    </xf>
    <xf numFmtId="0" fontId="0" fillId="0" borderId="0" xfId="0" applyAlignment="1" applyProtection="1">
      <alignment wrapText="1"/>
      <protection hidden="1"/>
    </xf>
    <xf numFmtId="0" fontId="42" fillId="0" borderId="0" xfId="0" applyFont="1" applyAlignment="1">
      <alignment horizontal="center"/>
    </xf>
    <xf numFmtId="0" fontId="59" fillId="0" borderId="0" xfId="0" applyFont="1" applyAlignment="1">
      <alignment horizontal="center" vertical="center"/>
    </xf>
    <xf numFmtId="49" fontId="16" fillId="0" borderId="4" xfId="1602" applyNumberFormat="1" applyFont="1" applyBorder="1" applyAlignment="1" applyProtection="1">
      <alignment horizontal="center" vertical="center"/>
      <protection hidden="1"/>
    </xf>
    <xf numFmtId="0" fontId="60" fillId="16" borderId="0" xfId="0" applyFont="1" applyFill="1" applyAlignment="1">
      <alignment vertical="center" wrapText="1"/>
    </xf>
    <xf numFmtId="0" fontId="61" fillId="16" borderId="0" xfId="0" applyFont="1" applyFill="1" applyAlignment="1">
      <alignment horizontal="center" vertical="center"/>
    </xf>
    <xf numFmtId="170" fontId="60" fillId="16" borderId="0" xfId="0" applyNumberFormat="1" applyFont="1" applyFill="1" applyAlignment="1">
      <alignment horizontal="center" vertical="center"/>
    </xf>
    <xf numFmtId="0" fontId="60" fillId="16" borderId="0" xfId="0" applyFont="1" applyFill="1" applyAlignment="1" applyProtection="1">
      <alignment horizontal="center" vertical="center"/>
      <protection hidden="1"/>
    </xf>
    <xf numFmtId="0" fontId="62" fillId="20" borderId="0" xfId="0" applyFont="1" applyFill="1" applyAlignment="1" applyProtection="1">
      <alignment horizontal="right" vertical="center"/>
      <protection hidden="1"/>
    </xf>
    <xf numFmtId="14" fontId="16" fillId="25" borderId="0" xfId="0" applyNumberFormat="1" applyFont="1" applyFill="1" applyAlignment="1" applyProtection="1">
      <alignment vertical="center" wrapText="1"/>
      <protection hidden="1"/>
    </xf>
    <xf numFmtId="0" fontId="3" fillId="20" borderId="0" xfId="0" applyFont="1" applyFill="1" applyAlignment="1" applyProtection="1">
      <alignment horizontal="center" vertical="center"/>
      <protection hidden="1"/>
    </xf>
    <xf numFmtId="0" fontId="3" fillId="20" borderId="0" xfId="0" applyFont="1" applyFill="1" applyAlignment="1" applyProtection="1">
      <alignment horizontal="center" vertical="center" wrapText="1"/>
      <protection hidden="1"/>
    </xf>
    <xf numFmtId="0" fontId="3" fillId="20" borderId="0" xfId="0" applyFont="1" applyFill="1" applyAlignment="1" applyProtection="1">
      <alignment horizontal="left" vertical="center"/>
      <protection hidden="1"/>
    </xf>
    <xf numFmtId="0" fontId="59" fillId="20" borderId="0" xfId="0" applyFont="1" applyFill="1" applyAlignment="1" applyProtection="1">
      <alignment vertical="center"/>
      <protection hidden="1"/>
    </xf>
    <xf numFmtId="0" fontId="59" fillId="20" borderId="0" xfId="0" applyFont="1" applyFill="1" applyAlignment="1" applyProtection="1">
      <alignment horizontal="left" vertical="center"/>
      <protection hidden="1"/>
    </xf>
    <xf numFmtId="0" fontId="3" fillId="20" borderId="0" xfId="0" applyFont="1" applyFill="1" applyAlignment="1" applyProtection="1">
      <alignment vertical="center"/>
      <protection hidden="1"/>
    </xf>
    <xf numFmtId="0" fontId="62" fillId="20" borderId="0" xfId="0" applyFont="1" applyFill="1" applyAlignment="1" applyProtection="1">
      <alignment horizontal="left" vertical="center"/>
      <protection hidden="1"/>
    </xf>
    <xf numFmtId="0" fontId="63" fillId="20" borderId="0" xfId="0" applyFont="1" applyFill="1" applyAlignment="1" applyProtection="1">
      <alignment horizontal="center" vertical="center"/>
      <protection hidden="1"/>
    </xf>
    <xf numFmtId="14" fontId="62" fillId="20" borderId="0" xfId="0" applyNumberFormat="1" applyFont="1" applyFill="1" applyAlignment="1" applyProtection="1">
      <alignment horizontal="center" vertical="center"/>
      <protection hidden="1"/>
    </xf>
    <xf numFmtId="14" fontId="64" fillId="20" borderId="0" xfId="0" applyNumberFormat="1" applyFont="1" applyFill="1" applyAlignment="1" applyProtection="1">
      <alignment horizontal="center" vertical="center"/>
      <protection hidden="1"/>
    </xf>
    <xf numFmtId="0" fontId="3" fillId="0" borderId="0" xfId="0" applyFont="1" applyAlignment="1" applyProtection="1">
      <alignment horizontal="center" vertical="center" wrapText="1"/>
      <protection hidden="1"/>
    </xf>
    <xf numFmtId="0" fontId="60" fillId="16" borderId="0" xfId="0" applyFont="1" applyFill="1" applyAlignment="1">
      <alignment horizontal="center" vertical="center"/>
    </xf>
    <xf numFmtId="0" fontId="0" fillId="0" borderId="0" xfId="0" applyAlignment="1">
      <alignment horizontal="center" vertical="center" wrapText="1"/>
    </xf>
    <xf numFmtId="169" fontId="57" fillId="0" borderId="0" xfId="0" applyNumberFormat="1" applyFont="1" applyAlignment="1" applyProtection="1">
      <alignment horizontal="center" vertical="center" wrapText="1"/>
      <protection locked="0"/>
    </xf>
    <xf numFmtId="0" fontId="67" fillId="17" borderId="4" xfId="3161" applyFont="1" applyFill="1" applyBorder="1" applyAlignment="1">
      <alignment horizontal="center" vertical="center"/>
    </xf>
    <xf numFmtId="0" fontId="67" fillId="17" borderId="0" xfId="3161" applyFont="1" applyFill="1" applyAlignment="1">
      <alignment horizontal="center" vertical="center"/>
    </xf>
    <xf numFmtId="0" fontId="68" fillId="0" borderId="0" xfId="3161" applyFont="1" applyAlignment="1">
      <alignment horizontal="center" vertical="center" wrapText="1"/>
    </xf>
    <xf numFmtId="0" fontId="68" fillId="0" borderId="0" xfId="3161" applyFont="1" applyAlignment="1">
      <alignment horizontal="left" vertical="center"/>
    </xf>
    <xf numFmtId="0" fontId="68" fillId="0" borderId="0" xfId="3161" applyFont="1" applyAlignment="1">
      <alignment vertical="center"/>
    </xf>
    <xf numFmtId="0" fontId="68" fillId="0" borderId="0" xfId="0" applyFont="1"/>
    <xf numFmtId="0" fontId="68" fillId="0" borderId="0" xfId="3161" applyFont="1" applyAlignment="1">
      <alignment horizontal="right" vertical="center"/>
    </xf>
    <xf numFmtId="14" fontId="68" fillId="0" borderId="0" xfId="0" applyNumberFormat="1" applyFont="1" applyAlignment="1">
      <alignment horizontal="left" vertical="center"/>
    </xf>
    <xf numFmtId="0" fontId="68" fillId="0" borderId="0" xfId="0" applyFont="1" applyAlignment="1">
      <alignment horizontal="left" vertical="center"/>
    </xf>
    <xf numFmtId="0" fontId="68" fillId="0" borderId="0" xfId="3161" applyFont="1"/>
    <xf numFmtId="0" fontId="69" fillId="0" borderId="0" xfId="3161" applyFont="1" applyAlignment="1">
      <alignment vertical="center" wrapText="1"/>
    </xf>
    <xf numFmtId="0" fontId="68" fillId="0" borderId="0" xfId="3161" applyFont="1" applyAlignment="1">
      <alignment horizontal="center" vertical="center"/>
    </xf>
    <xf numFmtId="0" fontId="69" fillId="0" borderId="4" xfId="3161" applyFont="1" applyBorder="1" applyAlignment="1">
      <alignment horizontal="center" vertical="center" wrapText="1"/>
    </xf>
    <xf numFmtId="14" fontId="68" fillId="0" borderId="0" xfId="3161" applyNumberFormat="1" applyFont="1" applyAlignment="1">
      <alignment vertical="center"/>
    </xf>
    <xf numFmtId="0" fontId="67" fillId="0" borderId="4" xfId="3161" applyFont="1" applyBorder="1" applyAlignment="1">
      <alignment horizontal="center" vertical="center"/>
    </xf>
    <xf numFmtId="0" fontId="68" fillId="0" borderId="4" xfId="3161" applyFont="1" applyBorder="1" applyAlignment="1">
      <alignment horizontal="center" vertical="center"/>
    </xf>
    <xf numFmtId="0" fontId="68" fillId="0" borderId="0" xfId="0" applyFont="1" applyAlignment="1">
      <alignment wrapText="1"/>
    </xf>
    <xf numFmtId="0" fontId="0" fillId="0" borderId="0" xfId="0" applyAlignment="1">
      <alignment horizontal="center" vertical="center"/>
    </xf>
    <xf numFmtId="0" fontId="52" fillId="0" borderId="0" xfId="0" applyFont="1" applyAlignment="1">
      <alignment horizontal="center" vertical="center"/>
    </xf>
    <xf numFmtId="0" fontId="65" fillId="42" borderId="4" xfId="0" applyFont="1" applyFill="1" applyBorder="1" applyAlignment="1" applyProtection="1">
      <alignment horizontal="center" vertical="center"/>
      <protection locked="0" hidden="1"/>
    </xf>
    <xf numFmtId="49" fontId="65" fillId="42" borderId="4" xfId="0" applyNumberFormat="1" applyFont="1" applyFill="1" applyBorder="1" applyAlignment="1" applyProtection="1">
      <alignment horizontal="left" vertical="center"/>
      <protection locked="0"/>
    </xf>
    <xf numFmtId="49" fontId="65" fillId="42" borderId="4" xfId="0" applyNumberFormat="1" applyFont="1" applyFill="1" applyBorder="1" applyAlignment="1" applyProtection="1">
      <alignment horizontal="left" vertical="center"/>
      <protection locked="0" hidden="1"/>
    </xf>
    <xf numFmtId="49" fontId="65" fillId="42" borderId="4" xfId="0" applyNumberFormat="1" applyFont="1" applyFill="1" applyBorder="1" applyAlignment="1" applyProtection="1">
      <alignment horizontal="center" vertical="center"/>
      <protection locked="0" hidden="1"/>
    </xf>
    <xf numFmtId="49" fontId="65" fillId="42" borderId="4" xfId="1577" applyNumberFormat="1" applyFont="1" applyFill="1" applyBorder="1" applyAlignment="1" applyProtection="1">
      <alignment horizontal="center" vertical="center"/>
      <protection locked="0" hidden="1"/>
    </xf>
    <xf numFmtId="14" fontId="65" fillId="42" borderId="4" xfId="0" applyNumberFormat="1" applyFont="1" applyFill="1" applyBorder="1" applyAlignment="1" applyProtection="1">
      <alignment horizontal="left" vertical="center"/>
      <protection locked="0" hidden="1"/>
    </xf>
    <xf numFmtId="0" fontId="65" fillId="42" borderId="4" xfId="0" applyFont="1" applyFill="1" applyBorder="1" applyAlignment="1" applyProtection="1">
      <alignment horizontal="center" vertical="center"/>
      <protection locked="0"/>
    </xf>
    <xf numFmtId="0" fontId="65" fillId="42" borderId="4" xfId="0" applyFont="1" applyFill="1" applyBorder="1" applyAlignment="1" applyProtection="1">
      <alignment horizontal="center" vertical="center"/>
      <protection hidden="1"/>
    </xf>
    <xf numFmtId="0" fontId="66" fillId="42" borderId="0" xfId="0" applyFont="1" applyFill="1" applyAlignment="1" applyProtection="1">
      <alignment horizontal="center" vertical="center"/>
      <protection hidden="1"/>
    </xf>
    <xf numFmtId="49" fontId="65" fillId="42" borderId="4" xfId="0" applyNumberFormat="1" applyFont="1" applyFill="1" applyBorder="1" applyAlignment="1" applyProtection="1">
      <alignment horizontal="left" vertical="center" wrapText="1"/>
      <protection locked="0"/>
    </xf>
    <xf numFmtId="49" fontId="65" fillId="42" borderId="4" xfId="1577" applyNumberFormat="1" applyFont="1" applyFill="1" applyBorder="1" applyAlignment="1" applyProtection="1">
      <alignment horizontal="left" vertical="center"/>
      <protection locked="0" hidden="1"/>
    </xf>
    <xf numFmtId="14" fontId="65" fillId="42" borderId="4" xfId="0" applyNumberFormat="1" applyFont="1" applyFill="1" applyBorder="1" applyAlignment="1" applyProtection="1">
      <alignment horizontal="center" vertical="center"/>
      <protection locked="0"/>
    </xf>
    <xf numFmtId="49" fontId="65" fillId="42" borderId="4" xfId="0" applyNumberFormat="1" applyFont="1" applyFill="1" applyBorder="1" applyAlignment="1">
      <alignment horizontal="left" vertical="center" wrapText="1"/>
    </xf>
    <xf numFmtId="0" fontId="71" fillId="0" borderId="0" xfId="0" applyFont="1" applyAlignment="1">
      <alignment wrapText="1"/>
    </xf>
    <xf numFmtId="49" fontId="65" fillId="42" borderId="4" xfId="0" applyNumberFormat="1" applyFont="1" applyFill="1" applyBorder="1" applyAlignment="1">
      <alignment horizontal="center" vertical="center" wrapText="1"/>
    </xf>
    <xf numFmtId="14" fontId="65" fillId="42" borderId="4" xfId="0" applyNumberFormat="1" applyFont="1" applyFill="1" applyBorder="1" applyAlignment="1" applyProtection="1">
      <alignment horizontal="center" vertical="center" wrapText="1"/>
      <protection locked="0"/>
    </xf>
    <xf numFmtId="0" fontId="65" fillId="35" borderId="4" xfId="0" applyFont="1" applyFill="1" applyBorder="1" applyAlignment="1">
      <alignment horizontal="center" vertical="center"/>
    </xf>
    <xf numFmtId="0" fontId="16" fillId="5" borderId="5" xfId="1602" applyFont="1" applyFill="1" applyBorder="1" applyAlignment="1" applyProtection="1">
      <alignment horizontal="center" vertical="center"/>
      <protection hidden="1"/>
    </xf>
    <xf numFmtId="0" fontId="16" fillId="0" borderId="6" xfId="1602" applyFont="1" applyBorder="1" applyAlignment="1" applyProtection="1">
      <alignment horizontal="center" vertical="center"/>
      <protection hidden="1"/>
    </xf>
    <xf numFmtId="0" fontId="16" fillId="0" borderId="4" xfId="1602" applyFont="1" applyBorder="1" applyAlignment="1" applyProtection="1">
      <alignment horizontal="center" vertical="center"/>
      <protection locked="0"/>
    </xf>
    <xf numFmtId="0" fontId="16" fillId="0" borderId="7" xfId="1602" applyFont="1" applyBorder="1" applyAlignment="1" applyProtection="1">
      <alignment horizontal="center" vertical="center"/>
      <protection locked="0"/>
    </xf>
    <xf numFmtId="0" fontId="15" fillId="4" borderId="0" xfId="0" applyFont="1" applyFill="1" applyAlignment="1" applyProtection="1">
      <alignment horizontal="center" vertical="center"/>
      <protection locked="0"/>
    </xf>
    <xf numFmtId="20" fontId="16" fillId="0" borderId="6" xfId="1602" applyNumberFormat="1" applyFont="1" applyBorder="1" applyAlignment="1" applyProtection="1">
      <alignment horizontal="center" vertical="center"/>
      <protection locked="0"/>
    </xf>
    <xf numFmtId="20" fontId="16" fillId="0" borderId="4" xfId="1602" applyNumberFormat="1" applyFont="1" applyBorder="1" applyAlignment="1" applyProtection="1">
      <alignment horizontal="center" vertical="center"/>
      <protection locked="0"/>
    </xf>
    <xf numFmtId="20" fontId="16" fillId="0" borderId="7" xfId="1602" applyNumberFormat="1" applyFont="1" applyBorder="1" applyAlignment="1" applyProtection="1">
      <alignment horizontal="center" vertical="center"/>
      <protection locked="0"/>
    </xf>
    <xf numFmtId="0" fontId="16" fillId="44" borderId="4" xfId="1602" applyFont="1" applyFill="1" applyBorder="1" applyAlignment="1" applyProtection="1">
      <alignment horizontal="center" vertical="center"/>
      <protection hidden="1"/>
    </xf>
    <xf numFmtId="0" fontId="16" fillId="44" borderId="7" xfId="1602" applyFont="1" applyFill="1" applyBorder="1" applyAlignment="1" applyProtection="1">
      <alignment horizontal="center" vertical="center"/>
      <protection hidden="1"/>
    </xf>
    <xf numFmtId="0" fontId="51" fillId="0" borderId="4" xfId="3162" applyFont="1" applyBorder="1" applyAlignment="1">
      <alignment horizontal="left" vertical="center" wrapText="1"/>
    </xf>
    <xf numFmtId="0" fontId="0" fillId="0" borderId="4" xfId="0" applyBorder="1" applyAlignment="1" applyProtection="1">
      <alignment horizontal="center" vertical="center"/>
      <protection locked="0"/>
    </xf>
    <xf numFmtId="0" fontId="52" fillId="0" borderId="4" xfId="0" applyFont="1" applyBorder="1" applyAlignment="1" applyProtection="1">
      <alignment horizontal="center" vertical="center"/>
      <protection locked="0"/>
    </xf>
    <xf numFmtId="14" fontId="65" fillId="42" borderId="4" xfId="0" applyNumberFormat="1" applyFont="1" applyFill="1" applyBorder="1" applyAlignment="1">
      <alignment horizontal="center" vertical="center" wrapText="1"/>
    </xf>
    <xf numFmtId="0" fontId="65" fillId="45" borderId="4" xfId="0" applyFont="1" applyFill="1" applyBorder="1" applyAlignment="1" applyProtection="1">
      <alignment horizontal="center" vertical="center"/>
      <protection locked="0" hidden="1"/>
    </xf>
    <xf numFmtId="49" fontId="65" fillId="45" borderId="4" xfId="0" applyNumberFormat="1" applyFont="1" applyFill="1" applyBorder="1" applyAlignment="1" applyProtection="1">
      <alignment horizontal="left" vertical="center"/>
      <protection locked="0"/>
    </xf>
    <xf numFmtId="49" fontId="65" fillId="45" borderId="4" xfId="0" applyNumberFormat="1" applyFont="1" applyFill="1" applyBorder="1" applyAlignment="1" applyProtection="1">
      <alignment horizontal="left" vertical="center"/>
      <protection locked="0" hidden="1"/>
    </xf>
    <xf numFmtId="49" fontId="65" fillId="45" borderId="4" xfId="0" applyNumberFormat="1" applyFont="1" applyFill="1" applyBorder="1" applyAlignment="1" applyProtection="1">
      <alignment horizontal="center" vertical="center"/>
      <protection locked="0" hidden="1"/>
    </xf>
    <xf numFmtId="49" fontId="65" fillId="45" borderId="4" xfId="1577" applyNumberFormat="1" applyFont="1" applyFill="1" applyBorder="1" applyAlignment="1" applyProtection="1">
      <alignment horizontal="center" vertical="center"/>
      <protection locked="0" hidden="1"/>
    </xf>
    <xf numFmtId="14" fontId="65" fillId="45" borderId="4" xfId="0" applyNumberFormat="1" applyFont="1" applyFill="1" applyBorder="1" applyAlignment="1" applyProtection="1">
      <alignment horizontal="left" vertical="center"/>
      <protection locked="0" hidden="1"/>
    </xf>
    <xf numFmtId="14" fontId="65" fillId="45" borderId="4" xfId="0" applyNumberFormat="1" applyFont="1" applyFill="1" applyBorder="1" applyAlignment="1" applyProtection="1">
      <alignment horizontal="center" vertical="center"/>
      <protection locked="0"/>
    </xf>
    <xf numFmtId="0" fontId="65" fillId="45" borderId="4" xfId="0" applyFont="1" applyFill="1" applyBorder="1" applyAlignment="1" applyProtection="1">
      <alignment horizontal="center" vertical="center"/>
      <protection hidden="1"/>
    </xf>
    <xf numFmtId="0" fontId="65" fillId="45" borderId="4" xfId="0" applyFont="1" applyFill="1" applyBorder="1" applyAlignment="1" applyProtection="1">
      <alignment horizontal="center" vertical="center"/>
      <protection locked="0"/>
    </xf>
    <xf numFmtId="0" fontId="66" fillId="45" borderId="0" xfId="0" applyFont="1" applyFill="1" applyAlignment="1" applyProtection="1">
      <alignment horizontal="center" vertical="center"/>
      <protection hidden="1"/>
    </xf>
    <xf numFmtId="49" fontId="65" fillId="45" borderId="4" xfId="1577" applyNumberFormat="1" applyFont="1" applyFill="1" applyBorder="1" applyAlignment="1" applyProtection="1">
      <alignment horizontal="left" vertical="center"/>
      <protection locked="0" hidden="1"/>
    </xf>
    <xf numFmtId="49" fontId="65" fillId="45" borderId="4" xfId="0" applyNumberFormat="1" applyFont="1" applyFill="1" applyBorder="1" applyAlignment="1" applyProtection="1">
      <alignment horizontal="left" vertical="center" wrapText="1"/>
      <protection locked="0"/>
    </xf>
    <xf numFmtId="14" fontId="65" fillId="45" borderId="4" xfId="0" applyNumberFormat="1" applyFont="1" applyFill="1" applyBorder="1" applyAlignment="1" applyProtection="1">
      <alignment horizontal="center" vertical="center" wrapText="1"/>
      <protection locked="0"/>
    </xf>
    <xf numFmtId="0" fontId="65" fillId="46" borderId="4" xfId="0" applyFont="1" applyFill="1" applyBorder="1" applyAlignment="1" applyProtection="1">
      <alignment horizontal="center" vertical="center"/>
      <protection locked="0" hidden="1"/>
    </xf>
    <xf numFmtId="49" fontId="65" fillId="46" borderId="4" xfId="0" applyNumberFormat="1" applyFont="1" applyFill="1" applyBorder="1" applyAlignment="1" applyProtection="1">
      <alignment horizontal="left" vertical="center"/>
      <protection locked="0"/>
    </xf>
    <xf numFmtId="49" fontId="65" fillId="46" borderId="4" xfId="0" applyNumberFormat="1" applyFont="1" applyFill="1" applyBorder="1" applyAlignment="1" applyProtection="1">
      <alignment horizontal="left" vertical="center"/>
      <protection locked="0" hidden="1"/>
    </xf>
    <xf numFmtId="49" fontId="65" fillId="46" borderId="4" xfId="0" applyNumberFormat="1" applyFont="1" applyFill="1" applyBorder="1" applyAlignment="1" applyProtection="1">
      <alignment horizontal="center" vertical="center"/>
      <protection locked="0" hidden="1"/>
    </xf>
    <xf numFmtId="49" fontId="65" fillId="46" borderId="4" xfId="1577" applyNumberFormat="1" applyFont="1" applyFill="1" applyBorder="1" applyAlignment="1" applyProtection="1">
      <alignment horizontal="center" vertical="center"/>
      <protection locked="0" hidden="1"/>
    </xf>
    <xf numFmtId="14" fontId="65" fillId="46" borderId="4" xfId="0" applyNumberFormat="1" applyFont="1" applyFill="1" applyBorder="1" applyAlignment="1" applyProtection="1">
      <alignment horizontal="center" vertical="center"/>
      <protection locked="0"/>
    </xf>
    <xf numFmtId="0" fontId="65" fillId="46" borderId="4" xfId="0" applyFont="1" applyFill="1" applyBorder="1" applyAlignment="1" applyProtection="1">
      <alignment horizontal="center" vertical="center"/>
      <protection hidden="1"/>
    </xf>
    <xf numFmtId="0" fontId="65" fillId="46" borderId="4" xfId="0" applyFont="1" applyFill="1" applyBorder="1" applyAlignment="1" applyProtection="1">
      <alignment horizontal="center" vertical="center"/>
      <protection locked="0"/>
    </xf>
    <xf numFmtId="0" fontId="66" fillId="46" borderId="0" xfId="0" applyFont="1" applyFill="1" applyAlignment="1" applyProtection="1">
      <alignment horizontal="center" vertical="center"/>
      <protection hidden="1"/>
    </xf>
    <xf numFmtId="14" fontId="65" fillId="46" borderId="4" xfId="0" applyNumberFormat="1" applyFont="1" applyFill="1" applyBorder="1" applyAlignment="1" applyProtection="1">
      <alignment horizontal="left" vertical="center"/>
      <protection locked="0" hidden="1"/>
    </xf>
    <xf numFmtId="49" fontId="65" fillId="46" borderId="4" xfId="1577" applyNumberFormat="1" applyFont="1" applyFill="1" applyBorder="1" applyAlignment="1" applyProtection="1">
      <alignment horizontal="left" vertical="center"/>
      <protection locked="0" hidden="1"/>
    </xf>
    <xf numFmtId="49" fontId="65" fillId="46" borderId="4" xfId="0" applyNumberFormat="1" applyFont="1" applyFill="1" applyBorder="1" applyAlignment="1" applyProtection="1">
      <alignment horizontal="left" vertical="center" wrapText="1"/>
      <protection locked="0"/>
    </xf>
    <xf numFmtId="14" fontId="65" fillId="46" borderId="4" xfId="0" applyNumberFormat="1" applyFont="1" applyFill="1" applyBorder="1" applyAlignment="1" applyProtection="1">
      <alignment horizontal="center" vertical="center" wrapText="1"/>
      <protection locked="0"/>
    </xf>
    <xf numFmtId="0" fontId="76" fillId="47" borderId="4" xfId="0" applyFont="1" applyFill="1" applyBorder="1" applyAlignment="1" applyProtection="1">
      <alignment horizontal="center" vertical="center"/>
      <protection locked="0" hidden="1"/>
    </xf>
    <xf numFmtId="49" fontId="76" fillId="47" borderId="4" xfId="0" applyNumberFormat="1" applyFont="1" applyFill="1" applyBorder="1" applyAlignment="1" applyProtection="1">
      <alignment horizontal="left" vertical="center"/>
      <protection locked="0"/>
    </xf>
    <xf numFmtId="49" fontId="76" fillId="47" borderId="4" xfId="0" applyNumberFormat="1" applyFont="1" applyFill="1" applyBorder="1" applyAlignment="1" applyProtection="1">
      <alignment horizontal="left" vertical="center"/>
      <protection locked="0" hidden="1"/>
    </xf>
    <xf numFmtId="49" fontId="76" fillId="47" borderId="4" xfId="0" applyNumberFormat="1" applyFont="1" applyFill="1" applyBorder="1" applyAlignment="1" applyProtection="1">
      <alignment horizontal="center" vertical="center"/>
      <protection locked="0" hidden="1"/>
    </xf>
    <xf numFmtId="49" fontId="76" fillId="47" borderId="4" xfId="1577" applyNumberFormat="1" applyFont="1" applyFill="1" applyBorder="1" applyAlignment="1" applyProtection="1">
      <alignment horizontal="center" vertical="center"/>
      <protection locked="0" hidden="1"/>
    </xf>
    <xf numFmtId="14" fontId="76" fillId="47" borderId="4" xfId="0" applyNumberFormat="1" applyFont="1" applyFill="1" applyBorder="1" applyAlignment="1" applyProtection="1">
      <alignment horizontal="left" vertical="center"/>
      <protection locked="0" hidden="1"/>
    </xf>
    <xf numFmtId="14" fontId="76" fillId="47" borderId="4" xfId="0" applyNumberFormat="1" applyFont="1" applyFill="1" applyBorder="1" applyAlignment="1" applyProtection="1">
      <alignment horizontal="center" vertical="center"/>
      <protection locked="0"/>
    </xf>
    <xf numFmtId="0" fontId="76" fillId="47" borderId="4" xfId="0" applyFont="1" applyFill="1" applyBorder="1" applyAlignment="1" applyProtection="1">
      <alignment horizontal="center" vertical="center"/>
      <protection hidden="1"/>
    </xf>
    <xf numFmtId="0" fontId="76" fillId="47" borderId="4" xfId="0" applyFont="1" applyFill="1" applyBorder="1" applyAlignment="1" applyProtection="1">
      <alignment horizontal="center" vertical="center"/>
      <protection locked="0"/>
    </xf>
    <xf numFmtId="0" fontId="77" fillId="47" borderId="0" xfId="0" applyFont="1" applyFill="1" applyAlignment="1" applyProtection="1">
      <alignment horizontal="center" vertical="center"/>
      <protection hidden="1"/>
    </xf>
    <xf numFmtId="49" fontId="76" fillId="47" borderId="4" xfId="1577" applyNumberFormat="1" applyFont="1" applyFill="1" applyBorder="1" applyAlignment="1" applyProtection="1">
      <alignment horizontal="left" vertical="center"/>
      <protection locked="0" hidden="1"/>
    </xf>
    <xf numFmtId="49" fontId="76" fillId="47" borderId="4" xfId="0" applyNumberFormat="1" applyFont="1" applyFill="1" applyBorder="1" applyAlignment="1" applyProtection="1">
      <alignment horizontal="left" vertical="center" wrapText="1"/>
      <protection locked="0"/>
    </xf>
    <xf numFmtId="14" fontId="76" fillId="47" borderId="4" xfId="0" applyNumberFormat="1" applyFont="1" applyFill="1" applyBorder="1" applyAlignment="1" applyProtection="1">
      <alignment horizontal="center" vertical="center" wrapText="1"/>
      <protection locked="0"/>
    </xf>
    <xf numFmtId="0" fontId="65" fillId="48" borderId="4" xfId="0" applyFont="1" applyFill="1" applyBorder="1" applyAlignment="1" applyProtection="1">
      <alignment horizontal="center" vertical="center"/>
      <protection locked="0" hidden="1"/>
    </xf>
    <xf numFmtId="49" fontId="65" fillId="48" borderId="4" xfId="0" applyNumberFormat="1" applyFont="1" applyFill="1" applyBorder="1" applyAlignment="1" applyProtection="1">
      <alignment horizontal="left" vertical="center"/>
      <protection locked="0"/>
    </xf>
    <xf numFmtId="49" fontId="65" fillId="48" borderId="4" xfId="0" applyNumberFormat="1" applyFont="1" applyFill="1" applyBorder="1" applyAlignment="1" applyProtection="1">
      <alignment horizontal="left" vertical="center"/>
      <protection locked="0" hidden="1"/>
    </xf>
    <xf numFmtId="49" fontId="65" fillId="48" borderId="4" xfId="0" applyNumberFormat="1" applyFont="1" applyFill="1" applyBorder="1" applyAlignment="1" applyProtection="1">
      <alignment horizontal="center" vertical="center"/>
      <protection locked="0" hidden="1"/>
    </xf>
    <xf numFmtId="49" fontId="65" fillId="48" borderId="4" xfId="1577" applyNumberFormat="1" applyFont="1" applyFill="1" applyBorder="1" applyAlignment="1" applyProtection="1">
      <alignment horizontal="center" vertical="center"/>
      <protection locked="0" hidden="1"/>
    </xf>
    <xf numFmtId="14" fontId="65" fillId="48" borderId="4" xfId="0" applyNumberFormat="1" applyFont="1" applyFill="1" applyBorder="1" applyAlignment="1" applyProtection="1">
      <alignment horizontal="left" vertical="center"/>
      <protection locked="0" hidden="1"/>
    </xf>
    <xf numFmtId="14" fontId="65" fillId="48" borderId="4" xfId="0" applyNumberFormat="1" applyFont="1" applyFill="1" applyBorder="1" applyAlignment="1" applyProtection="1">
      <alignment horizontal="center" vertical="center"/>
      <protection locked="0"/>
    </xf>
    <xf numFmtId="0" fontId="65" fillId="48" borderId="4" xfId="0" applyFont="1" applyFill="1" applyBorder="1" applyAlignment="1" applyProtection="1">
      <alignment horizontal="center" vertical="center"/>
      <protection hidden="1"/>
    </xf>
    <xf numFmtId="0" fontId="65" fillId="48" borderId="4" xfId="0" applyFont="1" applyFill="1" applyBorder="1" applyAlignment="1" applyProtection="1">
      <alignment horizontal="center" vertical="center"/>
      <protection locked="0"/>
    </xf>
    <xf numFmtId="0" fontId="66" fillId="48" borderId="0" xfId="0" applyFont="1" applyFill="1" applyAlignment="1" applyProtection="1">
      <alignment horizontal="center" vertical="center"/>
      <protection hidden="1"/>
    </xf>
    <xf numFmtId="49" fontId="65" fillId="48" borderId="4" xfId="1577" applyNumberFormat="1" applyFont="1" applyFill="1" applyBorder="1" applyAlignment="1" applyProtection="1">
      <alignment horizontal="left" vertical="center"/>
      <protection locked="0" hidden="1"/>
    </xf>
    <xf numFmtId="49" fontId="65" fillId="48" borderId="4" xfId="0" applyNumberFormat="1" applyFont="1" applyFill="1" applyBorder="1" applyAlignment="1" applyProtection="1">
      <alignment horizontal="left" vertical="center" wrapText="1"/>
      <protection locked="0"/>
    </xf>
    <xf numFmtId="49" fontId="65" fillId="45" borderId="4" xfId="0" applyNumberFormat="1" applyFont="1" applyFill="1" applyBorder="1" applyAlignment="1">
      <alignment horizontal="left" vertical="center" wrapText="1"/>
    </xf>
    <xf numFmtId="49" fontId="76" fillId="47" borderId="4" xfId="0" applyNumberFormat="1" applyFont="1" applyFill="1" applyBorder="1" applyAlignment="1">
      <alignment horizontal="left" vertical="center" wrapText="1"/>
    </xf>
    <xf numFmtId="49" fontId="65" fillId="48" borderId="4" xfId="0" applyNumberFormat="1" applyFont="1" applyFill="1" applyBorder="1" applyAlignment="1">
      <alignment horizontal="left" vertical="center" wrapText="1"/>
    </xf>
    <xf numFmtId="49" fontId="65" fillId="46" borderId="4" xfId="0" applyNumberFormat="1" applyFont="1" applyFill="1" applyBorder="1" applyAlignment="1">
      <alignment horizontal="left" vertical="center" wrapText="1"/>
    </xf>
    <xf numFmtId="49" fontId="65" fillId="46" borderId="4" xfId="0" applyNumberFormat="1" applyFont="1" applyFill="1" applyBorder="1" applyAlignment="1">
      <alignment horizontal="center" vertical="center" wrapText="1"/>
    </xf>
    <xf numFmtId="14" fontId="65" fillId="46" borderId="4" xfId="0" applyNumberFormat="1" applyFont="1" applyFill="1" applyBorder="1" applyAlignment="1">
      <alignment horizontal="center" vertical="center" wrapText="1"/>
    </xf>
    <xf numFmtId="14" fontId="65" fillId="45" borderId="4" xfId="0" applyNumberFormat="1" applyFont="1" applyFill="1" applyBorder="1" applyAlignment="1">
      <alignment horizontal="center" vertical="center" wrapText="1"/>
    </xf>
    <xf numFmtId="14" fontId="65" fillId="48" borderId="4" xfId="0" applyNumberFormat="1" applyFont="1" applyFill="1" applyBorder="1" applyAlignment="1">
      <alignment horizontal="center" vertical="center" wrapText="1"/>
    </xf>
    <xf numFmtId="14" fontId="76" fillId="47" borderId="4" xfId="0" applyNumberFormat="1" applyFont="1" applyFill="1" applyBorder="1" applyAlignment="1">
      <alignment horizontal="center" vertical="center" wrapText="1"/>
    </xf>
    <xf numFmtId="20" fontId="78" fillId="16" borderId="4" xfId="0" applyNumberFormat="1" applyFont="1" applyFill="1" applyBorder="1" applyAlignment="1">
      <alignment horizontal="center" vertical="center" wrapText="1"/>
    </xf>
    <xf numFmtId="0" fontId="78" fillId="16" borderId="4" xfId="0" applyFont="1" applyFill="1" applyBorder="1" applyAlignment="1">
      <alignment horizontal="left" vertical="center" wrapText="1"/>
    </xf>
    <xf numFmtId="0" fontId="78" fillId="16" borderId="4" xfId="1584" applyFont="1" applyFill="1" applyBorder="1" applyAlignment="1">
      <alignment horizontal="center" vertical="center" wrapText="1"/>
    </xf>
    <xf numFmtId="49" fontId="65" fillId="45" borderId="4" xfId="0" applyNumberFormat="1" applyFont="1" applyFill="1" applyBorder="1" applyAlignment="1">
      <alignment horizontal="center" vertical="center" wrapText="1"/>
    </xf>
    <xf numFmtId="49" fontId="76" fillId="47" borderId="4" xfId="0" applyNumberFormat="1" applyFont="1" applyFill="1" applyBorder="1" applyAlignment="1">
      <alignment horizontal="center" vertical="center" wrapText="1"/>
    </xf>
    <xf numFmtId="49" fontId="65" fillId="48" borderId="4" xfId="0" applyNumberFormat="1" applyFont="1" applyFill="1" applyBorder="1" applyAlignment="1">
      <alignment horizontal="center" vertical="center" wrapText="1"/>
    </xf>
    <xf numFmtId="14" fontId="0" fillId="0" borderId="0" xfId="0" applyNumberFormat="1" applyAlignment="1">
      <alignment wrapText="1"/>
    </xf>
    <xf numFmtId="0" fontId="0" fillId="0" borderId="0" xfId="0" applyAlignment="1">
      <alignment wrapText="1"/>
    </xf>
    <xf numFmtId="0" fontId="3" fillId="20" borderId="0" xfId="0" applyFont="1" applyFill="1" applyAlignment="1" applyProtection="1">
      <alignment vertical="center" wrapText="1"/>
      <protection hidden="1"/>
    </xf>
    <xf numFmtId="0" fontId="41" fillId="20" borderId="0" xfId="0" applyFont="1" applyFill="1" applyAlignment="1" applyProtection="1">
      <alignment horizontal="left" vertical="center"/>
      <protection hidden="1"/>
    </xf>
    <xf numFmtId="0" fontId="79" fillId="44" borderId="4" xfId="1602" applyFont="1" applyFill="1" applyBorder="1" applyAlignment="1" applyProtection="1">
      <alignment horizontal="center" vertical="center"/>
      <protection hidden="1"/>
    </xf>
    <xf numFmtId="1" fontId="79" fillId="0" borderId="4" xfId="1602" applyNumberFormat="1" applyFont="1" applyBorder="1" applyAlignment="1" applyProtection="1">
      <alignment horizontal="center" vertical="center"/>
      <protection hidden="1"/>
    </xf>
    <xf numFmtId="0" fontId="79" fillId="44" borderId="7" xfId="1602" applyFont="1" applyFill="1" applyBorder="1" applyAlignment="1" applyProtection="1">
      <alignment horizontal="center" vertical="center"/>
      <protection hidden="1"/>
    </xf>
    <xf numFmtId="1" fontId="79" fillId="0" borderId="7" xfId="1602" applyNumberFormat="1" applyFont="1" applyBorder="1" applyAlignment="1" applyProtection="1">
      <alignment horizontal="center" vertical="center"/>
      <protection hidden="1"/>
    </xf>
    <xf numFmtId="0" fontId="51" fillId="0" borderId="2" xfId="3162" applyFont="1" applyBorder="1" applyAlignment="1">
      <alignment horizontal="center" vertical="center" wrapText="1"/>
    </xf>
    <xf numFmtId="0" fontId="51" fillId="0" borderId="10" xfId="3162" applyFont="1" applyBorder="1" applyAlignment="1">
      <alignment horizontal="center" vertical="center" wrapText="1"/>
    </xf>
    <xf numFmtId="0" fontId="66" fillId="35" borderId="4" xfId="0" applyFont="1" applyFill="1" applyBorder="1" applyAlignment="1">
      <alignment horizontal="center" vertical="center"/>
    </xf>
    <xf numFmtId="0" fontId="73" fillId="0" borderId="0" xfId="0" applyFont="1" applyAlignment="1">
      <alignment horizontal="center" vertical="center"/>
    </xf>
    <xf numFmtId="0" fontId="73" fillId="0" borderId="0" xfId="0" applyFont="1" applyAlignment="1">
      <alignment horizontal="left" vertical="center"/>
    </xf>
    <xf numFmtId="0" fontId="73" fillId="0" borderId="0" xfId="0" applyFont="1"/>
    <xf numFmtId="14" fontId="73" fillId="0" borderId="4" xfId="0" applyNumberFormat="1" applyFont="1" applyBorder="1" applyAlignment="1">
      <alignment horizontal="center" vertical="center"/>
    </xf>
    <xf numFmtId="0" fontId="41" fillId="43" borderId="4" xfId="0" applyFont="1" applyFill="1" applyBorder="1" applyAlignment="1">
      <alignment horizontal="center" vertical="center"/>
    </xf>
    <xf numFmtId="0" fontId="16" fillId="11" borderId="4" xfId="0" applyFont="1" applyFill="1" applyBorder="1" applyAlignment="1">
      <alignment horizontal="center" vertical="center"/>
    </xf>
    <xf numFmtId="0" fontId="16" fillId="11" borderId="4" xfId="0" applyFont="1" applyFill="1" applyBorder="1" applyAlignment="1">
      <alignment horizontal="left" vertical="center"/>
    </xf>
    <xf numFmtId="0" fontId="73" fillId="0" borderId="4" xfId="0" applyFont="1" applyBorder="1" applyAlignment="1">
      <alignment horizontal="center" vertical="center"/>
    </xf>
    <xf numFmtId="0" fontId="73" fillId="0" borderId="4" xfId="0" applyFont="1" applyBorder="1" applyAlignment="1">
      <alignment horizontal="left" vertical="center"/>
    </xf>
    <xf numFmtId="0" fontId="66" fillId="35" borderId="0" xfId="0" applyFont="1" applyFill="1"/>
    <xf numFmtId="0" fontId="66" fillId="35" borderId="0" xfId="0" applyFont="1" applyFill="1" applyAlignment="1">
      <alignment horizontal="center" vertical="center"/>
    </xf>
    <xf numFmtId="0" fontId="16" fillId="5" borderId="0" xfId="1602" applyFont="1" applyFill="1" applyAlignment="1" applyProtection="1">
      <alignment vertical="center"/>
      <protection locked="0"/>
    </xf>
    <xf numFmtId="20" fontId="39" fillId="0" borderId="4" xfId="1602" applyNumberFormat="1" applyFont="1" applyBorder="1" applyAlignment="1" applyProtection="1">
      <alignment vertical="center" wrapText="1"/>
      <protection locked="0"/>
    </xf>
    <xf numFmtId="1" fontId="39" fillId="0" borderId="4" xfId="1602" applyNumberFormat="1" applyFont="1" applyBorder="1" applyAlignment="1" applyProtection="1">
      <alignment vertical="center" wrapText="1"/>
      <protection locked="0"/>
    </xf>
    <xf numFmtId="0" fontId="39" fillId="0" borderId="4" xfId="1602" applyFont="1" applyBorder="1" applyAlignment="1" applyProtection="1">
      <alignment vertical="center" wrapText="1"/>
      <protection locked="0"/>
    </xf>
    <xf numFmtId="0" fontId="39" fillId="0" borderId="7" xfId="1602" applyFont="1" applyBorder="1" applyAlignment="1" applyProtection="1">
      <alignment vertical="center" wrapText="1"/>
      <protection locked="0"/>
    </xf>
    <xf numFmtId="0" fontId="12" fillId="28" borderId="4" xfId="0" applyFont="1" applyFill="1" applyBorder="1" applyAlignment="1" applyProtection="1">
      <alignment horizontal="center"/>
      <protection locked="0"/>
    </xf>
    <xf numFmtId="0" fontId="12" fillId="0" borderId="4" xfId="0" applyFont="1" applyBorder="1" applyAlignment="1" applyProtection="1">
      <alignment horizontal="center"/>
      <protection locked="0"/>
    </xf>
    <xf numFmtId="0" fontId="12" fillId="0" borderId="4" xfId="0" applyFont="1" applyBorder="1" applyAlignment="1" applyProtection="1">
      <alignment horizontal="center"/>
      <protection locked="0" hidden="1"/>
    </xf>
    <xf numFmtId="0" fontId="65" fillId="45" borderId="4" xfId="0" applyFont="1" applyFill="1" applyBorder="1" applyAlignment="1">
      <alignment horizontal="left" vertical="center" wrapText="1"/>
    </xf>
    <xf numFmtId="0" fontId="65" fillId="45" borderId="4" xfId="0" applyFont="1" applyFill="1" applyBorder="1" applyAlignment="1">
      <alignment vertical="center" wrapText="1"/>
    </xf>
    <xf numFmtId="0" fontId="65" fillId="46" borderId="4" xfId="0" applyFont="1" applyFill="1" applyBorder="1" applyAlignment="1">
      <alignment vertical="center" wrapText="1"/>
    </xf>
    <xf numFmtId="0" fontId="76" fillId="47" borderId="4" xfId="0" applyFont="1" applyFill="1" applyBorder="1" applyAlignment="1">
      <alignment vertical="center" wrapText="1"/>
    </xf>
    <xf numFmtId="0" fontId="65" fillId="48" borderId="4" xfId="0" applyFont="1" applyFill="1" applyBorder="1" applyAlignment="1">
      <alignment vertical="center" wrapText="1"/>
    </xf>
    <xf numFmtId="0" fontId="65" fillId="42" borderId="4" xfId="0" applyFont="1" applyFill="1" applyBorder="1" applyAlignment="1">
      <alignment vertical="center" wrapText="1"/>
    </xf>
    <xf numFmtId="0" fontId="65" fillId="42" borderId="4" xfId="0" applyFont="1" applyFill="1" applyBorder="1" applyAlignment="1">
      <alignment horizontal="left" vertical="center" wrapText="1"/>
    </xf>
    <xf numFmtId="0" fontId="76" fillId="47" borderId="4" xfId="0" applyFont="1" applyFill="1" applyBorder="1" applyAlignment="1">
      <alignment horizontal="left" vertical="center" wrapText="1"/>
    </xf>
    <xf numFmtId="0" fontId="65" fillId="48" borderId="4" xfId="0" applyFont="1" applyFill="1" applyBorder="1" applyAlignment="1">
      <alignment horizontal="left" vertical="center" wrapText="1"/>
    </xf>
    <xf numFmtId="0" fontId="65" fillId="46" borderId="4" xfId="0" applyFont="1" applyFill="1" applyBorder="1" applyAlignment="1">
      <alignment horizontal="left" vertical="center" wrapText="1"/>
    </xf>
    <xf numFmtId="0" fontId="41" fillId="14" borderId="11" xfId="0" applyFont="1" applyFill="1" applyBorder="1" applyAlignment="1" applyProtection="1">
      <alignment horizontal="center" vertical="center" wrapText="1"/>
      <protection hidden="1"/>
    </xf>
    <xf numFmtId="0" fontId="41" fillId="14" borderId="6" xfId="0" applyFont="1" applyFill="1" applyBorder="1" applyAlignment="1" applyProtection="1">
      <alignment horizontal="center" vertical="center" wrapText="1"/>
      <protection hidden="1"/>
    </xf>
    <xf numFmtId="0" fontId="41" fillId="14" borderId="6" xfId="0" applyFont="1" applyFill="1" applyBorder="1" applyAlignment="1" applyProtection="1">
      <alignment horizontal="left" vertical="center" wrapText="1"/>
      <protection hidden="1"/>
    </xf>
    <xf numFmtId="0" fontId="65" fillId="35" borderId="1" xfId="0" applyFont="1" applyFill="1" applyBorder="1" applyAlignment="1">
      <alignment horizontal="center" vertical="center"/>
    </xf>
    <xf numFmtId="1" fontId="39" fillId="0" borderId="7" xfId="1602" applyNumberFormat="1" applyFont="1" applyBorder="1" applyAlignment="1" applyProtection="1">
      <alignment vertical="center" wrapText="1"/>
      <protection locked="0"/>
    </xf>
    <xf numFmtId="14" fontId="39" fillId="0" borderId="4" xfId="1602" applyNumberFormat="1" applyFont="1" applyBorder="1" applyAlignment="1" applyProtection="1">
      <alignment vertical="center" wrapText="1"/>
      <protection locked="0"/>
    </xf>
    <xf numFmtId="0" fontId="81" fillId="0" borderId="0" xfId="0" applyFont="1" applyAlignment="1">
      <alignment horizontal="right" vertical="center"/>
    </xf>
    <xf numFmtId="0" fontId="82" fillId="0" borderId="0" xfId="0" applyFont="1" applyAlignment="1">
      <alignment horizontal="center" vertical="center"/>
    </xf>
    <xf numFmtId="0" fontId="84" fillId="0" borderId="0" xfId="0" applyFont="1" applyAlignment="1">
      <alignment horizontal="center" vertical="center"/>
    </xf>
    <xf numFmtId="0" fontId="68" fillId="0" borderId="0" xfId="3161" applyFont="1" applyAlignment="1">
      <alignment horizontal="left" vertical="center" wrapText="1"/>
    </xf>
    <xf numFmtId="0" fontId="69" fillId="0" borderId="0" xfId="3161" applyFont="1" applyAlignment="1">
      <alignment horizontal="left" vertical="center" wrapText="1"/>
    </xf>
    <xf numFmtId="0" fontId="85" fillId="9" borderId="4" xfId="3161" applyFont="1" applyFill="1" applyBorder="1" applyAlignment="1">
      <alignment horizontal="center" vertical="center" wrapText="1"/>
    </xf>
    <xf numFmtId="0" fontId="85" fillId="0" borderId="4" xfId="3161" applyFont="1" applyBorder="1" applyAlignment="1">
      <alignment horizontal="center" vertical="center" wrapText="1"/>
    </xf>
    <xf numFmtId="0" fontId="85" fillId="0" borderId="4" xfId="3161" applyFont="1" applyBorder="1" applyAlignment="1">
      <alignment horizontal="center" vertical="center"/>
    </xf>
    <xf numFmtId="0" fontId="67" fillId="17" borderId="2" xfId="3161" applyFont="1" applyFill="1" applyBorder="1" applyAlignment="1">
      <alignment horizontal="center" vertical="center"/>
    </xf>
    <xf numFmtId="0" fontId="67" fillId="17" borderId="6" xfId="3161" applyFont="1" applyFill="1" applyBorder="1" applyAlignment="1">
      <alignment horizontal="center" vertical="center"/>
    </xf>
    <xf numFmtId="0" fontId="90" fillId="0" borderId="4" xfId="3161" applyFont="1" applyBorder="1" applyAlignment="1">
      <alignment horizontal="center" vertical="center"/>
    </xf>
    <xf numFmtId="20" fontId="68" fillId="0" borderId="0" xfId="3161" applyNumberFormat="1" applyFont="1" applyAlignment="1">
      <alignment horizontal="left" vertical="center"/>
    </xf>
    <xf numFmtId="0" fontId="90" fillId="9" borderId="4" xfId="3161" applyFont="1" applyFill="1" applyBorder="1" applyAlignment="1">
      <alignment horizontal="center" vertical="center"/>
    </xf>
    <xf numFmtId="171" fontId="76" fillId="47" borderId="4" xfId="0" applyNumberFormat="1" applyFont="1" applyFill="1" applyBorder="1" applyAlignment="1" applyProtection="1">
      <alignment horizontal="left" vertical="center"/>
      <protection locked="0" hidden="1"/>
    </xf>
    <xf numFmtId="0" fontId="77" fillId="47" borderId="4" xfId="0" applyFont="1" applyFill="1" applyBorder="1" applyAlignment="1" applyProtection="1">
      <alignment horizontal="center" vertical="center"/>
      <protection hidden="1"/>
    </xf>
    <xf numFmtId="0" fontId="66" fillId="42" borderId="4" xfId="0" applyFont="1" applyFill="1" applyBorder="1" applyAlignment="1" applyProtection="1">
      <alignment horizontal="center" vertical="center"/>
      <protection hidden="1"/>
    </xf>
    <xf numFmtId="0" fontId="65" fillId="46" borderId="7" xfId="0" applyFont="1" applyFill="1" applyBorder="1" applyAlignment="1">
      <alignment horizontal="left" vertical="center" wrapText="1"/>
    </xf>
    <xf numFmtId="49" fontId="65" fillId="46" borderId="7" xfId="0" applyNumberFormat="1" applyFont="1" applyFill="1" applyBorder="1" applyAlignment="1">
      <alignment horizontal="left" vertical="center" wrapText="1"/>
    </xf>
    <xf numFmtId="49" fontId="65" fillId="46" borderId="7" xfId="0" applyNumberFormat="1" applyFont="1" applyFill="1" applyBorder="1" applyAlignment="1">
      <alignment horizontal="center" vertical="center" wrapText="1"/>
    </xf>
    <xf numFmtId="14" fontId="65" fillId="46" borderId="7" xfId="0" applyNumberFormat="1" applyFont="1" applyFill="1" applyBorder="1" applyAlignment="1">
      <alignment horizontal="center" vertical="center" wrapText="1"/>
    </xf>
    <xf numFmtId="0" fontId="69" fillId="0" borderId="0" xfId="0" applyFont="1" applyAlignment="1">
      <alignment wrapText="1"/>
    </xf>
    <xf numFmtId="0" fontId="70" fillId="0" borderId="0" xfId="3161" applyFont="1" applyAlignment="1">
      <alignment vertical="center" wrapText="1"/>
    </xf>
    <xf numFmtId="0" fontId="65" fillId="45" borderId="7" xfId="0" applyFont="1" applyFill="1" applyBorder="1" applyAlignment="1">
      <alignment horizontal="left" vertical="center" wrapText="1"/>
    </xf>
    <xf numFmtId="0" fontId="65" fillId="48" borderId="7" xfId="0" applyFont="1" applyFill="1" applyBorder="1" applyAlignment="1">
      <alignment horizontal="left" vertical="center" wrapText="1"/>
    </xf>
    <xf numFmtId="49" fontId="65" fillId="45" borderId="7" xfId="0" applyNumberFormat="1" applyFont="1" applyFill="1" applyBorder="1" applyAlignment="1">
      <alignment horizontal="left" vertical="center" wrapText="1"/>
    </xf>
    <xf numFmtId="49" fontId="65" fillId="48" borderId="7" xfId="0" applyNumberFormat="1" applyFont="1" applyFill="1" applyBorder="1" applyAlignment="1">
      <alignment horizontal="left" vertical="center" wrapText="1"/>
    </xf>
    <xf numFmtId="49" fontId="65" fillId="45" borderId="7" xfId="0" applyNumberFormat="1" applyFont="1" applyFill="1" applyBorder="1" applyAlignment="1">
      <alignment horizontal="center" vertical="center" wrapText="1"/>
    </xf>
    <xf numFmtId="49" fontId="65" fillId="48" borderId="7" xfId="0" applyNumberFormat="1" applyFont="1" applyFill="1" applyBorder="1" applyAlignment="1">
      <alignment horizontal="center" vertical="center" wrapText="1"/>
    </xf>
    <xf numFmtId="14" fontId="65" fillId="45" borderId="7" xfId="0" applyNumberFormat="1" applyFont="1" applyFill="1" applyBorder="1" applyAlignment="1">
      <alignment horizontal="center" vertical="center" wrapText="1"/>
    </xf>
    <xf numFmtId="14" fontId="65" fillId="48" borderId="7" xfId="0" applyNumberFormat="1" applyFont="1" applyFill="1" applyBorder="1" applyAlignment="1">
      <alignment horizontal="center" vertical="center" wrapText="1"/>
    </xf>
    <xf numFmtId="0" fontId="92" fillId="0" borderId="0" xfId="0" applyFont="1" applyAlignment="1">
      <alignment wrapText="1"/>
    </xf>
    <xf numFmtId="0" fontId="92" fillId="0" borderId="0" xfId="0" applyFont="1"/>
    <xf numFmtId="0" fontId="93" fillId="0" borderId="0" xfId="0" applyFont="1" applyAlignment="1">
      <alignment wrapText="1"/>
    </xf>
    <xf numFmtId="0" fontId="93" fillId="0" borderId="0" xfId="0" applyFont="1" applyAlignment="1">
      <alignment horizontal="center" vertical="top" wrapText="1"/>
    </xf>
    <xf numFmtId="0" fontId="92" fillId="0" borderId="0" xfId="0" applyFont="1" applyAlignment="1">
      <alignment horizontal="center" vertical="top" wrapText="1"/>
    </xf>
    <xf numFmtId="0" fontId="74" fillId="9" borderId="4" xfId="3161" applyFont="1" applyFill="1" applyBorder="1" applyAlignment="1">
      <alignment horizontal="center" vertical="center"/>
    </xf>
    <xf numFmtId="0" fontId="74" fillId="0" borderId="4" xfId="3161" applyFont="1" applyBorder="1" applyAlignment="1">
      <alignment horizontal="center" vertical="center" wrapText="1"/>
    </xf>
    <xf numFmtId="0" fontId="74" fillId="0" borderId="4" xfId="3161" applyFont="1" applyBorder="1" applyAlignment="1">
      <alignment horizontal="left" vertical="center" wrapText="1"/>
    </xf>
    <xf numFmtId="0" fontId="74" fillId="0" borderId="4" xfId="3161" applyFont="1" applyBorder="1" applyAlignment="1">
      <alignment horizontal="center" vertical="center"/>
    </xf>
    <xf numFmtId="20" fontId="81" fillId="0" borderId="4" xfId="3161" applyNumberFormat="1" applyFont="1" applyBorder="1" applyAlignment="1">
      <alignment horizontal="center" vertical="center"/>
    </xf>
    <xf numFmtId="1" fontId="81" fillId="0" borderId="4" xfId="3161" applyNumberFormat="1" applyFont="1" applyBorder="1" applyAlignment="1">
      <alignment horizontal="center" vertical="center"/>
    </xf>
    <xf numFmtId="0" fontId="94" fillId="0" borderId="4" xfId="3161" applyFont="1" applyBorder="1" applyAlignment="1">
      <alignment horizontal="left" vertical="center" wrapText="1"/>
    </xf>
    <xf numFmtId="0" fontId="94" fillId="0" borderId="4" xfId="3161" applyFont="1" applyBorder="1" applyAlignment="1">
      <alignment horizontal="center" vertical="center"/>
    </xf>
    <xf numFmtId="20" fontId="74" fillId="0" borderId="4" xfId="3161" applyNumberFormat="1" applyFont="1" applyBorder="1" applyAlignment="1">
      <alignment horizontal="center" vertical="center"/>
    </xf>
    <xf numFmtId="1" fontId="74" fillId="0" borderId="4" xfId="3161" applyNumberFormat="1" applyFont="1" applyBorder="1" applyAlignment="1">
      <alignment horizontal="center" vertical="center"/>
    </xf>
    <xf numFmtId="0" fontId="81" fillId="0" borderId="4" xfId="3161" applyFont="1" applyBorder="1" applyAlignment="1">
      <alignment horizontal="center" vertical="center" wrapText="1"/>
    </xf>
    <xf numFmtId="0" fontId="81" fillId="0" borderId="4" xfId="3161" applyFont="1" applyBorder="1" applyAlignment="1">
      <alignment horizontal="left" vertical="center" wrapText="1"/>
    </xf>
    <xf numFmtId="0" fontId="81" fillId="0" borderId="4" xfId="3161" applyFont="1" applyBorder="1" applyAlignment="1">
      <alignment horizontal="center" vertical="center"/>
    </xf>
    <xf numFmtId="0" fontId="95" fillId="0" borderId="4" xfId="3161" applyFont="1" applyBorder="1" applyAlignment="1">
      <alignment horizontal="center" vertical="center"/>
    </xf>
    <xf numFmtId="0" fontId="96" fillId="0" borderId="4" xfId="3161" applyFont="1" applyBorder="1" applyAlignment="1">
      <alignment horizontal="center" vertical="center" wrapText="1"/>
    </xf>
    <xf numFmtId="1" fontId="16" fillId="0" borderId="4" xfId="1602" applyNumberFormat="1" applyFont="1" applyBorder="1" applyAlignment="1" applyProtection="1">
      <alignment vertical="center" wrapText="1"/>
      <protection hidden="1"/>
    </xf>
    <xf numFmtId="0" fontId="0" fillId="0" borderId="0" xfId="0" applyAlignment="1" applyProtection="1">
      <alignment horizontal="center" vertical="center"/>
      <protection locked="0"/>
    </xf>
    <xf numFmtId="0" fontId="85" fillId="0" borderId="4" xfId="3161" applyFont="1" applyBorder="1" applyAlignment="1">
      <alignment vertical="center" wrapText="1"/>
    </xf>
    <xf numFmtId="0" fontId="85" fillId="9" borderId="4" xfId="3161" applyFont="1" applyFill="1" applyBorder="1" applyAlignment="1">
      <alignment vertical="center" wrapText="1"/>
    </xf>
    <xf numFmtId="0" fontId="67" fillId="45" borderId="4" xfId="3161" applyFont="1" applyFill="1" applyBorder="1" applyAlignment="1">
      <alignment horizontal="center" vertical="center"/>
    </xf>
    <xf numFmtId="14" fontId="85" fillId="9" borderId="4" xfId="3161" applyNumberFormat="1" applyFont="1" applyFill="1" applyBorder="1" applyAlignment="1">
      <alignment horizontal="center" vertical="center" wrapText="1"/>
    </xf>
    <xf numFmtId="0" fontId="0" fillId="17" borderId="0" xfId="0" applyFill="1" applyAlignment="1">
      <alignment vertical="center"/>
    </xf>
    <xf numFmtId="0" fontId="65" fillId="48" borderId="7" xfId="0" applyFont="1" applyFill="1" applyBorder="1" applyAlignment="1">
      <alignment vertical="center" wrapText="1"/>
    </xf>
    <xf numFmtId="0" fontId="65" fillId="42" borderId="7" xfId="0" applyFont="1" applyFill="1" applyBorder="1" applyAlignment="1">
      <alignment horizontal="left" vertical="center" wrapText="1"/>
    </xf>
    <xf numFmtId="49" fontId="65" fillId="42" borderId="7" xfId="0" applyNumberFormat="1" applyFont="1" applyFill="1" applyBorder="1" applyAlignment="1">
      <alignment horizontal="left" vertical="center" wrapText="1"/>
    </xf>
    <xf numFmtId="49" fontId="65" fillId="42" borderId="7" xfId="0" applyNumberFormat="1" applyFont="1" applyFill="1" applyBorder="1" applyAlignment="1">
      <alignment horizontal="center" vertical="center" wrapText="1"/>
    </xf>
    <xf numFmtId="14" fontId="65" fillId="42" borderId="7" xfId="0" applyNumberFormat="1" applyFont="1" applyFill="1" applyBorder="1" applyAlignment="1">
      <alignment horizontal="center" vertical="center" wrapText="1"/>
    </xf>
    <xf numFmtId="171" fontId="65" fillId="46" borderId="4" xfId="0" applyNumberFormat="1" applyFont="1" applyFill="1" applyBorder="1" applyAlignment="1" applyProtection="1">
      <alignment horizontal="left" vertical="center"/>
      <protection locked="0" hidden="1"/>
    </xf>
    <xf numFmtId="0" fontId="66" fillId="46" borderId="4" xfId="0" applyFont="1" applyFill="1" applyBorder="1" applyAlignment="1" applyProtection="1">
      <alignment horizontal="center" vertical="center"/>
      <protection hidden="1"/>
    </xf>
    <xf numFmtId="14" fontId="100" fillId="9" borderId="4" xfId="3161" applyNumberFormat="1" applyFont="1" applyFill="1" applyBorder="1" applyAlignment="1">
      <alignment horizontal="center" vertical="center" wrapText="1"/>
    </xf>
    <xf numFmtId="0" fontId="0" fillId="0" borderId="4" xfId="0" applyBorder="1"/>
    <xf numFmtId="0" fontId="12" fillId="0" borderId="4" xfId="0" applyFont="1" applyBorder="1"/>
    <xf numFmtId="22" fontId="0" fillId="0" borderId="4" xfId="0" applyNumberFormat="1" applyBorder="1"/>
    <xf numFmtId="0" fontId="83" fillId="0" borderId="4" xfId="1602" applyFont="1" applyBorder="1" applyAlignment="1" applyProtection="1">
      <alignment vertical="center" wrapText="1"/>
      <protection locked="0"/>
    </xf>
    <xf numFmtId="49" fontId="16" fillId="0" borderId="7" xfId="1602" applyNumberFormat="1" applyFont="1" applyBorder="1" applyAlignment="1" applyProtection="1">
      <alignment horizontal="center" vertical="center"/>
      <protection hidden="1"/>
    </xf>
    <xf numFmtId="0" fontId="83" fillId="0" borderId="4" xfId="0" applyFont="1" applyBorder="1" applyAlignment="1" applyProtection="1">
      <alignment vertical="center" wrapText="1"/>
      <protection locked="0"/>
    </xf>
    <xf numFmtId="0" fontId="38" fillId="0" borderId="0" xfId="0" applyFont="1" applyProtection="1">
      <protection locked="0"/>
    </xf>
    <xf numFmtId="0" fontId="2" fillId="25" borderId="4" xfId="0" applyFont="1" applyFill="1" applyBorder="1" applyAlignment="1" applyProtection="1">
      <alignment horizontal="left" vertical="center" wrapText="1"/>
      <protection locked="0"/>
    </xf>
    <xf numFmtId="0" fontId="0" fillId="0" borderId="4" xfId="0" applyBorder="1" applyAlignment="1">
      <alignment horizontal="left" vertical="center"/>
    </xf>
    <xf numFmtId="0" fontId="73" fillId="17" borderId="0" xfId="0" applyFont="1" applyFill="1" applyAlignment="1">
      <alignment horizontal="center" vertical="center"/>
    </xf>
    <xf numFmtId="49" fontId="76" fillId="47" borderId="7" xfId="0" applyNumberFormat="1" applyFont="1" applyFill="1" applyBorder="1" applyAlignment="1">
      <alignment horizontal="left" vertical="center" wrapText="1"/>
    </xf>
    <xf numFmtId="0" fontId="76" fillId="47" borderId="7" xfId="0" applyFont="1" applyFill="1" applyBorder="1" applyAlignment="1">
      <alignment horizontal="left" vertical="center" wrapText="1"/>
    </xf>
    <xf numFmtId="0" fontId="12" fillId="0" borderId="4" xfId="0" applyFont="1" applyBorder="1" applyAlignment="1">
      <alignment horizontal="left" vertical="center"/>
    </xf>
    <xf numFmtId="22" fontId="0" fillId="0" borderId="4" xfId="0" applyNumberFormat="1" applyBorder="1" applyAlignment="1">
      <alignment horizontal="left" vertical="center"/>
    </xf>
    <xf numFmtId="49" fontId="76" fillId="47" borderId="7" xfId="0" applyNumberFormat="1" applyFont="1" applyFill="1" applyBorder="1" applyAlignment="1">
      <alignment horizontal="center" vertical="center" wrapText="1"/>
    </xf>
    <xf numFmtId="14" fontId="76" fillId="47" borderId="7" xfId="0" applyNumberFormat="1" applyFont="1" applyFill="1" applyBorder="1" applyAlignment="1">
      <alignment horizontal="center" vertical="center" wrapText="1"/>
    </xf>
    <xf numFmtId="0" fontId="16" fillId="4" borderId="4" xfId="1602" applyFont="1" applyFill="1" applyBorder="1" applyAlignment="1" applyProtection="1">
      <alignment horizontal="center" vertical="center"/>
      <protection locked="0"/>
    </xf>
    <xf numFmtId="170" fontId="16" fillId="4" borderId="4" xfId="1602" applyNumberFormat="1" applyFont="1" applyFill="1" applyBorder="1" applyAlignment="1" applyProtection="1">
      <alignment horizontal="center" vertical="center"/>
      <protection locked="0"/>
    </xf>
    <xf numFmtId="1" fontId="16" fillId="4" borderId="4" xfId="1602" applyNumberFormat="1" applyFont="1" applyFill="1" applyBorder="1" applyAlignment="1" applyProtection="1">
      <alignment horizontal="center" vertical="center"/>
      <protection hidden="1"/>
    </xf>
    <xf numFmtId="0" fontId="39" fillId="4" borderId="4" xfId="1602" applyFont="1" applyFill="1" applyBorder="1" applyAlignment="1" applyProtection="1">
      <alignment vertical="center" wrapText="1"/>
      <protection locked="0"/>
    </xf>
    <xf numFmtId="20" fontId="39" fillId="0" borderId="7" xfId="1602" applyNumberFormat="1" applyFont="1" applyBorder="1" applyAlignment="1" applyProtection="1">
      <alignment vertical="center" wrapText="1"/>
      <protection locked="0"/>
    </xf>
    <xf numFmtId="0" fontId="16" fillId="0" borderId="1" xfId="1602" applyFont="1" applyBorder="1" applyAlignment="1">
      <alignment horizontal="right" vertical="center" wrapText="1"/>
    </xf>
    <xf numFmtId="0" fontId="16" fillId="0" borderId="14" xfId="1602" applyFont="1" applyBorder="1" applyAlignment="1">
      <alignment horizontal="right" vertical="center" wrapText="1"/>
    </xf>
    <xf numFmtId="0" fontId="15" fillId="4" borderId="0" xfId="0" applyFont="1" applyFill="1" applyAlignment="1">
      <alignment vertical="center" wrapText="1"/>
    </xf>
    <xf numFmtId="0" fontId="16" fillId="5" borderId="6" xfId="1602" applyFont="1" applyFill="1" applyBorder="1" applyAlignment="1" applyProtection="1">
      <alignment vertical="center" wrapText="1"/>
      <protection locked="0"/>
    </xf>
    <xf numFmtId="0" fontId="16" fillId="5" borderId="5" xfId="1602" applyFont="1" applyFill="1" applyBorder="1" applyAlignment="1" applyProtection="1">
      <alignment vertical="center" wrapText="1"/>
      <protection locked="0"/>
    </xf>
    <xf numFmtId="0" fontId="15" fillId="4" borderId="0" xfId="0" applyFont="1" applyFill="1" applyAlignment="1" applyProtection="1">
      <alignment vertical="center" wrapText="1"/>
      <protection locked="0"/>
    </xf>
    <xf numFmtId="0" fontId="15" fillId="4" borderId="0" xfId="0" applyFont="1" applyFill="1" applyAlignment="1" applyProtection="1">
      <alignment vertical="center" wrapText="1"/>
      <protection hidden="1"/>
    </xf>
    <xf numFmtId="0" fontId="60" fillId="16" borderId="0" xfId="0" applyFont="1" applyFill="1" applyAlignment="1" applyProtection="1">
      <alignment vertical="center" wrapText="1"/>
      <protection hidden="1"/>
    </xf>
    <xf numFmtId="0" fontId="16" fillId="5" borderId="6" xfId="1602" applyFont="1" applyFill="1" applyBorder="1" applyAlignment="1" applyProtection="1">
      <alignment vertical="center" wrapText="1"/>
      <protection hidden="1"/>
    </xf>
    <xf numFmtId="0" fontId="16" fillId="0" borderId="6" xfId="1602" applyFont="1" applyBorder="1" applyAlignment="1" applyProtection="1">
      <alignment vertical="center" wrapText="1"/>
      <protection hidden="1"/>
    </xf>
    <xf numFmtId="0" fontId="16" fillId="0" borderId="4" xfId="1602" applyFont="1" applyBorder="1" applyAlignment="1" applyProtection="1">
      <alignment vertical="center" wrapText="1"/>
      <protection hidden="1"/>
    </xf>
    <xf numFmtId="1" fontId="16" fillId="0" borderId="7" xfId="1602" applyNumberFormat="1" applyFont="1" applyBorder="1" applyAlignment="1" applyProtection="1">
      <alignment vertical="center" wrapText="1"/>
      <protection hidden="1"/>
    </xf>
    <xf numFmtId="0" fontId="16" fillId="5" borderId="5" xfId="1602" applyFont="1" applyFill="1" applyBorder="1" applyAlignment="1" applyProtection="1">
      <alignment vertical="center" wrapText="1"/>
      <protection hidden="1"/>
    </xf>
    <xf numFmtId="1" fontId="16" fillId="4" borderId="4" xfId="1602" applyNumberFormat="1" applyFont="1" applyFill="1" applyBorder="1" applyAlignment="1" applyProtection="1">
      <alignment vertical="center" wrapText="1"/>
      <protection locked="0"/>
    </xf>
    <xf numFmtId="1" fontId="16" fillId="0" borderId="4" xfId="1602" applyNumberFormat="1" applyFont="1" applyBorder="1" applyAlignment="1" applyProtection="1">
      <alignment vertical="center" wrapText="1"/>
      <protection locked="0"/>
    </xf>
    <xf numFmtId="1" fontId="16" fillId="0" borderId="7" xfId="1602" applyNumberFormat="1" applyFont="1" applyBorder="1" applyAlignment="1" applyProtection="1">
      <alignment vertical="center" wrapText="1"/>
      <protection locked="0"/>
    </xf>
    <xf numFmtId="1" fontId="79" fillId="0" borderId="7" xfId="1602" applyNumberFormat="1" applyFont="1" applyBorder="1" applyAlignment="1" applyProtection="1">
      <alignment vertical="center" wrapText="1"/>
      <protection hidden="1"/>
    </xf>
    <xf numFmtId="1" fontId="79" fillId="0" borderId="4" xfId="1602" applyNumberFormat="1" applyFont="1" applyBorder="1" applyAlignment="1" applyProtection="1">
      <alignment vertical="center" wrapText="1"/>
      <protection hidden="1"/>
    </xf>
    <xf numFmtId="0" fontId="15" fillId="4" borderId="0" xfId="0" applyFont="1" applyFill="1" applyAlignment="1">
      <alignment horizontal="left" vertical="center" wrapText="1"/>
    </xf>
    <xf numFmtId="169" fontId="43" fillId="4" borderId="0" xfId="0" applyNumberFormat="1" applyFont="1" applyFill="1" applyAlignment="1">
      <alignment horizontal="left" vertical="center" wrapText="1"/>
    </xf>
    <xf numFmtId="0" fontId="16" fillId="5" borderId="6" xfId="1602" applyFont="1" applyFill="1" applyBorder="1" applyAlignment="1">
      <alignment horizontal="left" vertical="center" wrapText="1"/>
    </xf>
    <xf numFmtId="0" fontId="16" fillId="0" borderId="4" xfId="1602" applyFont="1" applyBorder="1" applyAlignment="1">
      <alignment horizontal="left" vertical="center" wrapText="1"/>
    </xf>
    <xf numFmtId="0" fontId="16" fillId="5" borderId="5" xfId="1602" applyFont="1" applyFill="1" applyBorder="1" applyAlignment="1">
      <alignment horizontal="left" vertical="center" wrapText="1"/>
    </xf>
    <xf numFmtId="0" fontId="16" fillId="0" borderId="7" xfId="1602" applyFont="1" applyBorder="1" applyAlignment="1">
      <alignment horizontal="left" vertical="center" wrapText="1"/>
    </xf>
    <xf numFmtId="0" fontId="16" fillId="5" borderId="6" xfId="1602" applyFont="1" applyFill="1" applyBorder="1" applyAlignment="1" applyProtection="1">
      <alignment horizontal="left" vertical="center" wrapText="1"/>
      <protection locked="0"/>
    </xf>
    <xf numFmtId="0" fontId="16" fillId="4" borderId="4" xfId="1602" applyFont="1" applyFill="1" applyBorder="1" applyAlignment="1">
      <alignment horizontal="left" vertical="center" wrapText="1"/>
    </xf>
    <xf numFmtId="0" fontId="79" fillId="0" borderId="7" xfId="1602" applyFont="1" applyBorder="1" applyAlignment="1">
      <alignment horizontal="left" vertical="center" wrapText="1"/>
    </xf>
    <xf numFmtId="0" fontId="79" fillId="0" borderId="4" xfId="1602" applyFont="1" applyBorder="1" applyAlignment="1">
      <alignment horizontal="left" vertical="center" wrapText="1"/>
    </xf>
    <xf numFmtId="0" fontId="15" fillId="4" borderId="0" xfId="0" applyFont="1" applyFill="1" applyAlignment="1" applyProtection="1">
      <alignment horizontal="left" vertical="center" wrapText="1"/>
      <protection locked="0"/>
    </xf>
    <xf numFmtId="0" fontId="16" fillId="50" borderId="4" xfId="1602" applyFont="1" applyFill="1" applyBorder="1" applyAlignment="1">
      <alignment horizontal="left" vertical="center" wrapText="1"/>
    </xf>
    <xf numFmtId="0" fontId="16" fillId="50" borderId="4" xfId="1602" applyFont="1" applyFill="1" applyBorder="1" applyAlignment="1">
      <alignment horizontal="center" vertical="center"/>
    </xf>
    <xf numFmtId="0" fontId="16" fillId="0" borderId="4" xfId="1602" applyFont="1" applyBorder="1" applyAlignment="1">
      <alignment horizontal="center" vertical="center"/>
    </xf>
    <xf numFmtId="49" fontId="16" fillId="0" borderId="4" xfId="1602" applyNumberFormat="1" applyFont="1" applyBorder="1" applyAlignment="1">
      <alignment horizontal="center" vertical="center"/>
    </xf>
    <xf numFmtId="0" fontId="52" fillId="0" borderId="38" xfId="3162" applyFont="1" applyBorder="1" applyAlignment="1" applyProtection="1">
      <alignment horizontal="center" vertical="center"/>
      <protection locked="0"/>
    </xf>
    <xf numFmtId="0" fontId="52" fillId="0" borderId="43" xfId="3162" applyFont="1" applyBorder="1" applyAlignment="1" applyProtection="1">
      <alignment horizontal="center" vertical="center"/>
      <protection locked="0"/>
    </xf>
    <xf numFmtId="0" fontId="85" fillId="34" borderId="4" xfId="3161" applyFont="1" applyFill="1" applyBorder="1" applyAlignment="1">
      <alignment horizontal="center" vertical="center" wrapText="1"/>
    </xf>
    <xf numFmtId="0" fontId="85" fillId="34" borderId="4" xfId="3161" applyFont="1" applyFill="1" applyBorder="1" applyAlignment="1">
      <alignment vertical="center" wrapText="1"/>
    </xf>
    <xf numFmtId="0" fontId="85" fillId="34" borderId="4" xfId="3161" applyFont="1" applyFill="1" applyBorder="1" applyAlignment="1">
      <alignment horizontal="center" vertical="center"/>
    </xf>
    <xf numFmtId="0" fontId="16" fillId="50" borderId="4" xfId="1602" applyFont="1" applyFill="1" applyBorder="1" applyAlignment="1" applyProtection="1">
      <alignment horizontal="center" vertical="center"/>
      <protection locked="0"/>
    </xf>
    <xf numFmtId="0" fontId="39" fillId="50" borderId="4" xfId="1602" applyFont="1" applyFill="1" applyBorder="1" applyAlignment="1" applyProtection="1">
      <alignment vertical="center" wrapText="1"/>
      <protection locked="0"/>
    </xf>
    <xf numFmtId="170" fontId="79" fillId="0" borderId="7" xfId="1602" applyNumberFormat="1" applyFont="1" applyBorder="1" applyAlignment="1" applyProtection="1">
      <alignment horizontal="center" vertical="center"/>
      <protection locked="0"/>
    </xf>
    <xf numFmtId="170" fontId="79" fillId="0" borderId="4" xfId="1602" applyNumberFormat="1" applyFont="1" applyBorder="1" applyAlignment="1" applyProtection="1">
      <alignment horizontal="center" vertical="center"/>
      <protection locked="0"/>
    </xf>
    <xf numFmtId="0" fontId="39" fillId="44" borderId="4" xfId="1602" applyFont="1" applyFill="1" applyBorder="1" applyAlignment="1" applyProtection="1">
      <alignment vertical="center" wrapText="1"/>
      <protection locked="0"/>
    </xf>
    <xf numFmtId="0" fontId="39" fillId="44" borderId="7" xfId="1602" applyFont="1" applyFill="1" applyBorder="1" applyAlignment="1" applyProtection="1">
      <alignment vertical="center" wrapText="1"/>
      <protection locked="0"/>
    </xf>
    <xf numFmtId="0" fontId="80" fillId="44" borderId="4" xfId="1602" applyFont="1" applyFill="1" applyBorder="1" applyAlignment="1" applyProtection="1">
      <alignment vertical="center" wrapText="1"/>
      <protection locked="0"/>
    </xf>
    <xf numFmtId="14" fontId="47" fillId="17" borderId="0" xfId="0" applyNumberFormat="1" applyFont="1" applyFill="1" applyProtection="1">
      <protection locked="0"/>
    </xf>
    <xf numFmtId="14" fontId="100" fillId="9" borderId="7" xfId="3161" applyNumberFormat="1" applyFont="1" applyFill="1" applyBorder="1" applyAlignment="1">
      <alignment horizontal="center" vertical="center" wrapText="1"/>
    </xf>
    <xf numFmtId="14" fontId="85" fillId="9" borderId="7" xfId="3161" applyNumberFormat="1" applyFont="1" applyFill="1" applyBorder="1" applyAlignment="1">
      <alignment horizontal="center" vertical="center" wrapText="1"/>
    </xf>
    <xf numFmtId="0" fontId="0" fillId="7" borderId="0" xfId="0" applyFill="1" applyAlignment="1">
      <alignment vertical="center"/>
    </xf>
    <xf numFmtId="0" fontId="51" fillId="7" borderId="4" xfId="3162" applyFont="1" applyFill="1" applyBorder="1" applyAlignment="1">
      <alignment horizontal="left" vertical="center" wrapText="1"/>
    </xf>
    <xf numFmtId="0" fontId="51" fillId="17" borderId="10" xfId="3162" applyFont="1" applyFill="1" applyBorder="1" applyAlignment="1">
      <alignment horizontal="center" vertical="center" wrapText="1"/>
    </xf>
    <xf numFmtId="0" fontId="51" fillId="5" borderId="10" xfId="3162" applyFont="1" applyFill="1" applyBorder="1" applyAlignment="1">
      <alignment horizontal="center" vertical="center" wrapText="1"/>
    </xf>
    <xf numFmtId="0" fontId="51" fillId="12" borderId="10" xfId="3162" applyFont="1" applyFill="1" applyBorder="1" applyAlignment="1">
      <alignment horizontal="center" vertical="center" wrapText="1"/>
    </xf>
    <xf numFmtId="0" fontId="51" fillId="49" borderId="10" xfId="3162" applyFont="1" applyFill="1" applyBorder="1" applyAlignment="1">
      <alignment horizontal="center" vertical="center" wrapText="1"/>
    </xf>
    <xf numFmtId="0" fontId="51" fillId="10" borderId="10" xfId="3162" applyFont="1" applyFill="1" applyBorder="1" applyAlignment="1">
      <alignment horizontal="center" vertical="center" wrapText="1"/>
    </xf>
    <xf numFmtId="0" fontId="51" fillId="40" borderId="10" xfId="3162" applyFont="1" applyFill="1" applyBorder="1" applyAlignment="1">
      <alignment horizontal="center" vertical="center" wrapText="1"/>
    </xf>
    <xf numFmtId="0" fontId="0" fillId="7" borderId="4" xfId="0" applyFill="1" applyBorder="1" applyAlignment="1" applyProtection="1">
      <alignment horizontal="center" vertical="center"/>
      <protection locked="0"/>
    </xf>
    <xf numFmtId="0" fontId="52" fillId="7" borderId="4" xfId="0" applyFont="1" applyFill="1" applyBorder="1" applyAlignment="1" applyProtection="1">
      <alignment horizontal="center" vertical="center"/>
      <protection locked="0"/>
    </xf>
    <xf numFmtId="0" fontId="16" fillId="5" borderId="10" xfId="1602" applyFont="1" applyFill="1" applyBorder="1" applyAlignment="1" applyProtection="1">
      <alignment vertical="center"/>
      <protection locked="0"/>
    </xf>
    <xf numFmtId="0" fontId="16" fillId="0" borderId="2" xfId="1602" applyFont="1" applyBorder="1" applyAlignment="1" applyProtection="1">
      <alignment vertical="center"/>
      <protection locked="0"/>
    </xf>
    <xf numFmtId="0" fontId="16" fillId="50" borderId="4" xfId="1602" applyFont="1" applyFill="1" applyBorder="1" applyAlignment="1" applyProtection="1">
      <alignment vertical="center"/>
      <protection locked="0"/>
    </xf>
    <xf numFmtId="0" fontId="16" fillId="0" borderId="4" xfId="1602" applyFont="1" applyBorder="1" applyAlignment="1" applyProtection="1">
      <alignment vertical="center"/>
      <protection locked="0"/>
    </xf>
    <xf numFmtId="0" fontId="16" fillId="0" borderId="3" xfId="1602" applyFont="1" applyBorder="1" applyAlignment="1" applyProtection="1">
      <alignment vertical="center"/>
      <protection locked="0"/>
    </xf>
    <xf numFmtId="0" fontId="43" fillId="16" borderId="0" xfId="0" applyFont="1" applyFill="1" applyAlignment="1" applyProtection="1">
      <alignment vertical="center"/>
      <protection locked="0"/>
    </xf>
    <xf numFmtId="0" fontId="16" fillId="0" borderId="0" xfId="1602" applyFont="1" applyAlignment="1" applyProtection="1">
      <alignment vertical="center"/>
      <protection locked="0"/>
    </xf>
    <xf numFmtId="0" fontId="16" fillId="44" borderId="0" xfId="1602" applyFont="1" applyFill="1" applyAlignment="1" applyProtection="1">
      <alignment vertical="center"/>
      <protection locked="0" hidden="1"/>
    </xf>
    <xf numFmtId="0" fontId="59" fillId="20" borderId="0" xfId="0" applyFont="1" applyFill="1" applyAlignment="1" applyProtection="1">
      <alignment horizontal="left" vertical="center" wrapText="1"/>
      <protection hidden="1"/>
    </xf>
    <xf numFmtId="0" fontId="65" fillId="46" borderId="4" xfId="0" applyFont="1" applyFill="1" applyBorder="1" applyAlignment="1" applyProtection="1">
      <alignment horizontal="left" vertical="center" wrapText="1"/>
      <protection locked="0"/>
    </xf>
    <xf numFmtId="0" fontId="76" fillId="47" borderId="4" xfId="0" applyFont="1" applyFill="1" applyBorder="1" applyAlignment="1" applyProtection="1">
      <alignment horizontal="left" vertical="center" wrapText="1"/>
      <protection locked="0"/>
    </xf>
    <xf numFmtId="0" fontId="65" fillId="42" borderId="4" xfId="0" applyFont="1" applyFill="1" applyBorder="1" applyAlignment="1" applyProtection="1">
      <alignment horizontal="left" vertical="center" wrapText="1"/>
      <protection locked="0"/>
    </xf>
    <xf numFmtId="0" fontId="65" fillId="45" borderId="4" xfId="0" applyFont="1" applyFill="1" applyBorder="1" applyAlignment="1" applyProtection="1">
      <alignment horizontal="left" vertical="center" wrapText="1"/>
      <protection locked="0"/>
    </xf>
    <xf numFmtId="0" fontId="65" fillId="48" borderId="4" xfId="0" applyFont="1" applyFill="1" applyBorder="1" applyAlignment="1" applyProtection="1">
      <alignment horizontal="left" vertical="center" wrapText="1"/>
      <protection locked="0"/>
    </xf>
    <xf numFmtId="0" fontId="65" fillId="42" borderId="4" xfId="1584" applyFont="1" applyFill="1" applyBorder="1" applyAlignment="1" applyProtection="1">
      <alignment horizontal="left" vertical="center" wrapText="1"/>
      <protection locked="0"/>
    </xf>
    <xf numFmtId="0" fontId="41" fillId="14" borderId="6" xfId="0" applyFont="1" applyFill="1" applyBorder="1" applyAlignment="1" applyProtection="1">
      <alignment horizontal="center" vertical="center" wrapText="1"/>
      <protection locked="0"/>
    </xf>
    <xf numFmtId="0" fontId="65" fillId="46" borderId="4" xfId="0" applyFont="1" applyFill="1" applyBorder="1" applyAlignment="1" applyProtection="1">
      <alignment vertical="center" wrapText="1"/>
      <protection locked="0"/>
    </xf>
    <xf numFmtId="0" fontId="65" fillId="45" borderId="4" xfId="0" applyFont="1" applyFill="1" applyBorder="1" applyAlignment="1" applyProtection="1">
      <alignment vertical="center" wrapText="1"/>
      <protection locked="0"/>
    </xf>
    <xf numFmtId="0" fontId="76" fillId="47" borderId="4" xfId="0" applyFont="1" applyFill="1" applyBorder="1" applyAlignment="1" applyProtection="1">
      <alignment vertical="center" wrapText="1"/>
      <protection locked="0"/>
    </xf>
    <xf numFmtId="0" fontId="65" fillId="48" borderId="4" xfId="0" applyFont="1" applyFill="1" applyBorder="1" applyAlignment="1" applyProtection="1">
      <alignment vertical="center" wrapText="1"/>
      <protection locked="0"/>
    </xf>
    <xf numFmtId="0" fontId="65" fillId="42" borderId="4" xfId="0" applyFont="1" applyFill="1" applyBorder="1" applyAlignment="1" applyProtection="1">
      <alignment vertical="center" wrapText="1"/>
      <protection locked="0"/>
    </xf>
    <xf numFmtId="0" fontId="3" fillId="20" borderId="0" xfId="0" applyFont="1" applyFill="1" applyAlignment="1" applyProtection="1">
      <alignment horizontal="center" vertical="center" wrapText="1"/>
      <protection locked="0"/>
    </xf>
    <xf numFmtId="0" fontId="62" fillId="20" borderId="0" xfId="0" applyFont="1" applyFill="1" applyAlignment="1">
      <alignment horizontal="right" vertical="center" wrapText="1"/>
    </xf>
    <xf numFmtId="0" fontId="41" fillId="14" borderId="6" xfId="0" applyFont="1" applyFill="1" applyBorder="1" applyAlignment="1">
      <alignment horizontal="center" vertical="center" wrapText="1"/>
    </xf>
    <xf numFmtId="0" fontId="3" fillId="20" borderId="0" xfId="0" applyFont="1" applyFill="1" applyAlignment="1">
      <alignment horizontal="center" vertical="center" wrapText="1"/>
    </xf>
    <xf numFmtId="0" fontId="0" fillId="0" borderId="0" xfId="0" pivotButton="1" applyAlignment="1">
      <alignment horizontal="left"/>
    </xf>
    <xf numFmtId="49" fontId="0" fillId="0" borderId="0" xfId="0" applyNumberFormat="1" applyAlignment="1">
      <alignment horizontal="left"/>
    </xf>
    <xf numFmtId="0" fontId="0" fillId="17" borderId="0" xfId="0" applyFill="1" applyAlignment="1">
      <alignment horizontal="left"/>
    </xf>
    <xf numFmtId="0" fontId="12" fillId="0" borderId="0" xfId="0" applyFont="1" applyAlignment="1">
      <alignment horizontal="left"/>
    </xf>
    <xf numFmtId="0" fontId="12" fillId="17" borderId="0" xfId="0" applyFont="1" applyFill="1" applyAlignment="1">
      <alignment horizontal="left"/>
    </xf>
    <xf numFmtId="171" fontId="65" fillId="45" borderId="4" xfId="0" applyNumberFormat="1" applyFont="1" applyFill="1" applyBorder="1" applyAlignment="1" applyProtection="1">
      <alignment horizontal="left" vertical="center"/>
      <protection locked="0" hidden="1"/>
    </xf>
    <xf numFmtId="0" fontId="66" fillId="45" borderId="4" xfId="0" applyFont="1" applyFill="1" applyBorder="1" applyAlignment="1" applyProtection="1">
      <alignment horizontal="center" vertical="center"/>
      <protection hidden="1"/>
    </xf>
    <xf numFmtId="0" fontId="104" fillId="25" borderId="0" xfId="0" applyFont="1" applyFill="1" applyAlignment="1" applyProtection="1">
      <alignment horizontal="center" vertical="center" wrapText="1"/>
      <protection locked="0"/>
    </xf>
    <xf numFmtId="0" fontId="12" fillId="17" borderId="4" xfId="0" applyFont="1" applyFill="1" applyBorder="1" applyAlignment="1">
      <alignment horizontal="center"/>
    </xf>
    <xf numFmtId="0" fontId="12" fillId="17" borderId="4" xfId="0" applyFont="1" applyFill="1" applyBorder="1" applyAlignment="1">
      <alignment horizontal="right"/>
    </xf>
    <xf numFmtId="0" fontId="51" fillId="21" borderId="10" xfId="3162" applyFont="1" applyFill="1" applyBorder="1" applyAlignment="1">
      <alignment horizontal="center" vertical="center" wrapText="1"/>
    </xf>
    <xf numFmtId="0" fontId="0" fillId="80" borderId="0" xfId="0" applyFill="1" applyAlignment="1">
      <alignment horizontal="center" vertical="center"/>
    </xf>
    <xf numFmtId="0" fontId="18" fillId="80" borderId="0" xfId="0" applyFont="1" applyFill="1" applyAlignment="1">
      <alignment horizontal="center" vertical="center"/>
    </xf>
    <xf numFmtId="0" fontId="0" fillId="80" borderId="0" xfId="0" applyFill="1" applyAlignment="1">
      <alignment vertical="center"/>
    </xf>
    <xf numFmtId="0" fontId="56" fillId="80" borderId="0" xfId="0" applyFont="1" applyFill="1" applyAlignment="1">
      <alignment vertical="center"/>
    </xf>
    <xf numFmtId="0" fontId="18" fillId="80" borderId="26" xfId="0" applyFont="1" applyFill="1" applyBorder="1" applyAlignment="1">
      <alignment horizontal="center" vertical="center"/>
    </xf>
    <xf numFmtId="0" fontId="18" fillId="80" borderId="27" xfId="0" applyFont="1" applyFill="1" applyBorder="1" applyAlignment="1">
      <alignment horizontal="center" vertical="center"/>
    </xf>
    <xf numFmtId="0" fontId="18" fillId="80" borderId="29" xfId="0" applyFont="1" applyFill="1" applyBorder="1" applyAlignment="1">
      <alignment horizontal="center" vertical="center"/>
    </xf>
    <xf numFmtId="0" fontId="18" fillId="80" borderId="30" xfId="0" applyFont="1" applyFill="1" applyBorder="1" applyAlignment="1">
      <alignment horizontal="center" vertical="center"/>
    </xf>
    <xf numFmtId="0" fontId="18" fillId="80" borderId="31" xfId="0" applyFont="1" applyFill="1" applyBorder="1" applyAlignment="1">
      <alignment horizontal="center" vertical="center"/>
    </xf>
    <xf numFmtId="0" fontId="18" fillId="80" borderId="33" xfId="0" applyFont="1" applyFill="1" applyBorder="1" applyAlignment="1">
      <alignment horizontal="center" vertical="center"/>
    </xf>
    <xf numFmtId="0" fontId="18" fillId="80" borderId="26" xfId="0" applyFont="1" applyFill="1" applyBorder="1" applyAlignment="1" applyProtection="1">
      <alignment horizontal="center" vertical="center"/>
      <protection locked="0"/>
    </xf>
    <xf numFmtId="0" fontId="18" fillId="80" borderId="27" xfId="0" applyFont="1" applyFill="1" applyBorder="1" applyAlignment="1" applyProtection="1">
      <alignment horizontal="center" vertical="center"/>
      <protection locked="0"/>
    </xf>
    <xf numFmtId="0" fontId="0" fillId="80" borderId="0" xfId="0" applyFill="1" applyAlignment="1" applyProtection="1">
      <alignment vertical="center"/>
      <protection locked="0"/>
    </xf>
    <xf numFmtId="0" fontId="18" fillId="80" borderId="29" xfId="0" applyFont="1" applyFill="1" applyBorder="1" applyAlignment="1" applyProtection="1">
      <alignment horizontal="center" vertical="center"/>
      <protection locked="0"/>
    </xf>
    <xf numFmtId="0" fontId="18" fillId="80" borderId="30" xfId="0" applyFont="1" applyFill="1" applyBorder="1" applyAlignment="1" applyProtection="1">
      <alignment horizontal="center" vertical="center"/>
      <protection locked="0"/>
    </xf>
    <xf numFmtId="0" fontId="18" fillId="80" borderId="31" xfId="0" applyFont="1" applyFill="1" applyBorder="1" applyAlignment="1" applyProtection="1">
      <alignment horizontal="center" vertical="center"/>
      <protection locked="0"/>
    </xf>
    <xf numFmtId="0" fontId="18" fillId="80" borderId="33" xfId="0" applyFont="1" applyFill="1" applyBorder="1" applyAlignment="1" applyProtection="1">
      <alignment horizontal="center" vertical="center"/>
      <protection locked="0"/>
    </xf>
    <xf numFmtId="0" fontId="0" fillId="80" borderId="0" xfId="0" applyFill="1" applyAlignment="1">
      <alignment horizontal="center" vertical="center" wrapText="1"/>
    </xf>
    <xf numFmtId="0" fontId="52" fillId="80" borderId="0" xfId="0" applyFont="1" applyFill="1" applyAlignment="1">
      <alignment horizontal="center" vertical="center"/>
    </xf>
    <xf numFmtId="0" fontId="0" fillId="25" borderId="0" xfId="0" applyFill="1"/>
    <xf numFmtId="0" fontId="0" fillId="25" borderId="0" xfId="0" applyFill="1" applyAlignment="1">
      <alignment horizontal="center"/>
    </xf>
    <xf numFmtId="1" fontId="122" fillId="0" borderId="40" xfId="0" applyNumberFormat="1" applyFont="1" applyBorder="1" applyAlignment="1">
      <alignment horizontal="center" vertical="center" shrinkToFit="1"/>
    </xf>
    <xf numFmtId="1" fontId="122" fillId="0" borderId="41" xfId="0" applyNumberFormat="1" applyFont="1" applyBorder="1" applyAlignment="1">
      <alignment horizontal="center" vertical="center" shrinkToFit="1"/>
    </xf>
    <xf numFmtId="0" fontId="125" fillId="25" borderId="0" xfId="0" applyFont="1" applyFill="1" applyAlignment="1">
      <alignment horizontal="left" vertical="top"/>
    </xf>
    <xf numFmtId="0" fontId="125" fillId="25" borderId="0" xfId="0" applyFont="1" applyFill="1"/>
    <xf numFmtId="1" fontId="122" fillId="0" borderId="56" xfId="0" applyNumberFormat="1" applyFont="1" applyBorder="1" applyAlignment="1">
      <alignment horizontal="center" vertical="center" shrinkToFit="1"/>
    </xf>
    <xf numFmtId="1" fontId="122" fillId="0" borderId="57" xfId="0" applyNumberFormat="1" applyFont="1" applyBorder="1" applyAlignment="1">
      <alignment horizontal="center" vertical="center" shrinkToFit="1"/>
    </xf>
    <xf numFmtId="1" fontId="122" fillId="0" borderId="37" xfId="0" applyNumberFormat="1" applyFont="1" applyBorder="1" applyAlignment="1">
      <alignment horizontal="center" vertical="center" shrinkToFit="1"/>
    </xf>
    <xf numFmtId="1" fontId="122" fillId="0" borderId="39" xfId="0" applyNumberFormat="1" applyFont="1" applyBorder="1" applyAlignment="1">
      <alignment horizontal="center" vertical="center" shrinkToFit="1"/>
    </xf>
    <xf numFmtId="1" fontId="122" fillId="0" borderId="42" xfId="0" applyNumberFormat="1" applyFont="1" applyBorder="1" applyAlignment="1">
      <alignment horizontal="center" vertical="center" shrinkToFit="1"/>
    </xf>
    <xf numFmtId="1" fontId="122" fillId="0" borderId="44" xfId="0" applyNumberFormat="1" applyFont="1" applyBorder="1" applyAlignment="1">
      <alignment horizontal="center" vertical="center" shrinkToFit="1"/>
    </xf>
    <xf numFmtId="1" fontId="122" fillId="0" borderId="58" xfId="0" applyNumberFormat="1" applyFont="1" applyBorder="1" applyAlignment="1">
      <alignment horizontal="center" vertical="center" shrinkToFit="1"/>
    </xf>
    <xf numFmtId="1" fontId="122" fillId="0" borderId="59" xfId="0" applyNumberFormat="1" applyFont="1" applyBorder="1" applyAlignment="1">
      <alignment horizontal="center" vertical="center" shrinkToFit="1"/>
    </xf>
    <xf numFmtId="49" fontId="121" fillId="0" borderId="38" xfId="0" applyNumberFormat="1" applyFont="1" applyBorder="1" applyAlignment="1">
      <alignment horizontal="center" vertical="center"/>
    </xf>
    <xf numFmtId="49" fontId="121" fillId="0" borderId="4" xfId="0" applyNumberFormat="1" applyFont="1" applyBorder="1" applyAlignment="1">
      <alignment horizontal="center" vertical="center"/>
    </xf>
    <xf numFmtId="49" fontId="121" fillId="0" borderId="43" xfId="0" applyNumberFormat="1" applyFont="1" applyBorder="1" applyAlignment="1">
      <alignment horizontal="center" vertical="center"/>
    </xf>
    <xf numFmtId="1" fontId="128" fillId="49" borderId="63" xfId="0" applyNumberFormat="1" applyFont="1" applyFill="1" applyBorder="1" applyAlignment="1">
      <alignment horizontal="center"/>
    </xf>
    <xf numFmtId="0" fontId="102" fillId="49" borderId="63" xfId="0" applyFont="1" applyFill="1" applyBorder="1" applyAlignment="1">
      <alignment horizontal="center"/>
    </xf>
    <xf numFmtId="0" fontId="0" fillId="49" borderId="64" xfId="0" applyFill="1" applyBorder="1" applyAlignment="1">
      <alignment horizontal="center"/>
    </xf>
    <xf numFmtId="0" fontId="0" fillId="0" borderId="0" xfId="0" applyAlignment="1">
      <alignment vertical="center" wrapText="1"/>
    </xf>
    <xf numFmtId="0" fontId="125" fillId="0" borderId="0" xfId="0" applyFont="1" applyAlignment="1">
      <alignment horizontal="left" vertical="top"/>
    </xf>
    <xf numFmtId="0" fontId="125" fillId="0" borderId="0" xfId="0" applyFont="1"/>
    <xf numFmtId="0" fontId="0" fillId="0" borderId="32" xfId="0" applyBorder="1"/>
    <xf numFmtId="0" fontId="0" fillId="0" borderId="28" xfId="0" applyBorder="1"/>
    <xf numFmtId="0" fontId="121" fillId="0" borderId="30" xfId="0" applyFont="1" applyBorder="1" applyAlignment="1">
      <alignment horizontal="center" vertical="center"/>
    </xf>
    <xf numFmtId="1" fontId="126" fillId="82" borderId="34" xfId="0" applyNumberFormat="1" applyFont="1" applyFill="1" applyBorder="1" applyAlignment="1">
      <alignment horizontal="center" vertical="top" shrinkToFit="1"/>
    </xf>
    <xf numFmtId="20" fontId="121" fillId="81" borderId="0" xfId="0" applyNumberFormat="1" applyFont="1" applyFill="1" applyAlignment="1">
      <alignment horizontal="center" vertical="center"/>
    </xf>
    <xf numFmtId="0" fontId="121" fillId="0" borderId="4" xfId="0" applyFont="1" applyBorder="1" applyAlignment="1">
      <alignment horizontal="center" vertical="center" wrapText="1"/>
    </xf>
    <xf numFmtId="1" fontId="122" fillId="0" borderId="38" xfId="0" applyNumberFormat="1" applyFont="1" applyBorder="1" applyAlignment="1">
      <alignment horizontal="center" vertical="center" shrinkToFit="1"/>
    </xf>
    <xf numFmtId="0" fontId="121" fillId="0" borderId="38" xfId="0" applyFont="1" applyBorder="1" applyAlignment="1">
      <alignment horizontal="center" vertical="center" wrapText="1"/>
    </xf>
    <xf numFmtId="20" fontId="121" fillId="0" borderId="39" xfId="0" applyNumberFormat="1" applyFont="1" applyBorder="1" applyAlignment="1">
      <alignment horizontal="center" vertical="center" wrapText="1"/>
    </xf>
    <xf numFmtId="20" fontId="121" fillId="0" borderId="41" xfId="0" applyNumberFormat="1" applyFont="1" applyBorder="1" applyAlignment="1">
      <alignment horizontal="center" vertical="center" wrapText="1"/>
    </xf>
    <xf numFmtId="1" fontId="122" fillId="0" borderId="43" xfId="0" applyNumberFormat="1" applyFont="1" applyBorder="1" applyAlignment="1">
      <alignment horizontal="center" vertical="center" shrinkToFit="1"/>
    </xf>
    <xf numFmtId="0" fontId="121" fillId="0" borderId="43" xfId="0" applyFont="1" applyBorder="1" applyAlignment="1">
      <alignment horizontal="center" vertical="center" wrapText="1"/>
    </xf>
    <xf numFmtId="20" fontId="121" fillId="0" borderId="44" xfId="0" applyNumberFormat="1" applyFont="1" applyBorder="1" applyAlignment="1">
      <alignment horizontal="center" vertical="center" wrapText="1"/>
    </xf>
    <xf numFmtId="0" fontId="0" fillId="25" borderId="0" xfId="0" applyFill="1" applyAlignment="1">
      <alignment vertical="center" wrapText="1"/>
    </xf>
    <xf numFmtId="0" fontId="121" fillId="17" borderId="37" xfId="0" applyFont="1" applyFill="1" applyBorder="1" applyAlignment="1">
      <alignment horizontal="center" vertical="center" wrapText="1"/>
    </xf>
    <xf numFmtId="0" fontId="121" fillId="17" borderId="40" xfId="0" applyFont="1" applyFill="1" applyBorder="1" applyAlignment="1">
      <alignment horizontal="center" vertical="center" wrapText="1"/>
    </xf>
    <xf numFmtId="0" fontId="121" fillId="17" borderId="42" xfId="0" applyFont="1" applyFill="1" applyBorder="1" applyAlignment="1">
      <alignment horizontal="center" vertical="center" wrapText="1"/>
    </xf>
    <xf numFmtId="49" fontId="124" fillId="0" borderId="4" xfId="0" applyNumberFormat="1" applyFont="1" applyBorder="1" applyAlignment="1">
      <alignment horizontal="center" vertical="center"/>
    </xf>
    <xf numFmtId="49" fontId="124" fillId="0" borderId="38" xfId="0" applyNumberFormat="1" applyFont="1" applyBorder="1" applyAlignment="1">
      <alignment horizontal="center" vertical="center"/>
    </xf>
    <xf numFmtId="0" fontId="16" fillId="50" borderId="2" xfId="1602" applyFont="1" applyFill="1" applyBorder="1" applyAlignment="1" applyProtection="1">
      <alignment vertical="center"/>
      <protection locked="0"/>
    </xf>
    <xf numFmtId="0" fontId="16" fillId="0" borderId="4" xfId="0" applyFont="1" applyBorder="1" applyAlignment="1" applyProtection="1">
      <alignment vertical="center"/>
      <protection locked="0"/>
    </xf>
    <xf numFmtId="0" fontId="51" fillId="21" borderId="10" xfId="3162" applyFont="1" applyFill="1" applyBorder="1" applyAlignment="1">
      <alignment horizontal="left" vertical="center" wrapText="1"/>
    </xf>
    <xf numFmtId="0" fontId="51" fillId="10" borderId="25" xfId="3162" applyFont="1" applyFill="1" applyBorder="1" applyAlignment="1">
      <alignment horizontal="center" vertical="center" wrapText="1"/>
    </xf>
    <xf numFmtId="0" fontId="51" fillId="5" borderId="25" xfId="3162" applyFont="1" applyFill="1" applyBorder="1" applyAlignment="1">
      <alignment horizontal="center" vertical="center" wrapText="1"/>
    </xf>
    <xf numFmtId="0" fontId="51" fillId="12" borderId="25" xfId="3162" applyFont="1" applyFill="1" applyBorder="1" applyAlignment="1">
      <alignment horizontal="center" vertical="center" wrapText="1"/>
    </xf>
    <xf numFmtId="0" fontId="51" fillId="49" borderId="25" xfId="3162" applyFont="1" applyFill="1" applyBorder="1" applyAlignment="1">
      <alignment horizontal="center" vertical="center" wrapText="1"/>
    </xf>
    <xf numFmtId="0" fontId="52" fillId="0" borderId="6" xfId="3162" applyFont="1" applyBorder="1" applyAlignment="1" applyProtection="1">
      <alignment horizontal="center" vertical="center"/>
      <protection locked="0"/>
    </xf>
    <xf numFmtId="0" fontId="51" fillId="42" borderId="37" xfId="3162" applyFont="1" applyFill="1" applyBorder="1" applyAlignment="1">
      <alignment horizontal="left" vertical="center" wrapText="1"/>
    </xf>
    <xf numFmtId="0" fontId="51" fillId="42" borderId="40" xfId="3162" applyFont="1" applyFill="1" applyBorder="1" applyAlignment="1">
      <alignment horizontal="left" vertical="center" wrapText="1"/>
    </xf>
    <xf numFmtId="0" fontId="51" fillId="42" borderId="42" xfId="3162" applyFont="1" applyFill="1" applyBorder="1" applyAlignment="1">
      <alignment horizontal="left" vertical="center" wrapText="1"/>
    </xf>
    <xf numFmtId="0" fontId="51" fillId="41" borderId="37" xfId="3162" applyFont="1" applyFill="1" applyBorder="1" applyAlignment="1">
      <alignment horizontal="left" vertical="center" wrapText="1"/>
    </xf>
    <xf numFmtId="0" fontId="51" fillId="41" borderId="40" xfId="3162" applyFont="1" applyFill="1" applyBorder="1" applyAlignment="1">
      <alignment horizontal="left" vertical="center" wrapText="1"/>
    </xf>
    <xf numFmtId="0" fontId="51" fillId="41" borderId="42" xfId="3162" applyFont="1" applyFill="1" applyBorder="1" applyAlignment="1">
      <alignment horizontal="left" vertical="center" wrapText="1"/>
    </xf>
    <xf numFmtId="0" fontId="103" fillId="45" borderId="10" xfId="3162" applyFont="1" applyFill="1" applyBorder="1" applyAlignment="1">
      <alignment horizontal="right" vertical="center" wrapText="1"/>
    </xf>
    <xf numFmtId="0" fontId="103" fillId="41" borderId="10" xfId="3162" applyFont="1" applyFill="1" applyBorder="1" applyAlignment="1">
      <alignment horizontal="right" vertical="center" wrapText="1"/>
    </xf>
    <xf numFmtId="0" fontId="103" fillId="41" borderId="54" xfId="3162" applyFont="1" applyFill="1" applyBorder="1" applyAlignment="1">
      <alignment horizontal="right" vertical="center" wrapText="1"/>
    </xf>
    <xf numFmtId="0" fontId="103" fillId="45" borderId="54" xfId="3162" applyFont="1" applyFill="1" applyBorder="1" applyAlignment="1">
      <alignment horizontal="right" vertical="center" wrapText="1"/>
    </xf>
    <xf numFmtId="0" fontId="39" fillId="50" borderId="4" xfId="1602" applyFont="1" applyFill="1" applyBorder="1" applyAlignment="1" applyProtection="1">
      <alignment horizontal="left" vertical="center" wrapText="1"/>
      <protection locked="0"/>
    </xf>
    <xf numFmtId="0" fontId="85" fillId="9" borderId="4" xfId="3161" applyFont="1" applyFill="1" applyBorder="1" applyAlignment="1">
      <alignment horizontal="left" vertical="center" wrapText="1"/>
    </xf>
    <xf numFmtId="0" fontId="85" fillId="0" borderId="4" xfId="3161" applyFont="1" applyBorder="1" applyAlignment="1">
      <alignment horizontal="left" vertical="center" wrapText="1"/>
    </xf>
    <xf numFmtId="0" fontId="15" fillId="4" borderId="0" xfId="0" applyFont="1" applyFill="1" applyAlignment="1">
      <alignment horizontal="right" vertical="center" wrapText="1"/>
    </xf>
    <xf numFmtId="0" fontId="60" fillId="16" borderId="0" xfId="0" applyFont="1" applyFill="1" applyAlignment="1">
      <alignment horizontal="right" vertical="center" wrapText="1"/>
    </xf>
    <xf numFmtId="0" fontId="16" fillId="5" borderId="11" xfId="1602" applyFont="1" applyFill="1" applyBorder="1" applyAlignment="1">
      <alignment horizontal="right" vertical="center" wrapText="1"/>
    </xf>
    <xf numFmtId="0" fontId="16" fillId="0" borderId="4" xfId="1602" applyFont="1" applyBorder="1" applyAlignment="1">
      <alignment horizontal="right" vertical="center" wrapText="1"/>
    </xf>
    <xf numFmtId="0" fontId="16" fillId="5" borderId="12" xfId="1602" applyFont="1" applyFill="1" applyBorder="1" applyAlignment="1">
      <alignment horizontal="right" vertical="center" wrapText="1"/>
    </xf>
    <xf numFmtId="0" fontId="16" fillId="5" borderId="11" xfId="1602" applyFont="1" applyFill="1" applyBorder="1" applyAlignment="1" applyProtection="1">
      <alignment horizontal="right" vertical="center" wrapText="1"/>
      <protection locked="0"/>
    </xf>
    <xf numFmtId="0" fontId="16" fillId="4" borderId="4" xfId="1602" applyFont="1" applyFill="1" applyBorder="1" applyAlignment="1">
      <alignment horizontal="right" vertical="center" wrapText="1"/>
    </xf>
    <xf numFmtId="0" fontId="16" fillId="0" borderId="7" xfId="1602" applyFont="1" applyBorder="1" applyAlignment="1">
      <alignment horizontal="right" vertical="center" wrapText="1"/>
    </xf>
    <xf numFmtId="0" fontId="79" fillId="0" borderId="7" xfId="1602" applyFont="1" applyBorder="1" applyAlignment="1">
      <alignment horizontal="right" vertical="center" wrapText="1"/>
    </xf>
    <xf numFmtId="0" fontId="16" fillId="0" borderId="4" xfId="1602" applyFont="1" applyBorder="1" applyAlignment="1" applyProtection="1">
      <alignment horizontal="center" vertical="center"/>
      <protection locked="0" hidden="1"/>
    </xf>
    <xf numFmtId="1" fontId="16" fillId="0" borderId="4" xfId="1602" applyNumberFormat="1" applyFont="1" applyBorder="1" applyAlignment="1" applyProtection="1">
      <alignment vertical="center" wrapText="1"/>
      <protection locked="0" hidden="1"/>
    </xf>
    <xf numFmtId="0" fontId="121" fillId="0" borderId="34" xfId="0" applyFont="1" applyBorder="1" applyAlignment="1">
      <alignment horizontal="center" vertical="center"/>
    </xf>
    <xf numFmtId="0" fontId="39" fillId="25" borderId="1" xfId="0" applyFont="1" applyFill="1" applyBorder="1" applyAlignment="1" applyProtection="1">
      <alignment vertical="center" wrapText="1"/>
      <protection locked="0"/>
    </xf>
    <xf numFmtId="0" fontId="121" fillId="17" borderId="4" xfId="0" applyFont="1" applyFill="1" applyBorder="1" applyAlignment="1">
      <alignment horizontal="center" vertical="center" wrapText="1"/>
    </xf>
    <xf numFmtId="0" fontId="121" fillId="17" borderId="38" xfId="0" applyFont="1" applyFill="1" applyBorder="1" applyAlignment="1">
      <alignment horizontal="center" vertical="center" wrapText="1"/>
    </xf>
    <xf numFmtId="0" fontId="121" fillId="17" borderId="43" xfId="0" applyFont="1" applyFill="1" applyBorder="1" applyAlignment="1">
      <alignment horizontal="center" vertical="center" wrapText="1"/>
    </xf>
    <xf numFmtId="49" fontId="121" fillId="0" borderId="70" xfId="0" applyNumberFormat="1" applyFont="1" applyBorder="1" applyAlignment="1">
      <alignment horizontal="center" vertical="center"/>
    </xf>
    <xf numFmtId="49" fontId="121" fillId="0" borderId="71" xfId="0" applyNumberFormat="1" applyFont="1" applyBorder="1" applyAlignment="1">
      <alignment horizontal="center" vertical="center"/>
    </xf>
    <xf numFmtId="49" fontId="121" fillId="0" borderId="72" xfId="0" applyNumberFormat="1" applyFont="1" applyBorder="1" applyAlignment="1">
      <alignment horizontal="center" vertical="center"/>
    </xf>
    <xf numFmtId="49" fontId="121" fillId="0" borderId="65" xfId="0" applyNumberFormat="1" applyFont="1" applyBorder="1" applyAlignment="1">
      <alignment horizontal="center" vertical="center"/>
    </xf>
    <xf numFmtId="49" fontId="121" fillId="0" borderId="1" xfId="0" applyNumberFormat="1" applyFont="1" applyBorder="1" applyAlignment="1">
      <alignment horizontal="center" vertical="center"/>
    </xf>
    <xf numFmtId="49" fontId="121" fillId="0" borderId="14" xfId="0" applyNumberFormat="1" applyFont="1" applyBorder="1" applyAlignment="1">
      <alignment horizontal="center" vertical="center"/>
    </xf>
    <xf numFmtId="49" fontId="121" fillId="0" borderId="66" xfId="0" applyNumberFormat="1" applyFont="1" applyBorder="1" applyAlignment="1">
      <alignment horizontal="center" vertical="center"/>
    </xf>
    <xf numFmtId="0" fontId="121" fillId="17" borderId="7" xfId="0" applyFont="1" applyFill="1" applyBorder="1" applyAlignment="1">
      <alignment horizontal="center" vertical="center" wrapText="1"/>
    </xf>
    <xf numFmtId="0" fontId="17" fillId="49" borderId="67" xfId="0" applyFont="1" applyFill="1" applyBorder="1" applyAlignment="1">
      <alignment horizontal="center" vertical="center"/>
    </xf>
    <xf numFmtId="0" fontId="17" fillId="49" borderId="23" xfId="0" applyFont="1" applyFill="1" applyBorder="1" applyAlignment="1">
      <alignment horizontal="center" vertical="center"/>
    </xf>
    <xf numFmtId="0" fontId="17" fillId="49" borderId="36" xfId="0" applyFont="1" applyFill="1" applyBorder="1" applyAlignment="1">
      <alignment horizontal="center" vertical="center"/>
    </xf>
    <xf numFmtId="0" fontId="17" fillId="49" borderId="27" xfId="0" applyFont="1" applyFill="1" applyBorder="1" applyAlignment="1">
      <alignment horizontal="center" vertical="center"/>
    </xf>
    <xf numFmtId="0" fontId="121" fillId="0" borderId="34" xfId="0" applyFont="1" applyBorder="1" applyAlignment="1">
      <alignment horizontal="center" vertical="top" wrapText="1"/>
    </xf>
    <xf numFmtId="0" fontId="121" fillId="17" borderId="4" xfId="0" applyFont="1" applyFill="1" applyBorder="1" applyAlignment="1">
      <alignment vertical="center"/>
    </xf>
    <xf numFmtId="1" fontId="121" fillId="81" borderId="4" xfId="0" applyNumberFormat="1" applyFont="1" applyFill="1" applyBorder="1" applyAlignment="1">
      <alignment horizontal="center" vertical="center"/>
    </xf>
    <xf numFmtId="0" fontId="121" fillId="17" borderId="38" xfId="0" applyFont="1" applyFill="1" applyBorder="1" applyAlignment="1">
      <alignment vertical="center"/>
    </xf>
    <xf numFmtId="1" fontId="121" fillId="81" borderId="38" xfId="0" applyNumberFormat="1" applyFont="1" applyFill="1" applyBorder="1" applyAlignment="1">
      <alignment horizontal="center" vertical="center"/>
    </xf>
    <xf numFmtId="0" fontId="121" fillId="17" borderId="43" xfId="0" applyFont="1" applyFill="1" applyBorder="1" applyAlignment="1">
      <alignment vertical="center"/>
    </xf>
    <xf numFmtId="1" fontId="121" fillId="81" borderId="43" xfId="0" applyNumberFormat="1" applyFont="1" applyFill="1" applyBorder="1" applyAlignment="1">
      <alignment horizontal="center" vertical="center"/>
    </xf>
    <xf numFmtId="0" fontId="65" fillId="45" borderId="4" xfId="1577" applyFont="1" applyFill="1" applyBorder="1" applyAlignment="1" applyProtection="1">
      <alignment vertical="center" wrapText="1"/>
      <protection locked="0"/>
    </xf>
    <xf numFmtId="0" fontId="2" fillId="25" borderId="7" xfId="0" applyFont="1" applyFill="1" applyBorder="1" applyAlignment="1" applyProtection="1">
      <alignment horizontal="left" vertical="center" wrapText="1"/>
      <protection locked="0"/>
    </xf>
    <xf numFmtId="14" fontId="65" fillId="42" borderId="3" xfId="0" applyNumberFormat="1" applyFont="1" applyFill="1" applyBorder="1" applyAlignment="1">
      <alignment horizontal="center" vertical="center" wrapText="1"/>
    </xf>
    <xf numFmtId="14" fontId="65" fillId="42" borderId="14" xfId="0" applyNumberFormat="1" applyFont="1" applyFill="1" applyBorder="1" applyAlignment="1">
      <alignment horizontal="center" vertical="center" wrapText="1"/>
    </xf>
    <xf numFmtId="14" fontId="65" fillId="46" borderId="2" xfId="0" applyNumberFormat="1" applyFont="1" applyFill="1" applyBorder="1" applyAlignment="1">
      <alignment horizontal="center" vertical="center" wrapText="1"/>
    </xf>
    <xf numFmtId="14" fontId="65" fillId="46" borderId="1" xfId="0" applyNumberFormat="1" applyFont="1" applyFill="1" applyBorder="1" applyAlignment="1">
      <alignment horizontal="center" vertical="center" wrapText="1"/>
    </xf>
    <xf numFmtId="14" fontId="55" fillId="0" borderId="4" xfId="3162" applyNumberFormat="1" applyFont="1" applyBorder="1" applyAlignment="1">
      <alignment horizontal="center" vertical="center"/>
    </xf>
    <xf numFmtId="0" fontId="52" fillId="0" borderId="39" xfId="3162" applyFont="1" applyBorder="1" applyAlignment="1" applyProtection="1">
      <alignment horizontal="center" vertical="center"/>
      <protection locked="0"/>
    </xf>
    <xf numFmtId="0" fontId="52" fillId="0" borderId="41" xfId="3162" applyFont="1" applyBorder="1" applyAlignment="1" applyProtection="1">
      <alignment horizontal="center" vertical="center"/>
      <protection locked="0"/>
    </xf>
    <xf numFmtId="0" fontId="52" fillId="0" borderId="44" xfId="3162" applyFont="1" applyBorder="1" applyAlignment="1" applyProtection="1">
      <alignment horizontal="center" vertical="center"/>
      <protection locked="0"/>
    </xf>
    <xf numFmtId="1" fontId="0" fillId="0" borderId="0" xfId="0" applyNumberFormat="1"/>
    <xf numFmtId="171" fontId="65" fillId="48" borderId="4" xfId="0" applyNumberFormat="1" applyFont="1" applyFill="1" applyBorder="1" applyAlignment="1" applyProtection="1">
      <alignment horizontal="left" vertical="center"/>
      <protection locked="0" hidden="1"/>
    </xf>
    <xf numFmtId="0" fontId="66" fillId="48" borderId="4" xfId="0" applyFont="1" applyFill="1" applyBorder="1" applyAlignment="1" applyProtection="1">
      <alignment horizontal="center" vertical="center"/>
      <protection hidden="1"/>
    </xf>
    <xf numFmtId="0" fontId="65" fillId="48" borderId="4" xfId="0" applyFont="1" applyFill="1" applyBorder="1" applyAlignment="1" applyProtection="1">
      <alignment horizontal="left" vertical="center"/>
      <protection locked="0" hidden="1"/>
    </xf>
    <xf numFmtId="49" fontId="118" fillId="45" borderId="4" xfId="0" applyNumberFormat="1" applyFont="1" applyFill="1" applyBorder="1" applyAlignment="1">
      <alignment horizontal="left" vertical="center" wrapText="1"/>
    </xf>
    <xf numFmtId="14" fontId="65" fillId="45" borderId="2" xfId="0" applyNumberFormat="1" applyFont="1" applyFill="1" applyBorder="1" applyAlignment="1">
      <alignment horizontal="center" vertical="center" wrapText="1"/>
    </xf>
    <xf numFmtId="14" fontId="65" fillId="45" borderId="1" xfId="0" applyNumberFormat="1" applyFont="1" applyFill="1" applyBorder="1" applyAlignment="1">
      <alignment horizontal="center" vertical="center" wrapText="1"/>
    </xf>
    <xf numFmtId="0" fontId="130" fillId="83" borderId="0" xfId="0" applyFont="1" applyFill="1" applyAlignment="1" applyProtection="1">
      <alignment horizontal="center" vertical="center"/>
      <protection hidden="1"/>
    </xf>
    <xf numFmtId="0" fontId="65" fillId="45" borderId="4" xfId="0" applyFont="1" applyFill="1" applyBorder="1" applyAlignment="1">
      <alignment horizontal="center" vertical="center" wrapText="1"/>
    </xf>
    <xf numFmtId="0" fontId="65" fillId="46" borderId="4" xfId="0" applyFont="1" applyFill="1" applyBorder="1" applyAlignment="1">
      <alignment horizontal="center" vertical="center" wrapText="1"/>
    </xf>
    <xf numFmtId="0" fontId="76" fillId="47" borderId="4" xfId="0" applyFont="1" applyFill="1" applyBorder="1" applyAlignment="1">
      <alignment horizontal="center" vertical="center" wrapText="1"/>
    </xf>
    <xf numFmtId="0" fontId="65" fillId="42" borderId="4" xfId="0" applyFont="1" applyFill="1" applyBorder="1" applyAlignment="1">
      <alignment horizontal="center" vertical="center" wrapText="1"/>
    </xf>
    <xf numFmtId="0" fontId="65" fillId="48" borderId="4" xfId="0" applyFont="1" applyFill="1" applyBorder="1" applyAlignment="1">
      <alignment horizontal="center" vertical="center" wrapText="1"/>
    </xf>
    <xf numFmtId="0" fontId="65" fillId="48" borderId="7" xfId="0" applyFont="1" applyFill="1" applyBorder="1" applyAlignment="1">
      <alignment horizontal="center" vertical="center" wrapText="1"/>
    </xf>
    <xf numFmtId="0" fontId="65" fillId="46" borderId="14" xfId="0" applyFont="1" applyFill="1" applyBorder="1" applyAlignment="1">
      <alignment horizontal="center" vertical="center" wrapText="1"/>
    </xf>
    <xf numFmtId="0" fontId="65" fillId="46" borderId="7" xfId="0" applyFont="1" applyFill="1" applyBorder="1" applyAlignment="1">
      <alignment horizontal="center" vertical="center" wrapText="1"/>
    </xf>
    <xf numFmtId="0" fontId="129" fillId="83" borderId="1" xfId="0" applyFont="1" applyFill="1" applyBorder="1" applyAlignment="1">
      <alignment horizontal="center" vertical="center" wrapText="1"/>
    </xf>
    <xf numFmtId="0" fontId="129" fillId="83" borderId="4" xfId="0" applyFont="1" applyFill="1" applyBorder="1" applyAlignment="1">
      <alignment horizontal="center" vertical="center" wrapText="1"/>
    </xf>
    <xf numFmtId="0" fontId="76" fillId="47" borderId="4" xfId="0" applyFont="1" applyFill="1" applyBorder="1" applyAlignment="1" applyProtection="1">
      <alignment horizontal="left" vertical="center"/>
      <protection locked="0" hidden="1"/>
    </xf>
    <xf numFmtId="0" fontId="0" fillId="80" borderId="0" xfId="0" applyFill="1" applyAlignment="1" applyProtection="1">
      <alignment horizontal="center" vertical="center"/>
      <protection locked="0"/>
    </xf>
    <xf numFmtId="0" fontId="12" fillId="0" borderId="0" xfId="0" applyFont="1" applyAlignment="1">
      <alignment horizontal="left" vertical="center"/>
    </xf>
    <xf numFmtId="0" fontId="41" fillId="86" borderId="4" xfId="0" applyFont="1" applyFill="1" applyBorder="1" applyAlignment="1">
      <alignment horizontal="left" vertical="center"/>
    </xf>
    <xf numFmtId="0" fontId="41" fillId="86" borderId="2" xfId="0" applyFont="1" applyFill="1" applyBorder="1" applyAlignment="1">
      <alignment horizontal="left" vertical="center"/>
    </xf>
    <xf numFmtId="3" fontId="16" fillId="0" borderId="4" xfId="0" applyNumberFormat="1" applyFont="1" applyBorder="1" applyAlignment="1">
      <alignment horizontal="left" vertical="center"/>
    </xf>
    <xf numFmtId="3" fontId="16" fillId="0" borderId="2" xfId="0" applyNumberFormat="1" applyFont="1" applyBorder="1" applyAlignment="1">
      <alignment horizontal="left" vertical="center"/>
    </xf>
    <xf numFmtId="0" fontId="73" fillId="84" borderId="4" xfId="0" applyFont="1" applyFill="1" applyBorder="1" applyAlignment="1">
      <alignment horizontal="left" vertical="center"/>
    </xf>
    <xf numFmtId="0" fontId="16" fillId="0" borderId="0" xfId="0" applyFont="1" applyAlignment="1">
      <alignment horizontal="left" vertical="center"/>
    </xf>
    <xf numFmtId="10" fontId="73" fillId="0" borderId="4" xfId="3208" applyNumberFormat="1" applyFont="1" applyBorder="1" applyAlignment="1">
      <alignment horizontal="left" vertical="center"/>
    </xf>
    <xf numFmtId="10" fontId="0" fillId="0" borderId="4" xfId="0" applyNumberFormat="1" applyBorder="1" applyAlignment="1">
      <alignment horizontal="left" vertical="center"/>
    </xf>
    <xf numFmtId="0" fontId="41" fillId="47" borderId="4" xfId="0" applyFont="1" applyFill="1" applyBorder="1" applyAlignment="1">
      <alignment horizontal="center" vertical="center"/>
    </xf>
    <xf numFmtId="0" fontId="73" fillId="84" borderId="1" xfId="0" applyFont="1" applyFill="1" applyBorder="1" applyAlignment="1">
      <alignment horizontal="left" vertical="center"/>
    </xf>
    <xf numFmtId="0" fontId="73" fillId="84" borderId="2" xfId="0" applyFont="1" applyFill="1" applyBorder="1" applyAlignment="1">
      <alignment horizontal="left" vertical="center"/>
    </xf>
    <xf numFmtId="0" fontId="16" fillId="84" borderId="4" xfId="0" applyFont="1" applyFill="1" applyBorder="1" applyAlignment="1">
      <alignment horizontal="center" vertical="center"/>
    </xf>
    <xf numFmtId="0" fontId="16" fillId="85" borderId="4" xfId="0" applyFont="1" applyFill="1" applyBorder="1" applyAlignment="1" applyProtection="1">
      <alignment horizontal="center" vertical="center"/>
      <protection locked="0"/>
    </xf>
    <xf numFmtId="0" fontId="41" fillId="86" borderId="8" xfId="0" applyFont="1" applyFill="1" applyBorder="1" applyAlignment="1">
      <alignment horizontal="left" vertical="center"/>
    </xf>
    <xf numFmtId="0" fontId="16" fillId="0" borderId="4" xfId="0" applyFont="1" applyBorder="1" applyAlignment="1">
      <alignment horizontal="center" vertical="center"/>
    </xf>
    <xf numFmtId="0" fontId="16" fillId="17" borderId="4" xfId="0" applyFont="1" applyFill="1" applyBorder="1" applyAlignment="1" applyProtection="1">
      <alignment horizontal="center" vertical="center"/>
      <protection locked="0"/>
    </xf>
    <xf numFmtId="0" fontId="73" fillId="85" borderId="1" xfId="0" applyFont="1" applyFill="1" applyBorder="1" applyAlignment="1" applyProtection="1">
      <alignment horizontal="left" vertical="center"/>
      <protection locked="0"/>
    </xf>
    <xf numFmtId="0" fontId="73" fillId="85" borderId="4" xfId="0" applyFont="1" applyFill="1" applyBorder="1" applyAlignment="1" applyProtection="1">
      <alignment horizontal="left" vertical="center"/>
      <protection locked="0"/>
    </xf>
    <xf numFmtId="0" fontId="73" fillId="85" borderId="2" xfId="0" applyFont="1" applyFill="1" applyBorder="1" applyAlignment="1" applyProtection="1">
      <alignment horizontal="left" vertical="center"/>
      <protection locked="0"/>
    </xf>
    <xf numFmtId="10" fontId="73" fillId="0" borderId="1" xfId="3208" applyNumberFormat="1" applyFont="1" applyBorder="1" applyAlignment="1">
      <alignment horizontal="left" vertical="center"/>
    </xf>
    <xf numFmtId="0" fontId="16" fillId="48" borderId="4" xfId="0" applyFont="1" applyFill="1" applyBorder="1" applyAlignment="1">
      <alignment horizontal="center" vertical="center"/>
    </xf>
    <xf numFmtId="0" fontId="73" fillId="48" borderId="4" xfId="0" applyFont="1" applyFill="1" applyBorder="1" applyAlignment="1">
      <alignment horizontal="center" vertical="center"/>
    </xf>
    <xf numFmtId="0" fontId="41" fillId="86" borderId="73" xfId="0" applyFont="1" applyFill="1" applyBorder="1" applyAlignment="1">
      <alignment horizontal="left" vertical="center"/>
    </xf>
    <xf numFmtId="0" fontId="41" fillId="86" borderId="74" xfId="0" applyFont="1" applyFill="1" applyBorder="1" applyAlignment="1">
      <alignment horizontal="left" vertical="center"/>
    </xf>
    <xf numFmtId="0" fontId="73" fillId="84" borderId="22" xfId="0" applyFont="1" applyFill="1" applyBorder="1" applyAlignment="1">
      <alignment horizontal="left" vertical="center"/>
    </xf>
    <xf numFmtId="3" fontId="73" fillId="85" borderId="22" xfId="0" applyNumberFormat="1" applyFont="1" applyFill="1" applyBorder="1" applyAlignment="1">
      <alignment horizontal="left" vertical="center"/>
    </xf>
    <xf numFmtId="3" fontId="73" fillId="87" borderId="23" xfId="0" applyNumberFormat="1" applyFont="1" applyFill="1" applyBorder="1" applyAlignment="1">
      <alignment horizontal="left" vertical="center"/>
    </xf>
    <xf numFmtId="0" fontId="73" fillId="0" borderId="3" xfId="0" applyFont="1" applyBorder="1" applyAlignment="1">
      <alignment horizontal="left" vertical="center"/>
    </xf>
    <xf numFmtId="3" fontId="73" fillId="85" borderId="3" xfId="0" applyNumberFormat="1" applyFont="1" applyFill="1" applyBorder="1" applyAlignment="1">
      <alignment horizontal="left" vertical="center"/>
    </xf>
    <xf numFmtId="0" fontId="73" fillId="84" borderId="3" xfId="0" applyFont="1" applyFill="1" applyBorder="1" applyAlignment="1">
      <alignment horizontal="left" vertical="center"/>
    </xf>
    <xf numFmtId="0" fontId="0" fillId="84" borderId="22" xfId="0" applyFill="1" applyBorder="1" applyAlignment="1">
      <alignment horizontal="left" vertical="center"/>
    </xf>
    <xf numFmtId="0" fontId="0" fillId="0" borderId="3" xfId="0" applyBorder="1" applyAlignment="1">
      <alignment horizontal="left" vertical="center"/>
    </xf>
    <xf numFmtId="0" fontId="0" fillId="84" borderId="3" xfId="0" applyFill="1" applyBorder="1" applyAlignment="1">
      <alignment horizontal="left" vertical="center"/>
    </xf>
    <xf numFmtId="0" fontId="73" fillId="0" borderId="75" xfId="0" applyFont="1" applyBorder="1" applyAlignment="1">
      <alignment horizontal="left" vertical="center"/>
    </xf>
    <xf numFmtId="3" fontId="73" fillId="85" borderId="75" xfId="0" applyNumberFormat="1" applyFont="1" applyFill="1" applyBorder="1" applyAlignment="1">
      <alignment horizontal="left" vertical="center"/>
    </xf>
    <xf numFmtId="0" fontId="0" fillId="0" borderId="75" xfId="0" applyBorder="1" applyAlignment="1">
      <alignment horizontal="left" vertical="center"/>
    </xf>
    <xf numFmtId="49" fontId="0" fillId="17" borderId="0" xfId="0" applyNumberFormat="1" applyFill="1" applyAlignment="1">
      <alignment horizontal="left"/>
    </xf>
    <xf numFmtId="0" fontId="51" fillId="89" borderId="2" xfId="3162" applyFont="1" applyFill="1" applyBorder="1" applyAlignment="1">
      <alignment horizontal="center" vertical="center" wrapText="1"/>
    </xf>
    <xf numFmtId="0" fontId="51" fillId="89" borderId="4" xfId="3162" applyFont="1" applyFill="1" applyBorder="1" applyAlignment="1">
      <alignment horizontal="center" vertical="center" wrapText="1"/>
    </xf>
    <xf numFmtId="0" fontId="51" fillId="89" borderId="4" xfId="3162" applyFont="1" applyFill="1" applyBorder="1" applyAlignment="1" applyProtection="1">
      <alignment horizontal="center" vertical="center" wrapText="1"/>
      <protection locked="0"/>
    </xf>
    <xf numFmtId="0" fontId="18" fillId="89" borderId="29" xfId="0" applyFont="1" applyFill="1" applyBorder="1" applyAlignment="1">
      <alignment horizontal="center" vertical="center"/>
    </xf>
    <xf numFmtId="0" fontId="18" fillId="89" borderId="30" xfId="0" applyFont="1" applyFill="1" applyBorder="1" applyAlignment="1">
      <alignment horizontal="center" vertical="center"/>
    </xf>
    <xf numFmtId="0" fontId="0" fillId="89" borderId="0" xfId="0" applyFill="1" applyAlignment="1">
      <alignment vertical="center"/>
    </xf>
    <xf numFmtId="0" fontId="0" fillId="89" borderId="8" xfId="0" applyFill="1" applyBorder="1" applyAlignment="1">
      <alignment horizontal="center" vertical="center"/>
    </xf>
    <xf numFmtId="0" fontId="0" fillId="89" borderId="6" xfId="0" applyFill="1" applyBorder="1" applyAlignment="1">
      <alignment horizontal="center" vertical="center" wrapText="1"/>
    </xf>
    <xf numFmtId="0" fontId="0" fillId="89" borderId="6" xfId="0" applyFill="1" applyBorder="1" applyAlignment="1" applyProtection="1">
      <alignment horizontal="center" vertical="center"/>
      <protection locked="0"/>
    </xf>
    <xf numFmtId="0" fontId="0" fillId="89" borderId="4" xfId="0" applyFill="1" applyBorder="1" applyAlignment="1">
      <alignment horizontal="center" vertical="center" wrapText="1"/>
    </xf>
    <xf numFmtId="0" fontId="0" fillId="89" borderId="4" xfId="0" applyFill="1" applyBorder="1" applyAlignment="1" applyProtection="1">
      <alignment horizontal="center" vertical="center"/>
      <protection locked="0"/>
    </xf>
    <xf numFmtId="0" fontId="18" fillId="89" borderId="29" xfId="0" applyFont="1" applyFill="1" applyBorder="1" applyAlignment="1" applyProtection="1">
      <alignment horizontal="center" vertical="center"/>
      <protection locked="0"/>
    </xf>
    <xf numFmtId="0" fontId="18" fillId="89" borderId="30" xfId="0" applyFont="1" applyFill="1" applyBorder="1" applyAlignment="1" applyProtection="1">
      <alignment horizontal="center" vertical="center"/>
      <protection locked="0"/>
    </xf>
    <xf numFmtId="0" fontId="0" fillId="89" borderId="0" xfId="0" applyFill="1" applyAlignment="1" applyProtection="1">
      <alignment vertical="center"/>
      <protection locked="0"/>
    </xf>
    <xf numFmtId="0" fontId="51" fillId="89" borderId="15" xfId="3162" applyFont="1" applyFill="1" applyBorder="1" applyAlignment="1">
      <alignment horizontal="center" vertical="center" wrapText="1"/>
    </xf>
    <xf numFmtId="0" fontId="51" fillId="89" borderId="7" xfId="3162" applyFont="1" applyFill="1" applyBorder="1" applyAlignment="1">
      <alignment horizontal="center" vertical="center" wrapText="1"/>
    </xf>
    <xf numFmtId="0" fontId="51" fillId="89" borderId="7" xfId="3162" applyFont="1" applyFill="1" applyBorder="1" applyAlignment="1" applyProtection="1">
      <alignment horizontal="center" vertical="center" wrapText="1"/>
      <protection locked="0"/>
    </xf>
    <xf numFmtId="0" fontId="66" fillId="45" borderId="0" xfId="0" applyFont="1" applyFill="1" applyAlignment="1">
      <alignment horizontal="center" vertical="center" wrapText="1"/>
    </xf>
    <xf numFmtId="0" fontId="66" fillId="45" borderId="0" xfId="0" applyFont="1" applyFill="1" applyAlignment="1" applyProtection="1">
      <alignment horizontal="center" vertical="center" wrapText="1"/>
      <protection locked="0"/>
    </xf>
    <xf numFmtId="0" fontId="66" fillId="45" borderId="0" xfId="0" applyFont="1" applyFill="1" applyAlignment="1" applyProtection="1">
      <alignment horizontal="left" vertical="center"/>
      <protection hidden="1"/>
    </xf>
    <xf numFmtId="0" fontId="65" fillId="45" borderId="0" xfId="0" applyFont="1" applyFill="1" applyAlignment="1" applyProtection="1">
      <alignment vertical="center"/>
      <protection hidden="1"/>
    </xf>
    <xf numFmtId="0" fontId="65" fillId="45" borderId="0" xfId="0" applyFont="1" applyFill="1" applyAlignment="1" applyProtection="1">
      <alignment horizontal="left" vertical="center"/>
      <protection hidden="1"/>
    </xf>
    <xf numFmtId="0" fontId="65" fillId="45" borderId="0" xfId="0" applyFont="1" applyFill="1" applyAlignment="1" applyProtection="1">
      <alignment horizontal="left" vertical="center" wrapText="1"/>
      <protection hidden="1"/>
    </xf>
    <xf numFmtId="0" fontId="66" fillId="45" borderId="0" xfId="0" applyFont="1" applyFill="1" applyAlignment="1" applyProtection="1">
      <alignment horizontal="center" vertical="center" wrapText="1"/>
      <protection hidden="1"/>
    </xf>
    <xf numFmtId="0" fontId="66" fillId="45" borderId="0" xfId="0" applyFont="1" applyFill="1" applyAlignment="1" applyProtection="1">
      <alignment vertical="center" wrapText="1"/>
      <protection hidden="1"/>
    </xf>
    <xf numFmtId="0" fontId="66" fillId="45" borderId="0" xfId="0" applyFont="1" applyFill="1" applyAlignment="1" applyProtection="1">
      <alignment vertical="center"/>
      <protection hidden="1"/>
    </xf>
    <xf numFmtId="0" fontId="129" fillId="33" borderId="4" xfId="0" applyFont="1" applyFill="1" applyBorder="1" applyAlignment="1">
      <alignment vertical="center" wrapText="1"/>
    </xf>
    <xf numFmtId="0" fontId="129" fillId="33" borderId="4" xfId="0" applyFont="1" applyFill="1" applyBorder="1" applyAlignment="1">
      <alignment horizontal="left" vertical="center" wrapText="1"/>
    </xf>
    <xf numFmtId="0" fontId="83" fillId="0" borderId="0" xfId="0" applyFont="1"/>
    <xf numFmtId="0" fontId="41" fillId="16" borderId="0" xfId="1602" applyFont="1" applyFill="1" applyAlignment="1" applyProtection="1">
      <alignment vertical="center"/>
      <protection locked="0"/>
    </xf>
    <xf numFmtId="0" fontId="16" fillId="0" borderId="12" xfId="1602" applyFont="1" applyBorder="1" applyAlignment="1">
      <alignment horizontal="right" vertical="center" wrapText="1"/>
    </xf>
    <xf numFmtId="0" fontId="16" fillId="0" borderId="5" xfId="1602" applyFont="1" applyBorder="1" applyAlignment="1">
      <alignment horizontal="left" vertical="center" wrapText="1"/>
    </xf>
    <xf numFmtId="0" fontId="16" fillId="0" borderId="5" xfId="1602" applyFont="1" applyBorder="1" applyAlignment="1" applyProtection="1">
      <alignment horizontal="center" vertical="center"/>
      <protection locked="0"/>
    </xf>
    <xf numFmtId="0" fontId="16" fillId="0" borderId="5" xfId="1602" applyFont="1" applyBorder="1" applyAlignment="1" applyProtection="1">
      <alignment horizontal="center" vertical="center"/>
      <protection hidden="1"/>
    </xf>
    <xf numFmtId="0" fontId="16" fillId="0" borderId="5" xfId="1602" applyFont="1" applyBorder="1" applyAlignment="1" applyProtection="1">
      <alignment vertical="center" wrapText="1"/>
      <protection hidden="1"/>
    </xf>
    <xf numFmtId="170" fontId="16" fillId="0" borderId="9" xfId="1602" applyNumberFormat="1" applyFont="1" applyBorder="1" applyAlignment="1" applyProtection="1">
      <alignment horizontal="center" vertical="center"/>
      <protection locked="0"/>
    </xf>
    <xf numFmtId="170" fontId="16" fillId="0" borderId="5" xfId="1602" applyNumberFormat="1" applyFont="1" applyBorder="1" applyAlignment="1" applyProtection="1">
      <alignment horizontal="center" vertical="center"/>
      <protection locked="0"/>
    </xf>
    <xf numFmtId="0" fontId="16" fillId="0" borderId="5" xfId="1602" applyFont="1" applyBorder="1" applyAlignment="1" applyProtection="1">
      <alignment horizontal="center" vertical="center"/>
      <protection locked="0" hidden="1"/>
    </xf>
    <xf numFmtId="0" fontId="16" fillId="0" borderId="5" xfId="1602" applyFont="1" applyBorder="1" applyAlignment="1" applyProtection="1">
      <alignment vertical="center" wrapText="1"/>
      <protection locked="0"/>
    </xf>
    <xf numFmtId="0" fontId="65" fillId="45" borderId="4" xfId="0" applyFont="1" applyFill="1" applyBorder="1" applyAlignment="1" applyProtection="1">
      <alignment horizontal="left" vertical="center"/>
      <protection locked="0" hidden="1"/>
    </xf>
    <xf numFmtId="0" fontId="65" fillId="48" borderId="14" xfId="0" applyFont="1" applyFill="1" applyBorder="1" applyAlignment="1">
      <alignment horizontal="center" vertical="center" wrapText="1"/>
    </xf>
    <xf numFmtId="14" fontId="73" fillId="0" borderId="0" xfId="0" applyNumberFormat="1" applyFont="1" applyAlignment="1">
      <alignment horizontal="center" vertical="center"/>
    </xf>
    <xf numFmtId="0" fontId="65" fillId="35" borderId="14" xfId="0" applyFont="1" applyFill="1" applyBorder="1" applyAlignment="1">
      <alignment horizontal="center" vertical="center"/>
    </xf>
    <xf numFmtId="14" fontId="131" fillId="47" borderId="4" xfId="0" applyNumberFormat="1" applyFont="1" applyFill="1" applyBorder="1" applyAlignment="1" applyProtection="1">
      <alignment horizontal="center" vertical="center"/>
      <protection hidden="1"/>
    </xf>
    <xf numFmtId="0" fontId="65" fillId="45" borderId="4" xfId="1584" applyFont="1" applyFill="1" applyBorder="1" applyAlignment="1" applyProtection="1">
      <alignment horizontal="center" vertical="center" wrapText="1"/>
      <protection locked="0" hidden="1"/>
    </xf>
    <xf numFmtId="0" fontId="65" fillId="46" borderId="4" xfId="1584" applyFont="1" applyFill="1" applyBorder="1" applyAlignment="1" applyProtection="1">
      <alignment horizontal="center" vertical="center" wrapText="1"/>
      <protection locked="0" hidden="1"/>
    </xf>
    <xf numFmtId="0" fontId="76" fillId="47" borderId="4" xfId="1584" applyFont="1" applyFill="1" applyBorder="1" applyAlignment="1" applyProtection="1">
      <alignment horizontal="center" vertical="center" wrapText="1"/>
      <protection locked="0" hidden="1"/>
    </xf>
    <xf numFmtId="0" fontId="65" fillId="42" borderId="4" xfId="1584" applyFont="1" applyFill="1" applyBorder="1" applyAlignment="1" applyProtection="1">
      <alignment horizontal="center" vertical="center" wrapText="1"/>
      <protection locked="0" hidden="1"/>
    </xf>
    <xf numFmtId="0" fontId="65" fillId="48" borderId="4" xfId="1584" applyFont="1" applyFill="1" applyBorder="1" applyAlignment="1" applyProtection="1">
      <alignment horizontal="center" vertical="center" wrapText="1"/>
      <protection locked="0" hidden="1"/>
    </xf>
    <xf numFmtId="14" fontId="65" fillId="48" borderId="2" xfId="0" applyNumberFormat="1" applyFont="1" applyFill="1" applyBorder="1" applyAlignment="1">
      <alignment horizontal="center" vertical="center" wrapText="1"/>
    </xf>
    <xf numFmtId="14" fontId="65" fillId="48" borderId="1" xfId="0" applyNumberFormat="1" applyFont="1" applyFill="1" applyBorder="1" applyAlignment="1">
      <alignment horizontal="center" vertical="center" wrapText="1"/>
    </xf>
    <xf numFmtId="171" fontId="76" fillId="47" borderId="4" xfId="0" applyNumberFormat="1" applyFont="1" applyFill="1" applyBorder="1" applyAlignment="1" applyProtection="1">
      <alignment horizontal="center" vertical="center"/>
      <protection locked="0"/>
    </xf>
    <xf numFmtId="171" fontId="76" fillId="47" borderId="4" xfId="0" applyNumberFormat="1" applyFont="1" applyFill="1" applyBorder="1" applyAlignment="1">
      <alignment horizontal="center" vertical="center" wrapText="1"/>
    </xf>
    <xf numFmtId="0" fontId="12" fillId="0" borderId="4" xfId="0" applyFont="1" applyBorder="1" applyAlignment="1">
      <alignment horizontal="right"/>
    </xf>
    <xf numFmtId="0" fontId="12" fillId="0" borderId="4" xfId="0" applyFont="1" applyBorder="1" applyAlignment="1">
      <alignment horizontal="center"/>
    </xf>
    <xf numFmtId="0" fontId="12" fillId="45" borderId="4" xfId="0" applyFont="1" applyFill="1" applyBorder="1" applyAlignment="1">
      <alignment horizontal="left"/>
    </xf>
    <xf numFmtId="0" fontId="12" fillId="17" borderId="4" xfId="0" applyFont="1" applyFill="1" applyBorder="1" applyAlignment="1">
      <alignment horizontal="left"/>
    </xf>
    <xf numFmtId="0" fontId="65" fillId="46" borderId="4" xfId="0" applyFont="1" applyFill="1" applyBorder="1" applyAlignment="1" applyProtection="1">
      <alignment horizontal="left" vertical="center"/>
      <protection locked="0" hidden="1"/>
    </xf>
    <xf numFmtId="171" fontId="65" fillId="45" borderId="4" xfId="0" applyNumberFormat="1" applyFont="1" applyFill="1" applyBorder="1" applyAlignment="1" applyProtection="1">
      <alignment horizontal="center" vertical="center"/>
      <protection locked="0"/>
    </xf>
    <xf numFmtId="171" fontId="65" fillId="45" borderId="4" xfId="0" applyNumberFormat="1" applyFont="1" applyFill="1" applyBorder="1" applyAlignment="1">
      <alignment horizontal="center" vertical="center" wrapText="1"/>
    </xf>
    <xf numFmtId="0" fontId="65" fillId="48" borderId="4" xfId="1584" applyFont="1" applyFill="1" applyBorder="1" applyAlignment="1">
      <alignment horizontal="center" vertical="center" wrapText="1"/>
    </xf>
    <xf numFmtId="170" fontId="16" fillId="90" borderId="4" xfId="1602" applyNumberFormat="1" applyFont="1" applyFill="1" applyBorder="1" applyAlignment="1" applyProtection="1">
      <alignment horizontal="center" vertical="center"/>
      <protection locked="0"/>
    </xf>
    <xf numFmtId="0" fontId="16" fillId="90" borderId="4" xfId="1602" applyFont="1" applyFill="1" applyBorder="1" applyAlignment="1">
      <alignment horizontal="left" vertical="center" wrapText="1"/>
    </xf>
    <xf numFmtId="0" fontId="16" fillId="90" borderId="4" xfId="1602" applyFont="1" applyFill="1" applyBorder="1" applyAlignment="1" applyProtection="1">
      <alignment horizontal="center" vertical="center"/>
      <protection locked="0"/>
    </xf>
    <xf numFmtId="170" fontId="16" fillId="25" borderId="4" xfId="1602" applyNumberFormat="1" applyFont="1" applyFill="1" applyBorder="1" applyAlignment="1" applyProtection="1">
      <alignment horizontal="center" vertical="center"/>
      <protection locked="0"/>
    </xf>
    <xf numFmtId="49" fontId="16" fillId="90" borderId="4" xfId="1602" applyNumberFormat="1" applyFont="1" applyFill="1" applyBorder="1" applyAlignment="1">
      <alignment horizontal="center" vertical="center"/>
    </xf>
    <xf numFmtId="0" fontId="39" fillId="90" borderId="4" xfId="1602" applyFont="1" applyFill="1" applyBorder="1" applyAlignment="1" applyProtection="1">
      <alignment vertical="center" wrapText="1"/>
      <protection locked="0"/>
    </xf>
    <xf numFmtId="0" fontId="16" fillId="90" borderId="4" xfId="1602" applyFont="1" applyFill="1" applyBorder="1" applyAlignment="1" applyProtection="1">
      <alignment vertical="center"/>
      <protection locked="0"/>
    </xf>
    <xf numFmtId="0" fontId="76" fillId="47" borderId="4" xfId="1577" applyFont="1" applyFill="1" applyBorder="1" applyAlignment="1" applyProtection="1">
      <alignment vertical="center" wrapText="1"/>
      <protection locked="0"/>
    </xf>
    <xf numFmtId="165" fontId="76" fillId="47" borderId="4" xfId="7" applyFont="1" applyFill="1" applyBorder="1" applyAlignment="1" applyProtection="1">
      <alignment horizontal="center" vertical="center"/>
      <protection locked="0" hidden="1"/>
    </xf>
    <xf numFmtId="0" fontId="16" fillId="0" borderId="6" xfId="1602" applyFont="1" applyBorder="1" applyAlignment="1" applyProtection="1">
      <alignment horizontal="center" vertical="center"/>
      <protection locked="0"/>
    </xf>
    <xf numFmtId="0" fontId="16" fillId="0" borderId="4" xfId="0" applyFont="1" applyBorder="1" applyAlignment="1" applyProtection="1">
      <alignment vertical="center" wrapText="1"/>
      <protection locked="0"/>
    </xf>
    <xf numFmtId="0" fontId="52" fillId="0" borderId="4" xfId="0" applyFont="1" applyBorder="1" applyAlignment="1">
      <alignment horizontal="center" vertical="center"/>
    </xf>
    <xf numFmtId="0" fontId="12" fillId="0" borderId="4" xfId="0" applyFont="1" applyBorder="1" applyAlignment="1">
      <alignment horizontal="center" vertical="center"/>
    </xf>
    <xf numFmtId="0" fontId="52" fillId="0" borderId="4" xfId="0" applyFont="1" applyBorder="1" applyAlignment="1">
      <alignment horizontal="left" vertical="center"/>
    </xf>
    <xf numFmtId="0" fontId="52" fillId="0" borderId="4" xfId="0" applyFont="1" applyBorder="1"/>
    <xf numFmtId="0" fontId="52" fillId="25" borderId="4" xfId="0" applyFont="1" applyFill="1" applyBorder="1"/>
    <xf numFmtId="0" fontId="52" fillId="17" borderId="4" xfId="0" applyFont="1" applyFill="1" applyBorder="1" applyAlignment="1">
      <alignment horizontal="center"/>
    </xf>
    <xf numFmtId="0" fontId="52" fillId="0" borderId="4" xfId="0" applyFont="1" applyBorder="1" applyAlignment="1">
      <alignment horizontal="center"/>
    </xf>
    <xf numFmtId="0" fontId="0" fillId="17" borderId="4" xfId="0" applyFill="1" applyBorder="1" applyAlignment="1">
      <alignment horizontal="center"/>
    </xf>
    <xf numFmtId="0" fontId="52" fillId="0" borderId="4" xfId="0" applyFont="1" applyBorder="1" applyAlignment="1">
      <alignment horizontal="left"/>
    </xf>
    <xf numFmtId="20" fontId="0" fillId="0" borderId="0" xfId="0" applyNumberFormat="1" applyAlignment="1">
      <alignment horizontal="center"/>
    </xf>
    <xf numFmtId="14" fontId="65" fillId="45" borderId="4" xfId="1584" applyNumberFormat="1" applyFont="1" applyFill="1" applyBorder="1" applyAlignment="1" applyProtection="1">
      <alignment horizontal="left" vertical="center"/>
      <protection locked="0"/>
    </xf>
    <xf numFmtId="14" fontId="65" fillId="45" borderId="4" xfId="0" applyNumberFormat="1" applyFont="1" applyFill="1" applyBorder="1" applyAlignment="1" applyProtection="1">
      <alignment horizontal="left" vertical="center"/>
      <protection locked="0"/>
    </xf>
    <xf numFmtId="14" fontId="65" fillId="46" borderId="4" xfId="0" applyNumberFormat="1" applyFont="1" applyFill="1" applyBorder="1" applyAlignment="1" applyProtection="1">
      <alignment horizontal="left" vertical="center"/>
      <protection locked="0"/>
    </xf>
    <xf numFmtId="171" fontId="76" fillId="47" borderId="4" xfId="0" applyNumberFormat="1" applyFont="1" applyFill="1" applyBorder="1" applyAlignment="1" applyProtection="1">
      <alignment horizontal="left" vertical="center"/>
      <protection locked="0"/>
    </xf>
    <xf numFmtId="14" fontId="76" fillId="47" borderId="4" xfId="0" applyNumberFormat="1" applyFont="1" applyFill="1" applyBorder="1" applyAlignment="1" applyProtection="1">
      <alignment horizontal="left" vertical="center"/>
      <protection locked="0"/>
    </xf>
    <xf numFmtId="171" fontId="65" fillId="42" borderId="4" xfId="0" applyNumberFormat="1" applyFont="1" applyFill="1" applyBorder="1" applyAlignment="1" applyProtection="1">
      <alignment horizontal="left" vertical="center"/>
      <protection locked="0"/>
    </xf>
    <xf numFmtId="14" fontId="65" fillId="42" borderId="4" xfId="0" applyNumberFormat="1" applyFont="1" applyFill="1" applyBorder="1" applyAlignment="1" applyProtection="1">
      <alignment horizontal="left" vertical="center"/>
      <protection locked="0"/>
    </xf>
    <xf numFmtId="14" fontId="65" fillId="42" borderId="4" xfId="1584" applyNumberFormat="1" applyFont="1" applyFill="1" applyBorder="1" applyAlignment="1" applyProtection="1">
      <alignment horizontal="left" vertical="center"/>
      <protection locked="0"/>
    </xf>
    <xf numFmtId="171" fontId="65" fillId="46" borderId="4" xfId="0" applyNumberFormat="1" applyFont="1" applyFill="1" applyBorder="1" applyAlignment="1" applyProtection="1">
      <alignment horizontal="left" vertical="center"/>
      <protection locked="0"/>
    </xf>
    <xf numFmtId="14" fontId="65" fillId="46" borderId="4" xfId="1584" applyNumberFormat="1" applyFont="1" applyFill="1" applyBorder="1" applyAlignment="1" applyProtection="1">
      <alignment horizontal="left" vertical="center"/>
      <protection locked="0"/>
    </xf>
    <xf numFmtId="14" fontId="65" fillId="48" borderId="4" xfId="0" applyNumberFormat="1" applyFont="1" applyFill="1" applyBorder="1" applyAlignment="1" applyProtection="1">
      <alignment horizontal="left" vertical="center"/>
      <protection locked="0"/>
    </xf>
    <xf numFmtId="171" fontId="65" fillId="48" borderId="4" xfId="0" applyNumberFormat="1" applyFont="1" applyFill="1" applyBorder="1" applyAlignment="1" applyProtection="1">
      <alignment horizontal="left" vertical="center"/>
      <protection locked="0"/>
    </xf>
    <xf numFmtId="14" fontId="65" fillId="48" borderId="4" xfId="1584" applyNumberFormat="1" applyFont="1" applyFill="1" applyBorder="1" applyAlignment="1" applyProtection="1">
      <alignment horizontal="left" vertical="center"/>
      <protection locked="0"/>
    </xf>
    <xf numFmtId="14" fontId="76" fillId="47" borderId="4" xfId="1577" applyNumberFormat="1" applyFont="1" applyFill="1" applyBorder="1" applyAlignment="1" applyProtection="1">
      <alignment horizontal="left" vertical="center"/>
      <protection locked="0"/>
    </xf>
    <xf numFmtId="14" fontId="65" fillId="45" borderId="4" xfId="1577" applyNumberFormat="1" applyFont="1" applyFill="1" applyBorder="1" applyAlignment="1" applyProtection="1">
      <alignment horizontal="left" vertical="center"/>
      <protection locked="0"/>
    </xf>
    <xf numFmtId="14" fontId="76" fillId="47" borderId="4" xfId="1584" applyNumberFormat="1" applyFont="1" applyFill="1" applyBorder="1" applyAlignment="1" applyProtection="1">
      <alignment horizontal="left" vertical="center"/>
      <protection locked="0"/>
    </xf>
    <xf numFmtId="171" fontId="65" fillId="45" borderId="4" xfId="0" applyNumberFormat="1" applyFont="1" applyFill="1" applyBorder="1" applyAlignment="1" applyProtection="1">
      <alignment horizontal="left" vertical="center"/>
      <protection locked="0"/>
    </xf>
    <xf numFmtId="14" fontId="76" fillId="47" borderId="4" xfId="0" applyNumberFormat="1" applyFont="1" applyFill="1" applyBorder="1" applyAlignment="1" applyProtection="1">
      <alignment horizontal="center" vertical="center"/>
      <protection locked="0" hidden="1"/>
    </xf>
    <xf numFmtId="14" fontId="65" fillId="45" borderId="4" xfId="0" applyNumberFormat="1" applyFont="1" applyFill="1" applyBorder="1" applyAlignment="1" applyProtection="1">
      <alignment horizontal="center" vertical="center"/>
      <protection locked="0" hidden="1"/>
    </xf>
    <xf numFmtId="14" fontId="65" fillId="46" borderId="4" xfId="0" applyNumberFormat="1" applyFont="1" applyFill="1" applyBorder="1" applyAlignment="1" applyProtection="1">
      <alignment horizontal="center" vertical="center"/>
      <protection locked="0" hidden="1"/>
    </xf>
    <xf numFmtId="14" fontId="65" fillId="48" borderId="4" xfId="0" applyNumberFormat="1" applyFont="1" applyFill="1" applyBorder="1" applyAlignment="1" applyProtection="1">
      <alignment horizontal="center" vertical="center"/>
      <protection locked="0" hidden="1"/>
    </xf>
    <xf numFmtId="14" fontId="65" fillId="42" borderId="4" xfId="0" applyNumberFormat="1" applyFont="1" applyFill="1" applyBorder="1" applyAlignment="1" applyProtection="1">
      <alignment horizontal="center" vertical="center"/>
      <protection locked="0" hidden="1"/>
    </xf>
    <xf numFmtId="0" fontId="65" fillId="0" borderId="4" xfId="0" applyFont="1" applyBorder="1"/>
    <xf numFmtId="171" fontId="65" fillId="46" borderId="4" xfId="0" applyNumberFormat="1" applyFont="1" applyFill="1" applyBorder="1" applyAlignment="1" applyProtection="1">
      <alignment horizontal="center" vertical="center"/>
      <protection locked="0"/>
    </xf>
    <xf numFmtId="171" fontId="65" fillId="46" borderId="4" xfId="0" applyNumberFormat="1" applyFont="1" applyFill="1" applyBorder="1" applyAlignment="1">
      <alignment horizontal="center" vertical="center" wrapText="1"/>
    </xf>
    <xf numFmtId="0" fontId="65" fillId="48" borderId="7" xfId="0" applyFont="1" applyFill="1" applyBorder="1" applyAlignment="1" applyProtection="1">
      <alignment horizontal="center" vertical="center"/>
      <protection hidden="1"/>
    </xf>
    <xf numFmtId="0" fontId="65" fillId="48" borderId="7" xfId="0" applyFont="1" applyFill="1" applyBorder="1" applyAlignment="1" applyProtection="1">
      <alignment horizontal="center" vertical="center"/>
      <protection locked="0" hidden="1"/>
    </xf>
    <xf numFmtId="0" fontId="65" fillId="48" borderId="7" xfId="0" applyFont="1" applyFill="1" applyBorder="1" applyAlignment="1" applyProtection="1">
      <alignment horizontal="left" vertical="center" wrapText="1"/>
      <protection locked="0"/>
    </xf>
    <xf numFmtId="49" fontId="65" fillId="48" borderId="7" xfId="0" applyNumberFormat="1" applyFont="1" applyFill="1" applyBorder="1" applyAlignment="1" applyProtection="1">
      <alignment horizontal="left" vertical="center"/>
      <protection locked="0" hidden="1"/>
    </xf>
    <xf numFmtId="49" fontId="65" fillId="48" borderId="7" xfId="0" applyNumberFormat="1" applyFont="1" applyFill="1" applyBorder="1" applyAlignment="1" applyProtection="1">
      <alignment horizontal="center" vertical="center"/>
      <protection locked="0" hidden="1"/>
    </xf>
    <xf numFmtId="0" fontId="65" fillId="48" borderId="7" xfId="1584" applyFont="1" applyFill="1" applyBorder="1" applyAlignment="1" applyProtection="1">
      <alignment horizontal="center" vertical="center" wrapText="1"/>
      <protection locked="0" hidden="1"/>
    </xf>
    <xf numFmtId="14" fontId="65" fillId="48" borderId="7" xfId="0" applyNumberFormat="1" applyFont="1" applyFill="1" applyBorder="1" applyAlignment="1" applyProtection="1">
      <alignment horizontal="left" vertical="center"/>
      <protection locked="0"/>
    </xf>
    <xf numFmtId="14" fontId="65" fillId="48" borderId="7" xfId="0" applyNumberFormat="1" applyFont="1" applyFill="1" applyBorder="1" applyAlignment="1" applyProtection="1">
      <alignment horizontal="left" vertical="center"/>
      <protection locked="0" hidden="1"/>
    </xf>
    <xf numFmtId="49" fontId="65" fillId="48" borderId="7" xfId="0" applyNumberFormat="1" applyFont="1" applyFill="1" applyBorder="1" applyAlignment="1" applyProtection="1">
      <alignment horizontal="left" vertical="center"/>
      <protection locked="0"/>
    </xf>
    <xf numFmtId="14" fontId="65" fillId="48" borderId="7" xfId="0" applyNumberFormat="1" applyFont="1" applyFill="1" applyBorder="1" applyAlignment="1" applyProtection="1">
      <alignment horizontal="center" vertical="center"/>
      <protection locked="0"/>
    </xf>
    <xf numFmtId="0" fontId="65" fillId="48" borderId="7" xfId="0" applyFont="1" applyFill="1" applyBorder="1" applyAlignment="1" applyProtection="1">
      <alignment horizontal="center" vertical="center"/>
      <protection locked="0"/>
    </xf>
    <xf numFmtId="0" fontId="76" fillId="47" borderId="7" xfId="0" applyFont="1" applyFill="1" applyBorder="1" applyAlignment="1" applyProtection="1">
      <alignment horizontal="center" vertical="center"/>
      <protection hidden="1"/>
    </xf>
    <xf numFmtId="0" fontId="76" fillId="47" borderId="7" xfId="0" applyFont="1" applyFill="1" applyBorder="1" applyAlignment="1" applyProtection="1">
      <alignment horizontal="center" vertical="center"/>
      <protection locked="0" hidden="1"/>
    </xf>
    <xf numFmtId="0" fontId="76" fillId="47" borderId="7" xfId="0" applyFont="1" applyFill="1" applyBorder="1" applyAlignment="1" applyProtection="1">
      <alignment horizontal="left" vertical="center" wrapText="1"/>
      <protection locked="0"/>
    </xf>
    <xf numFmtId="49" fontId="76" fillId="47" borderId="7" xfId="0" applyNumberFormat="1" applyFont="1" applyFill="1" applyBorder="1" applyAlignment="1" applyProtection="1">
      <alignment horizontal="left" vertical="center"/>
      <protection locked="0" hidden="1"/>
    </xf>
    <xf numFmtId="49" fontId="76" fillId="47" borderId="7" xfId="0" applyNumberFormat="1" applyFont="1" applyFill="1" applyBorder="1" applyAlignment="1" applyProtection="1">
      <alignment horizontal="center" vertical="center"/>
      <protection locked="0" hidden="1"/>
    </xf>
    <xf numFmtId="0" fontId="76" fillId="47" borderId="7" xfId="1584" applyFont="1" applyFill="1" applyBorder="1" applyAlignment="1" applyProtection="1">
      <alignment horizontal="center" vertical="center" wrapText="1"/>
      <protection locked="0" hidden="1"/>
    </xf>
    <xf numFmtId="14" fontId="76" fillId="47" borderId="7" xfId="0" applyNumberFormat="1" applyFont="1" applyFill="1" applyBorder="1" applyAlignment="1" applyProtection="1">
      <alignment horizontal="left" vertical="center"/>
      <protection locked="0"/>
    </xf>
    <xf numFmtId="14" fontId="76" fillId="47" borderId="7" xfId="0" applyNumberFormat="1" applyFont="1" applyFill="1" applyBorder="1" applyAlignment="1" applyProtection="1">
      <alignment horizontal="left" vertical="center"/>
      <protection locked="0" hidden="1"/>
    </xf>
    <xf numFmtId="49" fontId="76" fillId="47" borderId="7" xfId="0" applyNumberFormat="1" applyFont="1" applyFill="1" applyBorder="1" applyAlignment="1" applyProtection="1">
      <alignment horizontal="left" vertical="center"/>
      <protection locked="0"/>
    </xf>
    <xf numFmtId="14" fontId="76" fillId="47" borderId="7" xfId="0" applyNumberFormat="1" applyFont="1" applyFill="1" applyBorder="1" applyAlignment="1" applyProtection="1">
      <alignment horizontal="center" vertical="center"/>
      <protection locked="0"/>
    </xf>
    <xf numFmtId="0" fontId="76" fillId="47" borderId="7" xfId="0" applyFont="1" applyFill="1" applyBorder="1" applyAlignment="1" applyProtection="1">
      <alignment horizontal="center" vertical="center"/>
      <protection locked="0"/>
    </xf>
    <xf numFmtId="0" fontId="76" fillId="47" borderId="7" xfId="0" applyFont="1" applyFill="1" applyBorder="1" applyAlignment="1">
      <alignment horizontal="center" vertical="center" wrapText="1"/>
    </xf>
    <xf numFmtId="14" fontId="65" fillId="48" borderId="4" xfId="0" applyNumberFormat="1" applyFont="1" applyFill="1" applyBorder="1" applyAlignment="1" applyProtection="1">
      <alignment horizontal="center" vertical="center" wrapText="1"/>
      <protection locked="0"/>
    </xf>
    <xf numFmtId="0" fontId="65" fillId="45" borderId="6" xfId="0" applyFont="1" applyFill="1" applyBorder="1" applyAlignment="1" applyProtection="1">
      <alignment horizontal="center" vertical="center"/>
      <protection locked="0" hidden="1"/>
    </xf>
    <xf numFmtId="0" fontId="65" fillId="45" borderId="7" xfId="0" applyFont="1" applyFill="1" applyBorder="1" applyAlignment="1" applyProtection="1">
      <alignment horizontal="center" vertical="center"/>
      <protection hidden="1"/>
    </xf>
    <xf numFmtId="0" fontId="65" fillId="45" borderId="7" xfId="0" applyFont="1" applyFill="1" applyBorder="1" applyAlignment="1" applyProtection="1">
      <alignment horizontal="center" vertical="center"/>
      <protection locked="0" hidden="1"/>
    </xf>
    <xf numFmtId="0" fontId="65" fillId="45" borderId="7" xfId="0" applyFont="1" applyFill="1" applyBorder="1" applyAlignment="1" applyProtection="1">
      <alignment horizontal="left" vertical="center" wrapText="1"/>
      <protection locked="0"/>
    </xf>
    <xf numFmtId="49" fontId="65" fillId="45" borderId="7" xfId="0" applyNumberFormat="1" applyFont="1" applyFill="1" applyBorder="1" applyAlignment="1" applyProtection="1">
      <alignment horizontal="left" vertical="center"/>
      <protection locked="0" hidden="1"/>
    </xf>
    <xf numFmtId="49" fontId="65" fillId="45" borderId="7" xfId="0" applyNumberFormat="1" applyFont="1" applyFill="1" applyBorder="1" applyAlignment="1" applyProtection="1">
      <alignment horizontal="center" vertical="center"/>
      <protection locked="0" hidden="1"/>
    </xf>
    <xf numFmtId="0" fontId="65" fillId="45" borderId="7" xfId="1584" applyFont="1" applyFill="1" applyBorder="1" applyAlignment="1" applyProtection="1">
      <alignment horizontal="center" vertical="center" wrapText="1"/>
      <protection locked="0" hidden="1"/>
    </xf>
    <xf numFmtId="14" fontId="65" fillId="45" borderId="7" xfId="0" applyNumberFormat="1" applyFont="1" applyFill="1" applyBorder="1" applyAlignment="1" applyProtection="1">
      <alignment horizontal="left" vertical="center"/>
      <protection locked="0"/>
    </xf>
    <xf numFmtId="14" fontId="65" fillId="45" borderId="7" xfId="0" applyNumberFormat="1" applyFont="1" applyFill="1" applyBorder="1" applyAlignment="1" applyProtection="1">
      <alignment horizontal="left" vertical="center"/>
      <protection locked="0" hidden="1"/>
    </xf>
    <xf numFmtId="49" fontId="65" fillId="45" borderId="7" xfId="0" applyNumberFormat="1" applyFont="1" applyFill="1" applyBorder="1" applyAlignment="1" applyProtection="1">
      <alignment horizontal="left" vertical="center"/>
      <protection locked="0"/>
    </xf>
    <xf numFmtId="14" fontId="65" fillId="45" borderId="7" xfId="0" applyNumberFormat="1" applyFont="1" applyFill="1" applyBorder="1" applyAlignment="1" applyProtection="1">
      <alignment horizontal="center" vertical="center"/>
      <protection locked="0"/>
    </xf>
    <xf numFmtId="0" fontId="65" fillId="45" borderId="7" xfId="0" applyFont="1" applyFill="1" applyBorder="1" applyAlignment="1" applyProtection="1">
      <alignment horizontal="center" vertical="center"/>
      <protection locked="0"/>
    </xf>
    <xf numFmtId="0" fontId="65" fillId="45" borderId="7" xfId="0" applyFont="1" applyFill="1" applyBorder="1" applyAlignment="1">
      <alignment horizontal="center" vertical="center" wrapText="1"/>
    </xf>
    <xf numFmtId="0" fontId="65" fillId="46" borderId="7" xfId="0" applyFont="1" applyFill="1" applyBorder="1" applyAlignment="1" applyProtection="1">
      <alignment horizontal="center" vertical="center"/>
      <protection locked="0" hidden="1"/>
    </xf>
    <xf numFmtId="0" fontId="65" fillId="46" borderId="7" xfId="0" applyFont="1" applyFill="1" applyBorder="1" applyAlignment="1" applyProtection="1">
      <alignment horizontal="center" vertical="center"/>
      <protection hidden="1"/>
    </xf>
    <xf numFmtId="0" fontId="65" fillId="46" borderId="7" xfId="0" applyFont="1" applyFill="1" applyBorder="1" applyAlignment="1">
      <alignment vertical="center" wrapText="1"/>
    </xf>
    <xf numFmtId="0" fontId="65" fillId="46" borderId="7" xfId="0" applyFont="1" applyFill="1" applyBorder="1" applyAlignment="1" applyProtection="1">
      <alignment horizontal="left" vertical="center" wrapText="1"/>
      <protection locked="0"/>
    </xf>
    <xf numFmtId="49" fontId="65" fillId="46" borderId="7" xfId="0" applyNumberFormat="1" applyFont="1" applyFill="1" applyBorder="1" applyAlignment="1" applyProtection="1">
      <alignment horizontal="left" vertical="center"/>
      <protection locked="0" hidden="1"/>
    </xf>
    <xf numFmtId="49" fontId="65" fillId="46" borderId="7" xfId="0" applyNumberFormat="1" applyFont="1" applyFill="1" applyBorder="1" applyAlignment="1" applyProtection="1">
      <alignment horizontal="center" vertical="center"/>
      <protection locked="0" hidden="1"/>
    </xf>
    <xf numFmtId="0" fontId="65" fillId="46" borderId="7" xfId="1584" applyFont="1" applyFill="1" applyBorder="1" applyAlignment="1" applyProtection="1">
      <alignment horizontal="center" vertical="center" wrapText="1"/>
      <protection locked="0" hidden="1"/>
    </xf>
    <xf numFmtId="14" fontId="65" fillId="46" borderId="7" xfId="0" applyNumberFormat="1" applyFont="1" applyFill="1" applyBorder="1" applyAlignment="1" applyProtection="1">
      <alignment horizontal="left" vertical="center"/>
      <protection locked="0"/>
    </xf>
    <xf numFmtId="14" fontId="65" fillId="46" borderId="7" xfId="0" applyNumberFormat="1" applyFont="1" applyFill="1" applyBorder="1" applyAlignment="1" applyProtection="1">
      <alignment horizontal="left" vertical="center"/>
      <protection locked="0" hidden="1"/>
    </xf>
    <xf numFmtId="49" fontId="65" fillId="46" borderId="7" xfId="0" applyNumberFormat="1" applyFont="1" applyFill="1" applyBorder="1" applyAlignment="1" applyProtection="1">
      <alignment horizontal="left" vertical="center"/>
      <protection locked="0"/>
    </xf>
    <xf numFmtId="14" fontId="65" fillId="46" borderId="7" xfId="0" applyNumberFormat="1" applyFont="1" applyFill="1" applyBorder="1" applyAlignment="1" applyProtection="1">
      <alignment horizontal="center" vertical="center"/>
      <protection locked="0"/>
    </xf>
    <xf numFmtId="0" fontId="65" fillId="46" borderId="7" xfId="0" applyFont="1" applyFill="1" applyBorder="1" applyAlignment="1" applyProtection="1">
      <alignment horizontal="center" vertical="center"/>
      <protection locked="0"/>
    </xf>
    <xf numFmtId="49" fontId="65" fillId="46" borderId="7" xfId="0" applyNumberFormat="1" applyFont="1" applyFill="1" applyBorder="1" applyAlignment="1" applyProtection="1">
      <alignment horizontal="left" vertical="center" wrapText="1"/>
      <protection locked="0"/>
    </xf>
    <xf numFmtId="49" fontId="39" fillId="42" borderId="4" xfId="0" applyNumberFormat="1" applyFont="1" applyFill="1" applyBorder="1" applyAlignment="1" applyProtection="1">
      <alignment horizontal="left" vertical="center" wrapText="1"/>
      <protection locked="0"/>
    </xf>
    <xf numFmtId="0" fontId="2" fillId="0" borderId="4" xfId="0" applyFont="1" applyBorder="1" applyAlignment="1" applyProtection="1">
      <alignment wrapText="1"/>
      <protection locked="0"/>
    </xf>
    <xf numFmtId="0" fontId="39" fillId="25" borderId="4" xfId="0" applyFont="1" applyFill="1" applyBorder="1"/>
    <xf numFmtId="0" fontId="59" fillId="25" borderId="4" xfId="0" applyFont="1" applyFill="1" applyBorder="1" applyAlignment="1" applyProtection="1">
      <alignment vertical="center" wrapText="1"/>
      <protection locked="0"/>
    </xf>
    <xf numFmtId="0" fontId="65" fillId="42" borderId="7" xfId="0" applyFont="1" applyFill="1" applyBorder="1" applyAlignment="1" applyProtection="1">
      <alignment horizontal="center" vertical="center"/>
      <protection hidden="1"/>
    </xf>
    <xf numFmtId="0" fontId="65" fillId="42" borderId="7" xfId="0" applyFont="1" applyFill="1" applyBorder="1" applyAlignment="1" applyProtection="1">
      <alignment horizontal="center" vertical="center"/>
      <protection locked="0" hidden="1"/>
    </xf>
    <xf numFmtId="0" fontId="65" fillId="42" borderId="7" xfId="0" applyFont="1" applyFill="1" applyBorder="1" applyAlignment="1">
      <alignment vertical="center" wrapText="1"/>
    </xf>
    <xf numFmtId="0" fontId="65" fillId="42" borderId="7" xfId="0" applyFont="1" applyFill="1" applyBorder="1" applyAlignment="1" applyProtection="1">
      <alignment horizontal="left" vertical="center" wrapText="1"/>
      <protection locked="0"/>
    </xf>
    <xf numFmtId="49" fontId="65" fillId="42" borderId="7" xfId="0" applyNumberFormat="1" applyFont="1" applyFill="1" applyBorder="1" applyAlignment="1" applyProtection="1">
      <alignment horizontal="left" vertical="center"/>
      <protection locked="0" hidden="1"/>
    </xf>
    <xf numFmtId="49" fontId="65" fillId="42" borderId="7" xfId="0" applyNumberFormat="1" applyFont="1" applyFill="1" applyBorder="1" applyAlignment="1" applyProtection="1">
      <alignment horizontal="center" vertical="center"/>
      <protection locked="0" hidden="1"/>
    </xf>
    <xf numFmtId="0" fontId="65" fillId="42" borderId="7" xfId="1584" applyFont="1" applyFill="1" applyBorder="1" applyAlignment="1" applyProtection="1">
      <alignment horizontal="center" vertical="center" wrapText="1"/>
      <protection locked="0" hidden="1"/>
    </xf>
    <xf numFmtId="14" fontId="65" fillId="42" borderId="7" xfId="0" applyNumberFormat="1" applyFont="1" applyFill="1" applyBorder="1" applyAlignment="1" applyProtection="1">
      <alignment horizontal="left" vertical="center"/>
      <protection locked="0"/>
    </xf>
    <xf numFmtId="14" fontId="65" fillId="42" borderId="7" xfId="0" applyNumberFormat="1" applyFont="1" applyFill="1" applyBorder="1" applyAlignment="1" applyProtection="1">
      <alignment horizontal="left" vertical="center"/>
      <protection locked="0" hidden="1"/>
    </xf>
    <xf numFmtId="49" fontId="65" fillId="42" borderId="7" xfId="0" applyNumberFormat="1" applyFont="1" applyFill="1" applyBorder="1" applyAlignment="1" applyProtection="1">
      <alignment horizontal="left" vertical="center"/>
      <protection locked="0"/>
    </xf>
    <xf numFmtId="14" fontId="65" fillId="42" borderId="7" xfId="0" applyNumberFormat="1" applyFont="1" applyFill="1" applyBorder="1" applyAlignment="1" applyProtection="1">
      <alignment horizontal="center" vertical="center"/>
      <protection locked="0"/>
    </xf>
    <xf numFmtId="0" fontId="65" fillId="42" borderId="7" xfId="0" applyFont="1" applyFill="1" applyBorder="1" applyAlignment="1" applyProtection="1">
      <alignment horizontal="center" vertical="center"/>
      <protection locked="0"/>
    </xf>
    <xf numFmtId="0" fontId="65" fillId="42" borderId="7" xfId="0" applyFont="1" applyFill="1" applyBorder="1" applyAlignment="1">
      <alignment horizontal="center" vertical="center" wrapText="1"/>
    </xf>
    <xf numFmtId="0" fontId="65" fillId="45" borderId="7" xfId="0" applyFont="1" applyFill="1" applyBorder="1" applyAlignment="1">
      <alignment vertical="center" wrapText="1"/>
    </xf>
    <xf numFmtId="0" fontId="65" fillId="42" borderId="4" xfId="0" applyFont="1" applyFill="1" applyBorder="1" applyAlignment="1" applyProtection="1">
      <alignment horizontal="left" vertical="center"/>
      <protection locked="0" hidden="1"/>
    </xf>
    <xf numFmtId="171" fontId="65" fillId="42" borderId="4" xfId="0" applyNumberFormat="1" applyFont="1" applyFill="1" applyBorder="1" applyAlignment="1" applyProtection="1">
      <alignment horizontal="left" vertical="center"/>
      <protection locked="0" hidden="1"/>
    </xf>
    <xf numFmtId="0" fontId="129" fillId="33" borderId="4" xfId="1584" applyFont="1" applyFill="1" applyBorder="1" applyAlignment="1">
      <alignment vertical="center" wrapText="1"/>
    </xf>
    <xf numFmtId="0" fontId="129" fillId="33" borderId="4" xfId="0" applyFont="1" applyFill="1" applyBorder="1" applyAlignment="1" applyProtection="1">
      <alignment vertical="center" wrapText="1"/>
      <protection locked="0"/>
    </xf>
    <xf numFmtId="0" fontId="72" fillId="0" borderId="4" xfId="0" applyFont="1" applyBorder="1" applyAlignment="1" applyProtection="1">
      <alignment horizontal="center" vertical="center"/>
      <protection locked="0"/>
    </xf>
    <xf numFmtId="0" fontId="0" fillId="0" borderId="43" xfId="3162" applyFont="1" applyBorder="1" applyAlignment="1" applyProtection="1">
      <alignment horizontal="center" vertical="center"/>
      <protection locked="0"/>
    </xf>
    <xf numFmtId="171" fontId="65" fillId="48" borderId="4" xfId="0" applyNumberFormat="1" applyFont="1" applyFill="1" applyBorder="1" applyAlignment="1" applyProtection="1">
      <alignment horizontal="center" vertical="center"/>
      <protection locked="0"/>
    </xf>
    <xf numFmtId="171" fontId="65" fillId="48" borderId="4" xfId="0" applyNumberFormat="1" applyFont="1" applyFill="1" applyBorder="1" applyAlignment="1">
      <alignment horizontal="center" vertical="center" wrapText="1"/>
    </xf>
    <xf numFmtId="0" fontId="129" fillId="33" borderId="4" xfId="1577" applyFont="1" applyFill="1" applyBorder="1" applyAlignment="1">
      <alignment vertical="center" wrapText="1"/>
    </xf>
    <xf numFmtId="0" fontId="129" fillId="33" borderId="4" xfId="0" applyFont="1" applyFill="1" applyBorder="1" applyAlignment="1" applyProtection="1">
      <alignment horizontal="left" vertical="center" wrapText="1"/>
      <protection locked="0"/>
    </xf>
    <xf numFmtId="14" fontId="65" fillId="45" borderId="6" xfId="0" applyNumberFormat="1" applyFont="1" applyFill="1" applyBorder="1" applyAlignment="1" applyProtection="1">
      <alignment horizontal="center" vertical="center"/>
      <protection locked="0" hidden="1"/>
    </xf>
    <xf numFmtId="14" fontId="65" fillId="48" borderId="7" xfId="0" applyNumberFormat="1" applyFont="1" applyFill="1" applyBorder="1" applyAlignment="1" applyProtection="1">
      <alignment horizontal="center" vertical="center"/>
      <protection locked="0" hidden="1"/>
    </xf>
    <xf numFmtId="0" fontId="65" fillId="42" borderId="4" xfId="1577" applyFont="1" applyFill="1" applyBorder="1" applyAlignment="1" applyProtection="1">
      <alignment vertical="center" wrapText="1"/>
      <protection locked="0"/>
    </xf>
    <xf numFmtId="49" fontId="65" fillId="45" borderId="7" xfId="0" applyNumberFormat="1" applyFont="1" applyFill="1" applyBorder="1" applyAlignment="1" applyProtection="1">
      <alignment horizontal="left" vertical="center" wrapText="1"/>
      <protection locked="0"/>
    </xf>
    <xf numFmtId="0" fontId="65" fillId="45" borderId="7" xfId="0" applyFont="1" applyFill="1" applyBorder="1" applyAlignment="1" applyProtection="1">
      <alignment horizontal="left" vertical="center"/>
      <protection locked="0" hidden="1"/>
    </xf>
    <xf numFmtId="49" fontId="65" fillId="45" borderId="7" xfId="1577" applyNumberFormat="1" applyFont="1" applyFill="1" applyBorder="1" applyAlignment="1" applyProtection="1">
      <alignment horizontal="left" vertical="center"/>
      <protection locked="0" hidden="1"/>
    </xf>
    <xf numFmtId="49" fontId="65" fillId="45" borderId="7" xfId="1577" applyNumberFormat="1" applyFont="1" applyFill="1" applyBorder="1" applyAlignment="1" applyProtection="1">
      <alignment horizontal="center" vertical="center"/>
      <protection locked="0" hidden="1"/>
    </xf>
    <xf numFmtId="171" fontId="65" fillId="45" borderId="7" xfId="0" applyNumberFormat="1" applyFont="1" applyFill="1" applyBorder="1" applyAlignment="1" applyProtection="1">
      <alignment horizontal="left" vertical="center"/>
      <protection locked="0"/>
    </xf>
    <xf numFmtId="171" fontId="65" fillId="45" borderId="7" xfId="0" applyNumberFormat="1" applyFont="1" applyFill="1" applyBorder="1" applyAlignment="1" applyProtection="1">
      <alignment horizontal="left" vertical="center"/>
      <protection locked="0" hidden="1"/>
    </xf>
    <xf numFmtId="0" fontId="66" fillId="45" borderId="7" xfId="0" applyFont="1" applyFill="1" applyBorder="1" applyAlignment="1" applyProtection="1">
      <alignment horizontal="center" vertical="center"/>
      <protection hidden="1"/>
    </xf>
    <xf numFmtId="0" fontId="65" fillId="46" borderId="7" xfId="0" applyFont="1" applyFill="1" applyBorder="1" applyAlignment="1" applyProtection="1">
      <alignment vertical="center" wrapText="1"/>
      <protection locked="0"/>
    </xf>
    <xf numFmtId="0" fontId="129" fillId="33" borderId="4" xfId="1584" applyFont="1" applyFill="1" applyBorder="1" applyAlignment="1">
      <alignment horizontal="left" vertical="center" wrapText="1"/>
    </xf>
    <xf numFmtId="14" fontId="65" fillId="46" borderId="7" xfId="0" applyNumberFormat="1" applyFont="1" applyFill="1" applyBorder="1" applyAlignment="1" applyProtection="1">
      <alignment horizontal="center" vertical="center"/>
      <protection locked="0" hidden="1"/>
    </xf>
    <xf numFmtId="171" fontId="65" fillId="42" borderId="4" xfId="0" applyNumberFormat="1" applyFont="1" applyFill="1" applyBorder="1" applyAlignment="1" applyProtection="1">
      <alignment horizontal="center" vertical="center"/>
      <protection locked="0"/>
    </xf>
    <xf numFmtId="14" fontId="65" fillId="42" borderId="7" xfId="0" applyNumberFormat="1" applyFont="1" applyFill="1" applyBorder="1" applyAlignment="1" applyProtection="1">
      <alignment horizontal="center" vertical="center"/>
      <protection locked="0" hidden="1"/>
    </xf>
    <xf numFmtId="171" fontId="65" fillId="42" borderId="4" xfId="0" applyNumberFormat="1" applyFont="1" applyFill="1" applyBorder="1" applyAlignment="1">
      <alignment horizontal="center" vertical="center" wrapText="1"/>
    </xf>
    <xf numFmtId="171" fontId="65" fillId="45" borderId="4" xfId="0" applyNumberFormat="1" applyFont="1" applyFill="1" applyBorder="1" applyAlignment="1" applyProtection="1">
      <alignment horizontal="center" vertical="center"/>
      <protection locked="0" hidden="1"/>
    </xf>
    <xf numFmtId="14" fontId="76" fillId="47" borderId="7" xfId="0" applyNumberFormat="1" applyFont="1" applyFill="1" applyBorder="1" applyAlignment="1" applyProtection="1">
      <alignment horizontal="center" vertical="center"/>
      <protection locked="0" hidden="1"/>
    </xf>
    <xf numFmtId="14" fontId="65" fillId="42" borderId="4" xfId="0" applyNumberFormat="1" applyFont="1" applyFill="1" applyBorder="1" applyAlignment="1" applyProtection="1">
      <alignment horizontal="left" vertical="center" wrapText="1"/>
      <protection locked="0"/>
    </xf>
    <xf numFmtId="0" fontId="65" fillId="48" borderId="4" xfId="1577" applyFont="1" applyFill="1" applyBorder="1" applyAlignment="1">
      <alignment vertical="center" wrapText="1"/>
    </xf>
    <xf numFmtId="0" fontId="65" fillId="48" borderId="4" xfId="1577" applyFont="1" applyFill="1" applyBorder="1" applyAlignment="1" applyProtection="1">
      <alignment vertical="center" wrapText="1"/>
      <protection locked="0"/>
    </xf>
    <xf numFmtId="171" fontId="76" fillId="47" borderId="4" xfId="0" applyNumberFormat="1" applyFont="1" applyFill="1" applyBorder="1" applyAlignment="1" applyProtection="1">
      <alignment horizontal="center" vertical="center"/>
      <protection locked="0" hidden="1"/>
    </xf>
    <xf numFmtId="165" fontId="65" fillId="48" borderId="4" xfId="7" applyFont="1" applyFill="1" applyBorder="1" applyAlignment="1" applyProtection="1">
      <alignment horizontal="center" vertical="center"/>
      <protection locked="0" hidden="1"/>
    </xf>
    <xf numFmtId="171" fontId="65" fillId="45" borderId="7" xfId="0" applyNumberFormat="1" applyFont="1" applyFill="1" applyBorder="1" applyAlignment="1" applyProtection="1">
      <alignment horizontal="center" vertical="center"/>
      <protection locked="0"/>
    </xf>
    <xf numFmtId="0" fontId="76" fillId="47" borderId="7" xfId="0" applyFont="1" applyFill="1" applyBorder="1" applyAlignment="1">
      <alignment vertical="center" wrapText="1"/>
    </xf>
    <xf numFmtId="171" fontId="65" fillId="42" borderId="4" xfId="0" applyNumberFormat="1" applyFont="1" applyFill="1" applyBorder="1" applyAlignment="1" applyProtection="1">
      <alignment horizontal="center" vertical="center"/>
      <protection locked="0" hidden="1"/>
    </xf>
    <xf numFmtId="14" fontId="65" fillId="45" borderId="7" xfId="0" applyNumberFormat="1" applyFont="1" applyFill="1" applyBorder="1" applyAlignment="1" applyProtection="1">
      <alignment horizontal="center" vertical="center"/>
      <protection locked="0" hidden="1"/>
    </xf>
    <xf numFmtId="171" fontId="65" fillId="46" borderId="4" xfId="0" applyNumberFormat="1" applyFont="1" applyFill="1" applyBorder="1" applyAlignment="1" applyProtection="1">
      <alignment horizontal="center" vertical="center"/>
      <protection locked="0" hidden="1"/>
    </xf>
    <xf numFmtId="171" fontId="65" fillId="45" borderId="7" xfId="0" applyNumberFormat="1" applyFont="1" applyFill="1" applyBorder="1" applyAlignment="1">
      <alignment horizontal="center" vertical="center" wrapText="1"/>
    </xf>
    <xf numFmtId="49" fontId="65" fillId="46" borderId="7" xfId="1584" applyNumberFormat="1" applyFont="1" applyFill="1" applyBorder="1" applyAlignment="1" applyProtection="1">
      <alignment horizontal="left" vertical="center"/>
      <protection locked="0" hidden="1"/>
    </xf>
    <xf numFmtId="49" fontId="65" fillId="46" borderId="7" xfId="1584" applyNumberFormat="1" applyFont="1" applyFill="1" applyBorder="1" applyAlignment="1" applyProtection="1">
      <alignment horizontal="center" vertical="center"/>
      <protection locked="0" hidden="1"/>
    </xf>
    <xf numFmtId="0" fontId="65" fillId="46" borderId="7" xfId="1584" applyFont="1" applyFill="1" applyBorder="1" applyAlignment="1" applyProtection="1">
      <alignment horizontal="left" vertical="center" wrapText="1"/>
      <protection locked="0"/>
    </xf>
    <xf numFmtId="0" fontId="129" fillId="33" borderId="7" xfId="1584" applyFont="1" applyFill="1" applyBorder="1" applyAlignment="1">
      <alignment horizontal="left" vertical="center" wrapText="1"/>
    </xf>
    <xf numFmtId="49" fontId="65" fillId="46" borderId="7" xfId="1577" applyNumberFormat="1" applyFont="1" applyFill="1" applyBorder="1" applyAlignment="1" applyProtection="1">
      <alignment horizontal="center" vertical="center"/>
      <protection locked="0" hidden="1"/>
    </xf>
    <xf numFmtId="0" fontId="65" fillId="46" borderId="7" xfId="1584" applyFont="1" applyFill="1" applyBorder="1" applyAlignment="1">
      <alignment horizontal="center" vertical="center" wrapText="1"/>
    </xf>
    <xf numFmtId="0" fontId="76" fillId="47" borderId="7" xfId="1584" applyFont="1" applyFill="1" applyBorder="1" applyAlignment="1">
      <alignment horizontal="center" vertical="center" wrapText="1"/>
    </xf>
    <xf numFmtId="0" fontId="65" fillId="42" borderId="7" xfId="1584" applyFont="1" applyFill="1" applyBorder="1" applyAlignment="1">
      <alignment horizontal="center" vertical="center" wrapText="1"/>
    </xf>
    <xf numFmtId="49" fontId="65" fillId="45" borderId="7" xfId="1577" applyNumberFormat="1" applyFont="1" applyFill="1" applyBorder="1" applyAlignment="1">
      <alignment horizontal="left" vertical="center" wrapText="1"/>
    </xf>
    <xf numFmtId="0" fontId="59" fillId="25" borderId="6" xfId="0" applyFont="1" applyFill="1" applyBorder="1" applyAlignment="1" applyProtection="1">
      <alignment horizontal="left" vertical="center" wrapText="1"/>
      <protection locked="0"/>
    </xf>
    <xf numFmtId="0" fontId="73" fillId="0" borderId="4" xfId="0" applyFont="1" applyBorder="1" applyAlignment="1" applyProtection="1">
      <alignment horizontal="left" vertical="center" wrapText="1"/>
      <protection locked="0"/>
    </xf>
    <xf numFmtId="0" fontId="65" fillId="35" borderId="7" xfId="0" applyFont="1" applyFill="1" applyBorder="1" applyAlignment="1">
      <alignment horizontal="center" vertical="center"/>
    </xf>
    <xf numFmtId="14" fontId="18" fillId="80" borderId="29" xfId="0" applyNumberFormat="1" applyFont="1" applyFill="1" applyBorder="1" applyAlignment="1">
      <alignment vertical="center"/>
    </xf>
    <xf numFmtId="14" fontId="18" fillId="80" borderId="0" xfId="0" applyNumberFormat="1" applyFont="1" applyFill="1" applyAlignment="1">
      <alignment vertical="center"/>
    </xf>
    <xf numFmtId="0" fontId="52" fillId="0" borderId="28" xfId="3162" applyFont="1" applyBorder="1" applyAlignment="1" applyProtection="1">
      <alignment horizontal="center" vertical="center"/>
      <protection locked="0"/>
    </xf>
    <xf numFmtId="14" fontId="18" fillId="80" borderId="31" xfId="0" applyNumberFormat="1" applyFont="1" applyFill="1" applyBorder="1" applyAlignment="1">
      <alignment horizontal="center" vertical="center"/>
    </xf>
    <xf numFmtId="14" fontId="18" fillId="80" borderId="32" xfId="0" applyNumberFormat="1" applyFont="1" applyFill="1" applyBorder="1" applyAlignment="1">
      <alignment horizontal="center" vertical="center"/>
    </xf>
    <xf numFmtId="14" fontId="55" fillId="0" borderId="0" xfId="3162" applyNumberFormat="1" applyFont="1" applyAlignment="1">
      <alignment horizontal="center" vertical="center"/>
    </xf>
    <xf numFmtId="0" fontId="51" fillId="0" borderId="0" xfId="3162" applyFont="1" applyAlignment="1">
      <alignment horizontal="center" vertical="center"/>
    </xf>
    <xf numFmtId="0" fontId="7" fillId="0" borderId="0" xfId="3162" applyFont="1" applyAlignment="1">
      <alignment horizontal="center" vertical="center"/>
    </xf>
    <xf numFmtId="0" fontId="0" fillId="0" borderId="0" xfId="3162" applyFont="1" applyAlignment="1" applyProtection="1">
      <alignment horizontal="center" vertical="center"/>
      <protection locked="0"/>
    </xf>
    <xf numFmtId="0" fontId="51" fillId="89" borderId="0" xfId="3162" applyFont="1" applyFill="1" applyAlignment="1" applyProtection="1">
      <alignment horizontal="center" vertical="center" wrapText="1"/>
      <protection locked="0"/>
    </xf>
    <xf numFmtId="0" fontId="52" fillId="0" borderId="0" xfId="3162" applyFont="1" applyAlignment="1" applyProtection="1">
      <alignment horizontal="center" vertical="center"/>
      <protection locked="0"/>
    </xf>
    <xf numFmtId="0" fontId="0" fillId="89" borderId="0" xfId="0" applyFill="1" applyAlignment="1" applyProtection="1">
      <alignment horizontal="center" vertical="center"/>
      <protection locked="0"/>
    </xf>
    <xf numFmtId="0" fontId="18" fillId="80" borderId="32" xfId="0" applyFont="1" applyFill="1" applyBorder="1" applyAlignment="1">
      <alignment horizontal="center" vertical="center"/>
    </xf>
    <xf numFmtId="49" fontId="65" fillId="45" borderId="4" xfId="1577" applyNumberFormat="1" applyFont="1" applyFill="1" applyBorder="1" applyAlignment="1">
      <alignment horizontal="left" vertical="center" wrapText="1"/>
    </xf>
    <xf numFmtId="49" fontId="65" fillId="46" borderId="4" xfId="1577" applyNumberFormat="1" applyFont="1" applyFill="1" applyBorder="1" applyAlignment="1">
      <alignment horizontal="left" vertical="center" wrapText="1"/>
    </xf>
    <xf numFmtId="49" fontId="76" fillId="47" borderId="4" xfId="1577" applyNumberFormat="1" applyFont="1" applyFill="1" applyBorder="1" applyAlignment="1">
      <alignment horizontal="left" vertical="center" wrapText="1"/>
    </xf>
    <xf numFmtId="49" fontId="65" fillId="48" borderId="4" xfId="1577" applyNumberFormat="1" applyFont="1" applyFill="1" applyBorder="1" applyAlignment="1">
      <alignment horizontal="left" vertical="center" wrapText="1"/>
    </xf>
    <xf numFmtId="49" fontId="65" fillId="42" borderId="4" xfId="1577" applyNumberFormat="1" applyFont="1" applyFill="1" applyBorder="1" applyAlignment="1">
      <alignment horizontal="left" vertical="center" wrapText="1"/>
    </xf>
    <xf numFmtId="49" fontId="65" fillId="46" borderId="7" xfId="1584" applyNumberFormat="1" applyFont="1" applyFill="1" applyBorder="1" applyAlignment="1">
      <alignment horizontal="left" vertical="center" wrapText="1"/>
    </xf>
    <xf numFmtId="49" fontId="76" fillId="47" borderId="7" xfId="0" applyNumberFormat="1" applyFont="1" applyFill="1" applyBorder="1" applyAlignment="1" applyProtection="1">
      <alignment horizontal="left" vertical="center" wrapText="1"/>
      <protection locked="0"/>
    </xf>
    <xf numFmtId="0" fontId="129" fillId="33" borderId="7" xfId="0" applyFont="1" applyFill="1" applyBorder="1" applyAlignment="1">
      <alignment horizontal="left" vertical="center" wrapText="1"/>
    </xf>
    <xf numFmtId="0" fontId="129" fillId="33" borderId="7" xfId="1584" applyFont="1" applyFill="1" applyBorder="1" applyAlignment="1">
      <alignment vertical="center" wrapText="1"/>
    </xf>
    <xf numFmtId="20" fontId="39" fillId="0" borderId="7" xfId="1602" applyNumberFormat="1" applyFont="1" applyBorder="1" applyAlignment="1" applyProtection="1">
      <alignment horizontal="center" vertical="center" wrapText="1"/>
      <protection locked="0"/>
    </xf>
    <xf numFmtId="0" fontId="65" fillId="46" borderId="7" xfId="1584" applyFont="1" applyFill="1" applyBorder="1" applyAlignment="1" applyProtection="1">
      <alignment vertical="center" wrapText="1"/>
      <protection locked="0"/>
    </xf>
    <xf numFmtId="0" fontId="65" fillId="46" borderId="7" xfId="0" applyFont="1" applyFill="1" applyBorder="1" applyAlignment="1" applyProtection="1">
      <alignment horizontal="left" vertical="center"/>
      <protection locked="0" hidden="1"/>
    </xf>
    <xf numFmtId="0" fontId="129" fillId="33" borderId="7" xfId="0" applyFont="1" applyFill="1" applyBorder="1" applyAlignment="1">
      <alignment vertical="center" wrapText="1"/>
    </xf>
    <xf numFmtId="49" fontId="65" fillId="46" borderId="7" xfId="1577" applyNumberFormat="1" applyFont="1" applyFill="1" applyBorder="1" applyAlignment="1" applyProtection="1">
      <alignment horizontal="left" vertical="center"/>
      <protection locked="0" hidden="1"/>
    </xf>
    <xf numFmtId="171" fontId="65" fillId="46" borderId="7" xfId="0" applyNumberFormat="1" applyFont="1" applyFill="1" applyBorder="1" applyAlignment="1" applyProtection="1">
      <alignment horizontal="left" vertical="center"/>
      <protection locked="0"/>
    </xf>
    <xf numFmtId="171" fontId="65" fillId="46" borderId="7" xfId="0" applyNumberFormat="1" applyFont="1" applyFill="1" applyBorder="1" applyAlignment="1" applyProtection="1">
      <alignment horizontal="left" vertical="center"/>
      <protection locked="0" hidden="1"/>
    </xf>
    <xf numFmtId="0" fontId="66" fillId="46" borderId="7" xfId="0" applyFont="1" applyFill="1" applyBorder="1" applyAlignment="1" applyProtection="1">
      <alignment horizontal="center" vertical="center"/>
      <protection hidden="1"/>
    </xf>
    <xf numFmtId="49" fontId="65" fillId="46" borderId="7" xfId="1577" applyNumberFormat="1" applyFont="1" applyFill="1" applyBorder="1" applyAlignment="1">
      <alignment horizontal="left" vertical="center" wrapText="1"/>
    </xf>
    <xf numFmtId="0" fontId="65" fillId="45" borderId="4" xfId="1584" applyFont="1" applyFill="1" applyBorder="1" applyAlignment="1" applyProtection="1">
      <alignment horizontal="left" vertical="center" wrapText="1"/>
      <protection locked="0"/>
    </xf>
    <xf numFmtId="0" fontId="65" fillId="46" borderId="4" xfId="1577" applyFont="1" applyFill="1" applyBorder="1" applyAlignment="1">
      <alignment vertical="center" wrapText="1"/>
    </xf>
    <xf numFmtId="171" fontId="65" fillId="48" borderId="4" xfId="0" applyNumberFormat="1" applyFont="1" applyFill="1" applyBorder="1" applyAlignment="1" applyProtection="1">
      <alignment horizontal="center" vertical="center"/>
      <protection locked="0" hidden="1"/>
    </xf>
    <xf numFmtId="0" fontId="39" fillId="25" borderId="4" xfId="0" applyFont="1" applyFill="1" applyBorder="1" applyAlignment="1" applyProtection="1">
      <alignment vertical="center" wrapText="1"/>
      <protection locked="0"/>
    </xf>
    <xf numFmtId="171" fontId="65" fillId="46" borderId="7" xfId="0" applyNumberFormat="1" applyFont="1" applyFill="1" applyBorder="1" applyAlignment="1" applyProtection="1">
      <alignment horizontal="center" vertical="center"/>
      <protection locked="0"/>
    </xf>
    <xf numFmtId="171" fontId="65" fillId="46" borderId="7" xfId="0" applyNumberFormat="1" applyFont="1" applyFill="1" applyBorder="1" applyAlignment="1" applyProtection="1">
      <alignment horizontal="center" vertical="center"/>
      <protection locked="0" hidden="1"/>
    </xf>
    <xf numFmtId="171" fontId="65" fillId="46" borderId="7" xfId="0" applyNumberFormat="1" applyFont="1" applyFill="1" applyBorder="1" applyAlignment="1">
      <alignment horizontal="center" vertical="center" wrapText="1"/>
    </xf>
    <xf numFmtId="0" fontId="76" fillId="47" borderId="4" xfId="1584" applyFont="1" applyFill="1" applyBorder="1" applyAlignment="1" applyProtection="1">
      <alignment vertical="center" wrapText="1"/>
      <protection locked="0"/>
    </xf>
    <xf numFmtId="0" fontId="65" fillId="42" borderId="4" xfId="1584" applyFont="1" applyFill="1" applyBorder="1" applyAlignment="1">
      <alignment horizontal="left" vertical="center" wrapText="1"/>
    </xf>
    <xf numFmtId="49" fontId="118" fillId="42" borderId="4" xfId="0" applyNumberFormat="1" applyFont="1" applyFill="1" applyBorder="1" applyAlignment="1" applyProtection="1">
      <alignment horizontal="left" vertical="center"/>
      <protection locked="0"/>
    </xf>
    <xf numFmtId="20" fontId="39" fillId="25" borderId="4" xfId="0" applyNumberFormat="1" applyFont="1" applyFill="1" applyBorder="1" applyAlignment="1">
      <alignment horizontal="left" wrapText="1"/>
    </xf>
    <xf numFmtId="0" fontId="39" fillId="0" borderId="4" xfId="0" applyFont="1" applyBorder="1"/>
    <xf numFmtId="14" fontId="76" fillId="47" borderId="4" xfId="0" applyNumberFormat="1" applyFont="1" applyFill="1" applyBorder="1" applyAlignment="1" applyProtection="1">
      <alignment horizontal="left" vertical="center" wrapText="1"/>
      <protection locked="0"/>
    </xf>
    <xf numFmtId="14" fontId="65" fillId="46" borderId="4" xfId="0" applyNumberFormat="1" applyFont="1" applyFill="1" applyBorder="1" applyAlignment="1" applyProtection="1">
      <alignment horizontal="left" vertical="center" wrapText="1"/>
      <protection locked="0"/>
    </xf>
    <xf numFmtId="0" fontId="134" fillId="0" borderId="4" xfId="1602" applyFont="1" applyBorder="1" applyAlignment="1" applyProtection="1">
      <alignment horizontal="center" vertical="center"/>
      <protection locked="0"/>
    </xf>
    <xf numFmtId="20" fontId="73" fillId="0" borderId="4" xfId="0" applyNumberFormat="1" applyFont="1" applyBorder="1" applyAlignment="1" applyProtection="1">
      <alignment wrapText="1"/>
      <protection locked="0"/>
    </xf>
    <xf numFmtId="20" fontId="59" fillId="25" borderId="4" xfId="0" applyNumberFormat="1" applyFont="1" applyFill="1" applyBorder="1" applyAlignment="1">
      <alignment horizontal="left" wrapText="1"/>
    </xf>
    <xf numFmtId="0" fontId="135" fillId="4" borderId="0" xfId="0" applyFont="1" applyFill="1" applyAlignment="1">
      <alignment horizontal="center" vertical="center"/>
    </xf>
    <xf numFmtId="0" fontId="65" fillId="46" borderId="4" xfId="1577" applyFont="1" applyFill="1" applyBorder="1" applyAlignment="1" applyProtection="1">
      <alignment vertical="center" wrapText="1"/>
      <protection locked="0"/>
    </xf>
    <xf numFmtId="49" fontId="65" fillId="46" borderId="4" xfId="0" applyNumberFormat="1" applyFont="1" applyFill="1" applyBorder="1" applyAlignment="1" applyProtection="1">
      <alignment horizontal="left" vertical="center" wrapText="1"/>
      <protection locked="0" hidden="1"/>
    </xf>
    <xf numFmtId="0" fontId="65" fillId="42" borderId="4" xfId="7" applyNumberFormat="1" applyFont="1" applyFill="1" applyBorder="1" applyAlignment="1" applyProtection="1">
      <alignment horizontal="center" vertical="center"/>
      <protection hidden="1"/>
    </xf>
    <xf numFmtId="49" fontId="65" fillId="42" borderId="4" xfId="7" applyNumberFormat="1" applyFont="1" applyFill="1" applyBorder="1" applyAlignment="1" applyProtection="1">
      <alignment horizontal="left" vertical="center"/>
      <protection locked="0" hidden="1"/>
    </xf>
    <xf numFmtId="0" fontId="65" fillId="42" borderId="4" xfId="7" applyNumberFormat="1" applyFont="1" applyFill="1" applyBorder="1" applyAlignment="1" applyProtection="1">
      <alignment horizontal="left" vertical="center" wrapText="1"/>
      <protection locked="0"/>
    </xf>
    <xf numFmtId="0" fontId="65" fillId="42" borderId="4" xfId="7" applyNumberFormat="1" applyFont="1" applyFill="1" applyBorder="1" applyAlignment="1" applyProtection="1">
      <alignment horizontal="left" vertical="center" wrapText="1"/>
      <protection locked="0" hidden="1"/>
    </xf>
    <xf numFmtId="0" fontId="65" fillId="42" borderId="4" xfId="7" applyNumberFormat="1" applyFont="1" applyFill="1" applyBorder="1" applyAlignment="1">
      <alignment horizontal="center" vertical="center" wrapText="1"/>
    </xf>
    <xf numFmtId="0" fontId="65" fillId="42" borderId="4" xfId="7" applyNumberFormat="1" applyFont="1" applyFill="1" applyBorder="1" applyAlignment="1">
      <alignment horizontal="left" vertical="center" wrapText="1"/>
    </xf>
    <xf numFmtId="49" fontId="65" fillId="42" borderId="4" xfId="7" applyNumberFormat="1" applyFont="1" applyFill="1" applyBorder="1" applyAlignment="1">
      <alignment horizontal="left" vertical="center" wrapText="1"/>
    </xf>
    <xf numFmtId="0" fontId="65" fillId="42" borderId="4" xfId="1584" applyFont="1" applyFill="1" applyBorder="1" applyAlignment="1" applyProtection="1">
      <alignment vertical="center" wrapText="1"/>
      <protection locked="0"/>
    </xf>
    <xf numFmtId="49" fontId="65" fillId="45" borderId="4" xfId="0" applyNumberFormat="1" applyFont="1" applyFill="1" applyBorder="1" applyAlignment="1" applyProtection="1">
      <alignment horizontal="left" vertical="center" wrapText="1"/>
      <protection locked="0" hidden="1"/>
    </xf>
    <xf numFmtId="14" fontId="65" fillId="46" borderId="4" xfId="1577" applyNumberFormat="1" applyFont="1" applyFill="1" applyBorder="1" applyAlignment="1" applyProtection="1">
      <alignment horizontal="left" vertical="center"/>
      <protection locked="0"/>
    </xf>
    <xf numFmtId="14" fontId="65" fillId="48" borderId="4" xfId="1577" applyNumberFormat="1" applyFont="1" applyFill="1" applyBorder="1" applyAlignment="1" applyProtection="1">
      <alignment horizontal="left" vertical="center"/>
      <protection locked="0"/>
    </xf>
    <xf numFmtId="20" fontId="73" fillId="25" borderId="4" xfId="0" applyNumberFormat="1" applyFont="1" applyFill="1" applyBorder="1" applyAlignment="1" applyProtection="1">
      <alignment wrapText="1"/>
      <protection locked="0"/>
    </xf>
    <xf numFmtId="14" fontId="76" fillId="47" borderId="4" xfId="7" applyNumberFormat="1" applyFont="1" applyFill="1" applyBorder="1" applyAlignment="1" applyProtection="1">
      <alignment horizontal="left" vertical="center"/>
      <protection locked="0" hidden="1"/>
    </xf>
    <xf numFmtId="165" fontId="65" fillId="45" borderId="4" xfId="7" applyFont="1" applyFill="1" applyBorder="1" applyAlignment="1" applyProtection="1">
      <alignment horizontal="center" vertical="center"/>
      <protection locked="0"/>
    </xf>
    <xf numFmtId="49" fontId="118" fillId="42" borderId="4" xfId="0" applyNumberFormat="1" applyFont="1" applyFill="1" applyBorder="1" applyAlignment="1" applyProtection="1">
      <alignment horizontal="left" vertical="center" wrapText="1"/>
      <protection locked="0"/>
    </xf>
    <xf numFmtId="0" fontId="65" fillId="45" borderId="4" xfId="1577" applyFont="1" applyFill="1" applyBorder="1" applyAlignment="1">
      <alignment vertical="center" wrapText="1"/>
    </xf>
    <xf numFmtId="0" fontId="65" fillId="45" borderId="4" xfId="7" applyNumberFormat="1" applyFont="1" applyFill="1" applyBorder="1" applyAlignment="1" applyProtection="1">
      <alignment horizontal="center" vertical="center"/>
      <protection locked="0" hidden="1"/>
    </xf>
    <xf numFmtId="20" fontId="15" fillId="4" borderId="0" xfId="0" applyNumberFormat="1" applyFont="1" applyFill="1" applyAlignment="1">
      <alignment horizontal="right" vertical="center"/>
    </xf>
    <xf numFmtId="49" fontId="65" fillId="48" borderId="7" xfId="1577" applyNumberFormat="1" applyFont="1" applyFill="1" applyBorder="1" applyAlignment="1" applyProtection="1">
      <alignment horizontal="left" vertical="center"/>
      <protection locked="0" hidden="1"/>
    </xf>
    <xf numFmtId="49" fontId="65" fillId="48" borderId="7" xfId="1577" applyNumberFormat="1" applyFont="1" applyFill="1" applyBorder="1" applyAlignment="1" applyProtection="1">
      <alignment horizontal="center" vertical="center"/>
      <protection locked="0" hidden="1"/>
    </xf>
    <xf numFmtId="14" fontId="65" fillId="46" borderId="7" xfId="1584" applyNumberFormat="1" applyFont="1" applyFill="1" applyBorder="1" applyAlignment="1" applyProtection="1">
      <alignment horizontal="left" vertical="center"/>
      <protection locked="0"/>
    </xf>
    <xf numFmtId="0" fontId="65" fillId="46" borderId="7" xfId="7" applyNumberFormat="1" applyFont="1" applyFill="1" applyBorder="1" applyAlignment="1" applyProtection="1">
      <alignment horizontal="left" vertical="center" wrapText="1"/>
      <protection locked="0"/>
    </xf>
    <xf numFmtId="0" fontId="65" fillId="46" borderId="7" xfId="7" applyNumberFormat="1" applyFont="1" applyFill="1" applyBorder="1" applyAlignment="1" applyProtection="1">
      <alignment horizontal="left" vertical="center" wrapText="1"/>
      <protection locked="0" hidden="1"/>
    </xf>
    <xf numFmtId="14" fontId="65" fillId="46" borderId="7" xfId="0" applyNumberFormat="1" applyFont="1" applyFill="1" applyBorder="1" applyAlignment="1" applyProtection="1">
      <alignment horizontal="center" vertical="center" wrapText="1"/>
      <protection locked="0"/>
    </xf>
    <xf numFmtId="0" fontId="65" fillId="46" borderId="7" xfId="7" applyNumberFormat="1" applyFont="1" applyFill="1" applyBorder="1" applyAlignment="1">
      <alignment horizontal="left" vertical="center" wrapText="1"/>
    </xf>
    <xf numFmtId="0" fontId="129" fillId="33" borderId="7" xfId="0" applyFont="1" applyFill="1" applyBorder="1" applyAlignment="1" applyProtection="1">
      <alignment horizontal="left" vertical="center" wrapText="1"/>
      <protection locked="0"/>
    </xf>
    <xf numFmtId="49" fontId="65" fillId="42" borderId="7" xfId="1577" applyNumberFormat="1" applyFont="1" applyFill="1" applyBorder="1" applyAlignment="1" applyProtection="1">
      <alignment horizontal="left" vertical="center"/>
      <protection locked="0" hidden="1"/>
    </xf>
    <xf numFmtId="49" fontId="65" fillId="42" borderId="7" xfId="1577" applyNumberFormat="1" applyFont="1" applyFill="1" applyBorder="1" applyAlignment="1" applyProtection="1">
      <alignment horizontal="center" vertical="center"/>
      <protection locked="0" hidden="1"/>
    </xf>
    <xf numFmtId="0" fontId="65" fillId="45" borderId="7" xfId="0" applyFont="1" applyFill="1" applyBorder="1" applyAlignment="1" applyProtection="1">
      <alignment vertical="center" wrapText="1"/>
      <protection locked="0"/>
    </xf>
    <xf numFmtId="14" fontId="65" fillId="45" borderId="7" xfId="1584" applyNumberFormat="1" applyFont="1" applyFill="1" applyBorder="1" applyAlignment="1" applyProtection="1">
      <alignment horizontal="left" vertical="center"/>
      <protection locked="0"/>
    </xf>
    <xf numFmtId="0" fontId="65" fillId="48" borderId="7" xfId="1584" applyFont="1" applyFill="1" applyBorder="1" applyAlignment="1">
      <alignment vertical="center" wrapText="1"/>
    </xf>
    <xf numFmtId="0" fontId="65" fillId="48" borderId="7" xfId="1584" applyFont="1" applyFill="1" applyBorder="1" applyAlignment="1" applyProtection="1">
      <alignment vertical="center" wrapText="1"/>
      <protection locked="0"/>
    </xf>
    <xf numFmtId="49" fontId="65" fillId="48" borderId="7" xfId="0" applyNumberFormat="1" applyFont="1" applyFill="1" applyBorder="1" applyAlignment="1" applyProtection="1">
      <alignment horizontal="left" vertical="center" wrapText="1"/>
      <protection locked="0"/>
    </xf>
    <xf numFmtId="14" fontId="65" fillId="48" borderId="7" xfId="0" applyNumberFormat="1" applyFont="1" applyFill="1" applyBorder="1" applyAlignment="1" applyProtection="1">
      <alignment horizontal="center" vertical="center" wrapText="1"/>
      <protection locked="0"/>
    </xf>
    <xf numFmtId="0" fontId="65" fillId="48" borderId="7" xfId="0" applyFont="1" applyFill="1" applyBorder="1" applyAlignment="1" applyProtection="1">
      <alignment vertical="center" wrapText="1"/>
      <protection locked="0"/>
    </xf>
    <xf numFmtId="49" fontId="65" fillId="48" borderId="7" xfId="1577" applyNumberFormat="1" applyFont="1" applyFill="1" applyBorder="1" applyAlignment="1">
      <alignment horizontal="left" vertical="center" wrapText="1"/>
    </xf>
    <xf numFmtId="49" fontId="65" fillId="42" borderId="7" xfId="1577" applyNumberFormat="1" applyFont="1" applyFill="1" applyBorder="1" applyAlignment="1">
      <alignment horizontal="left" vertical="center" wrapText="1"/>
    </xf>
    <xf numFmtId="0" fontId="2" fillId="25" borderId="4" xfId="0" applyFont="1" applyFill="1" applyBorder="1" applyAlignment="1" applyProtection="1">
      <alignment vertical="center" wrapText="1"/>
      <protection locked="0"/>
    </xf>
    <xf numFmtId="0" fontId="59" fillId="17" borderId="4" xfId="0" applyFont="1" applyFill="1" applyBorder="1" applyAlignment="1" applyProtection="1">
      <alignment vertical="center" wrapText="1"/>
      <protection locked="0"/>
    </xf>
    <xf numFmtId="0" fontId="39" fillId="17" borderId="4" xfId="0" applyFont="1" applyFill="1" applyBorder="1"/>
    <xf numFmtId="0" fontId="59" fillId="25" borderId="7" xfId="0" applyFont="1" applyFill="1" applyBorder="1" applyAlignment="1" applyProtection="1">
      <alignment horizontal="left" vertical="center" wrapText="1"/>
      <protection locked="0"/>
    </xf>
    <xf numFmtId="168" fontId="65" fillId="42" borderId="7" xfId="0" applyNumberFormat="1" applyFont="1" applyFill="1" applyBorder="1" applyAlignment="1" applyProtection="1">
      <alignment horizontal="center" vertical="center"/>
      <protection locked="0" hidden="1"/>
    </xf>
    <xf numFmtId="0" fontId="65" fillId="42" borderId="7" xfId="1584" applyFont="1" applyFill="1" applyBorder="1" applyAlignment="1" applyProtection="1">
      <alignment horizontal="left" vertical="center" wrapText="1"/>
      <protection locked="0"/>
    </xf>
    <xf numFmtId="14" fontId="65" fillId="45" borderId="7" xfId="0" applyNumberFormat="1" applyFont="1" applyFill="1" applyBorder="1" applyAlignment="1" applyProtection="1">
      <alignment horizontal="center" vertical="center" wrapText="1"/>
      <protection locked="0"/>
    </xf>
    <xf numFmtId="0" fontId="65" fillId="46" borderId="7" xfId="0" applyFont="1" applyFill="1" applyBorder="1" applyAlignment="1" applyProtection="1">
      <alignment horizontal="left" vertical="center" wrapText="1"/>
      <protection locked="0" hidden="1"/>
    </xf>
    <xf numFmtId="14" fontId="65" fillId="45" borderId="7" xfId="1577" applyNumberFormat="1" applyFont="1" applyFill="1" applyBorder="1" applyAlignment="1" applyProtection="1">
      <alignment horizontal="left" vertical="center"/>
      <protection locked="0"/>
    </xf>
    <xf numFmtId="165" fontId="65" fillId="46" borderId="4" xfId="7" applyFont="1" applyFill="1" applyBorder="1" applyAlignment="1" applyProtection="1">
      <alignment horizontal="center" vertical="center"/>
      <protection locked="0" hidden="1"/>
    </xf>
    <xf numFmtId="0" fontId="65" fillId="46" borderId="4" xfId="7" applyNumberFormat="1" applyFont="1" applyFill="1" applyBorder="1" applyAlignment="1" applyProtection="1">
      <alignment horizontal="center" vertical="center"/>
      <protection locked="0" hidden="1"/>
    </xf>
    <xf numFmtId="14" fontId="65" fillId="46" borderId="4" xfId="7" applyNumberFormat="1" applyFont="1" applyFill="1" applyBorder="1" applyAlignment="1" applyProtection="1">
      <alignment horizontal="center" vertical="center"/>
      <protection locked="0" hidden="1"/>
    </xf>
    <xf numFmtId="49" fontId="137" fillId="47" borderId="4" xfId="0" applyNumberFormat="1" applyFont="1" applyFill="1" applyBorder="1" applyAlignment="1" applyProtection="1">
      <alignment horizontal="left" vertical="center" wrapText="1"/>
      <protection locked="0"/>
    </xf>
    <xf numFmtId="49" fontId="76" fillId="47" borderId="4" xfId="0" applyNumberFormat="1" applyFont="1" applyFill="1" applyBorder="1" applyAlignment="1" applyProtection="1">
      <alignment horizontal="left" vertical="center" wrapText="1"/>
      <protection locked="0" hidden="1"/>
    </xf>
    <xf numFmtId="0" fontId="59" fillId="25" borderId="4" xfId="0" applyFont="1" applyFill="1" applyBorder="1" applyAlignment="1" applyProtection="1">
      <alignment horizontal="left" vertical="center" wrapText="1"/>
      <protection locked="0"/>
    </xf>
    <xf numFmtId="49" fontId="65" fillId="48" borderId="4" xfId="0" applyNumberFormat="1" applyFont="1" applyFill="1" applyBorder="1" applyAlignment="1" applyProtection="1">
      <alignment vertical="center"/>
      <protection locked="0" hidden="1"/>
    </xf>
    <xf numFmtId="49" fontId="65" fillId="48" borderId="4" xfId="0" applyNumberFormat="1" applyFont="1" applyFill="1" applyBorder="1" applyAlignment="1">
      <alignment vertical="center" wrapText="1"/>
    </xf>
    <xf numFmtId="165" fontId="66" fillId="48" borderId="0" xfId="7" applyFont="1" applyFill="1" applyAlignment="1" applyProtection="1">
      <alignment horizontal="center" vertical="center"/>
      <protection hidden="1"/>
    </xf>
    <xf numFmtId="0" fontId="16" fillId="25" borderId="4" xfId="0" applyFont="1" applyFill="1" applyBorder="1" applyAlignment="1" applyProtection="1">
      <alignment vertical="center" wrapText="1"/>
      <protection locked="0"/>
    </xf>
    <xf numFmtId="0" fontId="65" fillId="25" borderId="4" xfId="0" applyFont="1" applyFill="1" applyBorder="1"/>
    <xf numFmtId="20" fontId="59" fillId="25" borderId="4" xfId="0" applyNumberFormat="1" applyFont="1" applyFill="1" applyBorder="1" applyAlignment="1" applyProtection="1">
      <alignment wrapText="1"/>
      <protection locked="0"/>
    </xf>
    <xf numFmtId="0" fontId="59" fillId="25" borderId="4" xfId="0" applyFont="1" applyFill="1" applyBorder="1" applyAlignment="1" applyProtection="1">
      <alignment wrapText="1"/>
      <protection locked="0"/>
    </xf>
    <xf numFmtId="0" fontId="2" fillId="25" borderId="4" xfId="0" applyFont="1" applyFill="1" applyBorder="1" applyAlignment="1" applyProtection="1">
      <alignment wrapText="1"/>
      <protection locked="0"/>
    </xf>
    <xf numFmtId="0" fontId="39" fillId="25" borderId="4" xfId="0" applyFont="1" applyFill="1" applyBorder="1" applyAlignment="1">
      <alignment wrapText="1"/>
    </xf>
    <xf numFmtId="0" fontId="65" fillId="45" borderId="4" xfId="1584" applyFont="1" applyFill="1" applyBorder="1" applyAlignment="1">
      <alignment vertical="center" wrapText="1"/>
    </xf>
    <xf numFmtId="0" fontId="129" fillId="33" borderId="7" xfId="0" applyFont="1" applyFill="1" applyBorder="1" applyAlignment="1" applyProtection="1">
      <alignment vertical="center" wrapText="1"/>
      <protection locked="0"/>
    </xf>
    <xf numFmtId="165" fontId="65" fillId="42" borderId="4" xfId="7" applyFont="1" applyFill="1" applyBorder="1" applyAlignment="1" applyProtection="1">
      <alignment horizontal="center" vertical="center"/>
      <protection locked="0" hidden="1"/>
    </xf>
    <xf numFmtId="14" fontId="65" fillId="42" borderId="4" xfId="1577" applyNumberFormat="1" applyFont="1" applyFill="1" applyBorder="1" applyAlignment="1" applyProtection="1">
      <alignment horizontal="left" vertical="center"/>
      <protection locked="0"/>
    </xf>
    <xf numFmtId="0" fontId="65" fillId="42" borderId="4" xfId="1584" applyFont="1" applyFill="1" applyBorder="1" applyAlignment="1">
      <alignment vertical="center" wrapText="1"/>
    </xf>
    <xf numFmtId="49" fontId="138" fillId="45" borderId="4" xfId="0" applyNumberFormat="1" applyFont="1" applyFill="1" applyBorder="1" applyAlignment="1">
      <alignment horizontal="left" vertical="center" wrapText="1"/>
    </xf>
    <xf numFmtId="20" fontId="16" fillId="17" borderId="4" xfId="0" applyNumberFormat="1" applyFont="1" applyFill="1" applyBorder="1" applyAlignment="1" applyProtection="1">
      <alignment wrapText="1"/>
      <protection locked="0"/>
    </xf>
    <xf numFmtId="0" fontId="129" fillId="33" borderId="7" xfId="1577" applyFont="1" applyFill="1" applyBorder="1" applyAlignment="1">
      <alignment vertical="center" wrapText="1"/>
    </xf>
    <xf numFmtId="0" fontId="65" fillId="45" borderId="7" xfId="1584" applyFont="1" applyFill="1" applyBorder="1" applyAlignment="1" applyProtection="1">
      <alignment vertical="center" wrapText="1"/>
      <protection locked="0"/>
    </xf>
    <xf numFmtId="0" fontId="65" fillId="46" borderId="4" xfId="1584" applyFont="1" applyFill="1" applyBorder="1" applyAlignment="1" applyProtection="1">
      <alignment horizontal="left" vertical="center" wrapText="1"/>
      <protection locked="0"/>
    </xf>
    <xf numFmtId="0" fontId="76" fillId="47" borderId="4" xfId="1584" applyFont="1" applyFill="1" applyBorder="1" applyAlignment="1" applyProtection="1">
      <alignment horizontal="left" vertical="center" wrapText="1"/>
      <protection locked="0"/>
    </xf>
    <xf numFmtId="165" fontId="77" fillId="47" borderId="0" xfId="7" applyFont="1" applyFill="1" applyBorder="1" applyAlignment="1" applyProtection="1">
      <alignment horizontal="center" vertical="center"/>
      <protection hidden="1"/>
    </xf>
    <xf numFmtId="49" fontId="138" fillId="45" borderId="4" xfId="0" applyNumberFormat="1" applyFont="1" applyFill="1" applyBorder="1" applyAlignment="1" applyProtection="1">
      <alignment horizontal="left" vertical="center" wrapText="1"/>
      <protection locked="0"/>
    </xf>
    <xf numFmtId="0" fontId="59" fillId="25" borderId="2" xfId="0" applyFont="1" applyFill="1" applyBorder="1" applyAlignment="1" applyProtection="1">
      <alignment vertical="center" wrapText="1"/>
      <protection locked="0"/>
    </xf>
    <xf numFmtId="14" fontId="65" fillId="46" borderId="4" xfId="7" applyNumberFormat="1" applyFont="1" applyFill="1" applyBorder="1" applyAlignment="1" applyProtection="1">
      <alignment horizontal="left" vertical="center"/>
      <protection locked="0" hidden="1"/>
    </xf>
    <xf numFmtId="0" fontId="139" fillId="0" borderId="4" xfId="0" applyFont="1" applyBorder="1" applyAlignment="1" applyProtection="1">
      <alignment wrapText="1"/>
      <protection locked="0"/>
    </xf>
    <xf numFmtId="0" fontId="39" fillId="25" borderId="1" xfId="0" applyFont="1" applyFill="1" applyBorder="1"/>
    <xf numFmtId="0" fontId="39" fillId="0" borderId="4" xfId="0" applyFont="1" applyBorder="1" applyProtection="1">
      <protection locked="0"/>
    </xf>
    <xf numFmtId="0" fontId="39" fillId="0" borderId="1" xfId="0" applyFont="1" applyBorder="1" applyProtection="1">
      <protection locked="0"/>
    </xf>
    <xf numFmtId="14" fontId="59" fillId="25" borderId="4" xfId="0" applyNumberFormat="1" applyFont="1" applyFill="1" applyBorder="1" applyAlignment="1" applyProtection="1">
      <alignment horizontal="left" vertical="center" wrapText="1"/>
      <protection locked="0"/>
    </xf>
    <xf numFmtId="0" fontId="73" fillId="0" borderId="0" xfId="0" applyFont="1" applyAlignment="1">
      <alignment horizontal="justify" vertical="center"/>
    </xf>
    <xf numFmtId="20" fontId="73" fillId="0" borderId="4" xfId="0" applyNumberFormat="1" applyFont="1" applyBorder="1" applyAlignment="1" applyProtection="1">
      <alignment horizontal="left" wrapText="1"/>
      <protection locked="0"/>
    </xf>
    <xf numFmtId="0" fontId="39" fillId="25" borderId="2" xfId="0" applyFont="1" applyFill="1" applyBorder="1"/>
    <xf numFmtId="0" fontId="65" fillId="35" borderId="7" xfId="7" applyNumberFormat="1" applyFont="1" applyFill="1" applyBorder="1" applyAlignment="1">
      <alignment horizontal="center" vertical="center"/>
    </xf>
    <xf numFmtId="0" fontId="65" fillId="46" borderId="4" xfId="1584" applyFont="1" applyFill="1" applyBorder="1" applyAlignment="1" applyProtection="1">
      <alignment vertical="center" wrapText="1"/>
      <protection locked="0"/>
    </xf>
    <xf numFmtId="0" fontId="65" fillId="46" borderId="4" xfId="1584" applyFont="1" applyFill="1" applyBorder="1" applyAlignment="1">
      <alignment vertical="center" wrapText="1"/>
    </xf>
    <xf numFmtId="0" fontId="136" fillId="46" borderId="0" xfId="0" applyFont="1" applyFill="1" applyAlignment="1" applyProtection="1">
      <alignment horizontal="center" vertical="center"/>
      <protection hidden="1"/>
    </xf>
    <xf numFmtId="0" fontId="76" fillId="47" borderId="4" xfId="7" applyNumberFormat="1" applyFont="1" applyFill="1" applyBorder="1" applyAlignment="1" applyProtection="1">
      <alignment horizontal="center" vertical="center"/>
      <protection locked="0" hidden="1"/>
    </xf>
    <xf numFmtId="0" fontId="65" fillId="48" borderId="0" xfId="0" applyFont="1" applyFill="1" applyAlignment="1" applyProtection="1">
      <alignment horizontal="center" vertical="center"/>
      <protection hidden="1"/>
    </xf>
    <xf numFmtId="0" fontId="66" fillId="45" borderId="0" xfId="0" applyFont="1" applyFill="1" applyAlignment="1" applyProtection="1">
      <alignment horizontal="center" vertical="center"/>
      <protection locked="0" hidden="1"/>
    </xf>
    <xf numFmtId="165" fontId="65" fillId="46" borderId="7" xfId="7" applyFont="1" applyFill="1" applyBorder="1" applyAlignment="1" applyProtection="1">
      <alignment horizontal="center" vertical="center"/>
      <protection locked="0" hidden="1"/>
    </xf>
    <xf numFmtId="20" fontId="2" fillId="0" borderId="4" xfId="0" applyNumberFormat="1" applyFont="1" applyBorder="1" applyAlignment="1" applyProtection="1">
      <alignment wrapText="1"/>
      <protection locked="0"/>
    </xf>
    <xf numFmtId="0" fontId="12" fillId="17" borderId="4" xfId="0" applyFont="1" applyFill="1" applyBorder="1" applyAlignment="1">
      <alignment horizontal="center"/>
    </xf>
    <xf numFmtId="0" fontId="12" fillId="0" borderId="4" xfId="0" applyFont="1" applyBorder="1" applyAlignment="1">
      <alignment horizontal="center"/>
    </xf>
    <xf numFmtId="3" fontId="41" fillId="88" borderId="6" xfId="0" applyNumberFormat="1" applyFont="1" applyFill="1" applyBorder="1" applyAlignment="1">
      <alignment horizontal="center" vertical="center"/>
    </xf>
    <xf numFmtId="0" fontId="41" fillId="86" borderId="1" xfId="0" applyFont="1" applyFill="1" applyBorder="1" applyAlignment="1">
      <alignment horizontal="left" vertical="center"/>
    </xf>
    <xf numFmtId="0" fontId="41" fillId="86" borderId="4" xfId="0" applyFont="1" applyFill="1" applyBorder="1" applyAlignment="1">
      <alignment horizontal="left" vertical="center"/>
    </xf>
    <xf numFmtId="0" fontId="102" fillId="47" borderId="36" xfId="0" applyFont="1" applyFill="1" applyBorder="1" applyAlignment="1">
      <alignment horizontal="left" vertical="center" textRotation="90"/>
    </xf>
    <xf numFmtId="0" fontId="102" fillId="47" borderId="34" xfId="0" applyFont="1" applyFill="1" applyBorder="1" applyAlignment="1">
      <alignment horizontal="left" vertical="center" textRotation="90"/>
    </xf>
    <xf numFmtId="0" fontId="102" fillId="47" borderId="35" xfId="0" applyFont="1" applyFill="1" applyBorder="1" applyAlignment="1">
      <alignment horizontal="left" vertical="center" textRotation="90"/>
    </xf>
    <xf numFmtId="0" fontId="102" fillId="47" borderId="26" xfId="0" applyFont="1" applyFill="1" applyBorder="1" applyAlignment="1">
      <alignment horizontal="left" vertical="center" textRotation="90"/>
    </xf>
    <xf numFmtId="0" fontId="102" fillId="47" borderId="29" xfId="0" applyFont="1" applyFill="1" applyBorder="1" applyAlignment="1">
      <alignment horizontal="left" vertical="center" textRotation="90"/>
    </xf>
    <xf numFmtId="0" fontId="102" fillId="47" borderId="31" xfId="0" applyFont="1" applyFill="1" applyBorder="1" applyAlignment="1">
      <alignment horizontal="left" vertical="center" textRotation="90"/>
    </xf>
    <xf numFmtId="0" fontId="41" fillId="86" borderId="25" xfId="0" applyFont="1" applyFill="1" applyBorder="1" applyAlignment="1">
      <alignment horizontal="left" vertical="center"/>
    </xf>
    <xf numFmtId="0" fontId="41" fillId="86" borderId="15" xfId="0" applyFont="1" applyFill="1" applyBorder="1" applyAlignment="1">
      <alignment horizontal="left" vertical="center"/>
    </xf>
    <xf numFmtId="0" fontId="73" fillId="84" borderId="25" xfId="0" applyFont="1" applyFill="1" applyBorder="1" applyAlignment="1">
      <alignment horizontal="left" vertical="center"/>
    </xf>
    <xf numFmtId="0" fontId="73" fillId="84" borderId="15" xfId="0" applyFont="1" applyFill="1" applyBorder="1" applyAlignment="1">
      <alignment horizontal="left" vertical="center"/>
    </xf>
    <xf numFmtId="0" fontId="41" fillId="86" borderId="2" xfId="0" applyFont="1" applyFill="1" applyBorder="1" applyAlignment="1">
      <alignment horizontal="left" vertical="center"/>
    </xf>
    <xf numFmtId="0" fontId="73" fillId="84" borderId="1" xfId="0" applyFont="1" applyFill="1" applyBorder="1" applyAlignment="1">
      <alignment horizontal="left" vertical="center"/>
    </xf>
    <xf numFmtId="0" fontId="73" fillId="84" borderId="4" xfId="0" applyFont="1" applyFill="1" applyBorder="1" applyAlignment="1">
      <alignment horizontal="left" vertical="center"/>
    </xf>
    <xf numFmtId="0" fontId="73" fillId="84" borderId="2" xfId="0" applyFont="1" applyFill="1" applyBorder="1" applyAlignment="1">
      <alignment horizontal="left" vertical="center"/>
    </xf>
    <xf numFmtId="1" fontId="121" fillId="0" borderId="21" xfId="0" applyNumberFormat="1" applyFont="1" applyBorder="1" applyAlignment="1">
      <alignment horizontal="center" vertical="center"/>
    </xf>
    <xf numFmtId="1" fontId="121" fillId="0" borderId="5" xfId="0" applyNumberFormat="1" applyFont="1" applyBorder="1" applyAlignment="1">
      <alignment horizontal="center" vertical="center"/>
    </xf>
    <xf numFmtId="1" fontId="121" fillId="0" borderId="63" xfId="0" applyNumberFormat="1" applyFont="1" applyBorder="1" applyAlignment="1">
      <alignment horizontal="center" vertical="center"/>
    </xf>
    <xf numFmtId="0" fontId="119" fillId="49" borderId="55" xfId="0" applyFont="1" applyFill="1" applyBorder="1" applyAlignment="1">
      <alignment horizontal="center" vertical="center" wrapText="1"/>
    </xf>
    <xf numFmtId="0" fontId="119" fillId="49" borderId="21" xfId="0" applyFont="1" applyFill="1" applyBorder="1" applyAlignment="1">
      <alignment horizontal="center" vertical="center" wrapText="1"/>
    </xf>
    <xf numFmtId="0" fontId="119" fillId="49" borderId="23" xfId="0" applyFont="1" applyFill="1" applyBorder="1" applyAlignment="1">
      <alignment horizontal="center" vertical="center" wrapText="1"/>
    </xf>
    <xf numFmtId="0" fontId="120" fillId="49" borderId="36" xfId="0" applyFont="1" applyFill="1" applyBorder="1" applyAlignment="1">
      <alignment horizontal="center" vertical="center" textRotation="90" wrapText="1"/>
    </xf>
    <xf numFmtId="0" fontId="120" fillId="49" borderId="29" xfId="0" applyFont="1" applyFill="1" applyBorder="1" applyAlignment="1">
      <alignment horizontal="center" vertical="center" textRotation="90" wrapText="1"/>
    </xf>
    <xf numFmtId="0" fontId="120" fillId="49" borderId="34" xfId="0" applyFont="1" applyFill="1" applyBorder="1" applyAlignment="1">
      <alignment horizontal="center" vertical="center" textRotation="90" wrapText="1"/>
    </xf>
    <xf numFmtId="0" fontId="17" fillId="49" borderId="20" xfId="0" applyFont="1" applyFill="1" applyBorder="1" applyAlignment="1">
      <alignment horizontal="center" vertical="center"/>
    </xf>
    <xf numFmtId="0" fontId="17" fillId="49" borderId="22" xfId="0" applyFont="1" applyFill="1" applyBorder="1" applyAlignment="1">
      <alignment horizontal="center" vertical="center"/>
    </xf>
    <xf numFmtId="0" fontId="123" fillId="0" borderId="23" xfId="0" applyFont="1" applyBorder="1" applyAlignment="1">
      <alignment horizontal="center" vertical="center" wrapText="1"/>
    </xf>
    <xf numFmtId="0" fontId="123" fillId="0" borderId="62" xfId="0" applyFont="1" applyBorder="1" applyAlignment="1">
      <alignment horizontal="center" vertical="center" wrapText="1"/>
    </xf>
    <xf numFmtId="0" fontId="123" fillId="0" borderId="64" xfId="0" applyFont="1" applyBorder="1" applyAlignment="1">
      <alignment horizontal="center" vertical="center" wrapText="1"/>
    </xf>
    <xf numFmtId="0" fontId="121" fillId="0" borderId="23" xfId="0" applyFont="1" applyBorder="1" applyAlignment="1">
      <alignment horizontal="center" vertical="center" wrapText="1"/>
    </xf>
    <xf numFmtId="0" fontId="121" fillId="0" borderId="62" xfId="0" applyFont="1" applyBorder="1" applyAlignment="1">
      <alignment horizontal="center" vertical="center" wrapText="1"/>
    </xf>
    <xf numFmtId="0" fontId="121" fillId="82" borderId="12" xfId="0" applyFont="1" applyFill="1" applyBorder="1" applyAlignment="1">
      <alignment horizontal="center" vertical="top" wrapText="1"/>
    </xf>
    <xf numFmtId="0" fontId="121" fillId="82" borderId="62" xfId="0" applyFont="1" applyFill="1" applyBorder="1" applyAlignment="1">
      <alignment horizontal="center" vertical="top" wrapText="1"/>
    </xf>
    <xf numFmtId="0" fontId="121" fillId="0" borderId="34" xfId="0" applyFont="1" applyBorder="1" applyAlignment="1">
      <alignment horizontal="center" vertical="center"/>
    </xf>
    <xf numFmtId="0" fontId="121" fillId="0" borderId="35" xfId="0" applyFont="1" applyBorder="1" applyAlignment="1">
      <alignment horizontal="center" vertical="center"/>
    </xf>
    <xf numFmtId="0" fontId="121" fillId="0" borderId="34" xfId="0" applyFont="1" applyBorder="1" applyAlignment="1">
      <alignment horizontal="center" vertical="center" wrapText="1"/>
    </xf>
    <xf numFmtId="0" fontId="121" fillId="0" borderId="35" xfId="0" applyFont="1" applyBorder="1" applyAlignment="1">
      <alignment horizontal="center" vertical="center" wrapText="1"/>
    </xf>
    <xf numFmtId="0" fontId="120" fillId="49" borderId="67" xfId="0" applyFont="1" applyFill="1" applyBorder="1" applyAlignment="1">
      <alignment horizontal="center" vertical="center" textRotation="90" wrapText="1"/>
    </xf>
    <xf numFmtId="0" fontId="120" fillId="49" borderId="68" xfId="0" applyFont="1" applyFill="1" applyBorder="1" applyAlignment="1">
      <alignment horizontal="center" vertical="center" textRotation="90" wrapText="1"/>
    </xf>
    <xf numFmtId="0" fontId="120" fillId="49" borderId="69" xfId="0" applyFont="1" applyFill="1" applyBorder="1" applyAlignment="1">
      <alignment horizontal="center" vertical="center" textRotation="90" wrapText="1"/>
    </xf>
    <xf numFmtId="0" fontId="120" fillId="49" borderId="58" xfId="0" applyFont="1" applyFill="1" applyBorder="1" applyAlignment="1">
      <alignment horizontal="center" vertical="center" textRotation="90" wrapText="1"/>
    </xf>
    <xf numFmtId="0" fontId="121" fillId="17" borderId="4" xfId="0" applyFont="1" applyFill="1" applyBorder="1" applyAlignment="1">
      <alignment horizontal="center" vertical="center" wrapText="1"/>
    </xf>
    <xf numFmtId="1" fontId="128" fillId="49" borderId="9" xfId="0" applyNumberFormat="1" applyFont="1" applyFill="1" applyBorder="1" applyAlignment="1">
      <alignment horizontal="center"/>
    </xf>
    <xf numFmtId="1" fontId="128" fillId="49" borderId="0" xfId="0" applyNumberFormat="1" applyFont="1" applyFill="1" applyAlignment="1">
      <alignment horizontal="center"/>
    </xf>
    <xf numFmtId="1" fontId="128" fillId="49" borderId="12" xfId="0" applyNumberFormat="1" applyFont="1" applyFill="1" applyBorder="1" applyAlignment="1">
      <alignment horizontal="center"/>
    </xf>
    <xf numFmtId="1" fontId="121" fillId="0" borderId="34" xfId="0" applyNumberFormat="1" applyFont="1" applyBorder="1" applyAlignment="1">
      <alignment horizontal="center" vertical="center"/>
    </xf>
    <xf numFmtId="20" fontId="121" fillId="0" borderId="9" xfId="0" applyNumberFormat="1" applyFont="1" applyBorder="1" applyAlignment="1">
      <alignment horizontal="center" vertical="center" wrapText="1"/>
    </xf>
    <xf numFmtId="20" fontId="121" fillId="0" borderId="60" xfId="0" applyNumberFormat="1" applyFont="1" applyBorder="1" applyAlignment="1">
      <alignment horizontal="center" vertical="center" wrapText="1"/>
    </xf>
    <xf numFmtId="0" fontId="121" fillId="0" borderId="21" xfId="0" applyFont="1" applyBorder="1" applyAlignment="1">
      <alignment horizontal="center" vertical="center"/>
    </xf>
    <xf numFmtId="0" fontId="121" fillId="0" borderId="5" xfId="0" applyFont="1" applyBorder="1" applyAlignment="1">
      <alignment horizontal="center" vertical="center"/>
    </xf>
    <xf numFmtId="0" fontId="121" fillId="0" borderId="63" xfId="0" applyFont="1" applyBorder="1" applyAlignment="1">
      <alignment horizontal="center" vertical="center"/>
    </xf>
    <xf numFmtId="0" fontId="127" fillId="0" borderId="21" xfId="0" applyFont="1" applyBorder="1" applyAlignment="1">
      <alignment horizontal="center" vertical="center" wrapText="1"/>
    </xf>
    <xf numFmtId="0" fontId="127" fillId="0" borderId="5" xfId="0" applyFont="1" applyBorder="1" applyAlignment="1">
      <alignment horizontal="center" vertical="center" wrapText="1"/>
    </xf>
    <xf numFmtId="0" fontId="127" fillId="0" borderId="63" xfId="0" applyFont="1" applyBorder="1" applyAlignment="1">
      <alignment horizontal="center" vertical="center" wrapText="1"/>
    </xf>
    <xf numFmtId="20" fontId="121" fillId="0" borderId="21" xfId="0" applyNumberFormat="1" applyFont="1" applyBorder="1" applyAlignment="1">
      <alignment horizontal="center" vertical="center" wrapText="1"/>
    </xf>
    <xf numFmtId="20" fontId="121" fillId="0" borderId="5" xfId="0" applyNumberFormat="1" applyFont="1" applyBorder="1" applyAlignment="1">
      <alignment horizontal="center" vertical="center" wrapText="1"/>
    </xf>
    <xf numFmtId="1" fontId="121" fillId="0" borderId="12" xfId="0" applyNumberFormat="1" applyFont="1" applyBorder="1" applyAlignment="1">
      <alignment horizontal="center" vertical="center"/>
    </xf>
    <xf numFmtId="0" fontId="121" fillId="0" borderId="12" xfId="0" applyFont="1" applyBorder="1" applyAlignment="1">
      <alignment horizontal="center" vertical="center"/>
    </xf>
    <xf numFmtId="0" fontId="121" fillId="0" borderId="61" xfId="0" applyFont="1" applyBorder="1" applyAlignment="1">
      <alignment horizontal="center" vertical="center"/>
    </xf>
    <xf numFmtId="0" fontId="121" fillId="18" borderId="4" xfId="0" applyFont="1" applyFill="1" applyBorder="1" applyAlignment="1">
      <alignment horizontal="center" vertical="center" wrapText="1"/>
    </xf>
    <xf numFmtId="0" fontId="74" fillId="11" borderId="4" xfId="3161" applyFont="1" applyFill="1" applyBorder="1" applyAlignment="1">
      <alignment horizontal="center" vertical="center"/>
    </xf>
    <xf numFmtId="0" fontId="74" fillId="11" borderId="4" xfId="3161" applyFont="1" applyFill="1" applyBorder="1" applyAlignment="1">
      <alignment horizontal="center" vertical="center" wrapText="1"/>
    </xf>
    <xf numFmtId="0" fontId="92" fillId="0" borderId="0" xfId="0" applyFont="1" applyAlignment="1">
      <alignment horizontal="center"/>
    </xf>
    <xf numFmtId="0" fontId="92" fillId="0" borderId="0" xfId="0" applyFont="1" applyAlignment="1">
      <alignment horizontal="center" wrapText="1"/>
    </xf>
    <xf numFmtId="0" fontId="82" fillId="34" borderId="26" xfId="3161" applyFont="1" applyFill="1" applyBorder="1" applyAlignment="1">
      <alignment horizontal="left" vertical="center" wrapText="1"/>
    </xf>
    <xf numFmtId="0" fontId="82" fillId="34" borderId="28" xfId="3161" applyFont="1" applyFill="1" applyBorder="1" applyAlignment="1">
      <alignment horizontal="left" vertical="center" wrapText="1"/>
    </xf>
    <xf numFmtId="0" fontId="82" fillId="34" borderId="27" xfId="3161" applyFont="1" applyFill="1" applyBorder="1" applyAlignment="1">
      <alignment horizontal="left" vertical="center" wrapText="1"/>
    </xf>
    <xf numFmtId="0" fontId="82" fillId="34" borderId="29" xfId="3161" applyFont="1" applyFill="1" applyBorder="1" applyAlignment="1">
      <alignment horizontal="left" vertical="center" wrapText="1"/>
    </xf>
    <xf numFmtId="0" fontId="82" fillId="34" borderId="0" xfId="3161" applyFont="1" applyFill="1" applyAlignment="1">
      <alignment horizontal="left" vertical="center" wrapText="1"/>
    </xf>
    <xf numFmtId="0" fontId="82" fillId="34" borderId="30" xfId="3161" applyFont="1" applyFill="1" applyBorder="1" applyAlignment="1">
      <alignment horizontal="left" vertical="center" wrapText="1"/>
    </xf>
    <xf numFmtId="0" fontId="82" fillId="34" borderId="31" xfId="3161" applyFont="1" applyFill="1" applyBorder="1" applyAlignment="1">
      <alignment horizontal="left" vertical="center" wrapText="1"/>
    </xf>
    <xf numFmtId="0" fontId="82" fillId="34" borderId="32" xfId="3161" applyFont="1" applyFill="1" applyBorder="1" applyAlignment="1">
      <alignment horizontal="left" vertical="center" wrapText="1"/>
    </xf>
    <xf numFmtId="0" fontId="82" fillId="34" borderId="33" xfId="3161" applyFont="1" applyFill="1" applyBorder="1" applyAlignment="1">
      <alignment horizontal="left" vertical="center" wrapText="1"/>
    </xf>
    <xf numFmtId="0" fontId="74" fillId="34" borderId="4" xfId="3161" applyFont="1" applyFill="1" applyBorder="1" applyAlignment="1">
      <alignment horizontal="center" vertical="center" wrapText="1"/>
    </xf>
    <xf numFmtId="0" fontId="74" fillId="34" borderId="4" xfId="3161" applyFont="1" applyFill="1" applyBorder="1" applyAlignment="1">
      <alignment horizontal="left" vertical="center" wrapText="1"/>
    </xf>
    <xf numFmtId="0" fontId="74" fillId="34" borderId="4" xfId="3161" applyFont="1" applyFill="1" applyBorder="1" applyAlignment="1">
      <alignment horizontal="center" vertical="center"/>
    </xf>
    <xf numFmtId="0" fontId="74" fillId="9" borderId="4" xfId="3161" applyFont="1" applyFill="1" applyBorder="1" applyAlignment="1">
      <alignment horizontal="center" vertical="center"/>
    </xf>
    <xf numFmtId="0" fontId="74" fillId="9" borderId="4" xfId="3161" applyFont="1" applyFill="1" applyBorder="1" applyAlignment="1">
      <alignment horizontal="center" vertical="center" wrapText="1"/>
    </xf>
    <xf numFmtId="1" fontId="16" fillId="6" borderId="3" xfId="1602" applyNumberFormat="1" applyFont="1" applyFill="1" applyBorder="1" applyAlignment="1">
      <alignment horizontal="center" vertical="center"/>
    </xf>
    <xf numFmtId="1" fontId="16" fillId="6" borderId="14" xfId="1602" applyNumberFormat="1" applyFont="1" applyFill="1" applyBorder="1" applyAlignment="1">
      <alignment horizontal="center" vertical="center"/>
    </xf>
    <xf numFmtId="1" fontId="16" fillId="6" borderId="9" xfId="1602" applyNumberFormat="1" applyFont="1" applyFill="1" applyBorder="1" applyAlignment="1">
      <alignment horizontal="center" vertical="center"/>
    </xf>
    <xf numFmtId="1" fontId="16" fillId="6" borderId="12" xfId="1602" applyNumberFormat="1" applyFont="1" applyFill="1" applyBorder="1" applyAlignment="1">
      <alignment horizontal="center" vertical="center"/>
    </xf>
    <xf numFmtId="1" fontId="16" fillId="6" borderId="10" xfId="1602" applyNumberFormat="1" applyFont="1" applyFill="1" applyBorder="1" applyAlignment="1">
      <alignment horizontal="center" vertical="center"/>
    </xf>
    <xf numFmtId="1" fontId="16" fillId="6" borderId="11" xfId="1602" applyNumberFormat="1" applyFont="1" applyFill="1" applyBorder="1" applyAlignment="1">
      <alignment horizontal="center" vertical="center"/>
    </xf>
    <xf numFmtId="0" fontId="16" fillId="5" borderId="2" xfId="1602" applyFont="1" applyFill="1" applyBorder="1" applyAlignment="1">
      <alignment horizontal="center" vertical="center"/>
    </xf>
    <xf numFmtId="0" fontId="16" fillId="5" borderId="15" xfId="1602" applyFont="1" applyFill="1" applyBorder="1" applyAlignment="1">
      <alignment horizontal="center" vertical="center"/>
    </xf>
    <xf numFmtId="0" fontId="16" fillId="10" borderId="7" xfId="1602" applyFont="1" applyFill="1" applyBorder="1" applyAlignment="1">
      <alignment horizontal="center" vertical="center"/>
    </xf>
    <xf numFmtId="0" fontId="16" fillId="10" borderId="5" xfId="1602" applyFont="1" applyFill="1" applyBorder="1" applyAlignment="1">
      <alignment horizontal="center" vertical="center"/>
    </xf>
    <xf numFmtId="0" fontId="16" fillId="10" borderId="6" xfId="1602" applyFont="1" applyFill="1" applyBorder="1" applyAlignment="1">
      <alignment horizontal="center" vertical="center"/>
    </xf>
    <xf numFmtId="0" fontId="16" fillId="12" borderId="7" xfId="1602" applyFont="1" applyFill="1" applyBorder="1" applyAlignment="1">
      <alignment horizontal="center" vertical="center"/>
    </xf>
    <xf numFmtId="0" fontId="16" fillId="12" borderId="6" xfId="1602" applyFont="1" applyFill="1" applyBorder="1" applyAlignment="1">
      <alignment horizontal="center" vertical="center"/>
    </xf>
    <xf numFmtId="0" fontId="16" fillId="13" borderId="7" xfId="1602" applyFont="1" applyFill="1" applyBorder="1" applyAlignment="1">
      <alignment horizontal="center" vertical="center"/>
    </xf>
    <xf numFmtId="0" fontId="16" fillId="13" borderId="6" xfId="1602" applyFont="1" applyFill="1" applyBorder="1" applyAlignment="1">
      <alignment horizontal="center" vertical="center"/>
    </xf>
    <xf numFmtId="1" fontId="16" fillId="6" borderId="4" xfId="1602" applyNumberFormat="1" applyFont="1" applyFill="1" applyBorder="1" applyAlignment="1">
      <alignment horizontal="center" vertical="center"/>
    </xf>
    <xf numFmtId="0" fontId="16" fillId="11" borderId="7" xfId="1602" applyFont="1" applyFill="1" applyBorder="1" applyAlignment="1">
      <alignment horizontal="center" vertical="center"/>
    </xf>
    <xf numFmtId="0" fontId="16" fillId="11" borderId="5" xfId="1602" applyFont="1" applyFill="1" applyBorder="1" applyAlignment="1">
      <alignment horizontal="center" vertical="center"/>
    </xf>
    <xf numFmtId="0" fontId="16" fillId="11" borderId="6" xfId="1602" applyFont="1" applyFill="1" applyBorder="1" applyAlignment="1">
      <alignment horizontal="center" vertical="center"/>
    </xf>
    <xf numFmtId="0" fontId="16" fillId="6" borderId="7" xfId="1602" applyFont="1" applyFill="1" applyBorder="1" applyAlignment="1">
      <alignment horizontal="center" vertical="center"/>
    </xf>
    <xf numFmtId="0" fontId="16" fillId="6" borderId="5" xfId="1602" applyFont="1" applyFill="1" applyBorder="1" applyAlignment="1">
      <alignment horizontal="center" vertical="center"/>
    </xf>
    <xf numFmtId="0" fontId="16" fillId="6" borderId="6" xfId="1602" applyFont="1" applyFill="1" applyBorder="1" applyAlignment="1">
      <alignment horizontal="center" vertical="center"/>
    </xf>
    <xf numFmtId="0" fontId="16" fillId="7" borderId="7" xfId="1602" applyFont="1" applyFill="1" applyBorder="1" applyAlignment="1">
      <alignment horizontal="center" vertical="center"/>
    </xf>
    <xf numFmtId="0" fontId="16" fillId="7" borderId="5" xfId="1602" applyFont="1" applyFill="1" applyBorder="1" applyAlignment="1">
      <alignment horizontal="center" vertical="center"/>
    </xf>
    <xf numFmtId="0" fontId="16" fillId="7" borderId="6" xfId="1602" applyFont="1" applyFill="1" applyBorder="1" applyAlignment="1">
      <alignment horizontal="center" vertical="center"/>
    </xf>
    <xf numFmtId="0" fontId="16" fillId="8" borderId="7" xfId="1602" applyFont="1" applyFill="1" applyBorder="1" applyAlignment="1">
      <alignment horizontal="center" vertical="center"/>
    </xf>
    <xf numFmtId="0" fontId="16" fillId="8" borderId="5" xfId="1602" applyFont="1" applyFill="1" applyBorder="1" applyAlignment="1">
      <alignment horizontal="center" vertical="center"/>
    </xf>
    <xf numFmtId="0" fontId="16" fillId="8" borderId="6" xfId="1602" applyFont="1" applyFill="1" applyBorder="1" applyAlignment="1">
      <alignment horizontal="center" vertical="center"/>
    </xf>
    <xf numFmtId="0" fontId="16" fillId="9" borderId="7" xfId="1602" applyFont="1" applyFill="1" applyBorder="1" applyAlignment="1">
      <alignment horizontal="center" vertical="center"/>
    </xf>
    <xf numFmtId="0" fontId="16" fillId="9" borderId="5" xfId="1602" applyFont="1" applyFill="1" applyBorder="1" applyAlignment="1">
      <alignment horizontal="center" vertical="center"/>
    </xf>
    <xf numFmtId="0" fontId="16" fillId="9" borderId="6" xfId="1602" applyFont="1" applyFill="1" applyBorder="1" applyAlignment="1">
      <alignment horizontal="center" vertical="center"/>
    </xf>
    <xf numFmtId="0" fontId="40" fillId="25" borderId="4" xfId="0" applyFont="1" applyFill="1" applyBorder="1" applyAlignment="1">
      <alignment horizontal="center" vertical="center"/>
    </xf>
    <xf numFmtId="0" fontId="85" fillId="45" borderId="2" xfId="3161" applyFont="1" applyFill="1" applyBorder="1" applyAlignment="1">
      <alignment horizontal="center" vertical="center" wrapText="1"/>
    </xf>
    <xf numFmtId="0" fontId="85" fillId="45" borderId="15" xfId="3161" applyFont="1" applyFill="1" applyBorder="1" applyAlignment="1">
      <alignment horizontal="center" vertical="center" wrapText="1"/>
    </xf>
    <xf numFmtId="0" fontId="85" fillId="45" borderId="1" xfId="3161" applyFont="1" applyFill="1" applyBorder="1" applyAlignment="1">
      <alignment horizontal="center" vertical="center" wrapText="1"/>
    </xf>
    <xf numFmtId="0" fontId="86" fillId="0" borderId="0" xfId="3161" applyFont="1" applyAlignment="1">
      <alignment horizontal="center" vertical="center" wrapText="1"/>
    </xf>
    <xf numFmtId="0" fontId="91" fillId="34" borderId="17" xfId="3161" applyFont="1" applyFill="1" applyBorder="1" applyAlignment="1">
      <alignment horizontal="center" vertical="center" wrapText="1"/>
    </xf>
    <xf numFmtId="0" fontId="91" fillId="34" borderId="18" xfId="3161" applyFont="1" applyFill="1" applyBorder="1" applyAlignment="1">
      <alignment horizontal="center" vertical="center" wrapText="1"/>
    </xf>
    <xf numFmtId="0" fontId="91" fillId="34" borderId="19" xfId="3161" applyFont="1" applyFill="1" applyBorder="1" applyAlignment="1">
      <alignment horizontal="center" vertical="center" wrapText="1"/>
    </xf>
    <xf numFmtId="0" fontId="87" fillId="47" borderId="6" xfId="3161" applyFont="1" applyFill="1" applyBorder="1" applyAlignment="1">
      <alignment horizontal="center" vertical="center" wrapText="1"/>
    </xf>
    <xf numFmtId="0" fontId="87" fillId="47" borderId="6" xfId="3161" applyFont="1" applyFill="1" applyBorder="1" applyAlignment="1">
      <alignment horizontal="center" vertical="center"/>
    </xf>
    <xf numFmtId="0" fontId="89" fillId="0" borderId="0" xfId="0" applyFont="1" applyAlignment="1">
      <alignment horizontal="center" wrapText="1"/>
    </xf>
    <xf numFmtId="0" fontId="89" fillId="0" borderId="0" xfId="0" applyFont="1" applyAlignment="1">
      <alignment horizontal="center"/>
    </xf>
    <xf numFmtId="0" fontId="88" fillId="47" borderId="6" xfId="3161" applyFont="1" applyFill="1" applyBorder="1" applyAlignment="1">
      <alignment horizontal="center" vertical="center" wrapText="1"/>
    </xf>
    <xf numFmtId="0" fontId="88" fillId="47" borderId="6" xfId="3161" applyFont="1" applyFill="1" applyBorder="1" applyAlignment="1">
      <alignment horizontal="center" vertical="center"/>
    </xf>
    <xf numFmtId="0" fontId="3" fillId="20" borderId="0" xfId="0" applyFont="1" applyFill="1" applyAlignment="1" applyProtection="1">
      <alignment horizontal="left" vertical="center" wrapText="1"/>
      <protection locked="0"/>
    </xf>
    <xf numFmtId="0" fontId="16" fillId="11" borderId="2" xfId="3161" applyFont="1" applyFill="1" applyBorder="1" applyAlignment="1" applyProtection="1">
      <alignment horizontal="center" vertical="center" wrapText="1"/>
      <protection locked="0"/>
    </xf>
    <xf numFmtId="0" fontId="16" fillId="11" borderId="1" xfId="3161" applyFont="1" applyFill="1" applyBorder="1" applyAlignment="1" applyProtection="1">
      <alignment horizontal="center" vertical="center" wrapText="1"/>
      <protection locked="0"/>
    </xf>
    <xf numFmtId="0" fontId="59" fillId="25" borderId="7" xfId="0" applyFont="1" applyFill="1" applyBorder="1" applyAlignment="1" applyProtection="1">
      <alignment horizontal="left" vertical="center" wrapText="1"/>
      <protection locked="0"/>
    </xf>
    <xf numFmtId="0" fontId="59" fillId="25" borderId="5" xfId="0" applyFont="1" applyFill="1" applyBorder="1" applyAlignment="1" applyProtection="1">
      <alignment horizontal="left" vertical="center" wrapText="1"/>
      <protection locked="0"/>
    </xf>
    <xf numFmtId="0" fontId="59" fillId="25" borderId="6" xfId="0" applyFont="1" applyFill="1" applyBorder="1" applyAlignment="1" applyProtection="1">
      <alignment horizontal="left" vertical="center" wrapText="1"/>
      <protection locked="0"/>
    </xf>
    <xf numFmtId="0" fontId="16" fillId="11" borderId="4" xfId="3161" applyFont="1" applyFill="1" applyBorder="1" applyAlignment="1" applyProtection="1">
      <alignment horizontal="center" vertical="center" wrapText="1"/>
      <protection locked="0"/>
    </xf>
    <xf numFmtId="0" fontId="2" fillId="25" borderId="7" xfId="0" applyFont="1" applyFill="1" applyBorder="1" applyAlignment="1" applyProtection="1">
      <alignment horizontal="left" vertical="center" wrapText="1"/>
      <protection locked="0"/>
    </xf>
    <xf numFmtId="0" fontId="2" fillId="25" borderId="5" xfId="0" applyFont="1" applyFill="1" applyBorder="1" applyAlignment="1" applyProtection="1">
      <alignment horizontal="left" vertical="center" wrapText="1"/>
      <protection locked="0"/>
    </xf>
    <xf numFmtId="0" fontId="2" fillId="25" borderId="6" xfId="0" applyFont="1" applyFill="1" applyBorder="1" applyAlignment="1" applyProtection="1">
      <alignment horizontal="left" vertical="center" wrapText="1"/>
      <protection locked="0"/>
    </xf>
    <xf numFmtId="0" fontId="59" fillId="25" borderId="4" xfId="0" applyFont="1" applyFill="1" applyBorder="1" applyAlignment="1" applyProtection="1">
      <alignment horizontal="left" vertical="center" wrapText="1"/>
      <protection locked="0"/>
    </xf>
    <xf numFmtId="0" fontId="51" fillId="0" borderId="4" xfId="3162" applyFont="1" applyBorder="1" applyAlignment="1">
      <alignment horizontal="center" vertical="center"/>
    </xf>
    <xf numFmtId="0" fontId="7" fillId="0" borderId="4" xfId="3162" applyFont="1" applyBorder="1" applyAlignment="1">
      <alignment horizontal="center" vertical="center"/>
    </xf>
    <xf numFmtId="0" fontId="54" fillId="0" borderId="4" xfId="3162" applyFont="1" applyBorder="1" applyAlignment="1">
      <alignment horizontal="center" vertical="center"/>
    </xf>
    <xf numFmtId="17" fontId="58" fillId="39" borderId="13" xfId="3162" applyNumberFormat="1" applyFont="1" applyFill="1" applyBorder="1" applyAlignment="1">
      <alignment horizontal="center" vertical="center"/>
    </xf>
    <xf numFmtId="0" fontId="53" fillId="38" borderId="10" xfId="3162" applyFont="1" applyFill="1" applyBorder="1" applyAlignment="1">
      <alignment horizontal="center" vertical="center"/>
    </xf>
    <xf numFmtId="0" fontId="53" fillId="38" borderId="13" xfId="3162" applyFont="1" applyFill="1" applyBorder="1" applyAlignment="1">
      <alignment horizontal="center" vertical="center"/>
    </xf>
    <xf numFmtId="0" fontId="51" fillId="0" borderId="2" xfId="3162" applyFont="1" applyBorder="1" applyAlignment="1">
      <alignment horizontal="center" vertical="center" wrapText="1"/>
    </xf>
    <xf numFmtId="0" fontId="51" fillId="0" borderId="4" xfId="3162" applyFont="1" applyBorder="1" applyAlignment="1">
      <alignment horizontal="center" vertical="center" wrapText="1"/>
    </xf>
    <xf numFmtId="0" fontId="82" fillId="0" borderId="17" xfId="0" applyFont="1" applyBorder="1" applyAlignment="1">
      <alignment horizontal="center" vertical="center"/>
    </xf>
    <xf numFmtId="0" fontId="82" fillId="0" borderId="18" xfId="0" applyFont="1" applyBorder="1" applyAlignment="1">
      <alignment horizontal="center" vertical="center"/>
    </xf>
    <xf numFmtId="0" fontId="82" fillId="0" borderId="19" xfId="0" applyFont="1" applyBorder="1" applyAlignment="1">
      <alignment horizontal="center" vertical="center"/>
    </xf>
    <xf numFmtId="0" fontId="16" fillId="0" borderId="2" xfId="0" applyFont="1" applyBorder="1" applyAlignment="1">
      <alignment horizontal="center" vertical="center"/>
    </xf>
    <xf numFmtId="0" fontId="16" fillId="0" borderId="15" xfId="0" applyFont="1" applyBorder="1" applyAlignment="1">
      <alignment horizontal="center" vertical="center"/>
    </xf>
    <xf numFmtId="0" fontId="16" fillId="0" borderId="1" xfId="0" applyFont="1" applyBorder="1" applyAlignment="1">
      <alignment horizontal="center" vertical="center"/>
    </xf>
    <xf numFmtId="0" fontId="19" fillId="28" borderId="3" xfId="0" applyFont="1" applyFill="1" applyBorder="1" applyAlignment="1" applyProtection="1">
      <alignment horizontal="center" vertical="center" wrapText="1"/>
      <protection hidden="1"/>
    </xf>
    <xf numFmtId="0" fontId="19" fillId="28" borderId="14" xfId="0" applyFont="1" applyFill="1" applyBorder="1" applyAlignment="1" applyProtection="1">
      <alignment horizontal="center" vertical="center" wrapText="1"/>
      <protection hidden="1"/>
    </xf>
    <xf numFmtId="0" fontId="19" fillId="28" borderId="10" xfId="0" applyFont="1" applyFill="1" applyBorder="1" applyAlignment="1" applyProtection="1">
      <alignment horizontal="center" vertical="center" wrapText="1"/>
      <protection hidden="1"/>
    </xf>
    <xf numFmtId="0" fontId="19" fillId="28" borderId="11" xfId="0" applyFont="1" applyFill="1" applyBorder="1" applyAlignment="1" applyProtection="1">
      <alignment horizontal="center" vertical="center" wrapText="1"/>
      <protection hidden="1"/>
    </xf>
    <xf numFmtId="0" fontId="19" fillId="33" borderId="3" xfId="0" applyFont="1" applyFill="1" applyBorder="1" applyAlignment="1" applyProtection="1">
      <alignment horizontal="center" vertical="center" wrapText="1"/>
      <protection hidden="1"/>
    </xf>
    <xf numFmtId="0" fontId="19" fillId="33" borderId="14" xfId="0" applyFont="1" applyFill="1" applyBorder="1" applyAlignment="1" applyProtection="1">
      <alignment horizontal="center" vertical="center" wrapText="1"/>
      <protection hidden="1"/>
    </xf>
    <xf numFmtId="0" fontId="19" fillId="33" borderId="10" xfId="0" applyFont="1" applyFill="1" applyBorder="1" applyAlignment="1" applyProtection="1">
      <alignment horizontal="center" vertical="center" wrapText="1"/>
      <protection hidden="1"/>
    </xf>
    <xf numFmtId="0" fontId="19" fillId="33" borderId="11" xfId="0" applyFont="1" applyFill="1" applyBorder="1" applyAlignment="1" applyProtection="1">
      <alignment horizontal="center" vertical="center" wrapText="1"/>
      <protection hidden="1"/>
    </xf>
    <xf numFmtId="0" fontId="19" fillId="0" borderId="7" xfId="0" applyFont="1" applyBorder="1" applyAlignment="1" applyProtection="1">
      <alignment horizontal="center" vertical="center"/>
      <protection hidden="1"/>
    </xf>
    <xf numFmtId="0" fontId="19" fillId="0" borderId="6" xfId="0" applyFont="1" applyBorder="1" applyAlignment="1" applyProtection="1">
      <alignment horizontal="center" vertical="center"/>
      <protection hidden="1"/>
    </xf>
    <xf numFmtId="0" fontId="36" fillId="28" borderId="2" xfId="0" applyFont="1" applyFill="1" applyBorder="1" applyAlignment="1" applyProtection="1">
      <alignment horizontal="center" vertical="center" wrapText="1"/>
      <protection hidden="1"/>
    </xf>
    <xf numFmtId="0" fontId="36" fillId="28" borderId="1" xfId="0" applyFont="1" applyFill="1" applyBorder="1" applyAlignment="1" applyProtection="1">
      <alignment horizontal="center" vertical="center" wrapText="1"/>
      <protection hidden="1"/>
    </xf>
    <xf numFmtId="0" fontId="37" fillId="32" borderId="2" xfId="0" applyFont="1" applyFill="1" applyBorder="1" applyAlignment="1" applyProtection="1">
      <alignment horizontal="center" vertical="center" wrapText="1"/>
      <protection hidden="1"/>
    </xf>
    <xf numFmtId="0" fontId="37" fillId="32" borderId="1" xfId="0" applyFont="1" applyFill="1" applyBorder="1" applyAlignment="1" applyProtection="1">
      <alignment horizontal="center" vertical="center" wrapText="1"/>
      <protection hidden="1"/>
    </xf>
    <xf numFmtId="0" fontId="29" fillId="24" borderId="4" xfId="0" applyFont="1" applyFill="1" applyBorder="1" applyAlignment="1" applyProtection="1">
      <alignment horizontal="center" vertical="center"/>
      <protection hidden="1"/>
    </xf>
    <xf numFmtId="0" fontId="29" fillId="28" borderId="4" xfId="0" applyFont="1" applyFill="1" applyBorder="1" applyAlignment="1" applyProtection="1">
      <alignment horizontal="center" wrapText="1"/>
      <protection hidden="1"/>
    </xf>
    <xf numFmtId="0" fontId="19" fillId="0" borderId="4" xfId="0" applyFont="1" applyBorder="1" applyAlignment="1" applyProtection="1">
      <alignment horizontal="center" vertical="center"/>
      <protection hidden="1"/>
    </xf>
    <xf numFmtId="0" fontId="19" fillId="28" borderId="2" xfId="0" applyFont="1" applyFill="1" applyBorder="1" applyAlignment="1" applyProtection="1">
      <alignment horizontal="center"/>
      <protection hidden="1"/>
    </xf>
    <xf numFmtId="0" fontId="19" fillId="28" borderId="15" xfId="0" applyFont="1" applyFill="1" applyBorder="1" applyAlignment="1" applyProtection="1">
      <alignment horizontal="center"/>
      <protection hidden="1"/>
    </xf>
    <xf numFmtId="0" fontId="19" fillId="28" borderId="1" xfId="0" applyFont="1" applyFill="1" applyBorder="1" applyAlignment="1" applyProtection="1">
      <alignment horizontal="center"/>
      <protection hidden="1"/>
    </xf>
    <xf numFmtId="0" fontId="19" fillId="28" borderId="4" xfId="0" applyFont="1" applyFill="1" applyBorder="1" applyAlignment="1" applyProtection="1">
      <alignment horizontal="center" vertical="center"/>
      <protection hidden="1"/>
    </xf>
    <xf numFmtId="0" fontId="19" fillId="28" borderId="4" xfId="0" applyFont="1" applyFill="1" applyBorder="1" applyAlignment="1" applyProtection="1">
      <alignment horizontal="center" vertical="center" wrapText="1"/>
      <protection hidden="1"/>
    </xf>
    <xf numFmtId="0" fontId="29" fillId="28" borderId="2" xfId="0" applyFont="1" applyFill="1" applyBorder="1" applyAlignment="1" applyProtection="1">
      <alignment horizontal="center" vertical="center" wrapText="1"/>
      <protection hidden="1"/>
    </xf>
    <xf numFmtId="0" fontId="29" fillId="28" borderId="1" xfId="0" applyFont="1" applyFill="1" applyBorder="1" applyAlignment="1" applyProtection="1">
      <alignment horizontal="center" vertical="center" wrapText="1"/>
      <protection hidden="1"/>
    </xf>
    <xf numFmtId="0" fontId="19" fillId="28" borderId="2" xfId="0" applyFont="1" applyFill="1" applyBorder="1" applyAlignment="1" applyProtection="1">
      <alignment horizontal="center" vertical="center" wrapText="1"/>
      <protection hidden="1"/>
    </xf>
    <xf numFmtId="0" fontId="19" fillId="28" borderId="1" xfId="0" applyFont="1" applyFill="1" applyBorder="1" applyAlignment="1" applyProtection="1">
      <alignment horizontal="center" vertical="center" wrapText="1"/>
      <protection hidden="1"/>
    </xf>
    <xf numFmtId="0" fontId="29" fillId="28" borderId="4" xfId="0" applyFont="1" applyFill="1" applyBorder="1" applyAlignment="1" applyProtection="1">
      <alignment horizontal="center" vertical="center"/>
      <protection hidden="1"/>
    </xf>
    <xf numFmtId="0" fontId="29" fillId="28" borderId="7" xfId="0" applyFont="1" applyFill="1" applyBorder="1" applyAlignment="1" applyProtection="1">
      <alignment horizontal="center" vertical="center" wrapText="1"/>
      <protection hidden="1"/>
    </xf>
    <xf numFmtId="0" fontId="29" fillId="28" borderId="6" xfId="0" applyFont="1" applyFill="1" applyBorder="1" applyAlignment="1" applyProtection="1">
      <alignment horizontal="center" vertical="center" wrapText="1"/>
      <protection hidden="1"/>
    </xf>
    <xf numFmtId="0" fontId="19" fillId="28" borderId="15" xfId="0" applyFont="1" applyFill="1" applyBorder="1" applyAlignment="1" applyProtection="1">
      <alignment horizontal="center" vertical="center" wrapText="1"/>
      <protection hidden="1"/>
    </xf>
    <xf numFmtId="0" fontId="19" fillId="0" borderId="0" xfId="0" applyFont="1" applyAlignment="1" applyProtection="1">
      <alignment horizontal="center"/>
      <protection hidden="1"/>
    </xf>
    <xf numFmtId="0" fontId="29" fillId="27" borderId="4" xfId="0" applyFont="1" applyFill="1" applyBorder="1" applyAlignment="1" applyProtection="1">
      <alignment horizontal="center" vertical="center" wrapText="1"/>
      <protection hidden="1"/>
    </xf>
    <xf numFmtId="0" fontId="29" fillId="28" borderId="4" xfId="0" applyFont="1" applyFill="1" applyBorder="1" applyAlignment="1" applyProtection="1">
      <alignment horizontal="center" vertical="center" wrapText="1"/>
      <protection hidden="1"/>
    </xf>
    <xf numFmtId="0" fontId="29" fillId="24" borderId="4" xfId="0" applyFont="1" applyFill="1" applyBorder="1" applyAlignment="1" applyProtection="1">
      <alignment horizontal="center" vertical="center" wrapText="1"/>
      <protection hidden="1"/>
    </xf>
    <xf numFmtId="0" fontId="30" fillId="24" borderId="7" xfId="0" applyFont="1" applyFill="1" applyBorder="1" applyAlignment="1" applyProtection="1">
      <alignment horizontal="center" vertical="center" wrapText="1"/>
      <protection hidden="1"/>
    </xf>
    <xf numFmtId="0" fontId="30" fillId="24" borderId="6" xfId="0" applyFont="1" applyFill="1" applyBorder="1" applyAlignment="1" applyProtection="1">
      <alignment horizontal="center" vertical="center" wrapText="1"/>
      <protection hidden="1"/>
    </xf>
    <xf numFmtId="0" fontId="31" fillId="29" borderId="4" xfId="0" applyFont="1" applyFill="1" applyBorder="1" applyAlignment="1" applyProtection="1">
      <alignment horizontal="center" vertical="center"/>
      <protection hidden="1"/>
    </xf>
    <xf numFmtId="0" fontId="31" fillId="29" borderId="7" xfId="0" applyFont="1" applyFill="1" applyBorder="1" applyAlignment="1" applyProtection="1">
      <alignment horizontal="center" vertical="center"/>
      <protection hidden="1"/>
    </xf>
    <xf numFmtId="0" fontId="31" fillId="29" borderId="6" xfId="0" applyFont="1" applyFill="1" applyBorder="1" applyAlignment="1" applyProtection="1">
      <alignment horizontal="center" vertical="center"/>
      <protection hidden="1"/>
    </xf>
    <xf numFmtId="0" fontId="29" fillId="24" borderId="7" xfId="0" applyFont="1" applyFill="1" applyBorder="1" applyAlignment="1" applyProtection="1">
      <alignment horizontal="center" vertical="center" wrapText="1"/>
      <protection hidden="1"/>
    </xf>
    <xf numFmtId="0" fontId="29" fillId="24" borderId="6" xfId="0" applyFont="1" applyFill="1" applyBorder="1" applyAlignment="1" applyProtection="1">
      <alignment horizontal="center" vertical="center" wrapText="1"/>
      <protection hidden="1"/>
    </xf>
    <xf numFmtId="0" fontId="19" fillId="22" borderId="4" xfId="0" applyFont="1" applyFill="1" applyBorder="1" applyAlignment="1" applyProtection="1">
      <alignment horizontal="center" vertical="center"/>
      <protection hidden="1"/>
    </xf>
    <xf numFmtId="0" fontId="19" fillId="22" borderId="4" xfId="0" applyFont="1" applyFill="1" applyBorder="1" applyAlignment="1" applyProtection="1">
      <alignment horizontal="center" vertical="center" wrapText="1"/>
      <protection hidden="1"/>
    </xf>
    <xf numFmtId="0" fontId="19" fillId="22" borderId="2" xfId="0" applyFont="1" applyFill="1" applyBorder="1" applyAlignment="1" applyProtection="1">
      <alignment horizontal="center" vertical="center" wrapText="1"/>
      <protection hidden="1"/>
    </xf>
    <xf numFmtId="0" fontId="19" fillId="22" borderId="1" xfId="0" applyFont="1" applyFill="1" applyBorder="1" applyAlignment="1" applyProtection="1">
      <alignment horizontal="center" vertical="center" wrapText="1"/>
      <protection hidden="1"/>
    </xf>
    <xf numFmtId="0" fontId="22" fillId="26" borderId="17" xfId="0" applyFont="1" applyFill="1" applyBorder="1" applyAlignment="1" applyProtection="1">
      <alignment horizontal="center"/>
      <protection hidden="1"/>
    </xf>
    <xf numFmtId="0" fontId="22" fillId="26" borderId="18" xfId="0" applyFont="1" applyFill="1" applyBorder="1" applyAlignment="1" applyProtection="1">
      <alignment horizontal="center"/>
      <protection hidden="1"/>
    </xf>
    <xf numFmtId="0" fontId="22" fillId="26" borderId="19" xfId="0" applyFont="1" applyFill="1" applyBorder="1" applyAlignment="1" applyProtection="1">
      <alignment horizontal="center"/>
      <protection hidden="1"/>
    </xf>
    <xf numFmtId="0" fontId="19" fillId="22" borderId="2" xfId="0" applyFont="1" applyFill="1" applyBorder="1" applyAlignment="1" applyProtection="1">
      <alignment horizontal="center" vertical="center"/>
      <protection hidden="1"/>
    </xf>
    <xf numFmtId="0" fontId="19" fillId="22" borderId="15" xfId="0" applyFont="1" applyFill="1" applyBorder="1" applyAlignment="1" applyProtection="1">
      <alignment horizontal="center" vertical="center"/>
      <protection hidden="1"/>
    </xf>
    <xf numFmtId="0" fontId="19" fillId="22" borderId="1" xfId="0" applyFont="1" applyFill="1" applyBorder="1" applyAlignment="1" applyProtection="1">
      <alignment horizontal="center" vertical="center"/>
      <protection hidden="1"/>
    </xf>
    <xf numFmtId="0" fontId="0" fillId="0" borderId="0" xfId="0" applyAlignment="1">
      <alignment horizontal="center"/>
    </xf>
    <xf numFmtId="0" fontId="12" fillId="13" borderId="0" xfId="0" applyFont="1" applyFill="1" applyAlignment="1">
      <alignment horizontal="center"/>
    </xf>
    <xf numFmtId="0" fontId="12" fillId="0" borderId="0" xfId="0" applyFont="1" applyAlignment="1">
      <alignment horizontal="center"/>
    </xf>
    <xf numFmtId="0" fontId="12" fillId="19" borderId="0" xfId="0" applyFont="1" applyFill="1" applyAlignment="1">
      <alignment horizontal="left"/>
    </xf>
    <xf numFmtId="0" fontId="12" fillId="17" borderId="0" xfId="0" applyFont="1" applyFill="1" applyAlignment="1">
      <alignment horizontal="center"/>
    </xf>
    <xf numFmtId="0" fontId="12" fillId="20" borderId="0" xfId="0" applyFont="1" applyFill="1" applyAlignment="1">
      <alignment horizontal="center"/>
    </xf>
    <xf numFmtId="0" fontId="12" fillId="15" borderId="0" xfId="0" applyFont="1" applyFill="1" applyAlignment="1">
      <alignment horizontal="center"/>
    </xf>
    <xf numFmtId="0" fontId="12" fillId="21" borderId="0" xfId="0" applyFont="1" applyFill="1" applyAlignment="1">
      <alignment horizontal="center"/>
    </xf>
    <xf numFmtId="0" fontId="75" fillId="0" borderId="0" xfId="0" applyFont="1" applyAlignment="1">
      <alignment horizontal="center" wrapText="1"/>
    </xf>
    <xf numFmtId="0" fontId="97" fillId="0" borderId="0" xfId="0" applyFont="1" applyAlignment="1">
      <alignment horizontal="center"/>
    </xf>
    <xf numFmtId="0" fontId="98" fillId="0" borderId="0" xfId="3161" applyFont="1" applyAlignment="1">
      <alignment horizontal="center" vertical="center" wrapText="1"/>
    </xf>
    <xf numFmtId="0" fontId="99" fillId="45" borderId="4" xfId="3161" applyFont="1" applyFill="1" applyBorder="1" applyAlignment="1">
      <alignment horizontal="center" vertical="center" wrapText="1"/>
    </xf>
    <xf numFmtId="14" fontId="85" fillId="48" borderId="4" xfId="3161" applyNumberFormat="1" applyFont="1" applyFill="1" applyBorder="1" applyAlignment="1">
      <alignment horizontal="center" vertical="center" wrapText="1"/>
    </xf>
    <xf numFmtId="14" fontId="85" fillId="48" borderId="7" xfId="3161" applyNumberFormat="1" applyFont="1" applyFill="1" applyBorder="1" applyAlignment="1">
      <alignment horizontal="center" vertical="center" wrapText="1"/>
    </xf>
    <xf numFmtId="0" fontId="98" fillId="0" borderId="8" xfId="3161" applyFont="1" applyBorder="1" applyAlignment="1">
      <alignment horizontal="center" vertical="center" wrapText="1"/>
    </xf>
    <xf numFmtId="0" fontId="101" fillId="0" borderId="0" xfId="0" applyFont="1" applyAlignment="1">
      <alignment horizontal="center" wrapText="1"/>
    </xf>
    <xf numFmtId="0" fontId="76" fillId="47" borderId="4" xfId="1584" applyNumberFormat="1" applyFont="1" applyFill="1" applyBorder="1" applyAlignment="1" applyProtection="1">
      <alignment horizontal="left" vertical="center" wrapText="1"/>
      <protection locked="0"/>
    </xf>
    <xf numFmtId="0" fontId="65" fillId="45" borderId="4" xfId="0" applyNumberFormat="1" applyFont="1" applyFill="1" applyBorder="1" applyAlignment="1" applyProtection="1">
      <alignment horizontal="left" vertical="center" wrapText="1"/>
      <protection locked="0"/>
    </xf>
    <xf numFmtId="0" fontId="65" fillId="46" borderId="4" xfId="0" applyNumberFormat="1" applyFont="1" applyFill="1" applyBorder="1" applyAlignment="1" applyProtection="1">
      <alignment horizontal="left" vertical="center" wrapText="1"/>
      <protection locked="0"/>
    </xf>
    <xf numFmtId="0" fontId="76" fillId="47" borderId="4" xfId="0" applyNumberFormat="1" applyFont="1" applyFill="1" applyBorder="1" applyAlignment="1" applyProtection="1">
      <alignment horizontal="left" vertical="center" wrapText="1"/>
      <protection locked="0"/>
    </xf>
    <xf numFmtId="0" fontId="65" fillId="48" borderId="4" xfId="0" applyNumberFormat="1" applyFont="1" applyFill="1" applyBorder="1" applyAlignment="1" applyProtection="1">
      <alignment horizontal="left" vertical="center" wrapText="1"/>
      <protection locked="0"/>
    </xf>
    <xf numFmtId="0" fontId="65" fillId="42" borderId="4" xfId="0" applyNumberFormat="1" applyFont="1" applyFill="1" applyBorder="1" applyAlignment="1" applyProtection="1">
      <alignment horizontal="left" vertical="center" wrapText="1"/>
      <protection locked="0"/>
    </xf>
    <xf numFmtId="0" fontId="65" fillId="46" borderId="4" xfId="1584" applyNumberFormat="1" applyFont="1" applyFill="1" applyBorder="1" applyAlignment="1" applyProtection="1">
      <alignment horizontal="left" vertical="center" wrapText="1"/>
      <protection locked="0"/>
    </xf>
    <xf numFmtId="0" fontId="65" fillId="42" borderId="4" xfId="1577" applyNumberFormat="1" applyFont="1" applyFill="1" applyBorder="1" applyAlignment="1" applyProtection="1">
      <alignment horizontal="left" vertical="center" wrapText="1"/>
      <protection locked="0"/>
    </xf>
    <xf numFmtId="0" fontId="65" fillId="48" borderId="4" xfId="1584" applyNumberFormat="1" applyFont="1" applyFill="1" applyBorder="1" applyAlignment="1" applyProtection="1">
      <alignment horizontal="left" vertical="center" wrapText="1"/>
      <protection locked="0"/>
    </xf>
    <xf numFmtId="0" fontId="65" fillId="45" borderId="4" xfId="1577" applyNumberFormat="1" applyFont="1" applyFill="1" applyBorder="1" applyAlignment="1" applyProtection="1">
      <alignment horizontal="left" vertical="center" wrapText="1"/>
      <protection locked="0"/>
    </xf>
    <xf numFmtId="0" fontId="65" fillId="45" borderId="7" xfId="0" applyNumberFormat="1" applyFont="1" applyFill="1" applyBorder="1" applyAlignment="1" applyProtection="1">
      <alignment horizontal="left" vertical="center" wrapText="1"/>
      <protection locked="0"/>
    </xf>
    <xf numFmtId="0" fontId="65" fillId="46" borderId="7" xfId="0" applyNumberFormat="1" applyFont="1" applyFill="1" applyBorder="1" applyAlignment="1" applyProtection="1">
      <alignment horizontal="left" vertical="center" wrapText="1"/>
      <protection locked="0"/>
    </xf>
    <xf numFmtId="0" fontId="65" fillId="48" borderId="7" xfId="0" applyNumberFormat="1" applyFont="1" applyFill="1" applyBorder="1" applyAlignment="1" applyProtection="1">
      <alignment horizontal="left" vertical="center" wrapText="1"/>
      <protection locked="0"/>
    </xf>
    <xf numFmtId="0" fontId="65" fillId="42" borderId="7" xfId="0" applyNumberFormat="1" applyFont="1" applyFill="1" applyBorder="1" applyAlignment="1" applyProtection="1">
      <alignment horizontal="left" vertical="center" wrapText="1"/>
      <protection locked="0"/>
    </xf>
    <xf numFmtId="0" fontId="65" fillId="46" borderId="7" xfId="1584" applyNumberFormat="1" applyFont="1" applyFill="1" applyBorder="1" applyAlignment="1" applyProtection="1">
      <alignment horizontal="left" vertical="center" wrapText="1"/>
      <protection locked="0"/>
    </xf>
    <xf numFmtId="0" fontId="76" fillId="47" borderId="7" xfId="0" applyNumberFormat="1" applyFont="1" applyFill="1" applyBorder="1" applyAlignment="1" applyProtection="1">
      <alignment horizontal="left" vertical="center" wrapText="1"/>
      <protection locked="0"/>
    </xf>
    <xf numFmtId="0" fontId="65" fillId="45" borderId="4" xfId="0" applyNumberFormat="1" applyFont="1" applyFill="1" applyBorder="1" applyAlignment="1" applyProtection="1">
      <alignment horizontal="center" vertical="center"/>
      <protection locked="0" hidden="1"/>
    </xf>
    <xf numFmtId="0" fontId="65" fillId="46" borderId="4" xfId="0" applyNumberFormat="1" applyFont="1" applyFill="1" applyBorder="1" applyAlignment="1" applyProtection="1">
      <alignment horizontal="center" vertical="center"/>
      <protection locked="0" hidden="1"/>
    </xf>
    <xf numFmtId="0" fontId="76" fillId="47" borderId="4" xfId="0" applyNumberFormat="1" applyFont="1" applyFill="1" applyBorder="1" applyAlignment="1" applyProtection="1">
      <alignment horizontal="center" vertical="center"/>
      <protection locked="0" hidden="1"/>
    </xf>
    <xf numFmtId="0" fontId="65" fillId="48" borderId="4" xfId="0" applyNumberFormat="1" applyFont="1" applyFill="1" applyBorder="1" applyAlignment="1" applyProtection="1">
      <alignment horizontal="center" vertical="center"/>
      <protection locked="0" hidden="1"/>
    </xf>
    <xf numFmtId="0" fontId="65" fillId="42" borderId="4" xfId="0" applyNumberFormat="1" applyFont="1" applyFill="1" applyBorder="1" applyAlignment="1" applyProtection="1">
      <alignment horizontal="center" vertical="center"/>
      <protection locked="0" hidden="1"/>
    </xf>
    <xf numFmtId="0" fontId="65" fillId="45" borderId="7" xfId="0" applyNumberFormat="1" applyFont="1" applyFill="1" applyBorder="1" applyAlignment="1" applyProtection="1">
      <alignment horizontal="center" vertical="center"/>
      <protection locked="0" hidden="1"/>
    </xf>
    <xf numFmtId="0" fontId="65" fillId="46" borderId="7" xfId="0" applyNumberFormat="1" applyFont="1" applyFill="1" applyBorder="1" applyAlignment="1" applyProtection="1">
      <alignment horizontal="center" vertical="center"/>
      <protection locked="0" hidden="1"/>
    </xf>
    <xf numFmtId="0" fontId="65" fillId="48" borderId="7" xfId="0" applyNumberFormat="1" applyFont="1" applyFill="1" applyBorder="1" applyAlignment="1" applyProtection="1">
      <alignment horizontal="center" vertical="center"/>
      <protection locked="0" hidden="1"/>
    </xf>
    <xf numFmtId="0" fontId="65" fillId="42" borderId="7" xfId="0" applyNumberFormat="1" applyFont="1" applyFill="1" applyBorder="1" applyAlignment="1" applyProtection="1">
      <alignment horizontal="center" vertical="center"/>
      <protection locked="0" hidden="1"/>
    </xf>
    <xf numFmtId="0" fontId="76" fillId="47" borderId="7" xfId="0" applyNumberFormat="1" applyFont="1" applyFill="1" applyBorder="1" applyAlignment="1" applyProtection="1">
      <alignment horizontal="center" vertical="center"/>
      <protection locked="0" hidden="1"/>
    </xf>
    <xf numFmtId="0" fontId="65" fillId="45" borderId="4" xfId="0" applyNumberFormat="1" applyFont="1" applyFill="1" applyBorder="1" applyAlignment="1" applyProtection="1">
      <alignment horizontal="left" vertical="center" wrapText="1"/>
      <protection locked="0" hidden="1"/>
    </xf>
    <xf numFmtId="0" fontId="65" fillId="46" borderId="4" xfId="0" applyNumberFormat="1" applyFont="1" applyFill="1" applyBorder="1" applyAlignment="1" applyProtection="1">
      <alignment horizontal="left" vertical="center" wrapText="1"/>
      <protection locked="0" hidden="1"/>
    </xf>
    <xf numFmtId="0" fontId="76" fillId="47" borderId="4" xfId="0" applyNumberFormat="1" applyFont="1" applyFill="1" applyBorder="1" applyAlignment="1" applyProtection="1">
      <alignment horizontal="left" vertical="center" wrapText="1"/>
      <protection locked="0" hidden="1"/>
    </xf>
    <xf numFmtId="0" fontId="65" fillId="48" borderId="4" xfId="0" applyNumberFormat="1" applyFont="1" applyFill="1" applyBorder="1" applyAlignment="1" applyProtection="1">
      <alignment horizontal="left" vertical="center" wrapText="1"/>
      <protection locked="0" hidden="1"/>
    </xf>
    <xf numFmtId="0" fontId="65" fillId="42" borderId="4" xfId="0" applyNumberFormat="1" applyFont="1" applyFill="1" applyBorder="1" applyAlignment="1" applyProtection="1">
      <alignment horizontal="left" vertical="center" wrapText="1"/>
      <protection locked="0" hidden="1"/>
    </xf>
    <xf numFmtId="0" fontId="65" fillId="42" borderId="4" xfId="0" applyNumberFormat="1" applyFont="1" applyFill="1" applyBorder="1" applyAlignment="1" applyProtection="1">
      <alignment horizontal="left" vertical="center" wrapText="1"/>
      <protection hidden="1"/>
    </xf>
    <xf numFmtId="0" fontId="65" fillId="42" borderId="4" xfId="1577" applyNumberFormat="1" applyFont="1" applyFill="1" applyBorder="1" applyAlignment="1" applyProtection="1">
      <alignment horizontal="left" vertical="center" wrapText="1"/>
      <protection locked="0" hidden="1"/>
    </xf>
    <xf numFmtId="0" fontId="76" fillId="47" borderId="4" xfId="1584" applyNumberFormat="1" applyFont="1" applyFill="1" applyBorder="1" applyAlignment="1" applyProtection="1">
      <alignment horizontal="left" vertical="center" wrapText="1"/>
      <protection locked="0" hidden="1"/>
    </xf>
    <xf numFmtId="0" fontId="65" fillId="48" borderId="4" xfId="1584" applyNumberFormat="1" applyFont="1" applyFill="1" applyBorder="1" applyAlignment="1" applyProtection="1">
      <alignment horizontal="left" vertical="center" wrapText="1"/>
      <protection locked="0" hidden="1"/>
    </xf>
    <xf numFmtId="0" fontId="65" fillId="45" borderId="4" xfId="1577" applyNumberFormat="1" applyFont="1" applyFill="1" applyBorder="1" applyAlignment="1" applyProtection="1">
      <alignment horizontal="left" vertical="center" wrapText="1"/>
      <protection locked="0" hidden="1"/>
    </xf>
    <xf numFmtId="0" fontId="65" fillId="45" borderId="7" xfId="0" applyNumberFormat="1" applyFont="1" applyFill="1" applyBorder="1" applyAlignment="1" applyProtection="1">
      <alignment horizontal="left" vertical="center" wrapText="1"/>
      <protection locked="0" hidden="1"/>
    </xf>
    <xf numFmtId="0" fontId="65" fillId="46" borderId="7" xfId="0" applyNumberFormat="1" applyFont="1" applyFill="1" applyBorder="1" applyAlignment="1" applyProtection="1">
      <alignment horizontal="left" vertical="center" wrapText="1"/>
      <protection locked="0" hidden="1"/>
    </xf>
    <xf numFmtId="0" fontId="65" fillId="48" borderId="7" xfId="0" applyNumberFormat="1" applyFont="1" applyFill="1" applyBorder="1" applyAlignment="1" applyProtection="1">
      <alignment horizontal="left" vertical="center" wrapText="1"/>
      <protection locked="0" hidden="1"/>
    </xf>
    <xf numFmtId="0" fontId="65" fillId="42" borderId="7" xfId="0" applyNumberFormat="1" applyFont="1" applyFill="1" applyBorder="1" applyAlignment="1" applyProtection="1">
      <alignment horizontal="left" vertical="center" wrapText="1"/>
      <protection locked="0" hidden="1"/>
    </xf>
    <xf numFmtId="0" fontId="76" fillId="47" borderId="7" xfId="0" applyNumberFormat="1" applyFont="1" applyFill="1" applyBorder="1" applyAlignment="1" applyProtection="1">
      <alignment horizontal="left" vertical="center" wrapText="1"/>
      <protection locked="0" hidden="1"/>
    </xf>
    <xf numFmtId="0" fontId="0" fillId="0" borderId="0" xfId="0" applyNumberFormat="1"/>
    <xf numFmtId="0" fontId="0" fillId="0" borderId="0" xfId="0" applyNumberFormat="1" applyAlignment="1">
      <alignment horizontal="left"/>
    </xf>
    <xf numFmtId="0" fontId="0" fillId="0" borderId="4" xfId="0" pivotButton="1" applyFont="1" applyBorder="1" applyAlignment="1">
      <alignment horizontal="left"/>
    </xf>
    <xf numFmtId="0" fontId="0" fillId="0" borderId="4" xfId="0" applyFont="1" applyBorder="1" applyAlignment="1">
      <alignment horizontal="left"/>
    </xf>
    <xf numFmtId="0" fontId="0" fillId="0" borderId="4" xfId="0" applyNumberFormat="1" applyFont="1" applyBorder="1" applyAlignment="1">
      <alignment horizontal="left"/>
    </xf>
    <xf numFmtId="0" fontId="65" fillId="48" borderId="4" xfId="1584" applyFont="1" applyFill="1" applyBorder="1" applyAlignment="1" applyProtection="1">
      <alignment vertical="center" wrapText="1"/>
      <protection locked="0"/>
    </xf>
    <xf numFmtId="0" fontId="65" fillId="48" borderId="4" xfId="1584" applyFont="1" applyFill="1" applyBorder="1" applyAlignment="1">
      <alignment vertical="center" wrapText="1"/>
    </xf>
    <xf numFmtId="0" fontId="76" fillId="47" borderId="4" xfId="3160" applyNumberFormat="1" applyFont="1" applyFill="1" applyBorder="1" applyAlignment="1" applyProtection="1">
      <alignment horizontal="center" vertical="center"/>
      <protection hidden="1"/>
    </xf>
    <xf numFmtId="20" fontId="59" fillId="17" borderId="4" xfId="0" applyNumberFormat="1" applyFont="1" applyFill="1" applyBorder="1" applyAlignment="1" applyProtection="1">
      <alignment wrapText="1"/>
      <protection locked="0"/>
    </xf>
    <xf numFmtId="0" fontId="65" fillId="46" borderId="4" xfId="1577" applyNumberFormat="1" applyFont="1" applyFill="1" applyBorder="1" applyAlignment="1">
      <alignment vertical="center" wrapText="1"/>
    </xf>
    <xf numFmtId="0" fontId="76" fillId="47" borderId="4" xfId="1577" applyNumberFormat="1" applyFont="1" applyFill="1" applyBorder="1" applyAlignment="1">
      <alignment vertical="center" wrapText="1"/>
    </xf>
    <xf numFmtId="0" fontId="65" fillId="48" borderId="4" xfId="1577" applyNumberFormat="1" applyFont="1" applyFill="1" applyBorder="1" applyAlignment="1">
      <alignment vertical="center" wrapText="1"/>
    </xf>
    <xf numFmtId="0" fontId="65" fillId="42" borderId="4" xfId="1584" applyNumberFormat="1" applyFont="1" applyFill="1" applyBorder="1" applyAlignment="1">
      <alignment horizontal="left" vertical="center" wrapText="1"/>
    </xf>
    <xf numFmtId="0" fontId="129" fillId="33" borderId="4" xfId="1584" applyNumberFormat="1" applyFont="1" applyFill="1" applyBorder="1" applyAlignment="1">
      <alignment vertical="center" wrapText="1"/>
    </xf>
    <xf numFmtId="0" fontId="65" fillId="45" borderId="4" xfId="1577" applyNumberFormat="1" applyFont="1" applyFill="1" applyBorder="1" applyAlignment="1">
      <alignment vertical="center" wrapText="1"/>
    </xf>
    <xf numFmtId="0" fontId="65" fillId="42" borderId="4" xfId="1584" applyNumberFormat="1" applyFont="1" applyFill="1" applyBorder="1" applyAlignment="1">
      <alignment vertical="center" wrapText="1"/>
    </xf>
    <xf numFmtId="0" fontId="65" fillId="46" borderId="4" xfId="1584" applyNumberFormat="1" applyFont="1" applyFill="1" applyBorder="1" applyAlignment="1">
      <alignment vertical="center" wrapText="1"/>
    </xf>
    <xf numFmtId="0" fontId="65" fillId="48" borderId="4" xfId="1584" applyNumberFormat="1" applyFont="1" applyFill="1" applyBorder="1" applyAlignment="1">
      <alignment vertical="center" wrapText="1"/>
    </xf>
    <xf numFmtId="0" fontId="76" fillId="47" borderId="4" xfId="1584" applyNumberFormat="1" applyFont="1" applyFill="1" applyBorder="1" applyAlignment="1">
      <alignment vertical="center" wrapText="1"/>
    </xf>
    <xf numFmtId="0" fontId="65" fillId="45" borderId="4" xfId="1584" applyNumberFormat="1" applyFont="1" applyFill="1" applyBorder="1" applyAlignment="1">
      <alignment vertical="center" wrapText="1"/>
    </xf>
    <xf numFmtId="0" fontId="129" fillId="33" borderId="4" xfId="1577" applyNumberFormat="1" applyFont="1" applyFill="1" applyBorder="1" applyAlignment="1">
      <alignment vertical="center" wrapText="1"/>
    </xf>
    <xf numFmtId="0" fontId="129" fillId="33" borderId="4" xfId="1584" applyNumberFormat="1" applyFont="1" applyFill="1" applyBorder="1" applyAlignment="1">
      <alignment horizontal="left" vertical="center" wrapText="1"/>
    </xf>
    <xf numFmtId="0" fontId="129" fillId="33" borderId="7" xfId="1577" applyNumberFormat="1" applyFont="1" applyFill="1" applyBorder="1" applyAlignment="1">
      <alignment vertical="center" wrapText="1"/>
    </xf>
    <xf numFmtId="0" fontId="129" fillId="33" borderId="7" xfId="1584" applyNumberFormat="1" applyFont="1" applyFill="1" applyBorder="1" applyAlignment="1">
      <alignment vertical="center" wrapText="1"/>
    </xf>
    <xf numFmtId="0" fontId="65" fillId="48" borderId="7" xfId="1584" applyNumberFormat="1" applyFont="1" applyFill="1" applyBorder="1" applyAlignment="1">
      <alignment vertical="center" wrapText="1"/>
    </xf>
    <xf numFmtId="0" fontId="129" fillId="33" borderId="7" xfId="1584" applyNumberFormat="1" applyFont="1" applyFill="1" applyBorder="1" applyAlignment="1">
      <alignment horizontal="left" vertical="center" wrapText="1"/>
    </xf>
    <xf numFmtId="0" fontId="65" fillId="46" borderId="4" xfId="1584" applyNumberFormat="1" applyFont="1" applyFill="1" applyBorder="1" applyAlignment="1">
      <alignment horizontal="left" vertical="center" wrapText="1"/>
    </xf>
    <xf numFmtId="0" fontId="76" fillId="47" borderId="4" xfId="1584" applyNumberFormat="1" applyFont="1" applyFill="1" applyBorder="1" applyAlignment="1">
      <alignment horizontal="left" vertical="center" wrapText="1"/>
    </xf>
    <xf numFmtId="0" fontId="65" fillId="45" borderId="4" xfId="1584" applyNumberFormat="1" applyFont="1" applyFill="1" applyBorder="1" applyAlignment="1">
      <alignment horizontal="left" vertical="center" wrapText="1"/>
    </xf>
    <xf numFmtId="0" fontId="65" fillId="42" borderId="4" xfId="1577" applyNumberFormat="1" applyFont="1" applyFill="1" applyBorder="1" applyAlignment="1">
      <alignment vertical="center" wrapText="1"/>
    </xf>
    <xf numFmtId="0" fontId="65" fillId="45" borderId="7" xfId="1584" applyNumberFormat="1" applyFont="1" applyFill="1" applyBorder="1" applyAlignment="1">
      <alignment vertical="center" wrapText="1"/>
    </xf>
    <xf numFmtId="0" fontId="65" fillId="42" borderId="7" xfId="1584" applyNumberFormat="1" applyFont="1" applyFill="1" applyBorder="1" applyAlignment="1">
      <alignment horizontal="left" vertical="center" wrapText="1"/>
    </xf>
    <xf numFmtId="0" fontId="65" fillId="46" borderId="7" xfId="1584" applyNumberFormat="1" applyFont="1" applyFill="1" applyBorder="1" applyAlignment="1">
      <alignment horizontal="left" vertical="center" wrapText="1"/>
    </xf>
    <xf numFmtId="0" fontId="65" fillId="46" borderId="7" xfId="1584" applyNumberFormat="1" applyFont="1" applyFill="1" applyBorder="1" applyAlignment="1">
      <alignment vertical="center" wrapText="1"/>
    </xf>
    <xf numFmtId="0" fontId="65" fillId="45" borderId="4" xfId="1584" applyNumberFormat="1" applyFont="1" applyFill="1" applyBorder="1" applyAlignment="1">
      <alignment horizontal="center" vertical="center" wrapText="1"/>
    </xf>
    <xf numFmtId="0" fontId="65" fillId="46" borderId="4" xfId="1584" applyNumberFormat="1" applyFont="1" applyFill="1" applyBorder="1" applyAlignment="1">
      <alignment horizontal="center" vertical="center" wrapText="1"/>
    </xf>
    <xf numFmtId="0" fontId="76" fillId="47" borderId="4" xfId="1584" applyNumberFormat="1" applyFont="1" applyFill="1" applyBorder="1" applyAlignment="1">
      <alignment horizontal="center" vertical="center" wrapText="1"/>
    </xf>
    <xf numFmtId="0" fontId="65" fillId="48" borderId="4" xfId="1584" applyNumberFormat="1" applyFont="1" applyFill="1" applyBorder="1" applyAlignment="1">
      <alignment horizontal="center" vertical="center" wrapText="1"/>
    </xf>
    <xf numFmtId="0" fontId="65" fillId="42" borderId="4" xfId="1584" applyNumberFormat="1" applyFont="1" applyFill="1" applyBorder="1" applyAlignment="1">
      <alignment horizontal="center" vertical="center" wrapText="1"/>
    </xf>
    <xf numFmtId="0" fontId="65" fillId="45" borderId="7" xfId="1584" applyNumberFormat="1" applyFont="1" applyFill="1" applyBorder="1" applyAlignment="1">
      <alignment horizontal="center" vertical="center" wrapText="1"/>
    </xf>
    <xf numFmtId="0" fontId="65" fillId="46" borderId="7" xfId="1584" applyNumberFormat="1" applyFont="1" applyFill="1" applyBorder="1" applyAlignment="1">
      <alignment horizontal="center" vertical="center" wrapText="1"/>
    </xf>
    <xf numFmtId="0" fontId="65" fillId="48" borderId="7" xfId="1584" applyNumberFormat="1" applyFont="1" applyFill="1" applyBorder="1" applyAlignment="1">
      <alignment horizontal="center" vertical="center" wrapText="1"/>
    </xf>
    <xf numFmtId="0" fontId="65" fillId="42" borderId="7" xfId="1584" applyNumberFormat="1" applyFont="1" applyFill="1" applyBorder="1" applyAlignment="1">
      <alignment horizontal="center" vertical="center" wrapText="1"/>
    </xf>
    <xf numFmtId="0" fontId="76" fillId="47" borderId="7" xfId="1584" applyNumberFormat="1" applyFont="1" applyFill="1" applyBorder="1" applyAlignment="1">
      <alignment horizontal="center" vertical="center" wrapText="1"/>
    </xf>
    <xf numFmtId="0" fontId="65" fillId="45" borderId="4" xfId="0" applyNumberFormat="1" applyFont="1" applyFill="1" applyBorder="1" applyAlignment="1">
      <alignment horizontal="left" vertical="center" wrapText="1"/>
    </xf>
    <xf numFmtId="0" fontId="65" fillId="46" borderId="4" xfId="0" applyNumberFormat="1" applyFont="1" applyFill="1" applyBorder="1" applyAlignment="1">
      <alignment horizontal="left" vertical="center" wrapText="1"/>
    </xf>
    <xf numFmtId="0" fontId="76" fillId="47" borderId="4" xfId="0" applyNumberFormat="1" applyFont="1" applyFill="1" applyBorder="1" applyAlignment="1">
      <alignment horizontal="left" vertical="center" wrapText="1"/>
    </xf>
    <xf numFmtId="0" fontId="65" fillId="48" borderId="4" xfId="0" applyNumberFormat="1" applyFont="1" applyFill="1" applyBorder="1" applyAlignment="1">
      <alignment horizontal="left" vertical="center" wrapText="1"/>
    </xf>
    <xf numFmtId="0" fontId="65" fillId="42" borderId="4" xfId="0" applyNumberFormat="1" applyFont="1" applyFill="1" applyBorder="1" applyAlignment="1">
      <alignment horizontal="left" vertical="center" wrapText="1"/>
    </xf>
    <xf numFmtId="0" fontId="65" fillId="42" borderId="4" xfId="1577" applyNumberFormat="1" applyFont="1" applyFill="1" applyBorder="1" applyAlignment="1">
      <alignment horizontal="left" vertical="center" wrapText="1"/>
    </xf>
    <xf numFmtId="0" fontId="65" fillId="48" borderId="4" xfId="1584" applyNumberFormat="1" applyFont="1" applyFill="1" applyBorder="1" applyAlignment="1">
      <alignment horizontal="left" vertical="center" wrapText="1"/>
    </xf>
    <xf numFmtId="0" fontId="65" fillId="45" borderId="4" xfId="1577" applyNumberFormat="1" applyFont="1" applyFill="1" applyBorder="1" applyAlignment="1">
      <alignment horizontal="left" vertical="center" wrapText="1"/>
    </xf>
    <xf numFmtId="0" fontId="65" fillId="45" borderId="7" xfId="0" applyNumberFormat="1" applyFont="1" applyFill="1" applyBorder="1" applyAlignment="1">
      <alignment horizontal="left" vertical="center" wrapText="1"/>
    </xf>
    <xf numFmtId="0" fontId="65" fillId="46" borderId="7" xfId="0" applyNumberFormat="1" applyFont="1" applyFill="1" applyBorder="1" applyAlignment="1">
      <alignment horizontal="left" vertical="center" wrapText="1"/>
    </xf>
    <xf numFmtId="0" fontId="65" fillId="48" borderId="7" xfId="0" applyNumberFormat="1" applyFont="1" applyFill="1" applyBorder="1" applyAlignment="1">
      <alignment horizontal="left" vertical="center" wrapText="1"/>
    </xf>
    <xf numFmtId="0" fontId="65" fillId="42" borderId="7" xfId="0" applyNumberFormat="1" applyFont="1" applyFill="1" applyBorder="1" applyAlignment="1">
      <alignment horizontal="left" vertical="center" wrapText="1"/>
    </xf>
    <xf numFmtId="0" fontId="76" fillId="47" borderId="7" xfId="0" applyNumberFormat="1" applyFont="1" applyFill="1" applyBorder="1" applyAlignment="1">
      <alignment horizontal="left" vertical="center" wrapText="1"/>
    </xf>
    <xf numFmtId="0" fontId="76" fillId="47" borderId="4" xfId="3160" applyNumberFormat="1" applyFont="1" applyFill="1" applyBorder="1" applyAlignment="1">
      <alignment horizontal="center" vertical="center" wrapText="1"/>
    </xf>
    <xf numFmtId="0" fontId="59" fillId="25" borderId="7" xfId="0" applyFont="1" applyFill="1" applyBorder="1" applyAlignment="1" applyProtection="1">
      <alignment vertical="center" wrapText="1"/>
      <protection locked="0"/>
    </xf>
  </cellXfs>
  <cellStyles count="3209">
    <cellStyle name="20% - Énfasis1" xfId="3181" builtinId="30" customBuiltin="1"/>
    <cellStyle name="20% - Énfasis2" xfId="3184" builtinId="34" customBuiltin="1"/>
    <cellStyle name="20% - Énfasis3" xfId="3187" builtinId="38" customBuiltin="1"/>
    <cellStyle name="20% - Énfasis4" xfId="3190" builtinId="42" customBuiltin="1"/>
    <cellStyle name="20% - Énfasis5" xfId="3193" builtinId="46" customBuiltin="1"/>
    <cellStyle name="20% - Énfasis6" xfId="3196" builtinId="50" customBuiltin="1"/>
    <cellStyle name="40% - Énfasis1" xfId="3182" builtinId="31" customBuiltin="1"/>
    <cellStyle name="40% - Énfasis2" xfId="3185" builtinId="35" customBuiltin="1"/>
    <cellStyle name="40% - Énfasis3" xfId="3188" builtinId="39" customBuiltin="1"/>
    <cellStyle name="40% - Énfasis4" xfId="3191" builtinId="43" customBuiltin="1"/>
    <cellStyle name="40% - Énfasis5" xfId="3194" builtinId="47" customBuiltin="1"/>
    <cellStyle name="40% - Énfasis6" xfId="3197" builtinId="51" customBuiltin="1"/>
    <cellStyle name="60% - Énfasis1 2" xfId="3199" xr:uid="{00000000-0005-0000-0000-00000C000000}"/>
    <cellStyle name="60% - Énfasis2 2" xfId="3200" xr:uid="{00000000-0005-0000-0000-00000D000000}"/>
    <cellStyle name="60% - Énfasis3 2" xfId="3201" xr:uid="{00000000-0005-0000-0000-00000E000000}"/>
    <cellStyle name="60% - Énfasis4 2" xfId="3202" xr:uid="{00000000-0005-0000-0000-00000F000000}"/>
    <cellStyle name="60% - Énfasis5 2" xfId="3203" xr:uid="{00000000-0005-0000-0000-000010000000}"/>
    <cellStyle name="60% - Énfasis6 2" xfId="3204" xr:uid="{00000000-0005-0000-0000-000011000000}"/>
    <cellStyle name="Cálculo" xfId="3173" builtinId="22" customBuiltin="1"/>
    <cellStyle name="Celda de comprobación" xfId="3175" builtinId="23" customBuiltin="1"/>
    <cellStyle name="Celda vinculada" xfId="3174" builtinId="24" customBuiltin="1"/>
    <cellStyle name="Encabezado 1" xfId="3166" builtinId="16" customBuiltin="1"/>
    <cellStyle name="Encabezado 4" xfId="3169" builtinId="19" customBuiltin="1"/>
    <cellStyle name="Énfasis1" xfId="3180" builtinId="29" customBuiltin="1"/>
    <cellStyle name="Énfasis1 2" xfId="1" xr:uid="{00000000-0005-0000-0000-000018000000}"/>
    <cellStyle name="Énfasis1 3" xfId="2" xr:uid="{00000000-0005-0000-0000-000019000000}"/>
    <cellStyle name="Énfasis2" xfId="3183" builtinId="33" customBuiltin="1"/>
    <cellStyle name="Énfasis3" xfId="3186" builtinId="37" customBuiltin="1"/>
    <cellStyle name="Énfasis4" xfId="3189" builtinId="41" customBuiltin="1"/>
    <cellStyle name="Énfasis5" xfId="3192" builtinId="45" customBuiltin="1"/>
    <cellStyle name="Énfasis6" xfId="3195" builtinId="49" customBuiltin="1"/>
    <cellStyle name="Entrada" xfId="3171" builtinId="20" customBuiltin="1"/>
    <cellStyle name="Euro" xfId="3" xr:uid="{00000000-0005-0000-0000-000020000000}"/>
    <cellStyle name="Euro 2" xfId="4" xr:uid="{00000000-0005-0000-0000-000021000000}"/>
    <cellStyle name="Excel Built-in Normal" xfId="5" xr:uid="{00000000-0005-0000-0000-000022000000}"/>
    <cellStyle name="Excel Built-in Normal 2" xfId="6" xr:uid="{00000000-0005-0000-0000-000023000000}"/>
    <cellStyle name="Hipervínculo" xfId="3160" builtinId="8"/>
    <cellStyle name="Hipervínculo 2" xfId="3205" xr:uid="{00000000-0005-0000-0000-000025000000}"/>
    <cellStyle name="Incorrecto" xfId="3170" builtinId="27" customBuiltin="1"/>
    <cellStyle name="Millares" xfId="7" builtinId="3"/>
    <cellStyle name="Millares 2" xfId="8" xr:uid="{00000000-0005-0000-0000-000028000000}"/>
    <cellStyle name="Millares 2 10" xfId="9" xr:uid="{00000000-0005-0000-0000-000029000000}"/>
    <cellStyle name="Millares 2 10 2" xfId="3053" xr:uid="{00000000-0005-0000-0000-00002A000000}"/>
    <cellStyle name="Millares 2 11" xfId="10" xr:uid="{00000000-0005-0000-0000-00002B000000}"/>
    <cellStyle name="Millares 2 11 2" xfId="3054" xr:uid="{00000000-0005-0000-0000-00002C000000}"/>
    <cellStyle name="Millares 2 12" xfId="3052" xr:uid="{00000000-0005-0000-0000-00002D000000}"/>
    <cellStyle name="Millares 2 2" xfId="11" xr:uid="{00000000-0005-0000-0000-00002E000000}"/>
    <cellStyle name="Millares 2 2 2" xfId="12" xr:uid="{00000000-0005-0000-0000-00002F000000}"/>
    <cellStyle name="Millares 2 2 2 2" xfId="13" xr:uid="{00000000-0005-0000-0000-000030000000}"/>
    <cellStyle name="Millares 2 2 2 2 2" xfId="14" xr:uid="{00000000-0005-0000-0000-000031000000}"/>
    <cellStyle name="Millares 2 2 2 2 2 2" xfId="15" xr:uid="{00000000-0005-0000-0000-000032000000}"/>
    <cellStyle name="Millares 2 2 2 2 2 2 2" xfId="3059" xr:uid="{00000000-0005-0000-0000-000033000000}"/>
    <cellStyle name="Millares 2 2 2 2 2 3" xfId="3058" xr:uid="{00000000-0005-0000-0000-000034000000}"/>
    <cellStyle name="Millares 2 2 2 2 3" xfId="16" xr:uid="{00000000-0005-0000-0000-000035000000}"/>
    <cellStyle name="Millares 2 2 2 2 3 2" xfId="3060" xr:uid="{00000000-0005-0000-0000-000036000000}"/>
    <cellStyle name="Millares 2 2 2 2 4" xfId="3057" xr:uid="{00000000-0005-0000-0000-000037000000}"/>
    <cellStyle name="Millares 2 2 2 3" xfId="17" xr:uid="{00000000-0005-0000-0000-000038000000}"/>
    <cellStyle name="Millares 2 2 2 3 2" xfId="18" xr:uid="{00000000-0005-0000-0000-000039000000}"/>
    <cellStyle name="Millares 2 2 2 3 2 2" xfId="3062" xr:uid="{00000000-0005-0000-0000-00003A000000}"/>
    <cellStyle name="Millares 2 2 2 3 3" xfId="3061" xr:uid="{00000000-0005-0000-0000-00003B000000}"/>
    <cellStyle name="Millares 2 2 2 4" xfId="19" xr:uid="{00000000-0005-0000-0000-00003C000000}"/>
    <cellStyle name="Millares 2 2 2 4 2" xfId="3063" xr:uid="{00000000-0005-0000-0000-00003D000000}"/>
    <cellStyle name="Millares 2 2 2 5" xfId="20" xr:uid="{00000000-0005-0000-0000-00003E000000}"/>
    <cellStyle name="Millares 2 2 2 5 2" xfId="3064" xr:uid="{00000000-0005-0000-0000-00003F000000}"/>
    <cellStyle name="Millares 2 2 2 6" xfId="3056" xr:uid="{00000000-0005-0000-0000-000040000000}"/>
    <cellStyle name="Millares 2 2 3" xfId="21" xr:uid="{00000000-0005-0000-0000-000041000000}"/>
    <cellStyle name="Millares 2 2 3 2" xfId="22" xr:uid="{00000000-0005-0000-0000-000042000000}"/>
    <cellStyle name="Millares 2 2 3 2 2" xfId="23" xr:uid="{00000000-0005-0000-0000-000043000000}"/>
    <cellStyle name="Millares 2 2 3 2 2 2" xfId="3067" xr:uid="{00000000-0005-0000-0000-000044000000}"/>
    <cellStyle name="Millares 2 2 3 2 3" xfId="3066" xr:uid="{00000000-0005-0000-0000-000045000000}"/>
    <cellStyle name="Millares 2 2 3 3" xfId="24" xr:uid="{00000000-0005-0000-0000-000046000000}"/>
    <cellStyle name="Millares 2 2 3 3 2" xfId="3068" xr:uid="{00000000-0005-0000-0000-000047000000}"/>
    <cellStyle name="Millares 2 2 3 4" xfId="3065" xr:uid="{00000000-0005-0000-0000-000048000000}"/>
    <cellStyle name="Millares 2 2 4" xfId="25" xr:uid="{00000000-0005-0000-0000-000049000000}"/>
    <cellStyle name="Millares 2 2 4 2" xfId="26" xr:uid="{00000000-0005-0000-0000-00004A000000}"/>
    <cellStyle name="Millares 2 2 4 2 2" xfId="3070" xr:uid="{00000000-0005-0000-0000-00004B000000}"/>
    <cellStyle name="Millares 2 2 4 3" xfId="3069" xr:uid="{00000000-0005-0000-0000-00004C000000}"/>
    <cellStyle name="Millares 2 2 5" xfId="27" xr:uid="{00000000-0005-0000-0000-00004D000000}"/>
    <cellStyle name="Millares 2 2 5 2" xfId="3071" xr:uid="{00000000-0005-0000-0000-00004E000000}"/>
    <cellStyle name="Millares 2 2 6" xfId="28" xr:uid="{00000000-0005-0000-0000-00004F000000}"/>
    <cellStyle name="Millares 2 2 6 2" xfId="3072" xr:uid="{00000000-0005-0000-0000-000050000000}"/>
    <cellStyle name="Millares 2 2 7" xfId="3055" xr:uid="{00000000-0005-0000-0000-000051000000}"/>
    <cellStyle name="Millares 2 3" xfId="29" xr:uid="{00000000-0005-0000-0000-000052000000}"/>
    <cellStyle name="Millares 2 3 2" xfId="30" xr:uid="{00000000-0005-0000-0000-000053000000}"/>
    <cellStyle name="Millares 2 3 2 2" xfId="31" xr:uid="{00000000-0005-0000-0000-000054000000}"/>
    <cellStyle name="Millares 2 3 2 2 2" xfId="32" xr:uid="{00000000-0005-0000-0000-000055000000}"/>
    <cellStyle name="Millares 2 3 2 2 2 2" xfId="33" xr:uid="{00000000-0005-0000-0000-000056000000}"/>
    <cellStyle name="Millares 2 3 2 2 2 2 2" xfId="34" xr:uid="{00000000-0005-0000-0000-000057000000}"/>
    <cellStyle name="Millares 2 3 2 2 2 2 2 2" xfId="3078" xr:uid="{00000000-0005-0000-0000-000058000000}"/>
    <cellStyle name="Millares 2 3 2 2 2 2 3" xfId="3077" xr:uid="{00000000-0005-0000-0000-000059000000}"/>
    <cellStyle name="Millares 2 3 2 2 2 3" xfId="35" xr:uid="{00000000-0005-0000-0000-00005A000000}"/>
    <cellStyle name="Millares 2 3 2 2 2 3 2" xfId="3079" xr:uid="{00000000-0005-0000-0000-00005B000000}"/>
    <cellStyle name="Millares 2 3 2 2 2 4" xfId="3076" xr:uid="{00000000-0005-0000-0000-00005C000000}"/>
    <cellStyle name="Millares 2 3 2 2 3" xfId="36" xr:uid="{00000000-0005-0000-0000-00005D000000}"/>
    <cellStyle name="Millares 2 3 2 2 3 2" xfId="37" xr:uid="{00000000-0005-0000-0000-00005E000000}"/>
    <cellStyle name="Millares 2 3 2 2 3 2 2" xfId="3081" xr:uid="{00000000-0005-0000-0000-00005F000000}"/>
    <cellStyle name="Millares 2 3 2 2 3 3" xfId="3080" xr:uid="{00000000-0005-0000-0000-000060000000}"/>
    <cellStyle name="Millares 2 3 2 2 4" xfId="38" xr:uid="{00000000-0005-0000-0000-000061000000}"/>
    <cellStyle name="Millares 2 3 2 2 4 2" xfId="3082" xr:uid="{00000000-0005-0000-0000-000062000000}"/>
    <cellStyle name="Millares 2 3 2 2 5" xfId="39" xr:uid="{00000000-0005-0000-0000-000063000000}"/>
    <cellStyle name="Millares 2 3 2 2 5 2" xfId="3083" xr:uid="{00000000-0005-0000-0000-000064000000}"/>
    <cellStyle name="Millares 2 3 2 2 6" xfId="3075" xr:uid="{00000000-0005-0000-0000-000065000000}"/>
    <cellStyle name="Millares 2 3 2 3" xfId="40" xr:uid="{00000000-0005-0000-0000-000066000000}"/>
    <cellStyle name="Millares 2 3 2 3 2" xfId="41" xr:uid="{00000000-0005-0000-0000-000067000000}"/>
    <cellStyle name="Millares 2 3 2 3 2 2" xfId="42" xr:uid="{00000000-0005-0000-0000-000068000000}"/>
    <cellStyle name="Millares 2 3 2 3 2 2 2" xfId="3086" xr:uid="{00000000-0005-0000-0000-000069000000}"/>
    <cellStyle name="Millares 2 3 2 3 2 3" xfId="3085" xr:uid="{00000000-0005-0000-0000-00006A000000}"/>
    <cellStyle name="Millares 2 3 2 3 3" xfId="43" xr:uid="{00000000-0005-0000-0000-00006B000000}"/>
    <cellStyle name="Millares 2 3 2 3 3 2" xfId="3087" xr:uid="{00000000-0005-0000-0000-00006C000000}"/>
    <cellStyle name="Millares 2 3 2 3 4" xfId="3084" xr:uid="{00000000-0005-0000-0000-00006D000000}"/>
    <cellStyle name="Millares 2 3 2 4" xfId="44" xr:uid="{00000000-0005-0000-0000-00006E000000}"/>
    <cellStyle name="Millares 2 3 2 4 2" xfId="45" xr:uid="{00000000-0005-0000-0000-00006F000000}"/>
    <cellStyle name="Millares 2 3 2 4 2 2" xfId="3089" xr:uid="{00000000-0005-0000-0000-000070000000}"/>
    <cellStyle name="Millares 2 3 2 4 3" xfId="3088" xr:uid="{00000000-0005-0000-0000-000071000000}"/>
    <cellStyle name="Millares 2 3 2 5" xfId="46" xr:uid="{00000000-0005-0000-0000-000072000000}"/>
    <cellStyle name="Millares 2 3 2 5 2" xfId="3090" xr:uid="{00000000-0005-0000-0000-000073000000}"/>
    <cellStyle name="Millares 2 3 2 6" xfId="47" xr:uid="{00000000-0005-0000-0000-000074000000}"/>
    <cellStyle name="Millares 2 3 2 6 2" xfId="3091" xr:uid="{00000000-0005-0000-0000-000075000000}"/>
    <cellStyle name="Millares 2 3 2 7" xfId="3074" xr:uid="{00000000-0005-0000-0000-000076000000}"/>
    <cellStyle name="Millares 2 3 3" xfId="48" xr:uid="{00000000-0005-0000-0000-000077000000}"/>
    <cellStyle name="Millares 2 3 3 2" xfId="49" xr:uid="{00000000-0005-0000-0000-000078000000}"/>
    <cellStyle name="Millares 2 3 3 2 2" xfId="50" xr:uid="{00000000-0005-0000-0000-000079000000}"/>
    <cellStyle name="Millares 2 3 3 2 2 2" xfId="51" xr:uid="{00000000-0005-0000-0000-00007A000000}"/>
    <cellStyle name="Millares 2 3 3 2 2 2 2" xfId="3095" xr:uid="{00000000-0005-0000-0000-00007B000000}"/>
    <cellStyle name="Millares 2 3 3 2 2 3" xfId="3094" xr:uid="{00000000-0005-0000-0000-00007C000000}"/>
    <cellStyle name="Millares 2 3 3 2 3" xfId="52" xr:uid="{00000000-0005-0000-0000-00007D000000}"/>
    <cellStyle name="Millares 2 3 3 2 3 2" xfId="3096" xr:uid="{00000000-0005-0000-0000-00007E000000}"/>
    <cellStyle name="Millares 2 3 3 2 4" xfId="3093" xr:uid="{00000000-0005-0000-0000-00007F000000}"/>
    <cellStyle name="Millares 2 3 3 3" xfId="53" xr:uid="{00000000-0005-0000-0000-000080000000}"/>
    <cellStyle name="Millares 2 3 3 3 2" xfId="54" xr:uid="{00000000-0005-0000-0000-000081000000}"/>
    <cellStyle name="Millares 2 3 3 3 2 2" xfId="3098" xr:uid="{00000000-0005-0000-0000-000082000000}"/>
    <cellStyle name="Millares 2 3 3 3 3" xfId="3097" xr:uid="{00000000-0005-0000-0000-000083000000}"/>
    <cellStyle name="Millares 2 3 3 4" xfId="55" xr:uid="{00000000-0005-0000-0000-000084000000}"/>
    <cellStyle name="Millares 2 3 3 4 2" xfId="3099" xr:uid="{00000000-0005-0000-0000-000085000000}"/>
    <cellStyle name="Millares 2 3 3 5" xfId="56" xr:uid="{00000000-0005-0000-0000-000086000000}"/>
    <cellStyle name="Millares 2 3 3 5 2" xfId="3100" xr:uid="{00000000-0005-0000-0000-000087000000}"/>
    <cellStyle name="Millares 2 3 3 6" xfId="3092" xr:uid="{00000000-0005-0000-0000-000088000000}"/>
    <cellStyle name="Millares 2 3 4" xfId="57" xr:uid="{00000000-0005-0000-0000-000089000000}"/>
    <cellStyle name="Millares 2 3 4 2" xfId="58" xr:uid="{00000000-0005-0000-0000-00008A000000}"/>
    <cellStyle name="Millares 2 3 4 2 2" xfId="59" xr:uid="{00000000-0005-0000-0000-00008B000000}"/>
    <cellStyle name="Millares 2 3 4 2 2 2" xfId="3103" xr:uid="{00000000-0005-0000-0000-00008C000000}"/>
    <cellStyle name="Millares 2 3 4 2 3" xfId="3102" xr:uid="{00000000-0005-0000-0000-00008D000000}"/>
    <cellStyle name="Millares 2 3 4 3" xfId="60" xr:uid="{00000000-0005-0000-0000-00008E000000}"/>
    <cellStyle name="Millares 2 3 4 3 2" xfId="3104" xr:uid="{00000000-0005-0000-0000-00008F000000}"/>
    <cellStyle name="Millares 2 3 4 4" xfId="3101" xr:uid="{00000000-0005-0000-0000-000090000000}"/>
    <cellStyle name="Millares 2 3 5" xfId="61" xr:uid="{00000000-0005-0000-0000-000091000000}"/>
    <cellStyle name="Millares 2 3 5 2" xfId="3105" xr:uid="{00000000-0005-0000-0000-000092000000}"/>
    <cellStyle name="Millares 2 3 6" xfId="62" xr:uid="{00000000-0005-0000-0000-000093000000}"/>
    <cellStyle name="Millares 2 3 6 2" xfId="3106" xr:uid="{00000000-0005-0000-0000-000094000000}"/>
    <cellStyle name="Millares 2 3 7" xfId="3073" xr:uid="{00000000-0005-0000-0000-000095000000}"/>
    <cellStyle name="Millares 2 4" xfId="63" xr:uid="{00000000-0005-0000-0000-000096000000}"/>
    <cellStyle name="Millares 2 4 2" xfId="64" xr:uid="{00000000-0005-0000-0000-000097000000}"/>
    <cellStyle name="Millares 2 4 2 2" xfId="65" xr:uid="{00000000-0005-0000-0000-000098000000}"/>
    <cellStyle name="Millares 2 4 2 2 2" xfId="66" xr:uid="{00000000-0005-0000-0000-000099000000}"/>
    <cellStyle name="Millares 2 4 2 2 2 2" xfId="67" xr:uid="{00000000-0005-0000-0000-00009A000000}"/>
    <cellStyle name="Millares 2 4 2 2 2 2 2" xfId="3111" xr:uid="{00000000-0005-0000-0000-00009B000000}"/>
    <cellStyle name="Millares 2 4 2 2 2 3" xfId="3110" xr:uid="{00000000-0005-0000-0000-00009C000000}"/>
    <cellStyle name="Millares 2 4 2 2 3" xfId="68" xr:uid="{00000000-0005-0000-0000-00009D000000}"/>
    <cellStyle name="Millares 2 4 2 2 3 2" xfId="3112" xr:uid="{00000000-0005-0000-0000-00009E000000}"/>
    <cellStyle name="Millares 2 4 2 2 4" xfId="3109" xr:uid="{00000000-0005-0000-0000-00009F000000}"/>
    <cellStyle name="Millares 2 4 2 3" xfId="69" xr:uid="{00000000-0005-0000-0000-0000A0000000}"/>
    <cellStyle name="Millares 2 4 2 3 2" xfId="70" xr:uid="{00000000-0005-0000-0000-0000A1000000}"/>
    <cellStyle name="Millares 2 4 2 3 2 2" xfId="3114" xr:uid="{00000000-0005-0000-0000-0000A2000000}"/>
    <cellStyle name="Millares 2 4 2 3 3" xfId="3113" xr:uid="{00000000-0005-0000-0000-0000A3000000}"/>
    <cellStyle name="Millares 2 4 2 4" xfId="71" xr:uid="{00000000-0005-0000-0000-0000A4000000}"/>
    <cellStyle name="Millares 2 4 2 4 2" xfId="3115" xr:uid="{00000000-0005-0000-0000-0000A5000000}"/>
    <cellStyle name="Millares 2 4 2 5" xfId="72" xr:uid="{00000000-0005-0000-0000-0000A6000000}"/>
    <cellStyle name="Millares 2 4 2 5 2" xfId="3116" xr:uid="{00000000-0005-0000-0000-0000A7000000}"/>
    <cellStyle name="Millares 2 4 2 6" xfId="3108" xr:uid="{00000000-0005-0000-0000-0000A8000000}"/>
    <cellStyle name="Millares 2 4 3" xfId="73" xr:uid="{00000000-0005-0000-0000-0000A9000000}"/>
    <cellStyle name="Millares 2 4 3 2" xfId="74" xr:uid="{00000000-0005-0000-0000-0000AA000000}"/>
    <cellStyle name="Millares 2 4 3 2 2" xfId="75" xr:uid="{00000000-0005-0000-0000-0000AB000000}"/>
    <cellStyle name="Millares 2 4 3 2 2 2" xfId="3119" xr:uid="{00000000-0005-0000-0000-0000AC000000}"/>
    <cellStyle name="Millares 2 4 3 2 3" xfId="3118" xr:uid="{00000000-0005-0000-0000-0000AD000000}"/>
    <cellStyle name="Millares 2 4 3 3" xfId="76" xr:uid="{00000000-0005-0000-0000-0000AE000000}"/>
    <cellStyle name="Millares 2 4 3 3 2" xfId="3120" xr:uid="{00000000-0005-0000-0000-0000AF000000}"/>
    <cellStyle name="Millares 2 4 3 4" xfId="3117" xr:uid="{00000000-0005-0000-0000-0000B0000000}"/>
    <cellStyle name="Millares 2 4 4" xfId="77" xr:uid="{00000000-0005-0000-0000-0000B1000000}"/>
    <cellStyle name="Millares 2 4 4 2" xfId="78" xr:uid="{00000000-0005-0000-0000-0000B2000000}"/>
    <cellStyle name="Millares 2 4 4 2 2" xfId="3122" xr:uid="{00000000-0005-0000-0000-0000B3000000}"/>
    <cellStyle name="Millares 2 4 4 3" xfId="3121" xr:uid="{00000000-0005-0000-0000-0000B4000000}"/>
    <cellStyle name="Millares 2 4 5" xfId="79" xr:uid="{00000000-0005-0000-0000-0000B5000000}"/>
    <cellStyle name="Millares 2 4 5 2" xfId="3123" xr:uid="{00000000-0005-0000-0000-0000B6000000}"/>
    <cellStyle name="Millares 2 4 6" xfId="80" xr:uid="{00000000-0005-0000-0000-0000B7000000}"/>
    <cellStyle name="Millares 2 4 6 2" xfId="3124" xr:uid="{00000000-0005-0000-0000-0000B8000000}"/>
    <cellStyle name="Millares 2 4 7" xfId="3107" xr:uid="{00000000-0005-0000-0000-0000B9000000}"/>
    <cellStyle name="Millares 2 5" xfId="81" xr:uid="{00000000-0005-0000-0000-0000BA000000}"/>
    <cellStyle name="Millares 2 5 2" xfId="82" xr:uid="{00000000-0005-0000-0000-0000BB000000}"/>
    <cellStyle name="Millares 2 5 2 2" xfId="83" xr:uid="{00000000-0005-0000-0000-0000BC000000}"/>
    <cellStyle name="Millares 2 5 2 2 2" xfId="84" xr:uid="{00000000-0005-0000-0000-0000BD000000}"/>
    <cellStyle name="Millares 2 5 2 2 2 2" xfId="3128" xr:uid="{00000000-0005-0000-0000-0000BE000000}"/>
    <cellStyle name="Millares 2 5 2 2 3" xfId="3127" xr:uid="{00000000-0005-0000-0000-0000BF000000}"/>
    <cellStyle name="Millares 2 5 2 3" xfId="85" xr:uid="{00000000-0005-0000-0000-0000C0000000}"/>
    <cellStyle name="Millares 2 5 2 3 2" xfId="3129" xr:uid="{00000000-0005-0000-0000-0000C1000000}"/>
    <cellStyle name="Millares 2 5 2 4" xfId="3126" xr:uid="{00000000-0005-0000-0000-0000C2000000}"/>
    <cellStyle name="Millares 2 5 3" xfId="86" xr:uid="{00000000-0005-0000-0000-0000C3000000}"/>
    <cellStyle name="Millares 2 5 3 2" xfId="87" xr:uid="{00000000-0005-0000-0000-0000C4000000}"/>
    <cellStyle name="Millares 2 5 3 2 2" xfId="3131" xr:uid="{00000000-0005-0000-0000-0000C5000000}"/>
    <cellStyle name="Millares 2 5 3 3" xfId="3130" xr:uid="{00000000-0005-0000-0000-0000C6000000}"/>
    <cellStyle name="Millares 2 5 4" xfId="88" xr:uid="{00000000-0005-0000-0000-0000C7000000}"/>
    <cellStyle name="Millares 2 5 4 2" xfId="3132" xr:uid="{00000000-0005-0000-0000-0000C8000000}"/>
    <cellStyle name="Millares 2 5 5" xfId="89" xr:uid="{00000000-0005-0000-0000-0000C9000000}"/>
    <cellStyle name="Millares 2 5 5 2" xfId="3133" xr:uid="{00000000-0005-0000-0000-0000CA000000}"/>
    <cellStyle name="Millares 2 5 6" xfId="3125" xr:uid="{00000000-0005-0000-0000-0000CB000000}"/>
    <cellStyle name="Millares 2 6" xfId="90" xr:uid="{00000000-0005-0000-0000-0000CC000000}"/>
    <cellStyle name="Millares 2 6 2" xfId="91" xr:uid="{00000000-0005-0000-0000-0000CD000000}"/>
    <cellStyle name="Millares 2 6 2 2" xfId="92" xr:uid="{00000000-0005-0000-0000-0000CE000000}"/>
    <cellStyle name="Millares 2 6 2 2 2" xfId="3136" xr:uid="{00000000-0005-0000-0000-0000CF000000}"/>
    <cellStyle name="Millares 2 6 2 3" xfId="3135" xr:uid="{00000000-0005-0000-0000-0000D0000000}"/>
    <cellStyle name="Millares 2 6 3" xfId="93" xr:uid="{00000000-0005-0000-0000-0000D1000000}"/>
    <cellStyle name="Millares 2 6 3 2" xfId="3137" xr:uid="{00000000-0005-0000-0000-0000D2000000}"/>
    <cellStyle name="Millares 2 6 4" xfId="3134" xr:uid="{00000000-0005-0000-0000-0000D3000000}"/>
    <cellStyle name="Millares 2 7" xfId="94" xr:uid="{00000000-0005-0000-0000-0000D4000000}"/>
    <cellStyle name="Millares 2 7 2" xfId="95" xr:uid="{00000000-0005-0000-0000-0000D5000000}"/>
    <cellStyle name="Millares 2 7 2 2" xfId="3139" xr:uid="{00000000-0005-0000-0000-0000D6000000}"/>
    <cellStyle name="Millares 2 7 3" xfId="3138" xr:uid="{00000000-0005-0000-0000-0000D7000000}"/>
    <cellStyle name="Millares 2 8" xfId="96" xr:uid="{00000000-0005-0000-0000-0000D8000000}"/>
    <cellStyle name="Millares 2 8 2" xfId="97" xr:uid="{00000000-0005-0000-0000-0000D9000000}"/>
    <cellStyle name="Millares 2 8 2 2" xfId="3141" xr:uid="{00000000-0005-0000-0000-0000DA000000}"/>
    <cellStyle name="Millares 2 8 3" xfId="3140" xr:uid="{00000000-0005-0000-0000-0000DB000000}"/>
    <cellStyle name="Millares 2 9" xfId="98" xr:uid="{00000000-0005-0000-0000-0000DC000000}"/>
    <cellStyle name="Millares 2 9 2" xfId="3142" xr:uid="{00000000-0005-0000-0000-0000DD000000}"/>
    <cellStyle name="Millares 3" xfId="99" xr:uid="{00000000-0005-0000-0000-0000DE000000}"/>
    <cellStyle name="Millares 3 2" xfId="100" xr:uid="{00000000-0005-0000-0000-0000DF000000}"/>
    <cellStyle name="Millares 3 2 2" xfId="101" xr:uid="{00000000-0005-0000-0000-0000E0000000}"/>
    <cellStyle name="Millares 3 2 2 2" xfId="102" xr:uid="{00000000-0005-0000-0000-0000E1000000}"/>
    <cellStyle name="Millares 3 2 2 2 2" xfId="3146" xr:uid="{00000000-0005-0000-0000-0000E2000000}"/>
    <cellStyle name="Millares 3 2 2 3" xfId="103" xr:uid="{00000000-0005-0000-0000-0000E3000000}"/>
    <cellStyle name="Millares 3 2 2 3 2" xfId="3147" xr:uid="{00000000-0005-0000-0000-0000E4000000}"/>
    <cellStyle name="Millares 3 2 2 4" xfId="3145" xr:uid="{00000000-0005-0000-0000-0000E5000000}"/>
    <cellStyle name="Millares 3 2 3" xfId="104" xr:uid="{00000000-0005-0000-0000-0000E6000000}"/>
    <cellStyle name="Millares 3 2 3 2" xfId="3148" xr:uid="{00000000-0005-0000-0000-0000E7000000}"/>
    <cellStyle name="Millares 3 2 4" xfId="105" xr:uid="{00000000-0005-0000-0000-0000E8000000}"/>
    <cellStyle name="Millares 3 2 4 2" xfId="3149" xr:uid="{00000000-0005-0000-0000-0000E9000000}"/>
    <cellStyle name="Millares 3 2 5" xfId="3144" xr:uid="{00000000-0005-0000-0000-0000EA000000}"/>
    <cellStyle name="Millares 3 3" xfId="106" xr:uid="{00000000-0005-0000-0000-0000EB000000}"/>
    <cellStyle name="Millares 3 3 2" xfId="107" xr:uid="{00000000-0005-0000-0000-0000EC000000}"/>
    <cellStyle name="Millares 3 3 2 2" xfId="3151" xr:uid="{00000000-0005-0000-0000-0000ED000000}"/>
    <cellStyle name="Millares 3 3 3" xfId="108" xr:uid="{00000000-0005-0000-0000-0000EE000000}"/>
    <cellStyle name="Millares 3 3 3 2" xfId="3152" xr:uid="{00000000-0005-0000-0000-0000EF000000}"/>
    <cellStyle name="Millares 3 3 4" xfId="3150" xr:uid="{00000000-0005-0000-0000-0000F0000000}"/>
    <cellStyle name="Millares 3 4" xfId="109" xr:uid="{00000000-0005-0000-0000-0000F1000000}"/>
    <cellStyle name="Millares 3 4 2" xfId="3153" xr:uid="{00000000-0005-0000-0000-0000F2000000}"/>
    <cellStyle name="Millares 3 5" xfId="110" xr:uid="{00000000-0005-0000-0000-0000F3000000}"/>
    <cellStyle name="Millares 3 5 2" xfId="3154" xr:uid="{00000000-0005-0000-0000-0000F4000000}"/>
    <cellStyle name="Millares 3 6" xfId="3143" xr:uid="{00000000-0005-0000-0000-0000F5000000}"/>
    <cellStyle name="Millares 4" xfId="111" xr:uid="{00000000-0005-0000-0000-0000F6000000}"/>
    <cellStyle name="Millares 4 2" xfId="112" xr:uid="{00000000-0005-0000-0000-0000F7000000}"/>
    <cellStyle name="Millares 4 2 2" xfId="3156" xr:uid="{00000000-0005-0000-0000-0000F8000000}"/>
    <cellStyle name="Millares 4 3" xfId="113" xr:uid="{00000000-0005-0000-0000-0000F9000000}"/>
    <cellStyle name="Millares 4 3 2" xfId="3157" xr:uid="{00000000-0005-0000-0000-0000FA000000}"/>
    <cellStyle name="Millares 4 4" xfId="3155" xr:uid="{00000000-0005-0000-0000-0000FB000000}"/>
    <cellStyle name="Millares 5" xfId="114" xr:uid="{00000000-0005-0000-0000-0000FC000000}"/>
    <cellStyle name="Millares 5 2" xfId="3158" xr:uid="{00000000-0005-0000-0000-0000FD000000}"/>
    <cellStyle name="Millares 6" xfId="115" xr:uid="{00000000-0005-0000-0000-0000FE000000}"/>
    <cellStyle name="Millares 6 2" xfId="3159" xr:uid="{00000000-0005-0000-0000-0000FF000000}"/>
    <cellStyle name="Millares 7" xfId="3051" xr:uid="{00000000-0005-0000-0000-000000010000}"/>
    <cellStyle name="Moneda 2" xfId="116" xr:uid="{00000000-0005-0000-0000-000001010000}"/>
    <cellStyle name="Moneda 2 10" xfId="117" xr:uid="{00000000-0005-0000-0000-000002010000}"/>
    <cellStyle name="Moneda 2 10 2" xfId="118" xr:uid="{00000000-0005-0000-0000-000003010000}"/>
    <cellStyle name="Moneda 2 10 2 2" xfId="119" xr:uid="{00000000-0005-0000-0000-000004010000}"/>
    <cellStyle name="Moneda 2 10 2 2 2" xfId="120" xr:uid="{00000000-0005-0000-0000-000005010000}"/>
    <cellStyle name="Moneda 2 10 2 2 2 2" xfId="121" xr:uid="{00000000-0005-0000-0000-000006010000}"/>
    <cellStyle name="Moneda 2 10 2 2 2 2 2" xfId="1624" xr:uid="{00000000-0005-0000-0000-000007010000}"/>
    <cellStyle name="Moneda 2 10 2 2 2 3" xfId="1623" xr:uid="{00000000-0005-0000-0000-000008010000}"/>
    <cellStyle name="Moneda 2 10 2 2 3" xfId="122" xr:uid="{00000000-0005-0000-0000-000009010000}"/>
    <cellStyle name="Moneda 2 10 2 2 3 2" xfId="1625" xr:uid="{00000000-0005-0000-0000-00000A010000}"/>
    <cellStyle name="Moneda 2 10 2 2 4" xfId="1622" xr:uid="{00000000-0005-0000-0000-00000B010000}"/>
    <cellStyle name="Moneda 2 10 2 3" xfId="123" xr:uid="{00000000-0005-0000-0000-00000C010000}"/>
    <cellStyle name="Moneda 2 10 2 3 2" xfId="124" xr:uid="{00000000-0005-0000-0000-00000D010000}"/>
    <cellStyle name="Moneda 2 10 2 3 2 2" xfId="1627" xr:uid="{00000000-0005-0000-0000-00000E010000}"/>
    <cellStyle name="Moneda 2 10 2 3 3" xfId="1626" xr:uid="{00000000-0005-0000-0000-00000F010000}"/>
    <cellStyle name="Moneda 2 10 2 4" xfId="125" xr:uid="{00000000-0005-0000-0000-000010010000}"/>
    <cellStyle name="Moneda 2 10 2 4 2" xfId="1628" xr:uid="{00000000-0005-0000-0000-000011010000}"/>
    <cellStyle name="Moneda 2 10 2 5" xfId="1621" xr:uid="{00000000-0005-0000-0000-000012010000}"/>
    <cellStyle name="Moneda 2 10 3" xfId="126" xr:uid="{00000000-0005-0000-0000-000013010000}"/>
    <cellStyle name="Moneda 2 10 3 2" xfId="127" xr:uid="{00000000-0005-0000-0000-000014010000}"/>
    <cellStyle name="Moneda 2 10 3 2 2" xfId="128" xr:uid="{00000000-0005-0000-0000-000015010000}"/>
    <cellStyle name="Moneda 2 10 3 2 2 2" xfId="1631" xr:uid="{00000000-0005-0000-0000-000016010000}"/>
    <cellStyle name="Moneda 2 10 3 2 3" xfId="1630" xr:uid="{00000000-0005-0000-0000-000017010000}"/>
    <cellStyle name="Moneda 2 10 3 3" xfId="129" xr:uid="{00000000-0005-0000-0000-000018010000}"/>
    <cellStyle name="Moneda 2 10 3 3 2" xfId="1632" xr:uid="{00000000-0005-0000-0000-000019010000}"/>
    <cellStyle name="Moneda 2 10 3 4" xfId="1629" xr:uid="{00000000-0005-0000-0000-00001A010000}"/>
    <cellStyle name="Moneda 2 10 4" xfId="130" xr:uid="{00000000-0005-0000-0000-00001B010000}"/>
    <cellStyle name="Moneda 2 10 4 2" xfId="131" xr:uid="{00000000-0005-0000-0000-00001C010000}"/>
    <cellStyle name="Moneda 2 10 4 2 2" xfId="1634" xr:uid="{00000000-0005-0000-0000-00001D010000}"/>
    <cellStyle name="Moneda 2 10 4 3" xfId="1633" xr:uid="{00000000-0005-0000-0000-00001E010000}"/>
    <cellStyle name="Moneda 2 10 5" xfId="132" xr:uid="{00000000-0005-0000-0000-00001F010000}"/>
    <cellStyle name="Moneda 2 10 5 2" xfId="1635" xr:uid="{00000000-0005-0000-0000-000020010000}"/>
    <cellStyle name="Moneda 2 10 6" xfId="1620" xr:uid="{00000000-0005-0000-0000-000021010000}"/>
    <cellStyle name="Moneda 2 11" xfId="133" xr:uid="{00000000-0005-0000-0000-000022010000}"/>
    <cellStyle name="Moneda 2 11 2" xfId="134" xr:uid="{00000000-0005-0000-0000-000023010000}"/>
    <cellStyle name="Moneda 2 11 2 2" xfId="135" xr:uid="{00000000-0005-0000-0000-000024010000}"/>
    <cellStyle name="Moneda 2 11 2 2 2" xfId="136" xr:uid="{00000000-0005-0000-0000-000025010000}"/>
    <cellStyle name="Moneda 2 11 2 2 2 2" xfId="1639" xr:uid="{00000000-0005-0000-0000-000026010000}"/>
    <cellStyle name="Moneda 2 11 2 2 3" xfId="1638" xr:uid="{00000000-0005-0000-0000-000027010000}"/>
    <cellStyle name="Moneda 2 11 2 3" xfId="137" xr:uid="{00000000-0005-0000-0000-000028010000}"/>
    <cellStyle name="Moneda 2 11 2 3 2" xfId="1640" xr:uid="{00000000-0005-0000-0000-000029010000}"/>
    <cellStyle name="Moneda 2 11 2 4" xfId="1637" xr:uid="{00000000-0005-0000-0000-00002A010000}"/>
    <cellStyle name="Moneda 2 11 3" xfId="138" xr:uid="{00000000-0005-0000-0000-00002B010000}"/>
    <cellStyle name="Moneda 2 11 3 2" xfId="139" xr:uid="{00000000-0005-0000-0000-00002C010000}"/>
    <cellStyle name="Moneda 2 11 3 2 2" xfId="1642" xr:uid="{00000000-0005-0000-0000-00002D010000}"/>
    <cellStyle name="Moneda 2 11 3 3" xfId="1641" xr:uid="{00000000-0005-0000-0000-00002E010000}"/>
    <cellStyle name="Moneda 2 11 4" xfId="140" xr:uid="{00000000-0005-0000-0000-00002F010000}"/>
    <cellStyle name="Moneda 2 11 4 2" xfId="1643" xr:uid="{00000000-0005-0000-0000-000030010000}"/>
    <cellStyle name="Moneda 2 11 5" xfId="1636" xr:uid="{00000000-0005-0000-0000-000031010000}"/>
    <cellStyle name="Moneda 2 12" xfId="141" xr:uid="{00000000-0005-0000-0000-000032010000}"/>
    <cellStyle name="Moneda 2 12 2" xfId="142" xr:uid="{00000000-0005-0000-0000-000033010000}"/>
    <cellStyle name="Moneda 2 12 2 2" xfId="143" xr:uid="{00000000-0005-0000-0000-000034010000}"/>
    <cellStyle name="Moneda 2 12 2 2 2" xfId="1646" xr:uid="{00000000-0005-0000-0000-000035010000}"/>
    <cellStyle name="Moneda 2 12 2 3" xfId="1645" xr:uid="{00000000-0005-0000-0000-000036010000}"/>
    <cellStyle name="Moneda 2 12 3" xfId="144" xr:uid="{00000000-0005-0000-0000-000037010000}"/>
    <cellStyle name="Moneda 2 12 3 2" xfId="1647" xr:uid="{00000000-0005-0000-0000-000038010000}"/>
    <cellStyle name="Moneda 2 12 4" xfId="1644" xr:uid="{00000000-0005-0000-0000-000039010000}"/>
    <cellStyle name="Moneda 2 13" xfId="145" xr:uid="{00000000-0005-0000-0000-00003A010000}"/>
    <cellStyle name="Moneda 2 13 2" xfId="146" xr:uid="{00000000-0005-0000-0000-00003B010000}"/>
    <cellStyle name="Moneda 2 13 2 2" xfId="1649" xr:uid="{00000000-0005-0000-0000-00003C010000}"/>
    <cellStyle name="Moneda 2 13 3" xfId="1648" xr:uid="{00000000-0005-0000-0000-00003D010000}"/>
    <cellStyle name="Moneda 2 14" xfId="147" xr:uid="{00000000-0005-0000-0000-00003E010000}"/>
    <cellStyle name="Moneda 2 14 2" xfId="1650" xr:uid="{00000000-0005-0000-0000-00003F010000}"/>
    <cellStyle name="Moneda 2 15" xfId="148" xr:uid="{00000000-0005-0000-0000-000040010000}"/>
    <cellStyle name="Moneda 2 15 2" xfId="1651" xr:uid="{00000000-0005-0000-0000-000041010000}"/>
    <cellStyle name="Moneda 2 16" xfId="1618" xr:uid="{00000000-0005-0000-0000-000042010000}"/>
    <cellStyle name="Moneda 2 16 2" xfId="3050" xr:uid="{00000000-0005-0000-0000-000043010000}"/>
    <cellStyle name="Moneda 2 17" xfId="1619" xr:uid="{00000000-0005-0000-0000-000044010000}"/>
    <cellStyle name="Moneda 2 2" xfId="149" xr:uid="{00000000-0005-0000-0000-000045010000}"/>
    <cellStyle name="Moneda 2 2 10" xfId="150" xr:uid="{00000000-0005-0000-0000-000046010000}"/>
    <cellStyle name="Moneda 2 2 10 2" xfId="151" xr:uid="{00000000-0005-0000-0000-000047010000}"/>
    <cellStyle name="Moneda 2 2 10 2 2" xfId="1654" xr:uid="{00000000-0005-0000-0000-000048010000}"/>
    <cellStyle name="Moneda 2 2 10 3" xfId="1653" xr:uid="{00000000-0005-0000-0000-000049010000}"/>
    <cellStyle name="Moneda 2 2 11" xfId="152" xr:uid="{00000000-0005-0000-0000-00004A010000}"/>
    <cellStyle name="Moneda 2 2 11 2" xfId="1655" xr:uid="{00000000-0005-0000-0000-00004B010000}"/>
    <cellStyle name="Moneda 2 2 12" xfId="153" xr:uid="{00000000-0005-0000-0000-00004C010000}"/>
    <cellStyle name="Moneda 2 2 12 2" xfId="1656" xr:uid="{00000000-0005-0000-0000-00004D010000}"/>
    <cellStyle name="Moneda 2 2 13" xfId="1652" xr:uid="{00000000-0005-0000-0000-00004E010000}"/>
    <cellStyle name="Moneda 2 2 2" xfId="154" xr:uid="{00000000-0005-0000-0000-00004F010000}"/>
    <cellStyle name="Moneda 2 2 2 10" xfId="155" xr:uid="{00000000-0005-0000-0000-000050010000}"/>
    <cellStyle name="Moneda 2 2 2 10 2" xfId="1658" xr:uid="{00000000-0005-0000-0000-000051010000}"/>
    <cellStyle name="Moneda 2 2 2 11" xfId="1657" xr:uid="{00000000-0005-0000-0000-000052010000}"/>
    <cellStyle name="Moneda 2 2 2 2" xfId="156" xr:uid="{00000000-0005-0000-0000-000053010000}"/>
    <cellStyle name="Moneda 2 2 2 2 2" xfId="157" xr:uid="{00000000-0005-0000-0000-000054010000}"/>
    <cellStyle name="Moneda 2 2 2 2 2 2" xfId="158" xr:uid="{00000000-0005-0000-0000-000055010000}"/>
    <cellStyle name="Moneda 2 2 2 2 2 2 2" xfId="159" xr:uid="{00000000-0005-0000-0000-000056010000}"/>
    <cellStyle name="Moneda 2 2 2 2 2 2 2 2" xfId="160" xr:uid="{00000000-0005-0000-0000-000057010000}"/>
    <cellStyle name="Moneda 2 2 2 2 2 2 2 2 2" xfId="161" xr:uid="{00000000-0005-0000-0000-000058010000}"/>
    <cellStyle name="Moneda 2 2 2 2 2 2 2 2 2 2" xfId="162" xr:uid="{00000000-0005-0000-0000-000059010000}"/>
    <cellStyle name="Moneda 2 2 2 2 2 2 2 2 2 2 2" xfId="1665" xr:uid="{00000000-0005-0000-0000-00005A010000}"/>
    <cellStyle name="Moneda 2 2 2 2 2 2 2 2 2 3" xfId="1664" xr:uid="{00000000-0005-0000-0000-00005B010000}"/>
    <cellStyle name="Moneda 2 2 2 2 2 2 2 2 3" xfId="163" xr:uid="{00000000-0005-0000-0000-00005C010000}"/>
    <cellStyle name="Moneda 2 2 2 2 2 2 2 2 3 2" xfId="1666" xr:uid="{00000000-0005-0000-0000-00005D010000}"/>
    <cellStyle name="Moneda 2 2 2 2 2 2 2 2 4" xfId="1663" xr:uid="{00000000-0005-0000-0000-00005E010000}"/>
    <cellStyle name="Moneda 2 2 2 2 2 2 2 3" xfId="164" xr:uid="{00000000-0005-0000-0000-00005F010000}"/>
    <cellStyle name="Moneda 2 2 2 2 2 2 2 3 2" xfId="165" xr:uid="{00000000-0005-0000-0000-000060010000}"/>
    <cellStyle name="Moneda 2 2 2 2 2 2 2 3 2 2" xfId="1668" xr:uid="{00000000-0005-0000-0000-000061010000}"/>
    <cellStyle name="Moneda 2 2 2 2 2 2 2 3 3" xfId="1667" xr:uid="{00000000-0005-0000-0000-000062010000}"/>
    <cellStyle name="Moneda 2 2 2 2 2 2 2 4" xfId="166" xr:uid="{00000000-0005-0000-0000-000063010000}"/>
    <cellStyle name="Moneda 2 2 2 2 2 2 2 4 2" xfId="1669" xr:uid="{00000000-0005-0000-0000-000064010000}"/>
    <cellStyle name="Moneda 2 2 2 2 2 2 2 5" xfId="1662" xr:uid="{00000000-0005-0000-0000-000065010000}"/>
    <cellStyle name="Moneda 2 2 2 2 2 2 3" xfId="167" xr:uid="{00000000-0005-0000-0000-000066010000}"/>
    <cellStyle name="Moneda 2 2 2 2 2 2 3 2" xfId="168" xr:uid="{00000000-0005-0000-0000-000067010000}"/>
    <cellStyle name="Moneda 2 2 2 2 2 2 3 2 2" xfId="169" xr:uid="{00000000-0005-0000-0000-000068010000}"/>
    <cellStyle name="Moneda 2 2 2 2 2 2 3 2 2 2" xfId="1672" xr:uid="{00000000-0005-0000-0000-000069010000}"/>
    <cellStyle name="Moneda 2 2 2 2 2 2 3 2 3" xfId="1671" xr:uid="{00000000-0005-0000-0000-00006A010000}"/>
    <cellStyle name="Moneda 2 2 2 2 2 2 3 3" xfId="170" xr:uid="{00000000-0005-0000-0000-00006B010000}"/>
    <cellStyle name="Moneda 2 2 2 2 2 2 3 3 2" xfId="1673" xr:uid="{00000000-0005-0000-0000-00006C010000}"/>
    <cellStyle name="Moneda 2 2 2 2 2 2 3 4" xfId="1670" xr:uid="{00000000-0005-0000-0000-00006D010000}"/>
    <cellStyle name="Moneda 2 2 2 2 2 2 4" xfId="171" xr:uid="{00000000-0005-0000-0000-00006E010000}"/>
    <cellStyle name="Moneda 2 2 2 2 2 2 4 2" xfId="172" xr:uid="{00000000-0005-0000-0000-00006F010000}"/>
    <cellStyle name="Moneda 2 2 2 2 2 2 4 2 2" xfId="1675" xr:uid="{00000000-0005-0000-0000-000070010000}"/>
    <cellStyle name="Moneda 2 2 2 2 2 2 4 3" xfId="1674" xr:uid="{00000000-0005-0000-0000-000071010000}"/>
    <cellStyle name="Moneda 2 2 2 2 2 2 5" xfId="173" xr:uid="{00000000-0005-0000-0000-000072010000}"/>
    <cellStyle name="Moneda 2 2 2 2 2 2 5 2" xfId="1676" xr:uid="{00000000-0005-0000-0000-000073010000}"/>
    <cellStyle name="Moneda 2 2 2 2 2 2 6" xfId="1661" xr:uid="{00000000-0005-0000-0000-000074010000}"/>
    <cellStyle name="Moneda 2 2 2 2 2 3" xfId="174" xr:uid="{00000000-0005-0000-0000-000075010000}"/>
    <cellStyle name="Moneda 2 2 2 2 2 3 2" xfId="175" xr:uid="{00000000-0005-0000-0000-000076010000}"/>
    <cellStyle name="Moneda 2 2 2 2 2 3 2 2" xfId="176" xr:uid="{00000000-0005-0000-0000-000077010000}"/>
    <cellStyle name="Moneda 2 2 2 2 2 3 2 2 2" xfId="177" xr:uid="{00000000-0005-0000-0000-000078010000}"/>
    <cellStyle name="Moneda 2 2 2 2 2 3 2 2 2 2" xfId="1680" xr:uid="{00000000-0005-0000-0000-000079010000}"/>
    <cellStyle name="Moneda 2 2 2 2 2 3 2 2 3" xfId="1679" xr:uid="{00000000-0005-0000-0000-00007A010000}"/>
    <cellStyle name="Moneda 2 2 2 2 2 3 2 3" xfId="178" xr:uid="{00000000-0005-0000-0000-00007B010000}"/>
    <cellStyle name="Moneda 2 2 2 2 2 3 2 3 2" xfId="1681" xr:uid="{00000000-0005-0000-0000-00007C010000}"/>
    <cellStyle name="Moneda 2 2 2 2 2 3 2 4" xfId="1678" xr:uid="{00000000-0005-0000-0000-00007D010000}"/>
    <cellStyle name="Moneda 2 2 2 2 2 3 3" xfId="179" xr:uid="{00000000-0005-0000-0000-00007E010000}"/>
    <cellStyle name="Moneda 2 2 2 2 2 3 3 2" xfId="180" xr:uid="{00000000-0005-0000-0000-00007F010000}"/>
    <cellStyle name="Moneda 2 2 2 2 2 3 3 2 2" xfId="1683" xr:uid="{00000000-0005-0000-0000-000080010000}"/>
    <cellStyle name="Moneda 2 2 2 2 2 3 3 3" xfId="1682" xr:uid="{00000000-0005-0000-0000-000081010000}"/>
    <cellStyle name="Moneda 2 2 2 2 2 3 4" xfId="181" xr:uid="{00000000-0005-0000-0000-000082010000}"/>
    <cellStyle name="Moneda 2 2 2 2 2 3 4 2" xfId="1684" xr:uid="{00000000-0005-0000-0000-000083010000}"/>
    <cellStyle name="Moneda 2 2 2 2 2 3 5" xfId="1677" xr:uid="{00000000-0005-0000-0000-000084010000}"/>
    <cellStyle name="Moneda 2 2 2 2 2 4" xfId="182" xr:uid="{00000000-0005-0000-0000-000085010000}"/>
    <cellStyle name="Moneda 2 2 2 2 2 4 2" xfId="183" xr:uid="{00000000-0005-0000-0000-000086010000}"/>
    <cellStyle name="Moneda 2 2 2 2 2 4 2 2" xfId="184" xr:uid="{00000000-0005-0000-0000-000087010000}"/>
    <cellStyle name="Moneda 2 2 2 2 2 4 2 2 2" xfId="1687" xr:uid="{00000000-0005-0000-0000-000088010000}"/>
    <cellStyle name="Moneda 2 2 2 2 2 4 2 3" xfId="1686" xr:uid="{00000000-0005-0000-0000-000089010000}"/>
    <cellStyle name="Moneda 2 2 2 2 2 4 3" xfId="185" xr:uid="{00000000-0005-0000-0000-00008A010000}"/>
    <cellStyle name="Moneda 2 2 2 2 2 4 3 2" xfId="1688" xr:uid="{00000000-0005-0000-0000-00008B010000}"/>
    <cellStyle name="Moneda 2 2 2 2 2 4 4" xfId="1685" xr:uid="{00000000-0005-0000-0000-00008C010000}"/>
    <cellStyle name="Moneda 2 2 2 2 2 5" xfId="186" xr:uid="{00000000-0005-0000-0000-00008D010000}"/>
    <cellStyle name="Moneda 2 2 2 2 2 5 2" xfId="187" xr:uid="{00000000-0005-0000-0000-00008E010000}"/>
    <cellStyle name="Moneda 2 2 2 2 2 5 2 2" xfId="1690" xr:uid="{00000000-0005-0000-0000-00008F010000}"/>
    <cellStyle name="Moneda 2 2 2 2 2 5 3" xfId="1689" xr:uid="{00000000-0005-0000-0000-000090010000}"/>
    <cellStyle name="Moneda 2 2 2 2 2 6" xfId="188" xr:uid="{00000000-0005-0000-0000-000091010000}"/>
    <cellStyle name="Moneda 2 2 2 2 2 6 2" xfId="1691" xr:uid="{00000000-0005-0000-0000-000092010000}"/>
    <cellStyle name="Moneda 2 2 2 2 2 7" xfId="1660" xr:uid="{00000000-0005-0000-0000-000093010000}"/>
    <cellStyle name="Moneda 2 2 2 2 3" xfId="189" xr:uid="{00000000-0005-0000-0000-000094010000}"/>
    <cellStyle name="Moneda 2 2 2 2 3 2" xfId="190" xr:uid="{00000000-0005-0000-0000-000095010000}"/>
    <cellStyle name="Moneda 2 2 2 2 3 2 2" xfId="191" xr:uid="{00000000-0005-0000-0000-000096010000}"/>
    <cellStyle name="Moneda 2 2 2 2 3 2 2 2" xfId="192" xr:uid="{00000000-0005-0000-0000-000097010000}"/>
    <cellStyle name="Moneda 2 2 2 2 3 2 2 2 2" xfId="193" xr:uid="{00000000-0005-0000-0000-000098010000}"/>
    <cellStyle name="Moneda 2 2 2 2 3 2 2 2 2 2" xfId="1696" xr:uid="{00000000-0005-0000-0000-000099010000}"/>
    <cellStyle name="Moneda 2 2 2 2 3 2 2 2 3" xfId="1695" xr:uid="{00000000-0005-0000-0000-00009A010000}"/>
    <cellStyle name="Moneda 2 2 2 2 3 2 2 3" xfId="194" xr:uid="{00000000-0005-0000-0000-00009B010000}"/>
    <cellStyle name="Moneda 2 2 2 2 3 2 2 3 2" xfId="1697" xr:uid="{00000000-0005-0000-0000-00009C010000}"/>
    <cellStyle name="Moneda 2 2 2 2 3 2 2 4" xfId="1694" xr:uid="{00000000-0005-0000-0000-00009D010000}"/>
    <cellStyle name="Moneda 2 2 2 2 3 2 3" xfId="195" xr:uid="{00000000-0005-0000-0000-00009E010000}"/>
    <cellStyle name="Moneda 2 2 2 2 3 2 3 2" xfId="196" xr:uid="{00000000-0005-0000-0000-00009F010000}"/>
    <cellStyle name="Moneda 2 2 2 2 3 2 3 2 2" xfId="1699" xr:uid="{00000000-0005-0000-0000-0000A0010000}"/>
    <cellStyle name="Moneda 2 2 2 2 3 2 3 3" xfId="1698" xr:uid="{00000000-0005-0000-0000-0000A1010000}"/>
    <cellStyle name="Moneda 2 2 2 2 3 2 4" xfId="197" xr:uid="{00000000-0005-0000-0000-0000A2010000}"/>
    <cellStyle name="Moneda 2 2 2 2 3 2 4 2" xfId="1700" xr:uid="{00000000-0005-0000-0000-0000A3010000}"/>
    <cellStyle name="Moneda 2 2 2 2 3 2 5" xfId="1693" xr:uid="{00000000-0005-0000-0000-0000A4010000}"/>
    <cellStyle name="Moneda 2 2 2 2 3 3" xfId="198" xr:uid="{00000000-0005-0000-0000-0000A5010000}"/>
    <cellStyle name="Moneda 2 2 2 2 3 3 2" xfId="199" xr:uid="{00000000-0005-0000-0000-0000A6010000}"/>
    <cellStyle name="Moneda 2 2 2 2 3 3 2 2" xfId="200" xr:uid="{00000000-0005-0000-0000-0000A7010000}"/>
    <cellStyle name="Moneda 2 2 2 2 3 3 2 2 2" xfId="1703" xr:uid="{00000000-0005-0000-0000-0000A8010000}"/>
    <cellStyle name="Moneda 2 2 2 2 3 3 2 3" xfId="1702" xr:uid="{00000000-0005-0000-0000-0000A9010000}"/>
    <cellStyle name="Moneda 2 2 2 2 3 3 3" xfId="201" xr:uid="{00000000-0005-0000-0000-0000AA010000}"/>
    <cellStyle name="Moneda 2 2 2 2 3 3 3 2" xfId="1704" xr:uid="{00000000-0005-0000-0000-0000AB010000}"/>
    <cellStyle name="Moneda 2 2 2 2 3 3 4" xfId="1701" xr:uid="{00000000-0005-0000-0000-0000AC010000}"/>
    <cellStyle name="Moneda 2 2 2 2 3 4" xfId="202" xr:uid="{00000000-0005-0000-0000-0000AD010000}"/>
    <cellStyle name="Moneda 2 2 2 2 3 4 2" xfId="203" xr:uid="{00000000-0005-0000-0000-0000AE010000}"/>
    <cellStyle name="Moneda 2 2 2 2 3 4 2 2" xfId="1706" xr:uid="{00000000-0005-0000-0000-0000AF010000}"/>
    <cellStyle name="Moneda 2 2 2 2 3 4 3" xfId="1705" xr:uid="{00000000-0005-0000-0000-0000B0010000}"/>
    <cellStyle name="Moneda 2 2 2 2 3 5" xfId="204" xr:uid="{00000000-0005-0000-0000-0000B1010000}"/>
    <cellStyle name="Moneda 2 2 2 2 3 5 2" xfId="1707" xr:uid="{00000000-0005-0000-0000-0000B2010000}"/>
    <cellStyle name="Moneda 2 2 2 2 3 6" xfId="1692" xr:uid="{00000000-0005-0000-0000-0000B3010000}"/>
    <cellStyle name="Moneda 2 2 2 2 4" xfId="205" xr:uid="{00000000-0005-0000-0000-0000B4010000}"/>
    <cellStyle name="Moneda 2 2 2 2 4 2" xfId="206" xr:uid="{00000000-0005-0000-0000-0000B5010000}"/>
    <cellStyle name="Moneda 2 2 2 2 4 2 2" xfId="207" xr:uid="{00000000-0005-0000-0000-0000B6010000}"/>
    <cellStyle name="Moneda 2 2 2 2 4 2 2 2" xfId="208" xr:uid="{00000000-0005-0000-0000-0000B7010000}"/>
    <cellStyle name="Moneda 2 2 2 2 4 2 2 2 2" xfId="1711" xr:uid="{00000000-0005-0000-0000-0000B8010000}"/>
    <cellStyle name="Moneda 2 2 2 2 4 2 2 3" xfId="1710" xr:uid="{00000000-0005-0000-0000-0000B9010000}"/>
    <cellStyle name="Moneda 2 2 2 2 4 2 3" xfId="209" xr:uid="{00000000-0005-0000-0000-0000BA010000}"/>
    <cellStyle name="Moneda 2 2 2 2 4 2 3 2" xfId="1712" xr:uid="{00000000-0005-0000-0000-0000BB010000}"/>
    <cellStyle name="Moneda 2 2 2 2 4 2 4" xfId="1709" xr:uid="{00000000-0005-0000-0000-0000BC010000}"/>
    <cellStyle name="Moneda 2 2 2 2 4 3" xfId="210" xr:uid="{00000000-0005-0000-0000-0000BD010000}"/>
    <cellStyle name="Moneda 2 2 2 2 4 3 2" xfId="211" xr:uid="{00000000-0005-0000-0000-0000BE010000}"/>
    <cellStyle name="Moneda 2 2 2 2 4 3 2 2" xfId="1714" xr:uid="{00000000-0005-0000-0000-0000BF010000}"/>
    <cellStyle name="Moneda 2 2 2 2 4 3 3" xfId="1713" xr:uid="{00000000-0005-0000-0000-0000C0010000}"/>
    <cellStyle name="Moneda 2 2 2 2 4 4" xfId="212" xr:uid="{00000000-0005-0000-0000-0000C1010000}"/>
    <cellStyle name="Moneda 2 2 2 2 4 4 2" xfId="1715" xr:uid="{00000000-0005-0000-0000-0000C2010000}"/>
    <cellStyle name="Moneda 2 2 2 2 4 5" xfId="1708" xr:uid="{00000000-0005-0000-0000-0000C3010000}"/>
    <cellStyle name="Moneda 2 2 2 2 5" xfId="213" xr:uid="{00000000-0005-0000-0000-0000C4010000}"/>
    <cellStyle name="Moneda 2 2 2 2 5 2" xfId="214" xr:uid="{00000000-0005-0000-0000-0000C5010000}"/>
    <cellStyle name="Moneda 2 2 2 2 5 2 2" xfId="215" xr:uid="{00000000-0005-0000-0000-0000C6010000}"/>
    <cellStyle name="Moneda 2 2 2 2 5 2 2 2" xfId="1718" xr:uid="{00000000-0005-0000-0000-0000C7010000}"/>
    <cellStyle name="Moneda 2 2 2 2 5 2 3" xfId="1717" xr:uid="{00000000-0005-0000-0000-0000C8010000}"/>
    <cellStyle name="Moneda 2 2 2 2 5 3" xfId="216" xr:uid="{00000000-0005-0000-0000-0000C9010000}"/>
    <cellStyle name="Moneda 2 2 2 2 5 3 2" xfId="1719" xr:uid="{00000000-0005-0000-0000-0000CA010000}"/>
    <cellStyle name="Moneda 2 2 2 2 5 4" xfId="1716" xr:uid="{00000000-0005-0000-0000-0000CB010000}"/>
    <cellStyle name="Moneda 2 2 2 2 6" xfId="217" xr:uid="{00000000-0005-0000-0000-0000CC010000}"/>
    <cellStyle name="Moneda 2 2 2 2 6 2" xfId="218" xr:uid="{00000000-0005-0000-0000-0000CD010000}"/>
    <cellStyle name="Moneda 2 2 2 2 6 2 2" xfId="1721" xr:uid="{00000000-0005-0000-0000-0000CE010000}"/>
    <cellStyle name="Moneda 2 2 2 2 6 3" xfId="1720" xr:uid="{00000000-0005-0000-0000-0000CF010000}"/>
    <cellStyle name="Moneda 2 2 2 2 7" xfId="219" xr:uid="{00000000-0005-0000-0000-0000D0010000}"/>
    <cellStyle name="Moneda 2 2 2 2 7 2" xfId="1722" xr:uid="{00000000-0005-0000-0000-0000D1010000}"/>
    <cellStyle name="Moneda 2 2 2 2 8" xfId="220" xr:uid="{00000000-0005-0000-0000-0000D2010000}"/>
    <cellStyle name="Moneda 2 2 2 2 8 2" xfId="1723" xr:uid="{00000000-0005-0000-0000-0000D3010000}"/>
    <cellStyle name="Moneda 2 2 2 2 9" xfId="1659" xr:uid="{00000000-0005-0000-0000-0000D4010000}"/>
    <cellStyle name="Moneda 2 2 2 3" xfId="221" xr:uid="{00000000-0005-0000-0000-0000D5010000}"/>
    <cellStyle name="Moneda 2 2 2 3 2" xfId="222" xr:uid="{00000000-0005-0000-0000-0000D6010000}"/>
    <cellStyle name="Moneda 2 2 2 3 2 2" xfId="223" xr:uid="{00000000-0005-0000-0000-0000D7010000}"/>
    <cellStyle name="Moneda 2 2 2 3 2 2 2" xfId="224" xr:uid="{00000000-0005-0000-0000-0000D8010000}"/>
    <cellStyle name="Moneda 2 2 2 3 2 2 2 2" xfId="225" xr:uid="{00000000-0005-0000-0000-0000D9010000}"/>
    <cellStyle name="Moneda 2 2 2 3 2 2 2 2 2" xfId="226" xr:uid="{00000000-0005-0000-0000-0000DA010000}"/>
    <cellStyle name="Moneda 2 2 2 3 2 2 2 2 2 2" xfId="227" xr:uid="{00000000-0005-0000-0000-0000DB010000}"/>
    <cellStyle name="Moneda 2 2 2 3 2 2 2 2 2 2 2" xfId="1730" xr:uid="{00000000-0005-0000-0000-0000DC010000}"/>
    <cellStyle name="Moneda 2 2 2 3 2 2 2 2 2 3" xfId="1729" xr:uid="{00000000-0005-0000-0000-0000DD010000}"/>
    <cellStyle name="Moneda 2 2 2 3 2 2 2 2 3" xfId="228" xr:uid="{00000000-0005-0000-0000-0000DE010000}"/>
    <cellStyle name="Moneda 2 2 2 3 2 2 2 2 3 2" xfId="1731" xr:uid="{00000000-0005-0000-0000-0000DF010000}"/>
    <cellStyle name="Moneda 2 2 2 3 2 2 2 2 4" xfId="1728" xr:uid="{00000000-0005-0000-0000-0000E0010000}"/>
    <cellStyle name="Moneda 2 2 2 3 2 2 2 3" xfId="229" xr:uid="{00000000-0005-0000-0000-0000E1010000}"/>
    <cellStyle name="Moneda 2 2 2 3 2 2 2 3 2" xfId="230" xr:uid="{00000000-0005-0000-0000-0000E2010000}"/>
    <cellStyle name="Moneda 2 2 2 3 2 2 2 3 2 2" xfId="1733" xr:uid="{00000000-0005-0000-0000-0000E3010000}"/>
    <cellStyle name="Moneda 2 2 2 3 2 2 2 3 3" xfId="1732" xr:uid="{00000000-0005-0000-0000-0000E4010000}"/>
    <cellStyle name="Moneda 2 2 2 3 2 2 2 4" xfId="231" xr:uid="{00000000-0005-0000-0000-0000E5010000}"/>
    <cellStyle name="Moneda 2 2 2 3 2 2 2 4 2" xfId="1734" xr:uid="{00000000-0005-0000-0000-0000E6010000}"/>
    <cellStyle name="Moneda 2 2 2 3 2 2 2 5" xfId="1727" xr:uid="{00000000-0005-0000-0000-0000E7010000}"/>
    <cellStyle name="Moneda 2 2 2 3 2 2 3" xfId="232" xr:uid="{00000000-0005-0000-0000-0000E8010000}"/>
    <cellStyle name="Moneda 2 2 2 3 2 2 3 2" xfId="233" xr:uid="{00000000-0005-0000-0000-0000E9010000}"/>
    <cellStyle name="Moneda 2 2 2 3 2 2 3 2 2" xfId="234" xr:uid="{00000000-0005-0000-0000-0000EA010000}"/>
    <cellStyle name="Moneda 2 2 2 3 2 2 3 2 2 2" xfId="1737" xr:uid="{00000000-0005-0000-0000-0000EB010000}"/>
    <cellStyle name="Moneda 2 2 2 3 2 2 3 2 3" xfId="1736" xr:uid="{00000000-0005-0000-0000-0000EC010000}"/>
    <cellStyle name="Moneda 2 2 2 3 2 2 3 3" xfId="235" xr:uid="{00000000-0005-0000-0000-0000ED010000}"/>
    <cellStyle name="Moneda 2 2 2 3 2 2 3 3 2" xfId="1738" xr:uid="{00000000-0005-0000-0000-0000EE010000}"/>
    <cellStyle name="Moneda 2 2 2 3 2 2 3 4" xfId="1735" xr:uid="{00000000-0005-0000-0000-0000EF010000}"/>
    <cellStyle name="Moneda 2 2 2 3 2 2 4" xfId="236" xr:uid="{00000000-0005-0000-0000-0000F0010000}"/>
    <cellStyle name="Moneda 2 2 2 3 2 2 4 2" xfId="237" xr:uid="{00000000-0005-0000-0000-0000F1010000}"/>
    <cellStyle name="Moneda 2 2 2 3 2 2 4 2 2" xfId="1740" xr:uid="{00000000-0005-0000-0000-0000F2010000}"/>
    <cellStyle name="Moneda 2 2 2 3 2 2 4 3" xfId="1739" xr:uid="{00000000-0005-0000-0000-0000F3010000}"/>
    <cellStyle name="Moneda 2 2 2 3 2 2 5" xfId="238" xr:uid="{00000000-0005-0000-0000-0000F4010000}"/>
    <cellStyle name="Moneda 2 2 2 3 2 2 5 2" xfId="1741" xr:uid="{00000000-0005-0000-0000-0000F5010000}"/>
    <cellStyle name="Moneda 2 2 2 3 2 2 6" xfId="1726" xr:uid="{00000000-0005-0000-0000-0000F6010000}"/>
    <cellStyle name="Moneda 2 2 2 3 2 3" xfId="239" xr:uid="{00000000-0005-0000-0000-0000F7010000}"/>
    <cellStyle name="Moneda 2 2 2 3 2 3 2" xfId="240" xr:uid="{00000000-0005-0000-0000-0000F8010000}"/>
    <cellStyle name="Moneda 2 2 2 3 2 3 2 2" xfId="241" xr:uid="{00000000-0005-0000-0000-0000F9010000}"/>
    <cellStyle name="Moneda 2 2 2 3 2 3 2 2 2" xfId="242" xr:uid="{00000000-0005-0000-0000-0000FA010000}"/>
    <cellStyle name="Moneda 2 2 2 3 2 3 2 2 2 2" xfId="1745" xr:uid="{00000000-0005-0000-0000-0000FB010000}"/>
    <cellStyle name="Moneda 2 2 2 3 2 3 2 2 3" xfId="1744" xr:uid="{00000000-0005-0000-0000-0000FC010000}"/>
    <cellStyle name="Moneda 2 2 2 3 2 3 2 3" xfId="243" xr:uid="{00000000-0005-0000-0000-0000FD010000}"/>
    <cellStyle name="Moneda 2 2 2 3 2 3 2 3 2" xfId="1746" xr:uid="{00000000-0005-0000-0000-0000FE010000}"/>
    <cellStyle name="Moneda 2 2 2 3 2 3 2 4" xfId="1743" xr:uid="{00000000-0005-0000-0000-0000FF010000}"/>
    <cellStyle name="Moneda 2 2 2 3 2 3 3" xfId="244" xr:uid="{00000000-0005-0000-0000-000000020000}"/>
    <cellStyle name="Moneda 2 2 2 3 2 3 3 2" xfId="245" xr:uid="{00000000-0005-0000-0000-000001020000}"/>
    <cellStyle name="Moneda 2 2 2 3 2 3 3 2 2" xfId="1748" xr:uid="{00000000-0005-0000-0000-000002020000}"/>
    <cellStyle name="Moneda 2 2 2 3 2 3 3 3" xfId="1747" xr:uid="{00000000-0005-0000-0000-000003020000}"/>
    <cellStyle name="Moneda 2 2 2 3 2 3 4" xfId="246" xr:uid="{00000000-0005-0000-0000-000004020000}"/>
    <cellStyle name="Moneda 2 2 2 3 2 3 4 2" xfId="1749" xr:uid="{00000000-0005-0000-0000-000005020000}"/>
    <cellStyle name="Moneda 2 2 2 3 2 3 5" xfId="1742" xr:uid="{00000000-0005-0000-0000-000006020000}"/>
    <cellStyle name="Moneda 2 2 2 3 2 4" xfId="247" xr:uid="{00000000-0005-0000-0000-000007020000}"/>
    <cellStyle name="Moneda 2 2 2 3 2 4 2" xfId="248" xr:uid="{00000000-0005-0000-0000-000008020000}"/>
    <cellStyle name="Moneda 2 2 2 3 2 4 2 2" xfId="249" xr:uid="{00000000-0005-0000-0000-000009020000}"/>
    <cellStyle name="Moneda 2 2 2 3 2 4 2 2 2" xfId="1752" xr:uid="{00000000-0005-0000-0000-00000A020000}"/>
    <cellStyle name="Moneda 2 2 2 3 2 4 2 3" xfId="1751" xr:uid="{00000000-0005-0000-0000-00000B020000}"/>
    <cellStyle name="Moneda 2 2 2 3 2 4 3" xfId="250" xr:uid="{00000000-0005-0000-0000-00000C020000}"/>
    <cellStyle name="Moneda 2 2 2 3 2 4 3 2" xfId="1753" xr:uid="{00000000-0005-0000-0000-00000D020000}"/>
    <cellStyle name="Moneda 2 2 2 3 2 4 4" xfId="1750" xr:uid="{00000000-0005-0000-0000-00000E020000}"/>
    <cellStyle name="Moneda 2 2 2 3 2 5" xfId="251" xr:uid="{00000000-0005-0000-0000-00000F020000}"/>
    <cellStyle name="Moneda 2 2 2 3 2 5 2" xfId="252" xr:uid="{00000000-0005-0000-0000-000010020000}"/>
    <cellStyle name="Moneda 2 2 2 3 2 5 2 2" xfId="1755" xr:uid="{00000000-0005-0000-0000-000011020000}"/>
    <cellStyle name="Moneda 2 2 2 3 2 5 3" xfId="1754" xr:uid="{00000000-0005-0000-0000-000012020000}"/>
    <cellStyle name="Moneda 2 2 2 3 2 6" xfId="253" xr:uid="{00000000-0005-0000-0000-000013020000}"/>
    <cellStyle name="Moneda 2 2 2 3 2 6 2" xfId="1756" xr:uid="{00000000-0005-0000-0000-000014020000}"/>
    <cellStyle name="Moneda 2 2 2 3 2 7" xfId="1725" xr:uid="{00000000-0005-0000-0000-000015020000}"/>
    <cellStyle name="Moneda 2 2 2 3 3" xfId="254" xr:uid="{00000000-0005-0000-0000-000016020000}"/>
    <cellStyle name="Moneda 2 2 2 3 3 2" xfId="255" xr:uid="{00000000-0005-0000-0000-000017020000}"/>
    <cellStyle name="Moneda 2 2 2 3 3 2 2" xfId="256" xr:uid="{00000000-0005-0000-0000-000018020000}"/>
    <cellStyle name="Moneda 2 2 2 3 3 2 2 2" xfId="257" xr:uid="{00000000-0005-0000-0000-000019020000}"/>
    <cellStyle name="Moneda 2 2 2 3 3 2 2 2 2" xfId="258" xr:uid="{00000000-0005-0000-0000-00001A020000}"/>
    <cellStyle name="Moneda 2 2 2 3 3 2 2 2 2 2" xfId="1761" xr:uid="{00000000-0005-0000-0000-00001B020000}"/>
    <cellStyle name="Moneda 2 2 2 3 3 2 2 2 3" xfId="1760" xr:uid="{00000000-0005-0000-0000-00001C020000}"/>
    <cellStyle name="Moneda 2 2 2 3 3 2 2 3" xfId="259" xr:uid="{00000000-0005-0000-0000-00001D020000}"/>
    <cellStyle name="Moneda 2 2 2 3 3 2 2 3 2" xfId="1762" xr:uid="{00000000-0005-0000-0000-00001E020000}"/>
    <cellStyle name="Moneda 2 2 2 3 3 2 2 4" xfId="1759" xr:uid="{00000000-0005-0000-0000-00001F020000}"/>
    <cellStyle name="Moneda 2 2 2 3 3 2 3" xfId="260" xr:uid="{00000000-0005-0000-0000-000020020000}"/>
    <cellStyle name="Moneda 2 2 2 3 3 2 3 2" xfId="261" xr:uid="{00000000-0005-0000-0000-000021020000}"/>
    <cellStyle name="Moneda 2 2 2 3 3 2 3 2 2" xfId="1764" xr:uid="{00000000-0005-0000-0000-000022020000}"/>
    <cellStyle name="Moneda 2 2 2 3 3 2 3 3" xfId="1763" xr:uid="{00000000-0005-0000-0000-000023020000}"/>
    <cellStyle name="Moneda 2 2 2 3 3 2 4" xfId="262" xr:uid="{00000000-0005-0000-0000-000024020000}"/>
    <cellStyle name="Moneda 2 2 2 3 3 2 4 2" xfId="1765" xr:uid="{00000000-0005-0000-0000-000025020000}"/>
    <cellStyle name="Moneda 2 2 2 3 3 2 5" xfId="1758" xr:uid="{00000000-0005-0000-0000-000026020000}"/>
    <cellStyle name="Moneda 2 2 2 3 3 3" xfId="263" xr:uid="{00000000-0005-0000-0000-000027020000}"/>
    <cellStyle name="Moneda 2 2 2 3 3 3 2" xfId="264" xr:uid="{00000000-0005-0000-0000-000028020000}"/>
    <cellStyle name="Moneda 2 2 2 3 3 3 2 2" xfId="265" xr:uid="{00000000-0005-0000-0000-000029020000}"/>
    <cellStyle name="Moneda 2 2 2 3 3 3 2 2 2" xfId="1768" xr:uid="{00000000-0005-0000-0000-00002A020000}"/>
    <cellStyle name="Moneda 2 2 2 3 3 3 2 3" xfId="1767" xr:uid="{00000000-0005-0000-0000-00002B020000}"/>
    <cellStyle name="Moneda 2 2 2 3 3 3 3" xfId="266" xr:uid="{00000000-0005-0000-0000-00002C020000}"/>
    <cellStyle name="Moneda 2 2 2 3 3 3 3 2" xfId="1769" xr:uid="{00000000-0005-0000-0000-00002D020000}"/>
    <cellStyle name="Moneda 2 2 2 3 3 3 4" xfId="1766" xr:uid="{00000000-0005-0000-0000-00002E020000}"/>
    <cellStyle name="Moneda 2 2 2 3 3 4" xfId="267" xr:uid="{00000000-0005-0000-0000-00002F020000}"/>
    <cellStyle name="Moneda 2 2 2 3 3 4 2" xfId="268" xr:uid="{00000000-0005-0000-0000-000030020000}"/>
    <cellStyle name="Moneda 2 2 2 3 3 4 2 2" xfId="1771" xr:uid="{00000000-0005-0000-0000-000031020000}"/>
    <cellStyle name="Moneda 2 2 2 3 3 4 3" xfId="1770" xr:uid="{00000000-0005-0000-0000-000032020000}"/>
    <cellStyle name="Moneda 2 2 2 3 3 5" xfId="269" xr:uid="{00000000-0005-0000-0000-000033020000}"/>
    <cellStyle name="Moneda 2 2 2 3 3 5 2" xfId="1772" xr:uid="{00000000-0005-0000-0000-000034020000}"/>
    <cellStyle name="Moneda 2 2 2 3 3 6" xfId="1757" xr:uid="{00000000-0005-0000-0000-000035020000}"/>
    <cellStyle name="Moneda 2 2 2 3 4" xfId="270" xr:uid="{00000000-0005-0000-0000-000036020000}"/>
    <cellStyle name="Moneda 2 2 2 3 4 2" xfId="271" xr:uid="{00000000-0005-0000-0000-000037020000}"/>
    <cellStyle name="Moneda 2 2 2 3 4 2 2" xfId="272" xr:uid="{00000000-0005-0000-0000-000038020000}"/>
    <cellStyle name="Moneda 2 2 2 3 4 2 2 2" xfId="273" xr:uid="{00000000-0005-0000-0000-000039020000}"/>
    <cellStyle name="Moneda 2 2 2 3 4 2 2 2 2" xfId="1776" xr:uid="{00000000-0005-0000-0000-00003A020000}"/>
    <cellStyle name="Moneda 2 2 2 3 4 2 2 3" xfId="1775" xr:uid="{00000000-0005-0000-0000-00003B020000}"/>
    <cellStyle name="Moneda 2 2 2 3 4 2 3" xfId="274" xr:uid="{00000000-0005-0000-0000-00003C020000}"/>
    <cellStyle name="Moneda 2 2 2 3 4 2 3 2" xfId="1777" xr:uid="{00000000-0005-0000-0000-00003D020000}"/>
    <cellStyle name="Moneda 2 2 2 3 4 2 4" xfId="1774" xr:uid="{00000000-0005-0000-0000-00003E020000}"/>
    <cellStyle name="Moneda 2 2 2 3 4 3" xfId="275" xr:uid="{00000000-0005-0000-0000-00003F020000}"/>
    <cellStyle name="Moneda 2 2 2 3 4 3 2" xfId="276" xr:uid="{00000000-0005-0000-0000-000040020000}"/>
    <cellStyle name="Moneda 2 2 2 3 4 3 2 2" xfId="1779" xr:uid="{00000000-0005-0000-0000-000041020000}"/>
    <cellStyle name="Moneda 2 2 2 3 4 3 3" xfId="1778" xr:uid="{00000000-0005-0000-0000-000042020000}"/>
    <cellStyle name="Moneda 2 2 2 3 4 4" xfId="277" xr:uid="{00000000-0005-0000-0000-000043020000}"/>
    <cellStyle name="Moneda 2 2 2 3 4 4 2" xfId="1780" xr:uid="{00000000-0005-0000-0000-000044020000}"/>
    <cellStyle name="Moneda 2 2 2 3 4 5" xfId="1773" xr:uid="{00000000-0005-0000-0000-000045020000}"/>
    <cellStyle name="Moneda 2 2 2 3 5" xfId="278" xr:uid="{00000000-0005-0000-0000-000046020000}"/>
    <cellStyle name="Moneda 2 2 2 3 5 2" xfId="279" xr:uid="{00000000-0005-0000-0000-000047020000}"/>
    <cellStyle name="Moneda 2 2 2 3 5 2 2" xfId="280" xr:uid="{00000000-0005-0000-0000-000048020000}"/>
    <cellStyle name="Moneda 2 2 2 3 5 2 2 2" xfId="1783" xr:uid="{00000000-0005-0000-0000-000049020000}"/>
    <cellStyle name="Moneda 2 2 2 3 5 2 3" xfId="1782" xr:uid="{00000000-0005-0000-0000-00004A020000}"/>
    <cellStyle name="Moneda 2 2 2 3 5 3" xfId="281" xr:uid="{00000000-0005-0000-0000-00004B020000}"/>
    <cellStyle name="Moneda 2 2 2 3 5 3 2" xfId="1784" xr:uid="{00000000-0005-0000-0000-00004C020000}"/>
    <cellStyle name="Moneda 2 2 2 3 5 4" xfId="1781" xr:uid="{00000000-0005-0000-0000-00004D020000}"/>
    <cellStyle name="Moneda 2 2 2 3 6" xfId="282" xr:uid="{00000000-0005-0000-0000-00004E020000}"/>
    <cellStyle name="Moneda 2 2 2 3 6 2" xfId="283" xr:uid="{00000000-0005-0000-0000-00004F020000}"/>
    <cellStyle name="Moneda 2 2 2 3 6 2 2" xfId="1786" xr:uid="{00000000-0005-0000-0000-000050020000}"/>
    <cellStyle name="Moneda 2 2 2 3 6 3" xfId="1785" xr:uid="{00000000-0005-0000-0000-000051020000}"/>
    <cellStyle name="Moneda 2 2 2 3 7" xfId="284" xr:uid="{00000000-0005-0000-0000-000052020000}"/>
    <cellStyle name="Moneda 2 2 2 3 7 2" xfId="1787" xr:uid="{00000000-0005-0000-0000-000053020000}"/>
    <cellStyle name="Moneda 2 2 2 3 8" xfId="285" xr:uid="{00000000-0005-0000-0000-000054020000}"/>
    <cellStyle name="Moneda 2 2 2 3 8 2" xfId="1788" xr:uid="{00000000-0005-0000-0000-000055020000}"/>
    <cellStyle name="Moneda 2 2 2 3 9" xfId="1724" xr:uid="{00000000-0005-0000-0000-000056020000}"/>
    <cellStyle name="Moneda 2 2 2 4" xfId="286" xr:uid="{00000000-0005-0000-0000-000057020000}"/>
    <cellStyle name="Moneda 2 2 2 4 2" xfId="287" xr:uid="{00000000-0005-0000-0000-000058020000}"/>
    <cellStyle name="Moneda 2 2 2 4 2 2" xfId="288" xr:uid="{00000000-0005-0000-0000-000059020000}"/>
    <cellStyle name="Moneda 2 2 2 4 2 2 2" xfId="289" xr:uid="{00000000-0005-0000-0000-00005A020000}"/>
    <cellStyle name="Moneda 2 2 2 4 2 2 2 2" xfId="290" xr:uid="{00000000-0005-0000-0000-00005B020000}"/>
    <cellStyle name="Moneda 2 2 2 4 2 2 2 2 2" xfId="291" xr:uid="{00000000-0005-0000-0000-00005C020000}"/>
    <cellStyle name="Moneda 2 2 2 4 2 2 2 2 2 2" xfId="1794" xr:uid="{00000000-0005-0000-0000-00005D020000}"/>
    <cellStyle name="Moneda 2 2 2 4 2 2 2 2 3" xfId="1793" xr:uid="{00000000-0005-0000-0000-00005E020000}"/>
    <cellStyle name="Moneda 2 2 2 4 2 2 2 3" xfId="292" xr:uid="{00000000-0005-0000-0000-00005F020000}"/>
    <cellStyle name="Moneda 2 2 2 4 2 2 2 3 2" xfId="1795" xr:uid="{00000000-0005-0000-0000-000060020000}"/>
    <cellStyle name="Moneda 2 2 2 4 2 2 2 4" xfId="1792" xr:uid="{00000000-0005-0000-0000-000061020000}"/>
    <cellStyle name="Moneda 2 2 2 4 2 2 3" xfId="293" xr:uid="{00000000-0005-0000-0000-000062020000}"/>
    <cellStyle name="Moneda 2 2 2 4 2 2 3 2" xfId="294" xr:uid="{00000000-0005-0000-0000-000063020000}"/>
    <cellStyle name="Moneda 2 2 2 4 2 2 3 2 2" xfId="1797" xr:uid="{00000000-0005-0000-0000-000064020000}"/>
    <cellStyle name="Moneda 2 2 2 4 2 2 3 3" xfId="1796" xr:uid="{00000000-0005-0000-0000-000065020000}"/>
    <cellStyle name="Moneda 2 2 2 4 2 2 4" xfId="295" xr:uid="{00000000-0005-0000-0000-000066020000}"/>
    <cellStyle name="Moneda 2 2 2 4 2 2 4 2" xfId="1798" xr:uid="{00000000-0005-0000-0000-000067020000}"/>
    <cellStyle name="Moneda 2 2 2 4 2 2 5" xfId="1791" xr:uid="{00000000-0005-0000-0000-000068020000}"/>
    <cellStyle name="Moneda 2 2 2 4 2 3" xfId="296" xr:uid="{00000000-0005-0000-0000-000069020000}"/>
    <cellStyle name="Moneda 2 2 2 4 2 3 2" xfId="297" xr:uid="{00000000-0005-0000-0000-00006A020000}"/>
    <cellStyle name="Moneda 2 2 2 4 2 3 2 2" xfId="298" xr:uid="{00000000-0005-0000-0000-00006B020000}"/>
    <cellStyle name="Moneda 2 2 2 4 2 3 2 2 2" xfId="1801" xr:uid="{00000000-0005-0000-0000-00006C020000}"/>
    <cellStyle name="Moneda 2 2 2 4 2 3 2 3" xfId="1800" xr:uid="{00000000-0005-0000-0000-00006D020000}"/>
    <cellStyle name="Moneda 2 2 2 4 2 3 3" xfId="299" xr:uid="{00000000-0005-0000-0000-00006E020000}"/>
    <cellStyle name="Moneda 2 2 2 4 2 3 3 2" xfId="1802" xr:uid="{00000000-0005-0000-0000-00006F020000}"/>
    <cellStyle name="Moneda 2 2 2 4 2 3 4" xfId="1799" xr:uid="{00000000-0005-0000-0000-000070020000}"/>
    <cellStyle name="Moneda 2 2 2 4 2 4" xfId="300" xr:uid="{00000000-0005-0000-0000-000071020000}"/>
    <cellStyle name="Moneda 2 2 2 4 2 4 2" xfId="301" xr:uid="{00000000-0005-0000-0000-000072020000}"/>
    <cellStyle name="Moneda 2 2 2 4 2 4 2 2" xfId="1804" xr:uid="{00000000-0005-0000-0000-000073020000}"/>
    <cellStyle name="Moneda 2 2 2 4 2 4 3" xfId="1803" xr:uid="{00000000-0005-0000-0000-000074020000}"/>
    <cellStyle name="Moneda 2 2 2 4 2 5" xfId="302" xr:uid="{00000000-0005-0000-0000-000075020000}"/>
    <cellStyle name="Moneda 2 2 2 4 2 5 2" xfId="1805" xr:uid="{00000000-0005-0000-0000-000076020000}"/>
    <cellStyle name="Moneda 2 2 2 4 2 6" xfId="1790" xr:uid="{00000000-0005-0000-0000-000077020000}"/>
    <cellStyle name="Moneda 2 2 2 4 3" xfId="303" xr:uid="{00000000-0005-0000-0000-000078020000}"/>
    <cellStyle name="Moneda 2 2 2 4 3 2" xfId="304" xr:uid="{00000000-0005-0000-0000-000079020000}"/>
    <cellStyle name="Moneda 2 2 2 4 3 2 2" xfId="305" xr:uid="{00000000-0005-0000-0000-00007A020000}"/>
    <cellStyle name="Moneda 2 2 2 4 3 2 2 2" xfId="306" xr:uid="{00000000-0005-0000-0000-00007B020000}"/>
    <cellStyle name="Moneda 2 2 2 4 3 2 2 2 2" xfId="1809" xr:uid="{00000000-0005-0000-0000-00007C020000}"/>
    <cellStyle name="Moneda 2 2 2 4 3 2 2 3" xfId="1808" xr:uid="{00000000-0005-0000-0000-00007D020000}"/>
    <cellStyle name="Moneda 2 2 2 4 3 2 3" xfId="307" xr:uid="{00000000-0005-0000-0000-00007E020000}"/>
    <cellStyle name="Moneda 2 2 2 4 3 2 3 2" xfId="1810" xr:uid="{00000000-0005-0000-0000-00007F020000}"/>
    <cellStyle name="Moneda 2 2 2 4 3 2 4" xfId="1807" xr:uid="{00000000-0005-0000-0000-000080020000}"/>
    <cellStyle name="Moneda 2 2 2 4 3 3" xfId="308" xr:uid="{00000000-0005-0000-0000-000081020000}"/>
    <cellStyle name="Moneda 2 2 2 4 3 3 2" xfId="309" xr:uid="{00000000-0005-0000-0000-000082020000}"/>
    <cellStyle name="Moneda 2 2 2 4 3 3 2 2" xfId="1812" xr:uid="{00000000-0005-0000-0000-000083020000}"/>
    <cellStyle name="Moneda 2 2 2 4 3 3 3" xfId="1811" xr:uid="{00000000-0005-0000-0000-000084020000}"/>
    <cellStyle name="Moneda 2 2 2 4 3 4" xfId="310" xr:uid="{00000000-0005-0000-0000-000085020000}"/>
    <cellStyle name="Moneda 2 2 2 4 3 4 2" xfId="1813" xr:uid="{00000000-0005-0000-0000-000086020000}"/>
    <cellStyle name="Moneda 2 2 2 4 3 5" xfId="1806" xr:uid="{00000000-0005-0000-0000-000087020000}"/>
    <cellStyle name="Moneda 2 2 2 4 4" xfId="311" xr:uid="{00000000-0005-0000-0000-000088020000}"/>
    <cellStyle name="Moneda 2 2 2 4 4 2" xfId="312" xr:uid="{00000000-0005-0000-0000-000089020000}"/>
    <cellStyle name="Moneda 2 2 2 4 4 2 2" xfId="313" xr:uid="{00000000-0005-0000-0000-00008A020000}"/>
    <cellStyle name="Moneda 2 2 2 4 4 2 2 2" xfId="1816" xr:uid="{00000000-0005-0000-0000-00008B020000}"/>
    <cellStyle name="Moneda 2 2 2 4 4 2 3" xfId="1815" xr:uid="{00000000-0005-0000-0000-00008C020000}"/>
    <cellStyle name="Moneda 2 2 2 4 4 3" xfId="314" xr:uid="{00000000-0005-0000-0000-00008D020000}"/>
    <cellStyle name="Moneda 2 2 2 4 4 3 2" xfId="1817" xr:uid="{00000000-0005-0000-0000-00008E020000}"/>
    <cellStyle name="Moneda 2 2 2 4 4 4" xfId="1814" xr:uid="{00000000-0005-0000-0000-00008F020000}"/>
    <cellStyle name="Moneda 2 2 2 4 5" xfId="315" xr:uid="{00000000-0005-0000-0000-000090020000}"/>
    <cellStyle name="Moneda 2 2 2 4 5 2" xfId="316" xr:uid="{00000000-0005-0000-0000-000091020000}"/>
    <cellStyle name="Moneda 2 2 2 4 5 2 2" xfId="1819" xr:uid="{00000000-0005-0000-0000-000092020000}"/>
    <cellStyle name="Moneda 2 2 2 4 5 3" xfId="1818" xr:uid="{00000000-0005-0000-0000-000093020000}"/>
    <cellStyle name="Moneda 2 2 2 4 6" xfId="317" xr:uid="{00000000-0005-0000-0000-000094020000}"/>
    <cellStyle name="Moneda 2 2 2 4 6 2" xfId="1820" xr:uid="{00000000-0005-0000-0000-000095020000}"/>
    <cellStyle name="Moneda 2 2 2 4 7" xfId="1789" xr:uid="{00000000-0005-0000-0000-000096020000}"/>
    <cellStyle name="Moneda 2 2 2 5" xfId="318" xr:uid="{00000000-0005-0000-0000-000097020000}"/>
    <cellStyle name="Moneda 2 2 2 5 2" xfId="319" xr:uid="{00000000-0005-0000-0000-000098020000}"/>
    <cellStyle name="Moneda 2 2 2 5 2 2" xfId="320" xr:uid="{00000000-0005-0000-0000-000099020000}"/>
    <cellStyle name="Moneda 2 2 2 5 2 2 2" xfId="321" xr:uid="{00000000-0005-0000-0000-00009A020000}"/>
    <cellStyle name="Moneda 2 2 2 5 2 2 2 2" xfId="322" xr:uid="{00000000-0005-0000-0000-00009B020000}"/>
    <cellStyle name="Moneda 2 2 2 5 2 2 2 2 2" xfId="1825" xr:uid="{00000000-0005-0000-0000-00009C020000}"/>
    <cellStyle name="Moneda 2 2 2 5 2 2 2 3" xfId="1824" xr:uid="{00000000-0005-0000-0000-00009D020000}"/>
    <cellStyle name="Moneda 2 2 2 5 2 2 3" xfId="323" xr:uid="{00000000-0005-0000-0000-00009E020000}"/>
    <cellStyle name="Moneda 2 2 2 5 2 2 3 2" xfId="1826" xr:uid="{00000000-0005-0000-0000-00009F020000}"/>
    <cellStyle name="Moneda 2 2 2 5 2 2 4" xfId="1823" xr:uid="{00000000-0005-0000-0000-0000A0020000}"/>
    <cellStyle name="Moneda 2 2 2 5 2 3" xfId="324" xr:uid="{00000000-0005-0000-0000-0000A1020000}"/>
    <cellStyle name="Moneda 2 2 2 5 2 3 2" xfId="325" xr:uid="{00000000-0005-0000-0000-0000A2020000}"/>
    <cellStyle name="Moneda 2 2 2 5 2 3 2 2" xfId="1828" xr:uid="{00000000-0005-0000-0000-0000A3020000}"/>
    <cellStyle name="Moneda 2 2 2 5 2 3 3" xfId="1827" xr:uid="{00000000-0005-0000-0000-0000A4020000}"/>
    <cellStyle name="Moneda 2 2 2 5 2 4" xfId="326" xr:uid="{00000000-0005-0000-0000-0000A5020000}"/>
    <cellStyle name="Moneda 2 2 2 5 2 4 2" xfId="1829" xr:uid="{00000000-0005-0000-0000-0000A6020000}"/>
    <cellStyle name="Moneda 2 2 2 5 2 5" xfId="1822" xr:uid="{00000000-0005-0000-0000-0000A7020000}"/>
    <cellStyle name="Moneda 2 2 2 5 3" xfId="327" xr:uid="{00000000-0005-0000-0000-0000A8020000}"/>
    <cellStyle name="Moneda 2 2 2 5 3 2" xfId="328" xr:uid="{00000000-0005-0000-0000-0000A9020000}"/>
    <cellStyle name="Moneda 2 2 2 5 3 2 2" xfId="329" xr:uid="{00000000-0005-0000-0000-0000AA020000}"/>
    <cellStyle name="Moneda 2 2 2 5 3 2 2 2" xfId="1832" xr:uid="{00000000-0005-0000-0000-0000AB020000}"/>
    <cellStyle name="Moneda 2 2 2 5 3 2 3" xfId="1831" xr:uid="{00000000-0005-0000-0000-0000AC020000}"/>
    <cellStyle name="Moneda 2 2 2 5 3 3" xfId="330" xr:uid="{00000000-0005-0000-0000-0000AD020000}"/>
    <cellStyle name="Moneda 2 2 2 5 3 3 2" xfId="1833" xr:uid="{00000000-0005-0000-0000-0000AE020000}"/>
    <cellStyle name="Moneda 2 2 2 5 3 4" xfId="1830" xr:uid="{00000000-0005-0000-0000-0000AF020000}"/>
    <cellStyle name="Moneda 2 2 2 5 4" xfId="331" xr:uid="{00000000-0005-0000-0000-0000B0020000}"/>
    <cellStyle name="Moneda 2 2 2 5 4 2" xfId="332" xr:uid="{00000000-0005-0000-0000-0000B1020000}"/>
    <cellStyle name="Moneda 2 2 2 5 4 2 2" xfId="1835" xr:uid="{00000000-0005-0000-0000-0000B2020000}"/>
    <cellStyle name="Moneda 2 2 2 5 4 3" xfId="1834" xr:uid="{00000000-0005-0000-0000-0000B3020000}"/>
    <cellStyle name="Moneda 2 2 2 5 5" xfId="333" xr:uid="{00000000-0005-0000-0000-0000B4020000}"/>
    <cellStyle name="Moneda 2 2 2 5 5 2" xfId="1836" xr:uid="{00000000-0005-0000-0000-0000B5020000}"/>
    <cellStyle name="Moneda 2 2 2 5 6" xfId="1821" xr:uid="{00000000-0005-0000-0000-0000B6020000}"/>
    <cellStyle name="Moneda 2 2 2 6" xfId="334" xr:uid="{00000000-0005-0000-0000-0000B7020000}"/>
    <cellStyle name="Moneda 2 2 2 6 2" xfId="335" xr:uid="{00000000-0005-0000-0000-0000B8020000}"/>
    <cellStyle name="Moneda 2 2 2 6 2 2" xfId="336" xr:uid="{00000000-0005-0000-0000-0000B9020000}"/>
    <cellStyle name="Moneda 2 2 2 6 2 2 2" xfId="337" xr:uid="{00000000-0005-0000-0000-0000BA020000}"/>
    <cellStyle name="Moneda 2 2 2 6 2 2 2 2" xfId="1840" xr:uid="{00000000-0005-0000-0000-0000BB020000}"/>
    <cellStyle name="Moneda 2 2 2 6 2 2 3" xfId="1839" xr:uid="{00000000-0005-0000-0000-0000BC020000}"/>
    <cellStyle name="Moneda 2 2 2 6 2 3" xfId="338" xr:uid="{00000000-0005-0000-0000-0000BD020000}"/>
    <cellStyle name="Moneda 2 2 2 6 2 3 2" xfId="1841" xr:uid="{00000000-0005-0000-0000-0000BE020000}"/>
    <cellStyle name="Moneda 2 2 2 6 2 4" xfId="1838" xr:uid="{00000000-0005-0000-0000-0000BF020000}"/>
    <cellStyle name="Moneda 2 2 2 6 3" xfId="339" xr:uid="{00000000-0005-0000-0000-0000C0020000}"/>
    <cellStyle name="Moneda 2 2 2 6 3 2" xfId="340" xr:uid="{00000000-0005-0000-0000-0000C1020000}"/>
    <cellStyle name="Moneda 2 2 2 6 3 2 2" xfId="1843" xr:uid="{00000000-0005-0000-0000-0000C2020000}"/>
    <cellStyle name="Moneda 2 2 2 6 3 3" xfId="1842" xr:uid="{00000000-0005-0000-0000-0000C3020000}"/>
    <cellStyle name="Moneda 2 2 2 6 4" xfId="341" xr:uid="{00000000-0005-0000-0000-0000C4020000}"/>
    <cellStyle name="Moneda 2 2 2 6 4 2" xfId="1844" xr:uid="{00000000-0005-0000-0000-0000C5020000}"/>
    <cellStyle name="Moneda 2 2 2 6 5" xfId="1837" xr:uid="{00000000-0005-0000-0000-0000C6020000}"/>
    <cellStyle name="Moneda 2 2 2 7" xfId="342" xr:uid="{00000000-0005-0000-0000-0000C7020000}"/>
    <cellStyle name="Moneda 2 2 2 7 2" xfId="343" xr:uid="{00000000-0005-0000-0000-0000C8020000}"/>
    <cellStyle name="Moneda 2 2 2 7 2 2" xfId="344" xr:uid="{00000000-0005-0000-0000-0000C9020000}"/>
    <cellStyle name="Moneda 2 2 2 7 2 2 2" xfId="1847" xr:uid="{00000000-0005-0000-0000-0000CA020000}"/>
    <cellStyle name="Moneda 2 2 2 7 2 3" xfId="1846" xr:uid="{00000000-0005-0000-0000-0000CB020000}"/>
    <cellStyle name="Moneda 2 2 2 7 3" xfId="345" xr:uid="{00000000-0005-0000-0000-0000CC020000}"/>
    <cellStyle name="Moneda 2 2 2 7 3 2" xfId="1848" xr:uid="{00000000-0005-0000-0000-0000CD020000}"/>
    <cellStyle name="Moneda 2 2 2 7 4" xfId="1845" xr:uid="{00000000-0005-0000-0000-0000CE020000}"/>
    <cellStyle name="Moneda 2 2 2 8" xfId="346" xr:uid="{00000000-0005-0000-0000-0000CF020000}"/>
    <cellStyle name="Moneda 2 2 2 8 2" xfId="347" xr:uid="{00000000-0005-0000-0000-0000D0020000}"/>
    <cellStyle name="Moneda 2 2 2 8 2 2" xfId="1850" xr:uid="{00000000-0005-0000-0000-0000D1020000}"/>
    <cellStyle name="Moneda 2 2 2 8 3" xfId="1849" xr:uid="{00000000-0005-0000-0000-0000D2020000}"/>
    <cellStyle name="Moneda 2 2 2 9" xfId="348" xr:uid="{00000000-0005-0000-0000-0000D3020000}"/>
    <cellStyle name="Moneda 2 2 2 9 2" xfId="1851" xr:uid="{00000000-0005-0000-0000-0000D4020000}"/>
    <cellStyle name="Moneda 2 2 3" xfId="349" xr:uid="{00000000-0005-0000-0000-0000D5020000}"/>
    <cellStyle name="Moneda 2 2 3 10" xfId="1852" xr:uid="{00000000-0005-0000-0000-0000D6020000}"/>
    <cellStyle name="Moneda 2 2 3 2" xfId="350" xr:uid="{00000000-0005-0000-0000-0000D7020000}"/>
    <cellStyle name="Moneda 2 2 3 2 2" xfId="351" xr:uid="{00000000-0005-0000-0000-0000D8020000}"/>
    <cellStyle name="Moneda 2 2 3 2 2 2" xfId="352" xr:uid="{00000000-0005-0000-0000-0000D9020000}"/>
    <cellStyle name="Moneda 2 2 3 2 2 2 2" xfId="353" xr:uid="{00000000-0005-0000-0000-0000DA020000}"/>
    <cellStyle name="Moneda 2 2 3 2 2 2 2 2" xfId="354" xr:uid="{00000000-0005-0000-0000-0000DB020000}"/>
    <cellStyle name="Moneda 2 2 3 2 2 2 2 2 2" xfId="355" xr:uid="{00000000-0005-0000-0000-0000DC020000}"/>
    <cellStyle name="Moneda 2 2 3 2 2 2 2 2 2 2" xfId="356" xr:uid="{00000000-0005-0000-0000-0000DD020000}"/>
    <cellStyle name="Moneda 2 2 3 2 2 2 2 2 2 2 2" xfId="1859" xr:uid="{00000000-0005-0000-0000-0000DE020000}"/>
    <cellStyle name="Moneda 2 2 3 2 2 2 2 2 2 3" xfId="1858" xr:uid="{00000000-0005-0000-0000-0000DF020000}"/>
    <cellStyle name="Moneda 2 2 3 2 2 2 2 2 3" xfId="357" xr:uid="{00000000-0005-0000-0000-0000E0020000}"/>
    <cellStyle name="Moneda 2 2 3 2 2 2 2 2 3 2" xfId="1860" xr:uid="{00000000-0005-0000-0000-0000E1020000}"/>
    <cellStyle name="Moneda 2 2 3 2 2 2 2 2 4" xfId="1857" xr:uid="{00000000-0005-0000-0000-0000E2020000}"/>
    <cellStyle name="Moneda 2 2 3 2 2 2 2 3" xfId="358" xr:uid="{00000000-0005-0000-0000-0000E3020000}"/>
    <cellStyle name="Moneda 2 2 3 2 2 2 2 3 2" xfId="359" xr:uid="{00000000-0005-0000-0000-0000E4020000}"/>
    <cellStyle name="Moneda 2 2 3 2 2 2 2 3 2 2" xfId="1862" xr:uid="{00000000-0005-0000-0000-0000E5020000}"/>
    <cellStyle name="Moneda 2 2 3 2 2 2 2 3 3" xfId="1861" xr:uid="{00000000-0005-0000-0000-0000E6020000}"/>
    <cellStyle name="Moneda 2 2 3 2 2 2 2 4" xfId="360" xr:uid="{00000000-0005-0000-0000-0000E7020000}"/>
    <cellStyle name="Moneda 2 2 3 2 2 2 2 4 2" xfId="1863" xr:uid="{00000000-0005-0000-0000-0000E8020000}"/>
    <cellStyle name="Moneda 2 2 3 2 2 2 2 5" xfId="1856" xr:uid="{00000000-0005-0000-0000-0000E9020000}"/>
    <cellStyle name="Moneda 2 2 3 2 2 2 3" xfId="361" xr:uid="{00000000-0005-0000-0000-0000EA020000}"/>
    <cellStyle name="Moneda 2 2 3 2 2 2 3 2" xfId="362" xr:uid="{00000000-0005-0000-0000-0000EB020000}"/>
    <cellStyle name="Moneda 2 2 3 2 2 2 3 2 2" xfId="363" xr:uid="{00000000-0005-0000-0000-0000EC020000}"/>
    <cellStyle name="Moneda 2 2 3 2 2 2 3 2 2 2" xfId="1866" xr:uid="{00000000-0005-0000-0000-0000ED020000}"/>
    <cellStyle name="Moneda 2 2 3 2 2 2 3 2 3" xfId="1865" xr:uid="{00000000-0005-0000-0000-0000EE020000}"/>
    <cellStyle name="Moneda 2 2 3 2 2 2 3 3" xfId="364" xr:uid="{00000000-0005-0000-0000-0000EF020000}"/>
    <cellStyle name="Moneda 2 2 3 2 2 2 3 3 2" xfId="1867" xr:uid="{00000000-0005-0000-0000-0000F0020000}"/>
    <cellStyle name="Moneda 2 2 3 2 2 2 3 4" xfId="1864" xr:uid="{00000000-0005-0000-0000-0000F1020000}"/>
    <cellStyle name="Moneda 2 2 3 2 2 2 4" xfId="365" xr:uid="{00000000-0005-0000-0000-0000F2020000}"/>
    <cellStyle name="Moneda 2 2 3 2 2 2 4 2" xfId="366" xr:uid="{00000000-0005-0000-0000-0000F3020000}"/>
    <cellStyle name="Moneda 2 2 3 2 2 2 4 2 2" xfId="1869" xr:uid="{00000000-0005-0000-0000-0000F4020000}"/>
    <cellStyle name="Moneda 2 2 3 2 2 2 4 3" xfId="1868" xr:uid="{00000000-0005-0000-0000-0000F5020000}"/>
    <cellStyle name="Moneda 2 2 3 2 2 2 5" xfId="367" xr:uid="{00000000-0005-0000-0000-0000F6020000}"/>
    <cellStyle name="Moneda 2 2 3 2 2 2 5 2" xfId="1870" xr:uid="{00000000-0005-0000-0000-0000F7020000}"/>
    <cellStyle name="Moneda 2 2 3 2 2 2 6" xfId="1855" xr:uid="{00000000-0005-0000-0000-0000F8020000}"/>
    <cellStyle name="Moneda 2 2 3 2 2 3" xfId="368" xr:uid="{00000000-0005-0000-0000-0000F9020000}"/>
    <cellStyle name="Moneda 2 2 3 2 2 3 2" xfId="369" xr:uid="{00000000-0005-0000-0000-0000FA020000}"/>
    <cellStyle name="Moneda 2 2 3 2 2 3 2 2" xfId="370" xr:uid="{00000000-0005-0000-0000-0000FB020000}"/>
    <cellStyle name="Moneda 2 2 3 2 2 3 2 2 2" xfId="371" xr:uid="{00000000-0005-0000-0000-0000FC020000}"/>
    <cellStyle name="Moneda 2 2 3 2 2 3 2 2 2 2" xfId="1874" xr:uid="{00000000-0005-0000-0000-0000FD020000}"/>
    <cellStyle name="Moneda 2 2 3 2 2 3 2 2 3" xfId="1873" xr:uid="{00000000-0005-0000-0000-0000FE020000}"/>
    <cellStyle name="Moneda 2 2 3 2 2 3 2 3" xfId="372" xr:uid="{00000000-0005-0000-0000-0000FF020000}"/>
    <cellStyle name="Moneda 2 2 3 2 2 3 2 3 2" xfId="1875" xr:uid="{00000000-0005-0000-0000-000000030000}"/>
    <cellStyle name="Moneda 2 2 3 2 2 3 2 4" xfId="1872" xr:uid="{00000000-0005-0000-0000-000001030000}"/>
    <cellStyle name="Moneda 2 2 3 2 2 3 3" xfId="373" xr:uid="{00000000-0005-0000-0000-000002030000}"/>
    <cellStyle name="Moneda 2 2 3 2 2 3 3 2" xfId="374" xr:uid="{00000000-0005-0000-0000-000003030000}"/>
    <cellStyle name="Moneda 2 2 3 2 2 3 3 2 2" xfId="1877" xr:uid="{00000000-0005-0000-0000-000004030000}"/>
    <cellStyle name="Moneda 2 2 3 2 2 3 3 3" xfId="1876" xr:uid="{00000000-0005-0000-0000-000005030000}"/>
    <cellStyle name="Moneda 2 2 3 2 2 3 4" xfId="375" xr:uid="{00000000-0005-0000-0000-000006030000}"/>
    <cellStyle name="Moneda 2 2 3 2 2 3 4 2" xfId="1878" xr:uid="{00000000-0005-0000-0000-000007030000}"/>
    <cellStyle name="Moneda 2 2 3 2 2 3 5" xfId="1871" xr:uid="{00000000-0005-0000-0000-000008030000}"/>
    <cellStyle name="Moneda 2 2 3 2 2 4" xfId="376" xr:uid="{00000000-0005-0000-0000-000009030000}"/>
    <cellStyle name="Moneda 2 2 3 2 2 4 2" xfId="377" xr:uid="{00000000-0005-0000-0000-00000A030000}"/>
    <cellStyle name="Moneda 2 2 3 2 2 4 2 2" xfId="378" xr:uid="{00000000-0005-0000-0000-00000B030000}"/>
    <cellStyle name="Moneda 2 2 3 2 2 4 2 2 2" xfId="1881" xr:uid="{00000000-0005-0000-0000-00000C030000}"/>
    <cellStyle name="Moneda 2 2 3 2 2 4 2 3" xfId="1880" xr:uid="{00000000-0005-0000-0000-00000D030000}"/>
    <cellStyle name="Moneda 2 2 3 2 2 4 3" xfId="379" xr:uid="{00000000-0005-0000-0000-00000E030000}"/>
    <cellStyle name="Moneda 2 2 3 2 2 4 3 2" xfId="1882" xr:uid="{00000000-0005-0000-0000-00000F030000}"/>
    <cellStyle name="Moneda 2 2 3 2 2 4 4" xfId="1879" xr:uid="{00000000-0005-0000-0000-000010030000}"/>
    <cellStyle name="Moneda 2 2 3 2 2 5" xfId="380" xr:uid="{00000000-0005-0000-0000-000011030000}"/>
    <cellStyle name="Moneda 2 2 3 2 2 5 2" xfId="381" xr:uid="{00000000-0005-0000-0000-000012030000}"/>
    <cellStyle name="Moneda 2 2 3 2 2 5 2 2" xfId="1884" xr:uid="{00000000-0005-0000-0000-000013030000}"/>
    <cellStyle name="Moneda 2 2 3 2 2 5 3" xfId="1883" xr:uid="{00000000-0005-0000-0000-000014030000}"/>
    <cellStyle name="Moneda 2 2 3 2 2 6" xfId="382" xr:uid="{00000000-0005-0000-0000-000015030000}"/>
    <cellStyle name="Moneda 2 2 3 2 2 6 2" xfId="1885" xr:uid="{00000000-0005-0000-0000-000016030000}"/>
    <cellStyle name="Moneda 2 2 3 2 2 7" xfId="1854" xr:uid="{00000000-0005-0000-0000-000017030000}"/>
    <cellStyle name="Moneda 2 2 3 2 3" xfId="383" xr:uid="{00000000-0005-0000-0000-000018030000}"/>
    <cellStyle name="Moneda 2 2 3 2 3 2" xfId="384" xr:uid="{00000000-0005-0000-0000-000019030000}"/>
    <cellStyle name="Moneda 2 2 3 2 3 2 2" xfId="385" xr:uid="{00000000-0005-0000-0000-00001A030000}"/>
    <cellStyle name="Moneda 2 2 3 2 3 2 2 2" xfId="386" xr:uid="{00000000-0005-0000-0000-00001B030000}"/>
    <cellStyle name="Moneda 2 2 3 2 3 2 2 2 2" xfId="387" xr:uid="{00000000-0005-0000-0000-00001C030000}"/>
    <cellStyle name="Moneda 2 2 3 2 3 2 2 2 2 2" xfId="1890" xr:uid="{00000000-0005-0000-0000-00001D030000}"/>
    <cellStyle name="Moneda 2 2 3 2 3 2 2 2 3" xfId="1889" xr:uid="{00000000-0005-0000-0000-00001E030000}"/>
    <cellStyle name="Moneda 2 2 3 2 3 2 2 3" xfId="388" xr:uid="{00000000-0005-0000-0000-00001F030000}"/>
    <cellStyle name="Moneda 2 2 3 2 3 2 2 3 2" xfId="1891" xr:uid="{00000000-0005-0000-0000-000020030000}"/>
    <cellStyle name="Moneda 2 2 3 2 3 2 2 4" xfId="1888" xr:uid="{00000000-0005-0000-0000-000021030000}"/>
    <cellStyle name="Moneda 2 2 3 2 3 2 3" xfId="389" xr:uid="{00000000-0005-0000-0000-000022030000}"/>
    <cellStyle name="Moneda 2 2 3 2 3 2 3 2" xfId="390" xr:uid="{00000000-0005-0000-0000-000023030000}"/>
    <cellStyle name="Moneda 2 2 3 2 3 2 3 2 2" xfId="1893" xr:uid="{00000000-0005-0000-0000-000024030000}"/>
    <cellStyle name="Moneda 2 2 3 2 3 2 3 3" xfId="1892" xr:uid="{00000000-0005-0000-0000-000025030000}"/>
    <cellStyle name="Moneda 2 2 3 2 3 2 4" xfId="391" xr:uid="{00000000-0005-0000-0000-000026030000}"/>
    <cellStyle name="Moneda 2 2 3 2 3 2 4 2" xfId="1894" xr:uid="{00000000-0005-0000-0000-000027030000}"/>
    <cellStyle name="Moneda 2 2 3 2 3 2 5" xfId="1887" xr:uid="{00000000-0005-0000-0000-000028030000}"/>
    <cellStyle name="Moneda 2 2 3 2 3 3" xfId="392" xr:uid="{00000000-0005-0000-0000-000029030000}"/>
    <cellStyle name="Moneda 2 2 3 2 3 3 2" xfId="393" xr:uid="{00000000-0005-0000-0000-00002A030000}"/>
    <cellStyle name="Moneda 2 2 3 2 3 3 2 2" xfId="394" xr:uid="{00000000-0005-0000-0000-00002B030000}"/>
    <cellStyle name="Moneda 2 2 3 2 3 3 2 2 2" xfId="1897" xr:uid="{00000000-0005-0000-0000-00002C030000}"/>
    <cellStyle name="Moneda 2 2 3 2 3 3 2 3" xfId="1896" xr:uid="{00000000-0005-0000-0000-00002D030000}"/>
    <cellStyle name="Moneda 2 2 3 2 3 3 3" xfId="395" xr:uid="{00000000-0005-0000-0000-00002E030000}"/>
    <cellStyle name="Moneda 2 2 3 2 3 3 3 2" xfId="1898" xr:uid="{00000000-0005-0000-0000-00002F030000}"/>
    <cellStyle name="Moneda 2 2 3 2 3 3 4" xfId="1895" xr:uid="{00000000-0005-0000-0000-000030030000}"/>
    <cellStyle name="Moneda 2 2 3 2 3 4" xfId="396" xr:uid="{00000000-0005-0000-0000-000031030000}"/>
    <cellStyle name="Moneda 2 2 3 2 3 4 2" xfId="397" xr:uid="{00000000-0005-0000-0000-000032030000}"/>
    <cellStyle name="Moneda 2 2 3 2 3 4 2 2" xfId="1900" xr:uid="{00000000-0005-0000-0000-000033030000}"/>
    <cellStyle name="Moneda 2 2 3 2 3 4 3" xfId="1899" xr:uid="{00000000-0005-0000-0000-000034030000}"/>
    <cellStyle name="Moneda 2 2 3 2 3 5" xfId="398" xr:uid="{00000000-0005-0000-0000-000035030000}"/>
    <cellStyle name="Moneda 2 2 3 2 3 5 2" xfId="1901" xr:uid="{00000000-0005-0000-0000-000036030000}"/>
    <cellStyle name="Moneda 2 2 3 2 3 6" xfId="1886" xr:uid="{00000000-0005-0000-0000-000037030000}"/>
    <cellStyle name="Moneda 2 2 3 2 4" xfId="399" xr:uid="{00000000-0005-0000-0000-000038030000}"/>
    <cellStyle name="Moneda 2 2 3 2 4 2" xfId="400" xr:uid="{00000000-0005-0000-0000-000039030000}"/>
    <cellStyle name="Moneda 2 2 3 2 4 2 2" xfId="401" xr:uid="{00000000-0005-0000-0000-00003A030000}"/>
    <cellStyle name="Moneda 2 2 3 2 4 2 2 2" xfId="402" xr:uid="{00000000-0005-0000-0000-00003B030000}"/>
    <cellStyle name="Moneda 2 2 3 2 4 2 2 2 2" xfId="1905" xr:uid="{00000000-0005-0000-0000-00003C030000}"/>
    <cellStyle name="Moneda 2 2 3 2 4 2 2 3" xfId="1904" xr:uid="{00000000-0005-0000-0000-00003D030000}"/>
    <cellStyle name="Moneda 2 2 3 2 4 2 3" xfId="403" xr:uid="{00000000-0005-0000-0000-00003E030000}"/>
    <cellStyle name="Moneda 2 2 3 2 4 2 3 2" xfId="1906" xr:uid="{00000000-0005-0000-0000-00003F030000}"/>
    <cellStyle name="Moneda 2 2 3 2 4 2 4" xfId="1903" xr:uid="{00000000-0005-0000-0000-000040030000}"/>
    <cellStyle name="Moneda 2 2 3 2 4 3" xfId="404" xr:uid="{00000000-0005-0000-0000-000041030000}"/>
    <cellStyle name="Moneda 2 2 3 2 4 3 2" xfId="405" xr:uid="{00000000-0005-0000-0000-000042030000}"/>
    <cellStyle name="Moneda 2 2 3 2 4 3 2 2" xfId="1908" xr:uid="{00000000-0005-0000-0000-000043030000}"/>
    <cellStyle name="Moneda 2 2 3 2 4 3 3" xfId="1907" xr:uid="{00000000-0005-0000-0000-000044030000}"/>
    <cellStyle name="Moneda 2 2 3 2 4 4" xfId="406" xr:uid="{00000000-0005-0000-0000-000045030000}"/>
    <cellStyle name="Moneda 2 2 3 2 4 4 2" xfId="1909" xr:uid="{00000000-0005-0000-0000-000046030000}"/>
    <cellStyle name="Moneda 2 2 3 2 4 5" xfId="1902" xr:uid="{00000000-0005-0000-0000-000047030000}"/>
    <cellStyle name="Moneda 2 2 3 2 5" xfId="407" xr:uid="{00000000-0005-0000-0000-000048030000}"/>
    <cellStyle name="Moneda 2 2 3 2 5 2" xfId="408" xr:uid="{00000000-0005-0000-0000-000049030000}"/>
    <cellStyle name="Moneda 2 2 3 2 5 2 2" xfId="409" xr:uid="{00000000-0005-0000-0000-00004A030000}"/>
    <cellStyle name="Moneda 2 2 3 2 5 2 2 2" xfId="1912" xr:uid="{00000000-0005-0000-0000-00004B030000}"/>
    <cellStyle name="Moneda 2 2 3 2 5 2 3" xfId="1911" xr:uid="{00000000-0005-0000-0000-00004C030000}"/>
    <cellStyle name="Moneda 2 2 3 2 5 3" xfId="410" xr:uid="{00000000-0005-0000-0000-00004D030000}"/>
    <cellStyle name="Moneda 2 2 3 2 5 3 2" xfId="1913" xr:uid="{00000000-0005-0000-0000-00004E030000}"/>
    <cellStyle name="Moneda 2 2 3 2 5 4" xfId="1910" xr:uid="{00000000-0005-0000-0000-00004F030000}"/>
    <cellStyle name="Moneda 2 2 3 2 6" xfId="411" xr:uid="{00000000-0005-0000-0000-000050030000}"/>
    <cellStyle name="Moneda 2 2 3 2 6 2" xfId="412" xr:uid="{00000000-0005-0000-0000-000051030000}"/>
    <cellStyle name="Moneda 2 2 3 2 6 2 2" xfId="1915" xr:uid="{00000000-0005-0000-0000-000052030000}"/>
    <cellStyle name="Moneda 2 2 3 2 6 3" xfId="1914" xr:uid="{00000000-0005-0000-0000-000053030000}"/>
    <cellStyle name="Moneda 2 2 3 2 7" xfId="413" xr:uid="{00000000-0005-0000-0000-000054030000}"/>
    <cellStyle name="Moneda 2 2 3 2 7 2" xfId="1916" xr:uid="{00000000-0005-0000-0000-000055030000}"/>
    <cellStyle name="Moneda 2 2 3 2 8" xfId="414" xr:uid="{00000000-0005-0000-0000-000056030000}"/>
    <cellStyle name="Moneda 2 2 3 2 8 2" xfId="1917" xr:uid="{00000000-0005-0000-0000-000057030000}"/>
    <cellStyle name="Moneda 2 2 3 2 9" xfId="1853" xr:uid="{00000000-0005-0000-0000-000058030000}"/>
    <cellStyle name="Moneda 2 2 3 3" xfId="415" xr:uid="{00000000-0005-0000-0000-000059030000}"/>
    <cellStyle name="Moneda 2 2 3 3 2" xfId="416" xr:uid="{00000000-0005-0000-0000-00005A030000}"/>
    <cellStyle name="Moneda 2 2 3 3 2 2" xfId="417" xr:uid="{00000000-0005-0000-0000-00005B030000}"/>
    <cellStyle name="Moneda 2 2 3 3 2 2 2" xfId="418" xr:uid="{00000000-0005-0000-0000-00005C030000}"/>
    <cellStyle name="Moneda 2 2 3 3 2 2 2 2" xfId="419" xr:uid="{00000000-0005-0000-0000-00005D030000}"/>
    <cellStyle name="Moneda 2 2 3 3 2 2 2 2 2" xfId="420" xr:uid="{00000000-0005-0000-0000-00005E030000}"/>
    <cellStyle name="Moneda 2 2 3 3 2 2 2 2 2 2" xfId="1923" xr:uid="{00000000-0005-0000-0000-00005F030000}"/>
    <cellStyle name="Moneda 2 2 3 3 2 2 2 2 3" xfId="1922" xr:uid="{00000000-0005-0000-0000-000060030000}"/>
    <cellStyle name="Moneda 2 2 3 3 2 2 2 3" xfId="421" xr:uid="{00000000-0005-0000-0000-000061030000}"/>
    <cellStyle name="Moneda 2 2 3 3 2 2 2 3 2" xfId="1924" xr:uid="{00000000-0005-0000-0000-000062030000}"/>
    <cellStyle name="Moneda 2 2 3 3 2 2 2 4" xfId="1921" xr:uid="{00000000-0005-0000-0000-000063030000}"/>
    <cellStyle name="Moneda 2 2 3 3 2 2 3" xfId="422" xr:uid="{00000000-0005-0000-0000-000064030000}"/>
    <cellStyle name="Moneda 2 2 3 3 2 2 3 2" xfId="423" xr:uid="{00000000-0005-0000-0000-000065030000}"/>
    <cellStyle name="Moneda 2 2 3 3 2 2 3 2 2" xfId="1926" xr:uid="{00000000-0005-0000-0000-000066030000}"/>
    <cellStyle name="Moneda 2 2 3 3 2 2 3 3" xfId="1925" xr:uid="{00000000-0005-0000-0000-000067030000}"/>
    <cellStyle name="Moneda 2 2 3 3 2 2 4" xfId="424" xr:uid="{00000000-0005-0000-0000-000068030000}"/>
    <cellStyle name="Moneda 2 2 3 3 2 2 4 2" xfId="1927" xr:uid="{00000000-0005-0000-0000-000069030000}"/>
    <cellStyle name="Moneda 2 2 3 3 2 2 5" xfId="1920" xr:uid="{00000000-0005-0000-0000-00006A030000}"/>
    <cellStyle name="Moneda 2 2 3 3 2 3" xfId="425" xr:uid="{00000000-0005-0000-0000-00006B030000}"/>
    <cellStyle name="Moneda 2 2 3 3 2 3 2" xfId="426" xr:uid="{00000000-0005-0000-0000-00006C030000}"/>
    <cellStyle name="Moneda 2 2 3 3 2 3 2 2" xfId="427" xr:uid="{00000000-0005-0000-0000-00006D030000}"/>
    <cellStyle name="Moneda 2 2 3 3 2 3 2 2 2" xfId="1930" xr:uid="{00000000-0005-0000-0000-00006E030000}"/>
    <cellStyle name="Moneda 2 2 3 3 2 3 2 3" xfId="1929" xr:uid="{00000000-0005-0000-0000-00006F030000}"/>
    <cellStyle name="Moneda 2 2 3 3 2 3 3" xfId="428" xr:uid="{00000000-0005-0000-0000-000070030000}"/>
    <cellStyle name="Moneda 2 2 3 3 2 3 3 2" xfId="1931" xr:uid="{00000000-0005-0000-0000-000071030000}"/>
    <cellStyle name="Moneda 2 2 3 3 2 3 4" xfId="1928" xr:uid="{00000000-0005-0000-0000-000072030000}"/>
    <cellStyle name="Moneda 2 2 3 3 2 4" xfId="429" xr:uid="{00000000-0005-0000-0000-000073030000}"/>
    <cellStyle name="Moneda 2 2 3 3 2 4 2" xfId="430" xr:uid="{00000000-0005-0000-0000-000074030000}"/>
    <cellStyle name="Moneda 2 2 3 3 2 4 2 2" xfId="1933" xr:uid="{00000000-0005-0000-0000-000075030000}"/>
    <cellStyle name="Moneda 2 2 3 3 2 4 3" xfId="1932" xr:uid="{00000000-0005-0000-0000-000076030000}"/>
    <cellStyle name="Moneda 2 2 3 3 2 5" xfId="431" xr:uid="{00000000-0005-0000-0000-000077030000}"/>
    <cellStyle name="Moneda 2 2 3 3 2 5 2" xfId="1934" xr:uid="{00000000-0005-0000-0000-000078030000}"/>
    <cellStyle name="Moneda 2 2 3 3 2 6" xfId="1919" xr:uid="{00000000-0005-0000-0000-000079030000}"/>
    <cellStyle name="Moneda 2 2 3 3 3" xfId="432" xr:uid="{00000000-0005-0000-0000-00007A030000}"/>
    <cellStyle name="Moneda 2 2 3 3 3 2" xfId="433" xr:uid="{00000000-0005-0000-0000-00007B030000}"/>
    <cellStyle name="Moneda 2 2 3 3 3 2 2" xfId="434" xr:uid="{00000000-0005-0000-0000-00007C030000}"/>
    <cellStyle name="Moneda 2 2 3 3 3 2 2 2" xfId="435" xr:uid="{00000000-0005-0000-0000-00007D030000}"/>
    <cellStyle name="Moneda 2 2 3 3 3 2 2 2 2" xfId="1938" xr:uid="{00000000-0005-0000-0000-00007E030000}"/>
    <cellStyle name="Moneda 2 2 3 3 3 2 2 3" xfId="1937" xr:uid="{00000000-0005-0000-0000-00007F030000}"/>
    <cellStyle name="Moneda 2 2 3 3 3 2 3" xfId="436" xr:uid="{00000000-0005-0000-0000-000080030000}"/>
    <cellStyle name="Moneda 2 2 3 3 3 2 3 2" xfId="1939" xr:uid="{00000000-0005-0000-0000-000081030000}"/>
    <cellStyle name="Moneda 2 2 3 3 3 2 4" xfId="1936" xr:uid="{00000000-0005-0000-0000-000082030000}"/>
    <cellStyle name="Moneda 2 2 3 3 3 3" xfId="437" xr:uid="{00000000-0005-0000-0000-000083030000}"/>
    <cellStyle name="Moneda 2 2 3 3 3 3 2" xfId="438" xr:uid="{00000000-0005-0000-0000-000084030000}"/>
    <cellStyle name="Moneda 2 2 3 3 3 3 2 2" xfId="1941" xr:uid="{00000000-0005-0000-0000-000085030000}"/>
    <cellStyle name="Moneda 2 2 3 3 3 3 3" xfId="1940" xr:uid="{00000000-0005-0000-0000-000086030000}"/>
    <cellStyle name="Moneda 2 2 3 3 3 4" xfId="439" xr:uid="{00000000-0005-0000-0000-000087030000}"/>
    <cellStyle name="Moneda 2 2 3 3 3 4 2" xfId="1942" xr:uid="{00000000-0005-0000-0000-000088030000}"/>
    <cellStyle name="Moneda 2 2 3 3 3 5" xfId="1935" xr:uid="{00000000-0005-0000-0000-000089030000}"/>
    <cellStyle name="Moneda 2 2 3 3 4" xfId="440" xr:uid="{00000000-0005-0000-0000-00008A030000}"/>
    <cellStyle name="Moneda 2 2 3 3 4 2" xfId="441" xr:uid="{00000000-0005-0000-0000-00008B030000}"/>
    <cellStyle name="Moneda 2 2 3 3 4 2 2" xfId="442" xr:uid="{00000000-0005-0000-0000-00008C030000}"/>
    <cellStyle name="Moneda 2 2 3 3 4 2 2 2" xfId="1945" xr:uid="{00000000-0005-0000-0000-00008D030000}"/>
    <cellStyle name="Moneda 2 2 3 3 4 2 3" xfId="1944" xr:uid="{00000000-0005-0000-0000-00008E030000}"/>
    <cellStyle name="Moneda 2 2 3 3 4 3" xfId="443" xr:uid="{00000000-0005-0000-0000-00008F030000}"/>
    <cellStyle name="Moneda 2 2 3 3 4 3 2" xfId="1946" xr:uid="{00000000-0005-0000-0000-000090030000}"/>
    <cellStyle name="Moneda 2 2 3 3 4 4" xfId="1943" xr:uid="{00000000-0005-0000-0000-000091030000}"/>
    <cellStyle name="Moneda 2 2 3 3 5" xfId="444" xr:uid="{00000000-0005-0000-0000-000092030000}"/>
    <cellStyle name="Moneda 2 2 3 3 5 2" xfId="445" xr:uid="{00000000-0005-0000-0000-000093030000}"/>
    <cellStyle name="Moneda 2 2 3 3 5 2 2" xfId="1948" xr:uid="{00000000-0005-0000-0000-000094030000}"/>
    <cellStyle name="Moneda 2 2 3 3 5 3" xfId="1947" xr:uid="{00000000-0005-0000-0000-000095030000}"/>
    <cellStyle name="Moneda 2 2 3 3 6" xfId="446" xr:uid="{00000000-0005-0000-0000-000096030000}"/>
    <cellStyle name="Moneda 2 2 3 3 6 2" xfId="1949" xr:uid="{00000000-0005-0000-0000-000097030000}"/>
    <cellStyle name="Moneda 2 2 3 3 7" xfId="1918" xr:uid="{00000000-0005-0000-0000-000098030000}"/>
    <cellStyle name="Moneda 2 2 3 4" xfId="447" xr:uid="{00000000-0005-0000-0000-000099030000}"/>
    <cellStyle name="Moneda 2 2 3 4 2" xfId="448" xr:uid="{00000000-0005-0000-0000-00009A030000}"/>
    <cellStyle name="Moneda 2 2 3 4 2 2" xfId="449" xr:uid="{00000000-0005-0000-0000-00009B030000}"/>
    <cellStyle name="Moneda 2 2 3 4 2 2 2" xfId="450" xr:uid="{00000000-0005-0000-0000-00009C030000}"/>
    <cellStyle name="Moneda 2 2 3 4 2 2 2 2" xfId="451" xr:uid="{00000000-0005-0000-0000-00009D030000}"/>
    <cellStyle name="Moneda 2 2 3 4 2 2 2 2 2" xfId="1954" xr:uid="{00000000-0005-0000-0000-00009E030000}"/>
    <cellStyle name="Moneda 2 2 3 4 2 2 2 3" xfId="1953" xr:uid="{00000000-0005-0000-0000-00009F030000}"/>
    <cellStyle name="Moneda 2 2 3 4 2 2 3" xfId="452" xr:uid="{00000000-0005-0000-0000-0000A0030000}"/>
    <cellStyle name="Moneda 2 2 3 4 2 2 3 2" xfId="1955" xr:uid="{00000000-0005-0000-0000-0000A1030000}"/>
    <cellStyle name="Moneda 2 2 3 4 2 2 4" xfId="1952" xr:uid="{00000000-0005-0000-0000-0000A2030000}"/>
    <cellStyle name="Moneda 2 2 3 4 2 3" xfId="453" xr:uid="{00000000-0005-0000-0000-0000A3030000}"/>
    <cellStyle name="Moneda 2 2 3 4 2 3 2" xfId="454" xr:uid="{00000000-0005-0000-0000-0000A4030000}"/>
    <cellStyle name="Moneda 2 2 3 4 2 3 2 2" xfId="1957" xr:uid="{00000000-0005-0000-0000-0000A5030000}"/>
    <cellStyle name="Moneda 2 2 3 4 2 3 3" xfId="1956" xr:uid="{00000000-0005-0000-0000-0000A6030000}"/>
    <cellStyle name="Moneda 2 2 3 4 2 4" xfId="455" xr:uid="{00000000-0005-0000-0000-0000A7030000}"/>
    <cellStyle name="Moneda 2 2 3 4 2 4 2" xfId="1958" xr:uid="{00000000-0005-0000-0000-0000A8030000}"/>
    <cellStyle name="Moneda 2 2 3 4 2 5" xfId="1951" xr:uid="{00000000-0005-0000-0000-0000A9030000}"/>
    <cellStyle name="Moneda 2 2 3 4 3" xfId="456" xr:uid="{00000000-0005-0000-0000-0000AA030000}"/>
    <cellStyle name="Moneda 2 2 3 4 3 2" xfId="457" xr:uid="{00000000-0005-0000-0000-0000AB030000}"/>
    <cellStyle name="Moneda 2 2 3 4 3 2 2" xfId="458" xr:uid="{00000000-0005-0000-0000-0000AC030000}"/>
    <cellStyle name="Moneda 2 2 3 4 3 2 2 2" xfId="1961" xr:uid="{00000000-0005-0000-0000-0000AD030000}"/>
    <cellStyle name="Moneda 2 2 3 4 3 2 3" xfId="1960" xr:uid="{00000000-0005-0000-0000-0000AE030000}"/>
    <cellStyle name="Moneda 2 2 3 4 3 3" xfId="459" xr:uid="{00000000-0005-0000-0000-0000AF030000}"/>
    <cellStyle name="Moneda 2 2 3 4 3 3 2" xfId="1962" xr:uid="{00000000-0005-0000-0000-0000B0030000}"/>
    <cellStyle name="Moneda 2 2 3 4 3 4" xfId="1959" xr:uid="{00000000-0005-0000-0000-0000B1030000}"/>
    <cellStyle name="Moneda 2 2 3 4 4" xfId="460" xr:uid="{00000000-0005-0000-0000-0000B2030000}"/>
    <cellStyle name="Moneda 2 2 3 4 4 2" xfId="461" xr:uid="{00000000-0005-0000-0000-0000B3030000}"/>
    <cellStyle name="Moneda 2 2 3 4 4 2 2" xfId="1964" xr:uid="{00000000-0005-0000-0000-0000B4030000}"/>
    <cellStyle name="Moneda 2 2 3 4 4 3" xfId="1963" xr:uid="{00000000-0005-0000-0000-0000B5030000}"/>
    <cellStyle name="Moneda 2 2 3 4 5" xfId="462" xr:uid="{00000000-0005-0000-0000-0000B6030000}"/>
    <cellStyle name="Moneda 2 2 3 4 5 2" xfId="1965" xr:uid="{00000000-0005-0000-0000-0000B7030000}"/>
    <cellStyle name="Moneda 2 2 3 4 6" xfId="1950" xr:uid="{00000000-0005-0000-0000-0000B8030000}"/>
    <cellStyle name="Moneda 2 2 3 5" xfId="463" xr:uid="{00000000-0005-0000-0000-0000B9030000}"/>
    <cellStyle name="Moneda 2 2 3 5 2" xfId="464" xr:uid="{00000000-0005-0000-0000-0000BA030000}"/>
    <cellStyle name="Moneda 2 2 3 5 2 2" xfId="465" xr:uid="{00000000-0005-0000-0000-0000BB030000}"/>
    <cellStyle name="Moneda 2 2 3 5 2 2 2" xfId="466" xr:uid="{00000000-0005-0000-0000-0000BC030000}"/>
    <cellStyle name="Moneda 2 2 3 5 2 2 2 2" xfId="1969" xr:uid="{00000000-0005-0000-0000-0000BD030000}"/>
    <cellStyle name="Moneda 2 2 3 5 2 2 3" xfId="1968" xr:uid="{00000000-0005-0000-0000-0000BE030000}"/>
    <cellStyle name="Moneda 2 2 3 5 2 3" xfId="467" xr:uid="{00000000-0005-0000-0000-0000BF030000}"/>
    <cellStyle name="Moneda 2 2 3 5 2 3 2" xfId="1970" xr:uid="{00000000-0005-0000-0000-0000C0030000}"/>
    <cellStyle name="Moneda 2 2 3 5 2 4" xfId="1967" xr:uid="{00000000-0005-0000-0000-0000C1030000}"/>
    <cellStyle name="Moneda 2 2 3 5 3" xfId="468" xr:uid="{00000000-0005-0000-0000-0000C2030000}"/>
    <cellStyle name="Moneda 2 2 3 5 3 2" xfId="469" xr:uid="{00000000-0005-0000-0000-0000C3030000}"/>
    <cellStyle name="Moneda 2 2 3 5 3 2 2" xfId="1972" xr:uid="{00000000-0005-0000-0000-0000C4030000}"/>
    <cellStyle name="Moneda 2 2 3 5 3 3" xfId="1971" xr:uid="{00000000-0005-0000-0000-0000C5030000}"/>
    <cellStyle name="Moneda 2 2 3 5 4" xfId="470" xr:uid="{00000000-0005-0000-0000-0000C6030000}"/>
    <cellStyle name="Moneda 2 2 3 5 4 2" xfId="1973" xr:uid="{00000000-0005-0000-0000-0000C7030000}"/>
    <cellStyle name="Moneda 2 2 3 5 5" xfId="1966" xr:uid="{00000000-0005-0000-0000-0000C8030000}"/>
    <cellStyle name="Moneda 2 2 3 6" xfId="471" xr:uid="{00000000-0005-0000-0000-0000C9030000}"/>
    <cellStyle name="Moneda 2 2 3 6 2" xfId="472" xr:uid="{00000000-0005-0000-0000-0000CA030000}"/>
    <cellStyle name="Moneda 2 2 3 6 2 2" xfId="473" xr:uid="{00000000-0005-0000-0000-0000CB030000}"/>
    <cellStyle name="Moneda 2 2 3 6 2 2 2" xfId="1976" xr:uid="{00000000-0005-0000-0000-0000CC030000}"/>
    <cellStyle name="Moneda 2 2 3 6 2 3" xfId="1975" xr:uid="{00000000-0005-0000-0000-0000CD030000}"/>
    <cellStyle name="Moneda 2 2 3 6 3" xfId="474" xr:uid="{00000000-0005-0000-0000-0000CE030000}"/>
    <cellStyle name="Moneda 2 2 3 6 3 2" xfId="1977" xr:uid="{00000000-0005-0000-0000-0000CF030000}"/>
    <cellStyle name="Moneda 2 2 3 6 4" xfId="1974" xr:uid="{00000000-0005-0000-0000-0000D0030000}"/>
    <cellStyle name="Moneda 2 2 3 7" xfId="475" xr:uid="{00000000-0005-0000-0000-0000D1030000}"/>
    <cellStyle name="Moneda 2 2 3 7 2" xfId="476" xr:uid="{00000000-0005-0000-0000-0000D2030000}"/>
    <cellStyle name="Moneda 2 2 3 7 2 2" xfId="1979" xr:uid="{00000000-0005-0000-0000-0000D3030000}"/>
    <cellStyle name="Moneda 2 2 3 7 3" xfId="1978" xr:uid="{00000000-0005-0000-0000-0000D4030000}"/>
    <cellStyle name="Moneda 2 2 3 8" xfId="477" xr:uid="{00000000-0005-0000-0000-0000D5030000}"/>
    <cellStyle name="Moneda 2 2 3 8 2" xfId="1980" xr:uid="{00000000-0005-0000-0000-0000D6030000}"/>
    <cellStyle name="Moneda 2 2 3 9" xfId="478" xr:uid="{00000000-0005-0000-0000-0000D7030000}"/>
    <cellStyle name="Moneda 2 2 3 9 2" xfId="1981" xr:uid="{00000000-0005-0000-0000-0000D8030000}"/>
    <cellStyle name="Moneda 2 2 4" xfId="479" xr:uid="{00000000-0005-0000-0000-0000D9030000}"/>
    <cellStyle name="Moneda 2 2 4 2" xfId="480" xr:uid="{00000000-0005-0000-0000-0000DA030000}"/>
    <cellStyle name="Moneda 2 2 4 2 2" xfId="481" xr:uid="{00000000-0005-0000-0000-0000DB030000}"/>
    <cellStyle name="Moneda 2 2 4 2 2 2" xfId="482" xr:uid="{00000000-0005-0000-0000-0000DC030000}"/>
    <cellStyle name="Moneda 2 2 4 2 2 2 2" xfId="483" xr:uid="{00000000-0005-0000-0000-0000DD030000}"/>
    <cellStyle name="Moneda 2 2 4 2 2 2 2 2" xfId="484" xr:uid="{00000000-0005-0000-0000-0000DE030000}"/>
    <cellStyle name="Moneda 2 2 4 2 2 2 2 2 2" xfId="485" xr:uid="{00000000-0005-0000-0000-0000DF030000}"/>
    <cellStyle name="Moneda 2 2 4 2 2 2 2 2 2 2" xfId="1988" xr:uid="{00000000-0005-0000-0000-0000E0030000}"/>
    <cellStyle name="Moneda 2 2 4 2 2 2 2 2 3" xfId="1987" xr:uid="{00000000-0005-0000-0000-0000E1030000}"/>
    <cellStyle name="Moneda 2 2 4 2 2 2 2 3" xfId="486" xr:uid="{00000000-0005-0000-0000-0000E2030000}"/>
    <cellStyle name="Moneda 2 2 4 2 2 2 2 3 2" xfId="1989" xr:uid="{00000000-0005-0000-0000-0000E3030000}"/>
    <cellStyle name="Moneda 2 2 4 2 2 2 2 4" xfId="1986" xr:uid="{00000000-0005-0000-0000-0000E4030000}"/>
    <cellStyle name="Moneda 2 2 4 2 2 2 3" xfId="487" xr:uid="{00000000-0005-0000-0000-0000E5030000}"/>
    <cellStyle name="Moneda 2 2 4 2 2 2 3 2" xfId="488" xr:uid="{00000000-0005-0000-0000-0000E6030000}"/>
    <cellStyle name="Moneda 2 2 4 2 2 2 3 2 2" xfId="1991" xr:uid="{00000000-0005-0000-0000-0000E7030000}"/>
    <cellStyle name="Moneda 2 2 4 2 2 2 3 3" xfId="1990" xr:uid="{00000000-0005-0000-0000-0000E8030000}"/>
    <cellStyle name="Moneda 2 2 4 2 2 2 4" xfId="489" xr:uid="{00000000-0005-0000-0000-0000E9030000}"/>
    <cellStyle name="Moneda 2 2 4 2 2 2 4 2" xfId="1992" xr:uid="{00000000-0005-0000-0000-0000EA030000}"/>
    <cellStyle name="Moneda 2 2 4 2 2 2 5" xfId="1985" xr:uid="{00000000-0005-0000-0000-0000EB030000}"/>
    <cellStyle name="Moneda 2 2 4 2 2 3" xfId="490" xr:uid="{00000000-0005-0000-0000-0000EC030000}"/>
    <cellStyle name="Moneda 2 2 4 2 2 3 2" xfId="491" xr:uid="{00000000-0005-0000-0000-0000ED030000}"/>
    <cellStyle name="Moneda 2 2 4 2 2 3 2 2" xfId="492" xr:uid="{00000000-0005-0000-0000-0000EE030000}"/>
    <cellStyle name="Moneda 2 2 4 2 2 3 2 2 2" xfId="1995" xr:uid="{00000000-0005-0000-0000-0000EF030000}"/>
    <cellStyle name="Moneda 2 2 4 2 2 3 2 3" xfId="1994" xr:uid="{00000000-0005-0000-0000-0000F0030000}"/>
    <cellStyle name="Moneda 2 2 4 2 2 3 3" xfId="493" xr:uid="{00000000-0005-0000-0000-0000F1030000}"/>
    <cellStyle name="Moneda 2 2 4 2 2 3 3 2" xfId="1996" xr:uid="{00000000-0005-0000-0000-0000F2030000}"/>
    <cellStyle name="Moneda 2 2 4 2 2 3 4" xfId="1993" xr:uid="{00000000-0005-0000-0000-0000F3030000}"/>
    <cellStyle name="Moneda 2 2 4 2 2 4" xfId="494" xr:uid="{00000000-0005-0000-0000-0000F4030000}"/>
    <cellStyle name="Moneda 2 2 4 2 2 4 2" xfId="495" xr:uid="{00000000-0005-0000-0000-0000F5030000}"/>
    <cellStyle name="Moneda 2 2 4 2 2 4 2 2" xfId="1998" xr:uid="{00000000-0005-0000-0000-0000F6030000}"/>
    <cellStyle name="Moneda 2 2 4 2 2 4 3" xfId="1997" xr:uid="{00000000-0005-0000-0000-0000F7030000}"/>
    <cellStyle name="Moneda 2 2 4 2 2 5" xfId="496" xr:uid="{00000000-0005-0000-0000-0000F8030000}"/>
    <cellStyle name="Moneda 2 2 4 2 2 5 2" xfId="1999" xr:uid="{00000000-0005-0000-0000-0000F9030000}"/>
    <cellStyle name="Moneda 2 2 4 2 2 6" xfId="1984" xr:uid="{00000000-0005-0000-0000-0000FA030000}"/>
    <cellStyle name="Moneda 2 2 4 2 3" xfId="497" xr:uid="{00000000-0005-0000-0000-0000FB030000}"/>
    <cellStyle name="Moneda 2 2 4 2 3 2" xfId="498" xr:uid="{00000000-0005-0000-0000-0000FC030000}"/>
    <cellStyle name="Moneda 2 2 4 2 3 2 2" xfId="499" xr:uid="{00000000-0005-0000-0000-0000FD030000}"/>
    <cellStyle name="Moneda 2 2 4 2 3 2 2 2" xfId="500" xr:uid="{00000000-0005-0000-0000-0000FE030000}"/>
    <cellStyle name="Moneda 2 2 4 2 3 2 2 2 2" xfId="2003" xr:uid="{00000000-0005-0000-0000-0000FF030000}"/>
    <cellStyle name="Moneda 2 2 4 2 3 2 2 3" xfId="2002" xr:uid="{00000000-0005-0000-0000-000000040000}"/>
    <cellStyle name="Moneda 2 2 4 2 3 2 3" xfId="501" xr:uid="{00000000-0005-0000-0000-000001040000}"/>
    <cellStyle name="Moneda 2 2 4 2 3 2 3 2" xfId="2004" xr:uid="{00000000-0005-0000-0000-000002040000}"/>
    <cellStyle name="Moneda 2 2 4 2 3 2 4" xfId="2001" xr:uid="{00000000-0005-0000-0000-000003040000}"/>
    <cellStyle name="Moneda 2 2 4 2 3 3" xfId="502" xr:uid="{00000000-0005-0000-0000-000004040000}"/>
    <cellStyle name="Moneda 2 2 4 2 3 3 2" xfId="503" xr:uid="{00000000-0005-0000-0000-000005040000}"/>
    <cellStyle name="Moneda 2 2 4 2 3 3 2 2" xfId="2006" xr:uid="{00000000-0005-0000-0000-000006040000}"/>
    <cellStyle name="Moneda 2 2 4 2 3 3 3" xfId="2005" xr:uid="{00000000-0005-0000-0000-000007040000}"/>
    <cellStyle name="Moneda 2 2 4 2 3 4" xfId="504" xr:uid="{00000000-0005-0000-0000-000008040000}"/>
    <cellStyle name="Moneda 2 2 4 2 3 4 2" xfId="2007" xr:uid="{00000000-0005-0000-0000-000009040000}"/>
    <cellStyle name="Moneda 2 2 4 2 3 5" xfId="2000" xr:uid="{00000000-0005-0000-0000-00000A040000}"/>
    <cellStyle name="Moneda 2 2 4 2 4" xfId="505" xr:uid="{00000000-0005-0000-0000-00000B040000}"/>
    <cellStyle name="Moneda 2 2 4 2 4 2" xfId="506" xr:uid="{00000000-0005-0000-0000-00000C040000}"/>
    <cellStyle name="Moneda 2 2 4 2 4 2 2" xfId="507" xr:uid="{00000000-0005-0000-0000-00000D040000}"/>
    <cellStyle name="Moneda 2 2 4 2 4 2 2 2" xfId="2010" xr:uid="{00000000-0005-0000-0000-00000E040000}"/>
    <cellStyle name="Moneda 2 2 4 2 4 2 3" xfId="2009" xr:uid="{00000000-0005-0000-0000-00000F040000}"/>
    <cellStyle name="Moneda 2 2 4 2 4 3" xfId="508" xr:uid="{00000000-0005-0000-0000-000010040000}"/>
    <cellStyle name="Moneda 2 2 4 2 4 3 2" xfId="2011" xr:uid="{00000000-0005-0000-0000-000011040000}"/>
    <cellStyle name="Moneda 2 2 4 2 4 4" xfId="2008" xr:uid="{00000000-0005-0000-0000-000012040000}"/>
    <cellStyle name="Moneda 2 2 4 2 5" xfId="509" xr:uid="{00000000-0005-0000-0000-000013040000}"/>
    <cellStyle name="Moneda 2 2 4 2 5 2" xfId="510" xr:uid="{00000000-0005-0000-0000-000014040000}"/>
    <cellStyle name="Moneda 2 2 4 2 5 2 2" xfId="2013" xr:uid="{00000000-0005-0000-0000-000015040000}"/>
    <cellStyle name="Moneda 2 2 4 2 5 3" xfId="2012" xr:uid="{00000000-0005-0000-0000-000016040000}"/>
    <cellStyle name="Moneda 2 2 4 2 6" xfId="511" xr:uid="{00000000-0005-0000-0000-000017040000}"/>
    <cellStyle name="Moneda 2 2 4 2 6 2" xfId="2014" xr:uid="{00000000-0005-0000-0000-000018040000}"/>
    <cellStyle name="Moneda 2 2 4 2 7" xfId="1983" xr:uid="{00000000-0005-0000-0000-000019040000}"/>
    <cellStyle name="Moneda 2 2 4 3" xfId="512" xr:uid="{00000000-0005-0000-0000-00001A040000}"/>
    <cellStyle name="Moneda 2 2 4 3 2" xfId="513" xr:uid="{00000000-0005-0000-0000-00001B040000}"/>
    <cellStyle name="Moneda 2 2 4 3 2 2" xfId="514" xr:uid="{00000000-0005-0000-0000-00001C040000}"/>
    <cellStyle name="Moneda 2 2 4 3 2 2 2" xfId="515" xr:uid="{00000000-0005-0000-0000-00001D040000}"/>
    <cellStyle name="Moneda 2 2 4 3 2 2 2 2" xfId="516" xr:uid="{00000000-0005-0000-0000-00001E040000}"/>
    <cellStyle name="Moneda 2 2 4 3 2 2 2 2 2" xfId="2019" xr:uid="{00000000-0005-0000-0000-00001F040000}"/>
    <cellStyle name="Moneda 2 2 4 3 2 2 2 3" xfId="2018" xr:uid="{00000000-0005-0000-0000-000020040000}"/>
    <cellStyle name="Moneda 2 2 4 3 2 2 3" xfId="517" xr:uid="{00000000-0005-0000-0000-000021040000}"/>
    <cellStyle name="Moneda 2 2 4 3 2 2 3 2" xfId="2020" xr:uid="{00000000-0005-0000-0000-000022040000}"/>
    <cellStyle name="Moneda 2 2 4 3 2 2 4" xfId="2017" xr:uid="{00000000-0005-0000-0000-000023040000}"/>
    <cellStyle name="Moneda 2 2 4 3 2 3" xfId="518" xr:uid="{00000000-0005-0000-0000-000024040000}"/>
    <cellStyle name="Moneda 2 2 4 3 2 3 2" xfId="519" xr:uid="{00000000-0005-0000-0000-000025040000}"/>
    <cellStyle name="Moneda 2 2 4 3 2 3 2 2" xfId="2022" xr:uid="{00000000-0005-0000-0000-000026040000}"/>
    <cellStyle name="Moneda 2 2 4 3 2 3 3" xfId="2021" xr:uid="{00000000-0005-0000-0000-000027040000}"/>
    <cellStyle name="Moneda 2 2 4 3 2 4" xfId="520" xr:uid="{00000000-0005-0000-0000-000028040000}"/>
    <cellStyle name="Moneda 2 2 4 3 2 4 2" xfId="2023" xr:uid="{00000000-0005-0000-0000-000029040000}"/>
    <cellStyle name="Moneda 2 2 4 3 2 5" xfId="2016" xr:uid="{00000000-0005-0000-0000-00002A040000}"/>
    <cellStyle name="Moneda 2 2 4 3 3" xfId="521" xr:uid="{00000000-0005-0000-0000-00002B040000}"/>
    <cellStyle name="Moneda 2 2 4 3 3 2" xfId="522" xr:uid="{00000000-0005-0000-0000-00002C040000}"/>
    <cellStyle name="Moneda 2 2 4 3 3 2 2" xfId="523" xr:uid="{00000000-0005-0000-0000-00002D040000}"/>
    <cellStyle name="Moneda 2 2 4 3 3 2 2 2" xfId="2026" xr:uid="{00000000-0005-0000-0000-00002E040000}"/>
    <cellStyle name="Moneda 2 2 4 3 3 2 3" xfId="2025" xr:uid="{00000000-0005-0000-0000-00002F040000}"/>
    <cellStyle name="Moneda 2 2 4 3 3 3" xfId="524" xr:uid="{00000000-0005-0000-0000-000030040000}"/>
    <cellStyle name="Moneda 2 2 4 3 3 3 2" xfId="2027" xr:uid="{00000000-0005-0000-0000-000031040000}"/>
    <cellStyle name="Moneda 2 2 4 3 3 4" xfId="2024" xr:uid="{00000000-0005-0000-0000-000032040000}"/>
    <cellStyle name="Moneda 2 2 4 3 4" xfId="525" xr:uid="{00000000-0005-0000-0000-000033040000}"/>
    <cellStyle name="Moneda 2 2 4 3 4 2" xfId="526" xr:uid="{00000000-0005-0000-0000-000034040000}"/>
    <cellStyle name="Moneda 2 2 4 3 4 2 2" xfId="2029" xr:uid="{00000000-0005-0000-0000-000035040000}"/>
    <cellStyle name="Moneda 2 2 4 3 4 3" xfId="2028" xr:uid="{00000000-0005-0000-0000-000036040000}"/>
    <cellStyle name="Moneda 2 2 4 3 5" xfId="527" xr:uid="{00000000-0005-0000-0000-000037040000}"/>
    <cellStyle name="Moneda 2 2 4 3 5 2" xfId="2030" xr:uid="{00000000-0005-0000-0000-000038040000}"/>
    <cellStyle name="Moneda 2 2 4 3 6" xfId="2015" xr:uid="{00000000-0005-0000-0000-000039040000}"/>
    <cellStyle name="Moneda 2 2 4 4" xfId="528" xr:uid="{00000000-0005-0000-0000-00003A040000}"/>
    <cellStyle name="Moneda 2 2 4 4 2" xfId="529" xr:uid="{00000000-0005-0000-0000-00003B040000}"/>
    <cellStyle name="Moneda 2 2 4 4 2 2" xfId="530" xr:uid="{00000000-0005-0000-0000-00003C040000}"/>
    <cellStyle name="Moneda 2 2 4 4 2 2 2" xfId="531" xr:uid="{00000000-0005-0000-0000-00003D040000}"/>
    <cellStyle name="Moneda 2 2 4 4 2 2 2 2" xfId="2034" xr:uid="{00000000-0005-0000-0000-00003E040000}"/>
    <cellStyle name="Moneda 2 2 4 4 2 2 3" xfId="2033" xr:uid="{00000000-0005-0000-0000-00003F040000}"/>
    <cellStyle name="Moneda 2 2 4 4 2 3" xfId="532" xr:uid="{00000000-0005-0000-0000-000040040000}"/>
    <cellStyle name="Moneda 2 2 4 4 2 3 2" xfId="2035" xr:uid="{00000000-0005-0000-0000-000041040000}"/>
    <cellStyle name="Moneda 2 2 4 4 2 4" xfId="2032" xr:uid="{00000000-0005-0000-0000-000042040000}"/>
    <cellStyle name="Moneda 2 2 4 4 3" xfId="533" xr:uid="{00000000-0005-0000-0000-000043040000}"/>
    <cellStyle name="Moneda 2 2 4 4 3 2" xfId="534" xr:uid="{00000000-0005-0000-0000-000044040000}"/>
    <cellStyle name="Moneda 2 2 4 4 3 2 2" xfId="2037" xr:uid="{00000000-0005-0000-0000-000045040000}"/>
    <cellStyle name="Moneda 2 2 4 4 3 3" xfId="2036" xr:uid="{00000000-0005-0000-0000-000046040000}"/>
    <cellStyle name="Moneda 2 2 4 4 4" xfId="535" xr:uid="{00000000-0005-0000-0000-000047040000}"/>
    <cellStyle name="Moneda 2 2 4 4 4 2" xfId="2038" xr:uid="{00000000-0005-0000-0000-000048040000}"/>
    <cellStyle name="Moneda 2 2 4 4 5" xfId="2031" xr:uid="{00000000-0005-0000-0000-000049040000}"/>
    <cellStyle name="Moneda 2 2 4 5" xfId="536" xr:uid="{00000000-0005-0000-0000-00004A040000}"/>
    <cellStyle name="Moneda 2 2 4 5 2" xfId="537" xr:uid="{00000000-0005-0000-0000-00004B040000}"/>
    <cellStyle name="Moneda 2 2 4 5 2 2" xfId="538" xr:uid="{00000000-0005-0000-0000-00004C040000}"/>
    <cellStyle name="Moneda 2 2 4 5 2 2 2" xfId="2041" xr:uid="{00000000-0005-0000-0000-00004D040000}"/>
    <cellStyle name="Moneda 2 2 4 5 2 3" xfId="2040" xr:uid="{00000000-0005-0000-0000-00004E040000}"/>
    <cellStyle name="Moneda 2 2 4 5 3" xfId="539" xr:uid="{00000000-0005-0000-0000-00004F040000}"/>
    <cellStyle name="Moneda 2 2 4 5 3 2" xfId="2042" xr:uid="{00000000-0005-0000-0000-000050040000}"/>
    <cellStyle name="Moneda 2 2 4 5 4" xfId="2039" xr:uid="{00000000-0005-0000-0000-000051040000}"/>
    <cellStyle name="Moneda 2 2 4 6" xfId="540" xr:uid="{00000000-0005-0000-0000-000052040000}"/>
    <cellStyle name="Moneda 2 2 4 6 2" xfId="541" xr:uid="{00000000-0005-0000-0000-000053040000}"/>
    <cellStyle name="Moneda 2 2 4 6 2 2" xfId="2044" xr:uid="{00000000-0005-0000-0000-000054040000}"/>
    <cellStyle name="Moneda 2 2 4 6 3" xfId="2043" xr:uid="{00000000-0005-0000-0000-000055040000}"/>
    <cellStyle name="Moneda 2 2 4 7" xfId="542" xr:uid="{00000000-0005-0000-0000-000056040000}"/>
    <cellStyle name="Moneda 2 2 4 7 2" xfId="2045" xr:uid="{00000000-0005-0000-0000-000057040000}"/>
    <cellStyle name="Moneda 2 2 4 8" xfId="543" xr:uid="{00000000-0005-0000-0000-000058040000}"/>
    <cellStyle name="Moneda 2 2 4 8 2" xfId="2046" xr:uid="{00000000-0005-0000-0000-000059040000}"/>
    <cellStyle name="Moneda 2 2 4 9" xfId="1982" xr:uid="{00000000-0005-0000-0000-00005A040000}"/>
    <cellStyle name="Moneda 2 2 5" xfId="544" xr:uid="{00000000-0005-0000-0000-00005B040000}"/>
    <cellStyle name="Moneda 2 2 5 2" xfId="545" xr:uid="{00000000-0005-0000-0000-00005C040000}"/>
    <cellStyle name="Moneda 2 2 5 2 2" xfId="546" xr:uid="{00000000-0005-0000-0000-00005D040000}"/>
    <cellStyle name="Moneda 2 2 5 2 2 2" xfId="547" xr:uid="{00000000-0005-0000-0000-00005E040000}"/>
    <cellStyle name="Moneda 2 2 5 2 2 2 2" xfId="548" xr:uid="{00000000-0005-0000-0000-00005F040000}"/>
    <cellStyle name="Moneda 2 2 5 2 2 2 2 2" xfId="549" xr:uid="{00000000-0005-0000-0000-000060040000}"/>
    <cellStyle name="Moneda 2 2 5 2 2 2 2 2 2" xfId="550" xr:uid="{00000000-0005-0000-0000-000061040000}"/>
    <cellStyle name="Moneda 2 2 5 2 2 2 2 2 2 2" xfId="2053" xr:uid="{00000000-0005-0000-0000-000062040000}"/>
    <cellStyle name="Moneda 2 2 5 2 2 2 2 2 3" xfId="2052" xr:uid="{00000000-0005-0000-0000-000063040000}"/>
    <cellStyle name="Moneda 2 2 5 2 2 2 2 3" xfId="551" xr:uid="{00000000-0005-0000-0000-000064040000}"/>
    <cellStyle name="Moneda 2 2 5 2 2 2 2 3 2" xfId="2054" xr:uid="{00000000-0005-0000-0000-000065040000}"/>
    <cellStyle name="Moneda 2 2 5 2 2 2 2 4" xfId="2051" xr:uid="{00000000-0005-0000-0000-000066040000}"/>
    <cellStyle name="Moneda 2 2 5 2 2 2 3" xfId="552" xr:uid="{00000000-0005-0000-0000-000067040000}"/>
    <cellStyle name="Moneda 2 2 5 2 2 2 3 2" xfId="553" xr:uid="{00000000-0005-0000-0000-000068040000}"/>
    <cellStyle name="Moneda 2 2 5 2 2 2 3 2 2" xfId="2056" xr:uid="{00000000-0005-0000-0000-000069040000}"/>
    <cellStyle name="Moneda 2 2 5 2 2 2 3 3" xfId="2055" xr:uid="{00000000-0005-0000-0000-00006A040000}"/>
    <cellStyle name="Moneda 2 2 5 2 2 2 4" xfId="554" xr:uid="{00000000-0005-0000-0000-00006B040000}"/>
    <cellStyle name="Moneda 2 2 5 2 2 2 4 2" xfId="2057" xr:uid="{00000000-0005-0000-0000-00006C040000}"/>
    <cellStyle name="Moneda 2 2 5 2 2 2 5" xfId="2050" xr:uid="{00000000-0005-0000-0000-00006D040000}"/>
    <cellStyle name="Moneda 2 2 5 2 2 3" xfId="555" xr:uid="{00000000-0005-0000-0000-00006E040000}"/>
    <cellStyle name="Moneda 2 2 5 2 2 3 2" xfId="556" xr:uid="{00000000-0005-0000-0000-00006F040000}"/>
    <cellStyle name="Moneda 2 2 5 2 2 3 2 2" xfId="557" xr:uid="{00000000-0005-0000-0000-000070040000}"/>
    <cellStyle name="Moneda 2 2 5 2 2 3 2 2 2" xfId="2060" xr:uid="{00000000-0005-0000-0000-000071040000}"/>
    <cellStyle name="Moneda 2 2 5 2 2 3 2 3" xfId="2059" xr:uid="{00000000-0005-0000-0000-000072040000}"/>
    <cellStyle name="Moneda 2 2 5 2 2 3 3" xfId="558" xr:uid="{00000000-0005-0000-0000-000073040000}"/>
    <cellStyle name="Moneda 2 2 5 2 2 3 3 2" xfId="2061" xr:uid="{00000000-0005-0000-0000-000074040000}"/>
    <cellStyle name="Moneda 2 2 5 2 2 3 4" xfId="2058" xr:uid="{00000000-0005-0000-0000-000075040000}"/>
    <cellStyle name="Moneda 2 2 5 2 2 4" xfId="559" xr:uid="{00000000-0005-0000-0000-000076040000}"/>
    <cellStyle name="Moneda 2 2 5 2 2 4 2" xfId="560" xr:uid="{00000000-0005-0000-0000-000077040000}"/>
    <cellStyle name="Moneda 2 2 5 2 2 4 2 2" xfId="2063" xr:uid="{00000000-0005-0000-0000-000078040000}"/>
    <cellStyle name="Moneda 2 2 5 2 2 4 3" xfId="2062" xr:uid="{00000000-0005-0000-0000-000079040000}"/>
    <cellStyle name="Moneda 2 2 5 2 2 5" xfId="561" xr:uid="{00000000-0005-0000-0000-00007A040000}"/>
    <cellStyle name="Moneda 2 2 5 2 2 5 2" xfId="2064" xr:uid="{00000000-0005-0000-0000-00007B040000}"/>
    <cellStyle name="Moneda 2 2 5 2 2 6" xfId="2049" xr:uid="{00000000-0005-0000-0000-00007C040000}"/>
    <cellStyle name="Moneda 2 2 5 2 3" xfId="562" xr:uid="{00000000-0005-0000-0000-00007D040000}"/>
    <cellStyle name="Moneda 2 2 5 2 3 2" xfId="563" xr:uid="{00000000-0005-0000-0000-00007E040000}"/>
    <cellStyle name="Moneda 2 2 5 2 3 2 2" xfId="564" xr:uid="{00000000-0005-0000-0000-00007F040000}"/>
    <cellStyle name="Moneda 2 2 5 2 3 2 2 2" xfId="565" xr:uid="{00000000-0005-0000-0000-000080040000}"/>
    <cellStyle name="Moneda 2 2 5 2 3 2 2 2 2" xfId="2068" xr:uid="{00000000-0005-0000-0000-000081040000}"/>
    <cellStyle name="Moneda 2 2 5 2 3 2 2 3" xfId="2067" xr:uid="{00000000-0005-0000-0000-000082040000}"/>
    <cellStyle name="Moneda 2 2 5 2 3 2 3" xfId="566" xr:uid="{00000000-0005-0000-0000-000083040000}"/>
    <cellStyle name="Moneda 2 2 5 2 3 2 3 2" xfId="2069" xr:uid="{00000000-0005-0000-0000-000084040000}"/>
    <cellStyle name="Moneda 2 2 5 2 3 2 4" xfId="2066" xr:uid="{00000000-0005-0000-0000-000085040000}"/>
    <cellStyle name="Moneda 2 2 5 2 3 3" xfId="567" xr:uid="{00000000-0005-0000-0000-000086040000}"/>
    <cellStyle name="Moneda 2 2 5 2 3 3 2" xfId="568" xr:uid="{00000000-0005-0000-0000-000087040000}"/>
    <cellStyle name="Moneda 2 2 5 2 3 3 2 2" xfId="2071" xr:uid="{00000000-0005-0000-0000-000088040000}"/>
    <cellStyle name="Moneda 2 2 5 2 3 3 3" xfId="2070" xr:uid="{00000000-0005-0000-0000-000089040000}"/>
    <cellStyle name="Moneda 2 2 5 2 3 4" xfId="569" xr:uid="{00000000-0005-0000-0000-00008A040000}"/>
    <cellStyle name="Moneda 2 2 5 2 3 4 2" xfId="2072" xr:uid="{00000000-0005-0000-0000-00008B040000}"/>
    <cellStyle name="Moneda 2 2 5 2 3 5" xfId="2065" xr:uid="{00000000-0005-0000-0000-00008C040000}"/>
    <cellStyle name="Moneda 2 2 5 2 4" xfId="570" xr:uid="{00000000-0005-0000-0000-00008D040000}"/>
    <cellStyle name="Moneda 2 2 5 2 4 2" xfId="571" xr:uid="{00000000-0005-0000-0000-00008E040000}"/>
    <cellStyle name="Moneda 2 2 5 2 4 2 2" xfId="572" xr:uid="{00000000-0005-0000-0000-00008F040000}"/>
    <cellStyle name="Moneda 2 2 5 2 4 2 2 2" xfId="2075" xr:uid="{00000000-0005-0000-0000-000090040000}"/>
    <cellStyle name="Moneda 2 2 5 2 4 2 3" xfId="2074" xr:uid="{00000000-0005-0000-0000-000091040000}"/>
    <cellStyle name="Moneda 2 2 5 2 4 3" xfId="573" xr:uid="{00000000-0005-0000-0000-000092040000}"/>
    <cellStyle name="Moneda 2 2 5 2 4 3 2" xfId="2076" xr:uid="{00000000-0005-0000-0000-000093040000}"/>
    <cellStyle name="Moneda 2 2 5 2 4 4" xfId="2073" xr:uid="{00000000-0005-0000-0000-000094040000}"/>
    <cellStyle name="Moneda 2 2 5 2 5" xfId="574" xr:uid="{00000000-0005-0000-0000-000095040000}"/>
    <cellStyle name="Moneda 2 2 5 2 5 2" xfId="575" xr:uid="{00000000-0005-0000-0000-000096040000}"/>
    <cellStyle name="Moneda 2 2 5 2 5 2 2" xfId="2078" xr:uid="{00000000-0005-0000-0000-000097040000}"/>
    <cellStyle name="Moneda 2 2 5 2 5 3" xfId="2077" xr:uid="{00000000-0005-0000-0000-000098040000}"/>
    <cellStyle name="Moneda 2 2 5 2 6" xfId="576" xr:uid="{00000000-0005-0000-0000-000099040000}"/>
    <cellStyle name="Moneda 2 2 5 2 6 2" xfId="2079" xr:uid="{00000000-0005-0000-0000-00009A040000}"/>
    <cellStyle name="Moneda 2 2 5 2 7" xfId="2048" xr:uid="{00000000-0005-0000-0000-00009B040000}"/>
    <cellStyle name="Moneda 2 2 5 3" xfId="577" xr:uid="{00000000-0005-0000-0000-00009C040000}"/>
    <cellStyle name="Moneda 2 2 5 3 2" xfId="578" xr:uid="{00000000-0005-0000-0000-00009D040000}"/>
    <cellStyle name="Moneda 2 2 5 3 2 2" xfId="579" xr:uid="{00000000-0005-0000-0000-00009E040000}"/>
    <cellStyle name="Moneda 2 2 5 3 2 2 2" xfId="580" xr:uid="{00000000-0005-0000-0000-00009F040000}"/>
    <cellStyle name="Moneda 2 2 5 3 2 2 2 2" xfId="581" xr:uid="{00000000-0005-0000-0000-0000A0040000}"/>
    <cellStyle name="Moneda 2 2 5 3 2 2 2 2 2" xfId="2084" xr:uid="{00000000-0005-0000-0000-0000A1040000}"/>
    <cellStyle name="Moneda 2 2 5 3 2 2 2 3" xfId="2083" xr:uid="{00000000-0005-0000-0000-0000A2040000}"/>
    <cellStyle name="Moneda 2 2 5 3 2 2 3" xfId="582" xr:uid="{00000000-0005-0000-0000-0000A3040000}"/>
    <cellStyle name="Moneda 2 2 5 3 2 2 3 2" xfId="2085" xr:uid="{00000000-0005-0000-0000-0000A4040000}"/>
    <cellStyle name="Moneda 2 2 5 3 2 2 4" xfId="2082" xr:uid="{00000000-0005-0000-0000-0000A5040000}"/>
    <cellStyle name="Moneda 2 2 5 3 2 3" xfId="583" xr:uid="{00000000-0005-0000-0000-0000A6040000}"/>
    <cellStyle name="Moneda 2 2 5 3 2 3 2" xfId="584" xr:uid="{00000000-0005-0000-0000-0000A7040000}"/>
    <cellStyle name="Moneda 2 2 5 3 2 3 2 2" xfId="2087" xr:uid="{00000000-0005-0000-0000-0000A8040000}"/>
    <cellStyle name="Moneda 2 2 5 3 2 3 3" xfId="2086" xr:uid="{00000000-0005-0000-0000-0000A9040000}"/>
    <cellStyle name="Moneda 2 2 5 3 2 4" xfId="585" xr:uid="{00000000-0005-0000-0000-0000AA040000}"/>
    <cellStyle name="Moneda 2 2 5 3 2 4 2" xfId="2088" xr:uid="{00000000-0005-0000-0000-0000AB040000}"/>
    <cellStyle name="Moneda 2 2 5 3 2 5" xfId="2081" xr:uid="{00000000-0005-0000-0000-0000AC040000}"/>
    <cellStyle name="Moneda 2 2 5 3 3" xfId="586" xr:uid="{00000000-0005-0000-0000-0000AD040000}"/>
    <cellStyle name="Moneda 2 2 5 3 3 2" xfId="587" xr:uid="{00000000-0005-0000-0000-0000AE040000}"/>
    <cellStyle name="Moneda 2 2 5 3 3 2 2" xfId="588" xr:uid="{00000000-0005-0000-0000-0000AF040000}"/>
    <cellStyle name="Moneda 2 2 5 3 3 2 2 2" xfId="2091" xr:uid="{00000000-0005-0000-0000-0000B0040000}"/>
    <cellStyle name="Moneda 2 2 5 3 3 2 3" xfId="2090" xr:uid="{00000000-0005-0000-0000-0000B1040000}"/>
    <cellStyle name="Moneda 2 2 5 3 3 3" xfId="589" xr:uid="{00000000-0005-0000-0000-0000B2040000}"/>
    <cellStyle name="Moneda 2 2 5 3 3 3 2" xfId="2092" xr:uid="{00000000-0005-0000-0000-0000B3040000}"/>
    <cellStyle name="Moneda 2 2 5 3 3 4" xfId="2089" xr:uid="{00000000-0005-0000-0000-0000B4040000}"/>
    <cellStyle name="Moneda 2 2 5 3 4" xfId="590" xr:uid="{00000000-0005-0000-0000-0000B5040000}"/>
    <cellStyle name="Moneda 2 2 5 3 4 2" xfId="591" xr:uid="{00000000-0005-0000-0000-0000B6040000}"/>
    <cellStyle name="Moneda 2 2 5 3 4 2 2" xfId="2094" xr:uid="{00000000-0005-0000-0000-0000B7040000}"/>
    <cellStyle name="Moneda 2 2 5 3 4 3" xfId="2093" xr:uid="{00000000-0005-0000-0000-0000B8040000}"/>
    <cellStyle name="Moneda 2 2 5 3 5" xfId="592" xr:uid="{00000000-0005-0000-0000-0000B9040000}"/>
    <cellStyle name="Moneda 2 2 5 3 5 2" xfId="2095" xr:uid="{00000000-0005-0000-0000-0000BA040000}"/>
    <cellStyle name="Moneda 2 2 5 3 6" xfId="2080" xr:uid="{00000000-0005-0000-0000-0000BB040000}"/>
    <cellStyle name="Moneda 2 2 5 4" xfId="593" xr:uid="{00000000-0005-0000-0000-0000BC040000}"/>
    <cellStyle name="Moneda 2 2 5 4 2" xfId="594" xr:uid="{00000000-0005-0000-0000-0000BD040000}"/>
    <cellStyle name="Moneda 2 2 5 4 2 2" xfId="595" xr:uid="{00000000-0005-0000-0000-0000BE040000}"/>
    <cellStyle name="Moneda 2 2 5 4 2 2 2" xfId="596" xr:uid="{00000000-0005-0000-0000-0000BF040000}"/>
    <cellStyle name="Moneda 2 2 5 4 2 2 2 2" xfId="2099" xr:uid="{00000000-0005-0000-0000-0000C0040000}"/>
    <cellStyle name="Moneda 2 2 5 4 2 2 3" xfId="2098" xr:uid="{00000000-0005-0000-0000-0000C1040000}"/>
    <cellStyle name="Moneda 2 2 5 4 2 3" xfId="597" xr:uid="{00000000-0005-0000-0000-0000C2040000}"/>
    <cellStyle name="Moneda 2 2 5 4 2 3 2" xfId="2100" xr:uid="{00000000-0005-0000-0000-0000C3040000}"/>
    <cellStyle name="Moneda 2 2 5 4 2 4" xfId="2097" xr:uid="{00000000-0005-0000-0000-0000C4040000}"/>
    <cellStyle name="Moneda 2 2 5 4 3" xfId="598" xr:uid="{00000000-0005-0000-0000-0000C5040000}"/>
    <cellStyle name="Moneda 2 2 5 4 3 2" xfId="599" xr:uid="{00000000-0005-0000-0000-0000C6040000}"/>
    <cellStyle name="Moneda 2 2 5 4 3 2 2" xfId="2102" xr:uid="{00000000-0005-0000-0000-0000C7040000}"/>
    <cellStyle name="Moneda 2 2 5 4 3 3" xfId="2101" xr:uid="{00000000-0005-0000-0000-0000C8040000}"/>
    <cellStyle name="Moneda 2 2 5 4 4" xfId="600" xr:uid="{00000000-0005-0000-0000-0000C9040000}"/>
    <cellStyle name="Moneda 2 2 5 4 4 2" xfId="2103" xr:uid="{00000000-0005-0000-0000-0000CA040000}"/>
    <cellStyle name="Moneda 2 2 5 4 5" xfId="2096" xr:uid="{00000000-0005-0000-0000-0000CB040000}"/>
    <cellStyle name="Moneda 2 2 5 5" xfId="601" xr:uid="{00000000-0005-0000-0000-0000CC040000}"/>
    <cellStyle name="Moneda 2 2 5 5 2" xfId="602" xr:uid="{00000000-0005-0000-0000-0000CD040000}"/>
    <cellStyle name="Moneda 2 2 5 5 2 2" xfId="603" xr:uid="{00000000-0005-0000-0000-0000CE040000}"/>
    <cellStyle name="Moneda 2 2 5 5 2 2 2" xfId="2106" xr:uid="{00000000-0005-0000-0000-0000CF040000}"/>
    <cellStyle name="Moneda 2 2 5 5 2 3" xfId="2105" xr:uid="{00000000-0005-0000-0000-0000D0040000}"/>
    <cellStyle name="Moneda 2 2 5 5 3" xfId="604" xr:uid="{00000000-0005-0000-0000-0000D1040000}"/>
    <cellStyle name="Moneda 2 2 5 5 3 2" xfId="2107" xr:uid="{00000000-0005-0000-0000-0000D2040000}"/>
    <cellStyle name="Moneda 2 2 5 5 4" xfId="2104" xr:uid="{00000000-0005-0000-0000-0000D3040000}"/>
    <cellStyle name="Moneda 2 2 5 6" xfId="605" xr:uid="{00000000-0005-0000-0000-0000D4040000}"/>
    <cellStyle name="Moneda 2 2 5 6 2" xfId="606" xr:uid="{00000000-0005-0000-0000-0000D5040000}"/>
    <cellStyle name="Moneda 2 2 5 6 2 2" xfId="2109" xr:uid="{00000000-0005-0000-0000-0000D6040000}"/>
    <cellStyle name="Moneda 2 2 5 6 3" xfId="2108" xr:uid="{00000000-0005-0000-0000-0000D7040000}"/>
    <cellStyle name="Moneda 2 2 5 7" xfId="607" xr:uid="{00000000-0005-0000-0000-0000D8040000}"/>
    <cellStyle name="Moneda 2 2 5 7 2" xfId="2110" xr:uid="{00000000-0005-0000-0000-0000D9040000}"/>
    <cellStyle name="Moneda 2 2 5 8" xfId="608" xr:uid="{00000000-0005-0000-0000-0000DA040000}"/>
    <cellStyle name="Moneda 2 2 5 8 2" xfId="2111" xr:uid="{00000000-0005-0000-0000-0000DB040000}"/>
    <cellStyle name="Moneda 2 2 5 9" xfId="2047" xr:uid="{00000000-0005-0000-0000-0000DC040000}"/>
    <cellStyle name="Moneda 2 2 6" xfId="609" xr:uid="{00000000-0005-0000-0000-0000DD040000}"/>
    <cellStyle name="Moneda 2 2 6 2" xfId="610" xr:uid="{00000000-0005-0000-0000-0000DE040000}"/>
    <cellStyle name="Moneda 2 2 6 2 2" xfId="611" xr:uid="{00000000-0005-0000-0000-0000DF040000}"/>
    <cellStyle name="Moneda 2 2 6 2 2 2" xfId="612" xr:uid="{00000000-0005-0000-0000-0000E0040000}"/>
    <cellStyle name="Moneda 2 2 6 2 2 2 2" xfId="613" xr:uid="{00000000-0005-0000-0000-0000E1040000}"/>
    <cellStyle name="Moneda 2 2 6 2 2 2 2 2" xfId="614" xr:uid="{00000000-0005-0000-0000-0000E2040000}"/>
    <cellStyle name="Moneda 2 2 6 2 2 2 2 2 2" xfId="2117" xr:uid="{00000000-0005-0000-0000-0000E3040000}"/>
    <cellStyle name="Moneda 2 2 6 2 2 2 2 3" xfId="2116" xr:uid="{00000000-0005-0000-0000-0000E4040000}"/>
    <cellStyle name="Moneda 2 2 6 2 2 2 3" xfId="615" xr:uid="{00000000-0005-0000-0000-0000E5040000}"/>
    <cellStyle name="Moneda 2 2 6 2 2 2 3 2" xfId="2118" xr:uid="{00000000-0005-0000-0000-0000E6040000}"/>
    <cellStyle name="Moneda 2 2 6 2 2 2 4" xfId="2115" xr:uid="{00000000-0005-0000-0000-0000E7040000}"/>
    <cellStyle name="Moneda 2 2 6 2 2 3" xfId="616" xr:uid="{00000000-0005-0000-0000-0000E8040000}"/>
    <cellStyle name="Moneda 2 2 6 2 2 3 2" xfId="617" xr:uid="{00000000-0005-0000-0000-0000E9040000}"/>
    <cellStyle name="Moneda 2 2 6 2 2 3 2 2" xfId="2120" xr:uid="{00000000-0005-0000-0000-0000EA040000}"/>
    <cellStyle name="Moneda 2 2 6 2 2 3 3" xfId="2119" xr:uid="{00000000-0005-0000-0000-0000EB040000}"/>
    <cellStyle name="Moneda 2 2 6 2 2 4" xfId="618" xr:uid="{00000000-0005-0000-0000-0000EC040000}"/>
    <cellStyle name="Moneda 2 2 6 2 2 4 2" xfId="2121" xr:uid="{00000000-0005-0000-0000-0000ED040000}"/>
    <cellStyle name="Moneda 2 2 6 2 2 5" xfId="2114" xr:uid="{00000000-0005-0000-0000-0000EE040000}"/>
    <cellStyle name="Moneda 2 2 6 2 3" xfId="619" xr:uid="{00000000-0005-0000-0000-0000EF040000}"/>
    <cellStyle name="Moneda 2 2 6 2 3 2" xfId="620" xr:uid="{00000000-0005-0000-0000-0000F0040000}"/>
    <cellStyle name="Moneda 2 2 6 2 3 2 2" xfId="621" xr:uid="{00000000-0005-0000-0000-0000F1040000}"/>
    <cellStyle name="Moneda 2 2 6 2 3 2 2 2" xfId="2124" xr:uid="{00000000-0005-0000-0000-0000F2040000}"/>
    <cellStyle name="Moneda 2 2 6 2 3 2 3" xfId="2123" xr:uid="{00000000-0005-0000-0000-0000F3040000}"/>
    <cellStyle name="Moneda 2 2 6 2 3 3" xfId="622" xr:uid="{00000000-0005-0000-0000-0000F4040000}"/>
    <cellStyle name="Moneda 2 2 6 2 3 3 2" xfId="2125" xr:uid="{00000000-0005-0000-0000-0000F5040000}"/>
    <cellStyle name="Moneda 2 2 6 2 3 4" xfId="2122" xr:uid="{00000000-0005-0000-0000-0000F6040000}"/>
    <cellStyle name="Moneda 2 2 6 2 4" xfId="623" xr:uid="{00000000-0005-0000-0000-0000F7040000}"/>
    <cellStyle name="Moneda 2 2 6 2 4 2" xfId="624" xr:uid="{00000000-0005-0000-0000-0000F8040000}"/>
    <cellStyle name="Moneda 2 2 6 2 4 2 2" xfId="2127" xr:uid="{00000000-0005-0000-0000-0000F9040000}"/>
    <cellStyle name="Moneda 2 2 6 2 4 3" xfId="2126" xr:uid="{00000000-0005-0000-0000-0000FA040000}"/>
    <cellStyle name="Moneda 2 2 6 2 5" xfId="625" xr:uid="{00000000-0005-0000-0000-0000FB040000}"/>
    <cellStyle name="Moneda 2 2 6 2 5 2" xfId="2128" xr:uid="{00000000-0005-0000-0000-0000FC040000}"/>
    <cellStyle name="Moneda 2 2 6 2 6" xfId="2113" xr:uid="{00000000-0005-0000-0000-0000FD040000}"/>
    <cellStyle name="Moneda 2 2 6 3" xfId="626" xr:uid="{00000000-0005-0000-0000-0000FE040000}"/>
    <cellStyle name="Moneda 2 2 6 3 2" xfId="627" xr:uid="{00000000-0005-0000-0000-0000FF040000}"/>
    <cellStyle name="Moneda 2 2 6 3 2 2" xfId="628" xr:uid="{00000000-0005-0000-0000-000000050000}"/>
    <cellStyle name="Moneda 2 2 6 3 2 2 2" xfId="629" xr:uid="{00000000-0005-0000-0000-000001050000}"/>
    <cellStyle name="Moneda 2 2 6 3 2 2 2 2" xfId="2132" xr:uid="{00000000-0005-0000-0000-000002050000}"/>
    <cellStyle name="Moneda 2 2 6 3 2 2 3" xfId="2131" xr:uid="{00000000-0005-0000-0000-000003050000}"/>
    <cellStyle name="Moneda 2 2 6 3 2 3" xfId="630" xr:uid="{00000000-0005-0000-0000-000004050000}"/>
    <cellStyle name="Moneda 2 2 6 3 2 3 2" xfId="2133" xr:uid="{00000000-0005-0000-0000-000005050000}"/>
    <cellStyle name="Moneda 2 2 6 3 2 4" xfId="2130" xr:uid="{00000000-0005-0000-0000-000006050000}"/>
    <cellStyle name="Moneda 2 2 6 3 3" xfId="631" xr:uid="{00000000-0005-0000-0000-000007050000}"/>
    <cellStyle name="Moneda 2 2 6 3 3 2" xfId="632" xr:uid="{00000000-0005-0000-0000-000008050000}"/>
    <cellStyle name="Moneda 2 2 6 3 3 2 2" xfId="2135" xr:uid="{00000000-0005-0000-0000-000009050000}"/>
    <cellStyle name="Moneda 2 2 6 3 3 3" xfId="2134" xr:uid="{00000000-0005-0000-0000-00000A050000}"/>
    <cellStyle name="Moneda 2 2 6 3 4" xfId="633" xr:uid="{00000000-0005-0000-0000-00000B050000}"/>
    <cellStyle name="Moneda 2 2 6 3 4 2" xfId="2136" xr:uid="{00000000-0005-0000-0000-00000C050000}"/>
    <cellStyle name="Moneda 2 2 6 3 5" xfId="2129" xr:uid="{00000000-0005-0000-0000-00000D050000}"/>
    <cellStyle name="Moneda 2 2 6 4" xfId="634" xr:uid="{00000000-0005-0000-0000-00000E050000}"/>
    <cellStyle name="Moneda 2 2 6 4 2" xfId="635" xr:uid="{00000000-0005-0000-0000-00000F050000}"/>
    <cellStyle name="Moneda 2 2 6 4 2 2" xfId="636" xr:uid="{00000000-0005-0000-0000-000010050000}"/>
    <cellStyle name="Moneda 2 2 6 4 2 2 2" xfId="2139" xr:uid="{00000000-0005-0000-0000-000011050000}"/>
    <cellStyle name="Moneda 2 2 6 4 2 3" xfId="2138" xr:uid="{00000000-0005-0000-0000-000012050000}"/>
    <cellStyle name="Moneda 2 2 6 4 3" xfId="637" xr:uid="{00000000-0005-0000-0000-000013050000}"/>
    <cellStyle name="Moneda 2 2 6 4 3 2" xfId="2140" xr:uid="{00000000-0005-0000-0000-000014050000}"/>
    <cellStyle name="Moneda 2 2 6 4 4" xfId="2137" xr:uid="{00000000-0005-0000-0000-000015050000}"/>
    <cellStyle name="Moneda 2 2 6 5" xfId="638" xr:uid="{00000000-0005-0000-0000-000016050000}"/>
    <cellStyle name="Moneda 2 2 6 5 2" xfId="639" xr:uid="{00000000-0005-0000-0000-000017050000}"/>
    <cellStyle name="Moneda 2 2 6 5 2 2" xfId="2142" xr:uid="{00000000-0005-0000-0000-000018050000}"/>
    <cellStyle name="Moneda 2 2 6 5 3" xfId="2141" xr:uid="{00000000-0005-0000-0000-000019050000}"/>
    <cellStyle name="Moneda 2 2 6 6" xfId="640" xr:uid="{00000000-0005-0000-0000-00001A050000}"/>
    <cellStyle name="Moneda 2 2 6 6 2" xfId="2143" xr:uid="{00000000-0005-0000-0000-00001B050000}"/>
    <cellStyle name="Moneda 2 2 6 7" xfId="2112" xr:uid="{00000000-0005-0000-0000-00001C050000}"/>
    <cellStyle name="Moneda 2 2 7" xfId="641" xr:uid="{00000000-0005-0000-0000-00001D050000}"/>
    <cellStyle name="Moneda 2 2 7 2" xfId="642" xr:uid="{00000000-0005-0000-0000-00001E050000}"/>
    <cellStyle name="Moneda 2 2 7 2 2" xfId="643" xr:uid="{00000000-0005-0000-0000-00001F050000}"/>
    <cellStyle name="Moneda 2 2 7 2 2 2" xfId="644" xr:uid="{00000000-0005-0000-0000-000020050000}"/>
    <cellStyle name="Moneda 2 2 7 2 2 2 2" xfId="645" xr:uid="{00000000-0005-0000-0000-000021050000}"/>
    <cellStyle name="Moneda 2 2 7 2 2 2 2 2" xfId="2148" xr:uid="{00000000-0005-0000-0000-000022050000}"/>
    <cellStyle name="Moneda 2 2 7 2 2 2 3" xfId="2147" xr:uid="{00000000-0005-0000-0000-000023050000}"/>
    <cellStyle name="Moneda 2 2 7 2 2 3" xfId="646" xr:uid="{00000000-0005-0000-0000-000024050000}"/>
    <cellStyle name="Moneda 2 2 7 2 2 3 2" xfId="2149" xr:uid="{00000000-0005-0000-0000-000025050000}"/>
    <cellStyle name="Moneda 2 2 7 2 2 4" xfId="2146" xr:uid="{00000000-0005-0000-0000-000026050000}"/>
    <cellStyle name="Moneda 2 2 7 2 3" xfId="647" xr:uid="{00000000-0005-0000-0000-000027050000}"/>
    <cellStyle name="Moneda 2 2 7 2 3 2" xfId="648" xr:uid="{00000000-0005-0000-0000-000028050000}"/>
    <cellStyle name="Moneda 2 2 7 2 3 2 2" xfId="2151" xr:uid="{00000000-0005-0000-0000-000029050000}"/>
    <cellStyle name="Moneda 2 2 7 2 3 3" xfId="2150" xr:uid="{00000000-0005-0000-0000-00002A050000}"/>
    <cellStyle name="Moneda 2 2 7 2 4" xfId="649" xr:uid="{00000000-0005-0000-0000-00002B050000}"/>
    <cellStyle name="Moneda 2 2 7 2 4 2" xfId="2152" xr:uid="{00000000-0005-0000-0000-00002C050000}"/>
    <cellStyle name="Moneda 2 2 7 2 5" xfId="2145" xr:uid="{00000000-0005-0000-0000-00002D050000}"/>
    <cellStyle name="Moneda 2 2 7 3" xfId="650" xr:uid="{00000000-0005-0000-0000-00002E050000}"/>
    <cellStyle name="Moneda 2 2 7 3 2" xfId="651" xr:uid="{00000000-0005-0000-0000-00002F050000}"/>
    <cellStyle name="Moneda 2 2 7 3 2 2" xfId="652" xr:uid="{00000000-0005-0000-0000-000030050000}"/>
    <cellStyle name="Moneda 2 2 7 3 2 2 2" xfId="2155" xr:uid="{00000000-0005-0000-0000-000031050000}"/>
    <cellStyle name="Moneda 2 2 7 3 2 3" xfId="2154" xr:uid="{00000000-0005-0000-0000-000032050000}"/>
    <cellStyle name="Moneda 2 2 7 3 3" xfId="653" xr:uid="{00000000-0005-0000-0000-000033050000}"/>
    <cellStyle name="Moneda 2 2 7 3 3 2" xfId="2156" xr:uid="{00000000-0005-0000-0000-000034050000}"/>
    <cellStyle name="Moneda 2 2 7 3 4" xfId="2153" xr:uid="{00000000-0005-0000-0000-000035050000}"/>
    <cellStyle name="Moneda 2 2 7 4" xfId="654" xr:uid="{00000000-0005-0000-0000-000036050000}"/>
    <cellStyle name="Moneda 2 2 7 4 2" xfId="655" xr:uid="{00000000-0005-0000-0000-000037050000}"/>
    <cellStyle name="Moneda 2 2 7 4 2 2" xfId="2158" xr:uid="{00000000-0005-0000-0000-000038050000}"/>
    <cellStyle name="Moneda 2 2 7 4 3" xfId="2157" xr:uid="{00000000-0005-0000-0000-000039050000}"/>
    <cellStyle name="Moneda 2 2 7 5" xfId="656" xr:uid="{00000000-0005-0000-0000-00003A050000}"/>
    <cellStyle name="Moneda 2 2 7 5 2" xfId="2159" xr:uid="{00000000-0005-0000-0000-00003B050000}"/>
    <cellStyle name="Moneda 2 2 7 6" xfId="2144" xr:uid="{00000000-0005-0000-0000-00003C050000}"/>
    <cellStyle name="Moneda 2 2 8" xfId="657" xr:uid="{00000000-0005-0000-0000-00003D050000}"/>
    <cellStyle name="Moneda 2 2 8 2" xfId="658" xr:uid="{00000000-0005-0000-0000-00003E050000}"/>
    <cellStyle name="Moneda 2 2 8 2 2" xfId="659" xr:uid="{00000000-0005-0000-0000-00003F050000}"/>
    <cellStyle name="Moneda 2 2 8 2 2 2" xfId="660" xr:uid="{00000000-0005-0000-0000-000040050000}"/>
    <cellStyle name="Moneda 2 2 8 2 2 2 2" xfId="2163" xr:uid="{00000000-0005-0000-0000-000041050000}"/>
    <cellStyle name="Moneda 2 2 8 2 2 3" xfId="2162" xr:uid="{00000000-0005-0000-0000-000042050000}"/>
    <cellStyle name="Moneda 2 2 8 2 3" xfId="661" xr:uid="{00000000-0005-0000-0000-000043050000}"/>
    <cellStyle name="Moneda 2 2 8 2 3 2" xfId="2164" xr:uid="{00000000-0005-0000-0000-000044050000}"/>
    <cellStyle name="Moneda 2 2 8 2 4" xfId="2161" xr:uid="{00000000-0005-0000-0000-000045050000}"/>
    <cellStyle name="Moneda 2 2 8 3" xfId="662" xr:uid="{00000000-0005-0000-0000-000046050000}"/>
    <cellStyle name="Moneda 2 2 8 3 2" xfId="663" xr:uid="{00000000-0005-0000-0000-000047050000}"/>
    <cellStyle name="Moneda 2 2 8 3 2 2" xfId="2166" xr:uid="{00000000-0005-0000-0000-000048050000}"/>
    <cellStyle name="Moneda 2 2 8 3 3" xfId="2165" xr:uid="{00000000-0005-0000-0000-000049050000}"/>
    <cellStyle name="Moneda 2 2 8 4" xfId="664" xr:uid="{00000000-0005-0000-0000-00004A050000}"/>
    <cellStyle name="Moneda 2 2 8 4 2" xfId="2167" xr:uid="{00000000-0005-0000-0000-00004B050000}"/>
    <cellStyle name="Moneda 2 2 8 5" xfId="2160" xr:uid="{00000000-0005-0000-0000-00004C050000}"/>
    <cellStyle name="Moneda 2 2 9" xfId="665" xr:uid="{00000000-0005-0000-0000-00004D050000}"/>
    <cellStyle name="Moneda 2 2 9 2" xfId="666" xr:uid="{00000000-0005-0000-0000-00004E050000}"/>
    <cellStyle name="Moneda 2 2 9 2 2" xfId="667" xr:uid="{00000000-0005-0000-0000-00004F050000}"/>
    <cellStyle name="Moneda 2 2 9 2 2 2" xfId="2170" xr:uid="{00000000-0005-0000-0000-000050050000}"/>
    <cellStyle name="Moneda 2 2 9 2 3" xfId="2169" xr:uid="{00000000-0005-0000-0000-000051050000}"/>
    <cellStyle name="Moneda 2 2 9 3" xfId="668" xr:uid="{00000000-0005-0000-0000-000052050000}"/>
    <cellStyle name="Moneda 2 2 9 3 2" xfId="2171" xr:uid="{00000000-0005-0000-0000-000053050000}"/>
    <cellStyle name="Moneda 2 2 9 4" xfId="2168" xr:uid="{00000000-0005-0000-0000-000054050000}"/>
    <cellStyle name="Moneda 2 3" xfId="669" xr:uid="{00000000-0005-0000-0000-000055050000}"/>
    <cellStyle name="Moneda 2 3 10" xfId="670" xr:uid="{00000000-0005-0000-0000-000056050000}"/>
    <cellStyle name="Moneda 2 3 10 2" xfId="2173" xr:uid="{00000000-0005-0000-0000-000057050000}"/>
    <cellStyle name="Moneda 2 3 11" xfId="2172" xr:uid="{00000000-0005-0000-0000-000058050000}"/>
    <cellStyle name="Moneda 2 3 2" xfId="671" xr:uid="{00000000-0005-0000-0000-000059050000}"/>
    <cellStyle name="Moneda 2 3 2 2" xfId="672" xr:uid="{00000000-0005-0000-0000-00005A050000}"/>
    <cellStyle name="Moneda 2 3 2 2 2" xfId="673" xr:uid="{00000000-0005-0000-0000-00005B050000}"/>
    <cellStyle name="Moneda 2 3 2 2 2 2" xfId="674" xr:uid="{00000000-0005-0000-0000-00005C050000}"/>
    <cellStyle name="Moneda 2 3 2 2 2 2 2" xfId="675" xr:uid="{00000000-0005-0000-0000-00005D050000}"/>
    <cellStyle name="Moneda 2 3 2 2 2 2 2 2" xfId="676" xr:uid="{00000000-0005-0000-0000-00005E050000}"/>
    <cellStyle name="Moneda 2 3 2 2 2 2 2 2 2" xfId="677" xr:uid="{00000000-0005-0000-0000-00005F050000}"/>
    <cellStyle name="Moneda 2 3 2 2 2 2 2 2 2 2" xfId="2180" xr:uid="{00000000-0005-0000-0000-000060050000}"/>
    <cellStyle name="Moneda 2 3 2 2 2 2 2 2 3" xfId="2179" xr:uid="{00000000-0005-0000-0000-000061050000}"/>
    <cellStyle name="Moneda 2 3 2 2 2 2 2 3" xfId="678" xr:uid="{00000000-0005-0000-0000-000062050000}"/>
    <cellStyle name="Moneda 2 3 2 2 2 2 2 3 2" xfId="2181" xr:uid="{00000000-0005-0000-0000-000063050000}"/>
    <cellStyle name="Moneda 2 3 2 2 2 2 2 4" xfId="2178" xr:uid="{00000000-0005-0000-0000-000064050000}"/>
    <cellStyle name="Moneda 2 3 2 2 2 2 3" xfId="679" xr:uid="{00000000-0005-0000-0000-000065050000}"/>
    <cellStyle name="Moneda 2 3 2 2 2 2 3 2" xfId="680" xr:uid="{00000000-0005-0000-0000-000066050000}"/>
    <cellStyle name="Moneda 2 3 2 2 2 2 3 2 2" xfId="2183" xr:uid="{00000000-0005-0000-0000-000067050000}"/>
    <cellStyle name="Moneda 2 3 2 2 2 2 3 3" xfId="2182" xr:uid="{00000000-0005-0000-0000-000068050000}"/>
    <cellStyle name="Moneda 2 3 2 2 2 2 4" xfId="681" xr:uid="{00000000-0005-0000-0000-000069050000}"/>
    <cellStyle name="Moneda 2 3 2 2 2 2 4 2" xfId="2184" xr:uid="{00000000-0005-0000-0000-00006A050000}"/>
    <cellStyle name="Moneda 2 3 2 2 2 2 5" xfId="2177" xr:uid="{00000000-0005-0000-0000-00006B050000}"/>
    <cellStyle name="Moneda 2 3 2 2 2 3" xfId="682" xr:uid="{00000000-0005-0000-0000-00006C050000}"/>
    <cellStyle name="Moneda 2 3 2 2 2 3 2" xfId="683" xr:uid="{00000000-0005-0000-0000-00006D050000}"/>
    <cellStyle name="Moneda 2 3 2 2 2 3 2 2" xfId="684" xr:uid="{00000000-0005-0000-0000-00006E050000}"/>
    <cellStyle name="Moneda 2 3 2 2 2 3 2 2 2" xfId="2187" xr:uid="{00000000-0005-0000-0000-00006F050000}"/>
    <cellStyle name="Moneda 2 3 2 2 2 3 2 3" xfId="2186" xr:uid="{00000000-0005-0000-0000-000070050000}"/>
    <cellStyle name="Moneda 2 3 2 2 2 3 3" xfId="685" xr:uid="{00000000-0005-0000-0000-000071050000}"/>
    <cellStyle name="Moneda 2 3 2 2 2 3 3 2" xfId="2188" xr:uid="{00000000-0005-0000-0000-000072050000}"/>
    <cellStyle name="Moneda 2 3 2 2 2 3 4" xfId="2185" xr:uid="{00000000-0005-0000-0000-000073050000}"/>
    <cellStyle name="Moneda 2 3 2 2 2 4" xfId="686" xr:uid="{00000000-0005-0000-0000-000074050000}"/>
    <cellStyle name="Moneda 2 3 2 2 2 4 2" xfId="687" xr:uid="{00000000-0005-0000-0000-000075050000}"/>
    <cellStyle name="Moneda 2 3 2 2 2 4 2 2" xfId="2190" xr:uid="{00000000-0005-0000-0000-000076050000}"/>
    <cellStyle name="Moneda 2 3 2 2 2 4 3" xfId="2189" xr:uid="{00000000-0005-0000-0000-000077050000}"/>
    <cellStyle name="Moneda 2 3 2 2 2 5" xfId="688" xr:uid="{00000000-0005-0000-0000-000078050000}"/>
    <cellStyle name="Moneda 2 3 2 2 2 5 2" xfId="2191" xr:uid="{00000000-0005-0000-0000-000079050000}"/>
    <cellStyle name="Moneda 2 3 2 2 2 6" xfId="2176" xr:uid="{00000000-0005-0000-0000-00007A050000}"/>
    <cellStyle name="Moneda 2 3 2 2 3" xfId="689" xr:uid="{00000000-0005-0000-0000-00007B050000}"/>
    <cellStyle name="Moneda 2 3 2 2 3 2" xfId="690" xr:uid="{00000000-0005-0000-0000-00007C050000}"/>
    <cellStyle name="Moneda 2 3 2 2 3 2 2" xfId="691" xr:uid="{00000000-0005-0000-0000-00007D050000}"/>
    <cellStyle name="Moneda 2 3 2 2 3 2 2 2" xfId="692" xr:uid="{00000000-0005-0000-0000-00007E050000}"/>
    <cellStyle name="Moneda 2 3 2 2 3 2 2 2 2" xfId="2195" xr:uid="{00000000-0005-0000-0000-00007F050000}"/>
    <cellStyle name="Moneda 2 3 2 2 3 2 2 3" xfId="2194" xr:uid="{00000000-0005-0000-0000-000080050000}"/>
    <cellStyle name="Moneda 2 3 2 2 3 2 3" xfId="693" xr:uid="{00000000-0005-0000-0000-000081050000}"/>
    <cellStyle name="Moneda 2 3 2 2 3 2 3 2" xfId="2196" xr:uid="{00000000-0005-0000-0000-000082050000}"/>
    <cellStyle name="Moneda 2 3 2 2 3 2 4" xfId="2193" xr:uid="{00000000-0005-0000-0000-000083050000}"/>
    <cellStyle name="Moneda 2 3 2 2 3 3" xfId="694" xr:uid="{00000000-0005-0000-0000-000084050000}"/>
    <cellStyle name="Moneda 2 3 2 2 3 3 2" xfId="695" xr:uid="{00000000-0005-0000-0000-000085050000}"/>
    <cellStyle name="Moneda 2 3 2 2 3 3 2 2" xfId="2198" xr:uid="{00000000-0005-0000-0000-000086050000}"/>
    <cellStyle name="Moneda 2 3 2 2 3 3 3" xfId="2197" xr:uid="{00000000-0005-0000-0000-000087050000}"/>
    <cellStyle name="Moneda 2 3 2 2 3 4" xfId="696" xr:uid="{00000000-0005-0000-0000-000088050000}"/>
    <cellStyle name="Moneda 2 3 2 2 3 4 2" xfId="2199" xr:uid="{00000000-0005-0000-0000-000089050000}"/>
    <cellStyle name="Moneda 2 3 2 2 3 5" xfId="2192" xr:uid="{00000000-0005-0000-0000-00008A050000}"/>
    <cellStyle name="Moneda 2 3 2 2 4" xfId="697" xr:uid="{00000000-0005-0000-0000-00008B050000}"/>
    <cellStyle name="Moneda 2 3 2 2 4 2" xfId="698" xr:uid="{00000000-0005-0000-0000-00008C050000}"/>
    <cellStyle name="Moneda 2 3 2 2 4 2 2" xfId="699" xr:uid="{00000000-0005-0000-0000-00008D050000}"/>
    <cellStyle name="Moneda 2 3 2 2 4 2 2 2" xfId="2202" xr:uid="{00000000-0005-0000-0000-00008E050000}"/>
    <cellStyle name="Moneda 2 3 2 2 4 2 3" xfId="2201" xr:uid="{00000000-0005-0000-0000-00008F050000}"/>
    <cellStyle name="Moneda 2 3 2 2 4 3" xfId="700" xr:uid="{00000000-0005-0000-0000-000090050000}"/>
    <cellStyle name="Moneda 2 3 2 2 4 3 2" xfId="2203" xr:uid="{00000000-0005-0000-0000-000091050000}"/>
    <cellStyle name="Moneda 2 3 2 2 4 4" xfId="2200" xr:uid="{00000000-0005-0000-0000-000092050000}"/>
    <cellStyle name="Moneda 2 3 2 2 5" xfId="701" xr:uid="{00000000-0005-0000-0000-000093050000}"/>
    <cellStyle name="Moneda 2 3 2 2 5 2" xfId="702" xr:uid="{00000000-0005-0000-0000-000094050000}"/>
    <cellStyle name="Moneda 2 3 2 2 5 2 2" xfId="2205" xr:uid="{00000000-0005-0000-0000-000095050000}"/>
    <cellStyle name="Moneda 2 3 2 2 5 3" xfId="2204" xr:uid="{00000000-0005-0000-0000-000096050000}"/>
    <cellStyle name="Moneda 2 3 2 2 6" xfId="703" xr:uid="{00000000-0005-0000-0000-000097050000}"/>
    <cellStyle name="Moneda 2 3 2 2 6 2" xfId="2206" xr:uid="{00000000-0005-0000-0000-000098050000}"/>
    <cellStyle name="Moneda 2 3 2 2 7" xfId="2175" xr:uid="{00000000-0005-0000-0000-000099050000}"/>
    <cellStyle name="Moneda 2 3 2 3" xfId="704" xr:uid="{00000000-0005-0000-0000-00009A050000}"/>
    <cellStyle name="Moneda 2 3 2 3 2" xfId="705" xr:uid="{00000000-0005-0000-0000-00009B050000}"/>
    <cellStyle name="Moneda 2 3 2 3 2 2" xfId="706" xr:uid="{00000000-0005-0000-0000-00009C050000}"/>
    <cellStyle name="Moneda 2 3 2 3 2 2 2" xfId="707" xr:uid="{00000000-0005-0000-0000-00009D050000}"/>
    <cellStyle name="Moneda 2 3 2 3 2 2 2 2" xfId="708" xr:uid="{00000000-0005-0000-0000-00009E050000}"/>
    <cellStyle name="Moneda 2 3 2 3 2 2 2 2 2" xfId="2211" xr:uid="{00000000-0005-0000-0000-00009F050000}"/>
    <cellStyle name="Moneda 2 3 2 3 2 2 2 3" xfId="2210" xr:uid="{00000000-0005-0000-0000-0000A0050000}"/>
    <cellStyle name="Moneda 2 3 2 3 2 2 3" xfId="709" xr:uid="{00000000-0005-0000-0000-0000A1050000}"/>
    <cellStyle name="Moneda 2 3 2 3 2 2 3 2" xfId="2212" xr:uid="{00000000-0005-0000-0000-0000A2050000}"/>
    <cellStyle name="Moneda 2 3 2 3 2 2 4" xfId="2209" xr:uid="{00000000-0005-0000-0000-0000A3050000}"/>
    <cellStyle name="Moneda 2 3 2 3 2 3" xfId="710" xr:uid="{00000000-0005-0000-0000-0000A4050000}"/>
    <cellStyle name="Moneda 2 3 2 3 2 3 2" xfId="711" xr:uid="{00000000-0005-0000-0000-0000A5050000}"/>
    <cellStyle name="Moneda 2 3 2 3 2 3 2 2" xfId="2214" xr:uid="{00000000-0005-0000-0000-0000A6050000}"/>
    <cellStyle name="Moneda 2 3 2 3 2 3 3" xfId="2213" xr:uid="{00000000-0005-0000-0000-0000A7050000}"/>
    <cellStyle name="Moneda 2 3 2 3 2 4" xfId="712" xr:uid="{00000000-0005-0000-0000-0000A8050000}"/>
    <cellStyle name="Moneda 2 3 2 3 2 4 2" xfId="2215" xr:uid="{00000000-0005-0000-0000-0000A9050000}"/>
    <cellStyle name="Moneda 2 3 2 3 2 5" xfId="2208" xr:uid="{00000000-0005-0000-0000-0000AA050000}"/>
    <cellStyle name="Moneda 2 3 2 3 3" xfId="713" xr:uid="{00000000-0005-0000-0000-0000AB050000}"/>
    <cellStyle name="Moneda 2 3 2 3 3 2" xfId="714" xr:uid="{00000000-0005-0000-0000-0000AC050000}"/>
    <cellStyle name="Moneda 2 3 2 3 3 2 2" xfId="715" xr:uid="{00000000-0005-0000-0000-0000AD050000}"/>
    <cellStyle name="Moneda 2 3 2 3 3 2 2 2" xfId="2218" xr:uid="{00000000-0005-0000-0000-0000AE050000}"/>
    <cellStyle name="Moneda 2 3 2 3 3 2 3" xfId="2217" xr:uid="{00000000-0005-0000-0000-0000AF050000}"/>
    <cellStyle name="Moneda 2 3 2 3 3 3" xfId="716" xr:uid="{00000000-0005-0000-0000-0000B0050000}"/>
    <cellStyle name="Moneda 2 3 2 3 3 3 2" xfId="2219" xr:uid="{00000000-0005-0000-0000-0000B1050000}"/>
    <cellStyle name="Moneda 2 3 2 3 3 4" xfId="2216" xr:uid="{00000000-0005-0000-0000-0000B2050000}"/>
    <cellStyle name="Moneda 2 3 2 3 4" xfId="717" xr:uid="{00000000-0005-0000-0000-0000B3050000}"/>
    <cellStyle name="Moneda 2 3 2 3 4 2" xfId="718" xr:uid="{00000000-0005-0000-0000-0000B4050000}"/>
    <cellStyle name="Moneda 2 3 2 3 4 2 2" xfId="2221" xr:uid="{00000000-0005-0000-0000-0000B5050000}"/>
    <cellStyle name="Moneda 2 3 2 3 4 3" xfId="2220" xr:uid="{00000000-0005-0000-0000-0000B6050000}"/>
    <cellStyle name="Moneda 2 3 2 3 5" xfId="719" xr:uid="{00000000-0005-0000-0000-0000B7050000}"/>
    <cellStyle name="Moneda 2 3 2 3 5 2" xfId="2222" xr:uid="{00000000-0005-0000-0000-0000B8050000}"/>
    <cellStyle name="Moneda 2 3 2 3 6" xfId="2207" xr:uid="{00000000-0005-0000-0000-0000B9050000}"/>
    <cellStyle name="Moneda 2 3 2 4" xfId="720" xr:uid="{00000000-0005-0000-0000-0000BA050000}"/>
    <cellStyle name="Moneda 2 3 2 4 2" xfId="721" xr:uid="{00000000-0005-0000-0000-0000BB050000}"/>
    <cellStyle name="Moneda 2 3 2 4 2 2" xfId="722" xr:uid="{00000000-0005-0000-0000-0000BC050000}"/>
    <cellStyle name="Moneda 2 3 2 4 2 2 2" xfId="723" xr:uid="{00000000-0005-0000-0000-0000BD050000}"/>
    <cellStyle name="Moneda 2 3 2 4 2 2 2 2" xfId="2226" xr:uid="{00000000-0005-0000-0000-0000BE050000}"/>
    <cellStyle name="Moneda 2 3 2 4 2 2 3" xfId="2225" xr:uid="{00000000-0005-0000-0000-0000BF050000}"/>
    <cellStyle name="Moneda 2 3 2 4 2 3" xfId="724" xr:uid="{00000000-0005-0000-0000-0000C0050000}"/>
    <cellStyle name="Moneda 2 3 2 4 2 3 2" xfId="2227" xr:uid="{00000000-0005-0000-0000-0000C1050000}"/>
    <cellStyle name="Moneda 2 3 2 4 2 4" xfId="2224" xr:uid="{00000000-0005-0000-0000-0000C2050000}"/>
    <cellStyle name="Moneda 2 3 2 4 3" xfId="725" xr:uid="{00000000-0005-0000-0000-0000C3050000}"/>
    <cellStyle name="Moneda 2 3 2 4 3 2" xfId="726" xr:uid="{00000000-0005-0000-0000-0000C4050000}"/>
    <cellStyle name="Moneda 2 3 2 4 3 2 2" xfId="2229" xr:uid="{00000000-0005-0000-0000-0000C5050000}"/>
    <cellStyle name="Moneda 2 3 2 4 3 3" xfId="2228" xr:uid="{00000000-0005-0000-0000-0000C6050000}"/>
    <cellStyle name="Moneda 2 3 2 4 4" xfId="727" xr:uid="{00000000-0005-0000-0000-0000C7050000}"/>
    <cellStyle name="Moneda 2 3 2 4 4 2" xfId="2230" xr:uid="{00000000-0005-0000-0000-0000C8050000}"/>
    <cellStyle name="Moneda 2 3 2 4 5" xfId="2223" xr:uid="{00000000-0005-0000-0000-0000C9050000}"/>
    <cellStyle name="Moneda 2 3 2 5" xfId="728" xr:uid="{00000000-0005-0000-0000-0000CA050000}"/>
    <cellStyle name="Moneda 2 3 2 5 2" xfId="729" xr:uid="{00000000-0005-0000-0000-0000CB050000}"/>
    <cellStyle name="Moneda 2 3 2 5 2 2" xfId="730" xr:uid="{00000000-0005-0000-0000-0000CC050000}"/>
    <cellStyle name="Moneda 2 3 2 5 2 2 2" xfId="2233" xr:uid="{00000000-0005-0000-0000-0000CD050000}"/>
    <cellStyle name="Moneda 2 3 2 5 2 3" xfId="2232" xr:uid="{00000000-0005-0000-0000-0000CE050000}"/>
    <cellStyle name="Moneda 2 3 2 5 3" xfId="731" xr:uid="{00000000-0005-0000-0000-0000CF050000}"/>
    <cellStyle name="Moneda 2 3 2 5 3 2" xfId="2234" xr:uid="{00000000-0005-0000-0000-0000D0050000}"/>
    <cellStyle name="Moneda 2 3 2 5 4" xfId="2231" xr:uid="{00000000-0005-0000-0000-0000D1050000}"/>
    <cellStyle name="Moneda 2 3 2 6" xfId="732" xr:uid="{00000000-0005-0000-0000-0000D2050000}"/>
    <cellStyle name="Moneda 2 3 2 6 2" xfId="733" xr:uid="{00000000-0005-0000-0000-0000D3050000}"/>
    <cellStyle name="Moneda 2 3 2 6 2 2" xfId="2236" xr:uid="{00000000-0005-0000-0000-0000D4050000}"/>
    <cellStyle name="Moneda 2 3 2 6 3" xfId="2235" xr:uid="{00000000-0005-0000-0000-0000D5050000}"/>
    <cellStyle name="Moneda 2 3 2 7" xfId="734" xr:uid="{00000000-0005-0000-0000-0000D6050000}"/>
    <cellStyle name="Moneda 2 3 2 7 2" xfId="2237" xr:uid="{00000000-0005-0000-0000-0000D7050000}"/>
    <cellStyle name="Moneda 2 3 2 8" xfId="735" xr:uid="{00000000-0005-0000-0000-0000D8050000}"/>
    <cellStyle name="Moneda 2 3 2 8 2" xfId="2238" xr:uid="{00000000-0005-0000-0000-0000D9050000}"/>
    <cellStyle name="Moneda 2 3 2 9" xfId="2174" xr:uid="{00000000-0005-0000-0000-0000DA050000}"/>
    <cellStyle name="Moneda 2 3 3" xfId="736" xr:uid="{00000000-0005-0000-0000-0000DB050000}"/>
    <cellStyle name="Moneda 2 3 3 2" xfId="737" xr:uid="{00000000-0005-0000-0000-0000DC050000}"/>
    <cellStyle name="Moneda 2 3 3 2 2" xfId="738" xr:uid="{00000000-0005-0000-0000-0000DD050000}"/>
    <cellStyle name="Moneda 2 3 3 2 2 2" xfId="739" xr:uid="{00000000-0005-0000-0000-0000DE050000}"/>
    <cellStyle name="Moneda 2 3 3 2 2 2 2" xfId="740" xr:uid="{00000000-0005-0000-0000-0000DF050000}"/>
    <cellStyle name="Moneda 2 3 3 2 2 2 2 2" xfId="741" xr:uid="{00000000-0005-0000-0000-0000E0050000}"/>
    <cellStyle name="Moneda 2 3 3 2 2 2 2 2 2" xfId="742" xr:uid="{00000000-0005-0000-0000-0000E1050000}"/>
    <cellStyle name="Moneda 2 3 3 2 2 2 2 2 2 2" xfId="2245" xr:uid="{00000000-0005-0000-0000-0000E2050000}"/>
    <cellStyle name="Moneda 2 3 3 2 2 2 2 2 3" xfId="2244" xr:uid="{00000000-0005-0000-0000-0000E3050000}"/>
    <cellStyle name="Moneda 2 3 3 2 2 2 2 3" xfId="743" xr:uid="{00000000-0005-0000-0000-0000E4050000}"/>
    <cellStyle name="Moneda 2 3 3 2 2 2 2 3 2" xfId="2246" xr:uid="{00000000-0005-0000-0000-0000E5050000}"/>
    <cellStyle name="Moneda 2 3 3 2 2 2 2 4" xfId="2243" xr:uid="{00000000-0005-0000-0000-0000E6050000}"/>
    <cellStyle name="Moneda 2 3 3 2 2 2 3" xfId="744" xr:uid="{00000000-0005-0000-0000-0000E7050000}"/>
    <cellStyle name="Moneda 2 3 3 2 2 2 3 2" xfId="745" xr:uid="{00000000-0005-0000-0000-0000E8050000}"/>
    <cellStyle name="Moneda 2 3 3 2 2 2 3 2 2" xfId="2248" xr:uid="{00000000-0005-0000-0000-0000E9050000}"/>
    <cellStyle name="Moneda 2 3 3 2 2 2 3 3" xfId="2247" xr:uid="{00000000-0005-0000-0000-0000EA050000}"/>
    <cellStyle name="Moneda 2 3 3 2 2 2 4" xfId="746" xr:uid="{00000000-0005-0000-0000-0000EB050000}"/>
    <cellStyle name="Moneda 2 3 3 2 2 2 4 2" xfId="2249" xr:uid="{00000000-0005-0000-0000-0000EC050000}"/>
    <cellStyle name="Moneda 2 3 3 2 2 2 5" xfId="2242" xr:uid="{00000000-0005-0000-0000-0000ED050000}"/>
    <cellStyle name="Moneda 2 3 3 2 2 3" xfId="747" xr:uid="{00000000-0005-0000-0000-0000EE050000}"/>
    <cellStyle name="Moneda 2 3 3 2 2 3 2" xfId="748" xr:uid="{00000000-0005-0000-0000-0000EF050000}"/>
    <cellStyle name="Moneda 2 3 3 2 2 3 2 2" xfId="749" xr:uid="{00000000-0005-0000-0000-0000F0050000}"/>
    <cellStyle name="Moneda 2 3 3 2 2 3 2 2 2" xfId="2252" xr:uid="{00000000-0005-0000-0000-0000F1050000}"/>
    <cellStyle name="Moneda 2 3 3 2 2 3 2 3" xfId="2251" xr:uid="{00000000-0005-0000-0000-0000F2050000}"/>
    <cellStyle name="Moneda 2 3 3 2 2 3 3" xfId="750" xr:uid="{00000000-0005-0000-0000-0000F3050000}"/>
    <cellStyle name="Moneda 2 3 3 2 2 3 3 2" xfId="2253" xr:uid="{00000000-0005-0000-0000-0000F4050000}"/>
    <cellStyle name="Moneda 2 3 3 2 2 3 4" xfId="2250" xr:uid="{00000000-0005-0000-0000-0000F5050000}"/>
    <cellStyle name="Moneda 2 3 3 2 2 4" xfId="751" xr:uid="{00000000-0005-0000-0000-0000F6050000}"/>
    <cellStyle name="Moneda 2 3 3 2 2 4 2" xfId="752" xr:uid="{00000000-0005-0000-0000-0000F7050000}"/>
    <cellStyle name="Moneda 2 3 3 2 2 4 2 2" xfId="2255" xr:uid="{00000000-0005-0000-0000-0000F8050000}"/>
    <cellStyle name="Moneda 2 3 3 2 2 4 3" xfId="2254" xr:uid="{00000000-0005-0000-0000-0000F9050000}"/>
    <cellStyle name="Moneda 2 3 3 2 2 5" xfId="753" xr:uid="{00000000-0005-0000-0000-0000FA050000}"/>
    <cellStyle name="Moneda 2 3 3 2 2 5 2" xfId="2256" xr:uid="{00000000-0005-0000-0000-0000FB050000}"/>
    <cellStyle name="Moneda 2 3 3 2 2 6" xfId="2241" xr:uid="{00000000-0005-0000-0000-0000FC050000}"/>
    <cellStyle name="Moneda 2 3 3 2 3" xfId="754" xr:uid="{00000000-0005-0000-0000-0000FD050000}"/>
    <cellStyle name="Moneda 2 3 3 2 3 2" xfId="755" xr:uid="{00000000-0005-0000-0000-0000FE050000}"/>
    <cellStyle name="Moneda 2 3 3 2 3 2 2" xfId="756" xr:uid="{00000000-0005-0000-0000-0000FF050000}"/>
    <cellStyle name="Moneda 2 3 3 2 3 2 2 2" xfId="757" xr:uid="{00000000-0005-0000-0000-000000060000}"/>
    <cellStyle name="Moneda 2 3 3 2 3 2 2 2 2" xfId="2260" xr:uid="{00000000-0005-0000-0000-000001060000}"/>
    <cellStyle name="Moneda 2 3 3 2 3 2 2 3" xfId="2259" xr:uid="{00000000-0005-0000-0000-000002060000}"/>
    <cellStyle name="Moneda 2 3 3 2 3 2 3" xfId="758" xr:uid="{00000000-0005-0000-0000-000003060000}"/>
    <cellStyle name="Moneda 2 3 3 2 3 2 3 2" xfId="2261" xr:uid="{00000000-0005-0000-0000-000004060000}"/>
    <cellStyle name="Moneda 2 3 3 2 3 2 4" xfId="2258" xr:uid="{00000000-0005-0000-0000-000005060000}"/>
    <cellStyle name="Moneda 2 3 3 2 3 3" xfId="759" xr:uid="{00000000-0005-0000-0000-000006060000}"/>
    <cellStyle name="Moneda 2 3 3 2 3 3 2" xfId="760" xr:uid="{00000000-0005-0000-0000-000007060000}"/>
    <cellStyle name="Moneda 2 3 3 2 3 3 2 2" xfId="2263" xr:uid="{00000000-0005-0000-0000-000008060000}"/>
    <cellStyle name="Moneda 2 3 3 2 3 3 3" xfId="2262" xr:uid="{00000000-0005-0000-0000-000009060000}"/>
    <cellStyle name="Moneda 2 3 3 2 3 4" xfId="761" xr:uid="{00000000-0005-0000-0000-00000A060000}"/>
    <cellStyle name="Moneda 2 3 3 2 3 4 2" xfId="2264" xr:uid="{00000000-0005-0000-0000-00000B060000}"/>
    <cellStyle name="Moneda 2 3 3 2 3 5" xfId="2257" xr:uid="{00000000-0005-0000-0000-00000C060000}"/>
    <cellStyle name="Moneda 2 3 3 2 4" xfId="762" xr:uid="{00000000-0005-0000-0000-00000D060000}"/>
    <cellStyle name="Moneda 2 3 3 2 4 2" xfId="763" xr:uid="{00000000-0005-0000-0000-00000E060000}"/>
    <cellStyle name="Moneda 2 3 3 2 4 2 2" xfId="764" xr:uid="{00000000-0005-0000-0000-00000F060000}"/>
    <cellStyle name="Moneda 2 3 3 2 4 2 2 2" xfId="2267" xr:uid="{00000000-0005-0000-0000-000010060000}"/>
    <cellStyle name="Moneda 2 3 3 2 4 2 3" xfId="2266" xr:uid="{00000000-0005-0000-0000-000011060000}"/>
    <cellStyle name="Moneda 2 3 3 2 4 3" xfId="765" xr:uid="{00000000-0005-0000-0000-000012060000}"/>
    <cellStyle name="Moneda 2 3 3 2 4 3 2" xfId="2268" xr:uid="{00000000-0005-0000-0000-000013060000}"/>
    <cellStyle name="Moneda 2 3 3 2 4 4" xfId="2265" xr:uid="{00000000-0005-0000-0000-000014060000}"/>
    <cellStyle name="Moneda 2 3 3 2 5" xfId="766" xr:uid="{00000000-0005-0000-0000-000015060000}"/>
    <cellStyle name="Moneda 2 3 3 2 5 2" xfId="767" xr:uid="{00000000-0005-0000-0000-000016060000}"/>
    <cellStyle name="Moneda 2 3 3 2 5 2 2" xfId="2270" xr:uid="{00000000-0005-0000-0000-000017060000}"/>
    <cellStyle name="Moneda 2 3 3 2 5 3" xfId="2269" xr:uid="{00000000-0005-0000-0000-000018060000}"/>
    <cellStyle name="Moneda 2 3 3 2 6" xfId="768" xr:uid="{00000000-0005-0000-0000-000019060000}"/>
    <cellStyle name="Moneda 2 3 3 2 6 2" xfId="2271" xr:uid="{00000000-0005-0000-0000-00001A060000}"/>
    <cellStyle name="Moneda 2 3 3 2 7" xfId="2240" xr:uid="{00000000-0005-0000-0000-00001B060000}"/>
    <cellStyle name="Moneda 2 3 3 3" xfId="769" xr:uid="{00000000-0005-0000-0000-00001C060000}"/>
    <cellStyle name="Moneda 2 3 3 3 2" xfId="770" xr:uid="{00000000-0005-0000-0000-00001D060000}"/>
    <cellStyle name="Moneda 2 3 3 3 2 2" xfId="771" xr:uid="{00000000-0005-0000-0000-00001E060000}"/>
    <cellStyle name="Moneda 2 3 3 3 2 2 2" xfId="772" xr:uid="{00000000-0005-0000-0000-00001F060000}"/>
    <cellStyle name="Moneda 2 3 3 3 2 2 2 2" xfId="773" xr:uid="{00000000-0005-0000-0000-000020060000}"/>
    <cellStyle name="Moneda 2 3 3 3 2 2 2 2 2" xfId="2276" xr:uid="{00000000-0005-0000-0000-000021060000}"/>
    <cellStyle name="Moneda 2 3 3 3 2 2 2 3" xfId="2275" xr:uid="{00000000-0005-0000-0000-000022060000}"/>
    <cellStyle name="Moneda 2 3 3 3 2 2 3" xfId="774" xr:uid="{00000000-0005-0000-0000-000023060000}"/>
    <cellStyle name="Moneda 2 3 3 3 2 2 3 2" xfId="2277" xr:uid="{00000000-0005-0000-0000-000024060000}"/>
    <cellStyle name="Moneda 2 3 3 3 2 2 3 2 2" xfId="3162" xr:uid="{00000000-0005-0000-0000-000025060000}"/>
    <cellStyle name="Moneda 2 3 3 3 2 2 4" xfId="2274" xr:uid="{00000000-0005-0000-0000-000026060000}"/>
    <cellStyle name="Moneda 2 3 3 3 2 3" xfId="775" xr:uid="{00000000-0005-0000-0000-000027060000}"/>
    <cellStyle name="Moneda 2 3 3 3 2 3 2" xfId="776" xr:uid="{00000000-0005-0000-0000-000028060000}"/>
    <cellStyle name="Moneda 2 3 3 3 2 3 2 2" xfId="2279" xr:uid="{00000000-0005-0000-0000-000029060000}"/>
    <cellStyle name="Moneda 2 3 3 3 2 3 3" xfId="2278" xr:uid="{00000000-0005-0000-0000-00002A060000}"/>
    <cellStyle name="Moneda 2 3 3 3 2 4" xfId="777" xr:uid="{00000000-0005-0000-0000-00002B060000}"/>
    <cellStyle name="Moneda 2 3 3 3 2 4 2" xfId="2280" xr:uid="{00000000-0005-0000-0000-00002C060000}"/>
    <cellStyle name="Moneda 2 3 3 3 2 5" xfId="2273" xr:uid="{00000000-0005-0000-0000-00002D060000}"/>
    <cellStyle name="Moneda 2 3 3 3 3" xfId="778" xr:uid="{00000000-0005-0000-0000-00002E060000}"/>
    <cellStyle name="Moneda 2 3 3 3 3 2" xfId="779" xr:uid="{00000000-0005-0000-0000-00002F060000}"/>
    <cellStyle name="Moneda 2 3 3 3 3 2 2" xfId="780" xr:uid="{00000000-0005-0000-0000-000030060000}"/>
    <cellStyle name="Moneda 2 3 3 3 3 2 2 2" xfId="2283" xr:uid="{00000000-0005-0000-0000-000031060000}"/>
    <cellStyle name="Moneda 2 3 3 3 3 2 3" xfId="2282" xr:uid="{00000000-0005-0000-0000-000032060000}"/>
    <cellStyle name="Moneda 2 3 3 3 3 3" xfId="781" xr:uid="{00000000-0005-0000-0000-000033060000}"/>
    <cellStyle name="Moneda 2 3 3 3 3 3 2" xfId="2284" xr:uid="{00000000-0005-0000-0000-000034060000}"/>
    <cellStyle name="Moneda 2 3 3 3 3 4" xfId="2281" xr:uid="{00000000-0005-0000-0000-000035060000}"/>
    <cellStyle name="Moneda 2 3 3 3 4" xfId="782" xr:uid="{00000000-0005-0000-0000-000036060000}"/>
    <cellStyle name="Moneda 2 3 3 3 4 2" xfId="783" xr:uid="{00000000-0005-0000-0000-000037060000}"/>
    <cellStyle name="Moneda 2 3 3 3 4 2 2" xfId="2286" xr:uid="{00000000-0005-0000-0000-000038060000}"/>
    <cellStyle name="Moneda 2 3 3 3 4 3" xfId="2285" xr:uid="{00000000-0005-0000-0000-000039060000}"/>
    <cellStyle name="Moneda 2 3 3 3 5" xfId="784" xr:uid="{00000000-0005-0000-0000-00003A060000}"/>
    <cellStyle name="Moneda 2 3 3 3 5 2" xfId="2287" xr:uid="{00000000-0005-0000-0000-00003B060000}"/>
    <cellStyle name="Moneda 2 3 3 3 6" xfId="2272" xr:uid="{00000000-0005-0000-0000-00003C060000}"/>
    <cellStyle name="Moneda 2 3 3 4" xfId="785" xr:uid="{00000000-0005-0000-0000-00003D060000}"/>
    <cellStyle name="Moneda 2 3 3 4 2" xfId="786" xr:uid="{00000000-0005-0000-0000-00003E060000}"/>
    <cellStyle name="Moneda 2 3 3 4 2 2" xfId="787" xr:uid="{00000000-0005-0000-0000-00003F060000}"/>
    <cellStyle name="Moneda 2 3 3 4 2 2 2" xfId="788" xr:uid="{00000000-0005-0000-0000-000040060000}"/>
    <cellStyle name="Moneda 2 3 3 4 2 2 2 2" xfId="2291" xr:uid="{00000000-0005-0000-0000-000041060000}"/>
    <cellStyle name="Moneda 2 3 3 4 2 2 3" xfId="2290" xr:uid="{00000000-0005-0000-0000-000042060000}"/>
    <cellStyle name="Moneda 2 3 3 4 2 3" xfId="789" xr:uid="{00000000-0005-0000-0000-000043060000}"/>
    <cellStyle name="Moneda 2 3 3 4 2 3 2" xfId="2292" xr:uid="{00000000-0005-0000-0000-000044060000}"/>
    <cellStyle name="Moneda 2 3 3 4 2 4" xfId="2289" xr:uid="{00000000-0005-0000-0000-000045060000}"/>
    <cellStyle name="Moneda 2 3 3 4 3" xfId="790" xr:uid="{00000000-0005-0000-0000-000046060000}"/>
    <cellStyle name="Moneda 2 3 3 4 3 2" xfId="791" xr:uid="{00000000-0005-0000-0000-000047060000}"/>
    <cellStyle name="Moneda 2 3 3 4 3 2 2" xfId="2294" xr:uid="{00000000-0005-0000-0000-000048060000}"/>
    <cellStyle name="Moneda 2 3 3 4 3 3" xfId="2293" xr:uid="{00000000-0005-0000-0000-000049060000}"/>
    <cellStyle name="Moneda 2 3 3 4 4" xfId="792" xr:uid="{00000000-0005-0000-0000-00004A060000}"/>
    <cellStyle name="Moneda 2 3 3 4 4 2" xfId="2295" xr:uid="{00000000-0005-0000-0000-00004B060000}"/>
    <cellStyle name="Moneda 2 3 3 4 5" xfId="2288" xr:uid="{00000000-0005-0000-0000-00004C060000}"/>
    <cellStyle name="Moneda 2 3 3 5" xfId="793" xr:uid="{00000000-0005-0000-0000-00004D060000}"/>
    <cellStyle name="Moneda 2 3 3 5 2" xfId="794" xr:uid="{00000000-0005-0000-0000-00004E060000}"/>
    <cellStyle name="Moneda 2 3 3 5 2 2" xfId="795" xr:uid="{00000000-0005-0000-0000-00004F060000}"/>
    <cellStyle name="Moneda 2 3 3 5 2 2 2" xfId="2298" xr:uid="{00000000-0005-0000-0000-000050060000}"/>
    <cellStyle name="Moneda 2 3 3 5 2 3" xfId="2297" xr:uid="{00000000-0005-0000-0000-000051060000}"/>
    <cellStyle name="Moneda 2 3 3 5 3" xfId="796" xr:uid="{00000000-0005-0000-0000-000052060000}"/>
    <cellStyle name="Moneda 2 3 3 5 3 2" xfId="2299" xr:uid="{00000000-0005-0000-0000-000053060000}"/>
    <cellStyle name="Moneda 2 3 3 5 4" xfId="2296" xr:uid="{00000000-0005-0000-0000-000054060000}"/>
    <cellStyle name="Moneda 2 3 3 6" xfId="797" xr:uid="{00000000-0005-0000-0000-000055060000}"/>
    <cellStyle name="Moneda 2 3 3 6 2" xfId="798" xr:uid="{00000000-0005-0000-0000-000056060000}"/>
    <cellStyle name="Moneda 2 3 3 6 2 2" xfId="2301" xr:uid="{00000000-0005-0000-0000-000057060000}"/>
    <cellStyle name="Moneda 2 3 3 6 3" xfId="2300" xr:uid="{00000000-0005-0000-0000-000058060000}"/>
    <cellStyle name="Moneda 2 3 3 7" xfId="799" xr:uid="{00000000-0005-0000-0000-000059060000}"/>
    <cellStyle name="Moneda 2 3 3 7 2" xfId="2302" xr:uid="{00000000-0005-0000-0000-00005A060000}"/>
    <cellStyle name="Moneda 2 3 3 8" xfId="800" xr:uid="{00000000-0005-0000-0000-00005B060000}"/>
    <cellStyle name="Moneda 2 3 3 8 2" xfId="2303" xr:uid="{00000000-0005-0000-0000-00005C060000}"/>
    <cellStyle name="Moneda 2 3 3 9" xfId="2239" xr:uid="{00000000-0005-0000-0000-00005D060000}"/>
    <cellStyle name="Moneda 2 3 4" xfId="801" xr:uid="{00000000-0005-0000-0000-00005E060000}"/>
    <cellStyle name="Moneda 2 3 4 2" xfId="802" xr:uid="{00000000-0005-0000-0000-00005F060000}"/>
    <cellStyle name="Moneda 2 3 4 2 2" xfId="803" xr:uid="{00000000-0005-0000-0000-000060060000}"/>
    <cellStyle name="Moneda 2 3 4 2 2 2" xfId="804" xr:uid="{00000000-0005-0000-0000-000061060000}"/>
    <cellStyle name="Moneda 2 3 4 2 2 2 2" xfId="805" xr:uid="{00000000-0005-0000-0000-000062060000}"/>
    <cellStyle name="Moneda 2 3 4 2 2 2 2 2" xfId="806" xr:uid="{00000000-0005-0000-0000-000063060000}"/>
    <cellStyle name="Moneda 2 3 4 2 2 2 2 2 2" xfId="2309" xr:uid="{00000000-0005-0000-0000-000064060000}"/>
    <cellStyle name="Moneda 2 3 4 2 2 2 2 3" xfId="2308" xr:uid="{00000000-0005-0000-0000-000065060000}"/>
    <cellStyle name="Moneda 2 3 4 2 2 2 3" xfId="807" xr:uid="{00000000-0005-0000-0000-000066060000}"/>
    <cellStyle name="Moneda 2 3 4 2 2 2 3 2" xfId="2310" xr:uid="{00000000-0005-0000-0000-000067060000}"/>
    <cellStyle name="Moneda 2 3 4 2 2 2 4" xfId="2307" xr:uid="{00000000-0005-0000-0000-000068060000}"/>
    <cellStyle name="Moneda 2 3 4 2 2 3" xfId="808" xr:uid="{00000000-0005-0000-0000-000069060000}"/>
    <cellStyle name="Moneda 2 3 4 2 2 3 2" xfId="809" xr:uid="{00000000-0005-0000-0000-00006A060000}"/>
    <cellStyle name="Moneda 2 3 4 2 2 3 2 2" xfId="2312" xr:uid="{00000000-0005-0000-0000-00006B060000}"/>
    <cellStyle name="Moneda 2 3 4 2 2 3 3" xfId="2311" xr:uid="{00000000-0005-0000-0000-00006C060000}"/>
    <cellStyle name="Moneda 2 3 4 2 2 4" xfId="810" xr:uid="{00000000-0005-0000-0000-00006D060000}"/>
    <cellStyle name="Moneda 2 3 4 2 2 4 2" xfId="2313" xr:uid="{00000000-0005-0000-0000-00006E060000}"/>
    <cellStyle name="Moneda 2 3 4 2 2 5" xfId="2306" xr:uid="{00000000-0005-0000-0000-00006F060000}"/>
    <cellStyle name="Moneda 2 3 4 2 3" xfId="811" xr:uid="{00000000-0005-0000-0000-000070060000}"/>
    <cellStyle name="Moneda 2 3 4 2 3 2" xfId="812" xr:uid="{00000000-0005-0000-0000-000071060000}"/>
    <cellStyle name="Moneda 2 3 4 2 3 2 2" xfId="813" xr:uid="{00000000-0005-0000-0000-000072060000}"/>
    <cellStyle name="Moneda 2 3 4 2 3 2 2 2" xfId="2316" xr:uid="{00000000-0005-0000-0000-000073060000}"/>
    <cellStyle name="Moneda 2 3 4 2 3 2 3" xfId="2315" xr:uid="{00000000-0005-0000-0000-000074060000}"/>
    <cellStyle name="Moneda 2 3 4 2 3 3" xfId="814" xr:uid="{00000000-0005-0000-0000-000075060000}"/>
    <cellStyle name="Moneda 2 3 4 2 3 3 2" xfId="2317" xr:uid="{00000000-0005-0000-0000-000076060000}"/>
    <cellStyle name="Moneda 2 3 4 2 3 4" xfId="2314" xr:uid="{00000000-0005-0000-0000-000077060000}"/>
    <cellStyle name="Moneda 2 3 4 2 4" xfId="815" xr:uid="{00000000-0005-0000-0000-000078060000}"/>
    <cellStyle name="Moneda 2 3 4 2 4 2" xfId="816" xr:uid="{00000000-0005-0000-0000-000079060000}"/>
    <cellStyle name="Moneda 2 3 4 2 4 2 2" xfId="2319" xr:uid="{00000000-0005-0000-0000-00007A060000}"/>
    <cellStyle name="Moneda 2 3 4 2 4 3" xfId="2318" xr:uid="{00000000-0005-0000-0000-00007B060000}"/>
    <cellStyle name="Moneda 2 3 4 2 5" xfId="817" xr:uid="{00000000-0005-0000-0000-00007C060000}"/>
    <cellStyle name="Moneda 2 3 4 2 5 2" xfId="2320" xr:uid="{00000000-0005-0000-0000-00007D060000}"/>
    <cellStyle name="Moneda 2 3 4 2 6" xfId="2305" xr:uid="{00000000-0005-0000-0000-00007E060000}"/>
    <cellStyle name="Moneda 2 3 4 3" xfId="818" xr:uid="{00000000-0005-0000-0000-00007F060000}"/>
    <cellStyle name="Moneda 2 3 4 3 2" xfId="819" xr:uid="{00000000-0005-0000-0000-000080060000}"/>
    <cellStyle name="Moneda 2 3 4 3 2 2" xfId="820" xr:uid="{00000000-0005-0000-0000-000081060000}"/>
    <cellStyle name="Moneda 2 3 4 3 2 2 2" xfId="821" xr:uid="{00000000-0005-0000-0000-000082060000}"/>
    <cellStyle name="Moneda 2 3 4 3 2 2 2 2" xfId="2324" xr:uid="{00000000-0005-0000-0000-000083060000}"/>
    <cellStyle name="Moneda 2 3 4 3 2 2 3" xfId="2323" xr:uid="{00000000-0005-0000-0000-000084060000}"/>
    <cellStyle name="Moneda 2 3 4 3 2 3" xfId="822" xr:uid="{00000000-0005-0000-0000-000085060000}"/>
    <cellStyle name="Moneda 2 3 4 3 2 3 2" xfId="2325" xr:uid="{00000000-0005-0000-0000-000086060000}"/>
    <cellStyle name="Moneda 2 3 4 3 2 4" xfId="2322" xr:uid="{00000000-0005-0000-0000-000087060000}"/>
    <cellStyle name="Moneda 2 3 4 3 3" xfId="823" xr:uid="{00000000-0005-0000-0000-000088060000}"/>
    <cellStyle name="Moneda 2 3 4 3 3 2" xfId="824" xr:uid="{00000000-0005-0000-0000-000089060000}"/>
    <cellStyle name="Moneda 2 3 4 3 3 2 2" xfId="2327" xr:uid="{00000000-0005-0000-0000-00008A060000}"/>
    <cellStyle name="Moneda 2 3 4 3 3 3" xfId="2326" xr:uid="{00000000-0005-0000-0000-00008B060000}"/>
    <cellStyle name="Moneda 2 3 4 3 4" xfId="825" xr:uid="{00000000-0005-0000-0000-00008C060000}"/>
    <cellStyle name="Moneda 2 3 4 3 4 2" xfId="2328" xr:uid="{00000000-0005-0000-0000-00008D060000}"/>
    <cellStyle name="Moneda 2 3 4 3 5" xfId="2321" xr:uid="{00000000-0005-0000-0000-00008E060000}"/>
    <cellStyle name="Moneda 2 3 4 4" xfId="826" xr:uid="{00000000-0005-0000-0000-00008F060000}"/>
    <cellStyle name="Moneda 2 3 4 4 2" xfId="827" xr:uid="{00000000-0005-0000-0000-000090060000}"/>
    <cellStyle name="Moneda 2 3 4 4 2 2" xfId="828" xr:uid="{00000000-0005-0000-0000-000091060000}"/>
    <cellStyle name="Moneda 2 3 4 4 2 2 2" xfId="2331" xr:uid="{00000000-0005-0000-0000-000092060000}"/>
    <cellStyle name="Moneda 2 3 4 4 2 3" xfId="2330" xr:uid="{00000000-0005-0000-0000-000093060000}"/>
    <cellStyle name="Moneda 2 3 4 4 3" xfId="829" xr:uid="{00000000-0005-0000-0000-000094060000}"/>
    <cellStyle name="Moneda 2 3 4 4 3 2" xfId="2332" xr:uid="{00000000-0005-0000-0000-000095060000}"/>
    <cellStyle name="Moneda 2 3 4 4 4" xfId="2329" xr:uid="{00000000-0005-0000-0000-000096060000}"/>
    <cellStyle name="Moneda 2 3 4 5" xfId="830" xr:uid="{00000000-0005-0000-0000-000097060000}"/>
    <cellStyle name="Moneda 2 3 4 5 2" xfId="831" xr:uid="{00000000-0005-0000-0000-000098060000}"/>
    <cellStyle name="Moneda 2 3 4 5 2 2" xfId="2334" xr:uid="{00000000-0005-0000-0000-000099060000}"/>
    <cellStyle name="Moneda 2 3 4 5 3" xfId="2333" xr:uid="{00000000-0005-0000-0000-00009A060000}"/>
    <cellStyle name="Moneda 2 3 4 6" xfId="832" xr:uid="{00000000-0005-0000-0000-00009B060000}"/>
    <cellStyle name="Moneda 2 3 4 6 2" xfId="2335" xr:uid="{00000000-0005-0000-0000-00009C060000}"/>
    <cellStyle name="Moneda 2 3 4 7" xfId="2304" xr:uid="{00000000-0005-0000-0000-00009D060000}"/>
    <cellStyle name="Moneda 2 3 5" xfId="833" xr:uid="{00000000-0005-0000-0000-00009E060000}"/>
    <cellStyle name="Moneda 2 3 5 2" xfId="834" xr:uid="{00000000-0005-0000-0000-00009F060000}"/>
    <cellStyle name="Moneda 2 3 5 2 2" xfId="835" xr:uid="{00000000-0005-0000-0000-0000A0060000}"/>
    <cellStyle name="Moneda 2 3 5 2 2 2" xfId="836" xr:uid="{00000000-0005-0000-0000-0000A1060000}"/>
    <cellStyle name="Moneda 2 3 5 2 2 2 2" xfId="837" xr:uid="{00000000-0005-0000-0000-0000A2060000}"/>
    <cellStyle name="Moneda 2 3 5 2 2 2 2 2" xfId="2340" xr:uid="{00000000-0005-0000-0000-0000A3060000}"/>
    <cellStyle name="Moneda 2 3 5 2 2 2 3" xfId="2339" xr:uid="{00000000-0005-0000-0000-0000A4060000}"/>
    <cellStyle name="Moneda 2 3 5 2 2 3" xfId="838" xr:uid="{00000000-0005-0000-0000-0000A5060000}"/>
    <cellStyle name="Moneda 2 3 5 2 2 3 2" xfId="2341" xr:uid="{00000000-0005-0000-0000-0000A6060000}"/>
    <cellStyle name="Moneda 2 3 5 2 2 4" xfId="2338" xr:uid="{00000000-0005-0000-0000-0000A7060000}"/>
    <cellStyle name="Moneda 2 3 5 2 3" xfId="839" xr:uid="{00000000-0005-0000-0000-0000A8060000}"/>
    <cellStyle name="Moneda 2 3 5 2 3 2" xfId="840" xr:uid="{00000000-0005-0000-0000-0000A9060000}"/>
    <cellStyle name="Moneda 2 3 5 2 3 2 2" xfId="2343" xr:uid="{00000000-0005-0000-0000-0000AA060000}"/>
    <cellStyle name="Moneda 2 3 5 2 3 3" xfId="2342" xr:uid="{00000000-0005-0000-0000-0000AB060000}"/>
    <cellStyle name="Moneda 2 3 5 2 4" xfId="841" xr:uid="{00000000-0005-0000-0000-0000AC060000}"/>
    <cellStyle name="Moneda 2 3 5 2 4 2" xfId="2344" xr:uid="{00000000-0005-0000-0000-0000AD060000}"/>
    <cellStyle name="Moneda 2 3 5 2 5" xfId="2337" xr:uid="{00000000-0005-0000-0000-0000AE060000}"/>
    <cellStyle name="Moneda 2 3 5 3" xfId="842" xr:uid="{00000000-0005-0000-0000-0000AF060000}"/>
    <cellStyle name="Moneda 2 3 5 3 2" xfId="843" xr:uid="{00000000-0005-0000-0000-0000B0060000}"/>
    <cellStyle name="Moneda 2 3 5 3 2 2" xfId="844" xr:uid="{00000000-0005-0000-0000-0000B1060000}"/>
    <cellStyle name="Moneda 2 3 5 3 2 2 2" xfId="2347" xr:uid="{00000000-0005-0000-0000-0000B2060000}"/>
    <cellStyle name="Moneda 2 3 5 3 2 3" xfId="2346" xr:uid="{00000000-0005-0000-0000-0000B3060000}"/>
    <cellStyle name="Moneda 2 3 5 3 3" xfId="845" xr:uid="{00000000-0005-0000-0000-0000B4060000}"/>
    <cellStyle name="Moneda 2 3 5 3 3 2" xfId="2348" xr:uid="{00000000-0005-0000-0000-0000B5060000}"/>
    <cellStyle name="Moneda 2 3 5 3 4" xfId="2345" xr:uid="{00000000-0005-0000-0000-0000B6060000}"/>
    <cellStyle name="Moneda 2 3 5 4" xfId="846" xr:uid="{00000000-0005-0000-0000-0000B7060000}"/>
    <cellStyle name="Moneda 2 3 5 4 2" xfId="847" xr:uid="{00000000-0005-0000-0000-0000B8060000}"/>
    <cellStyle name="Moneda 2 3 5 4 2 2" xfId="2350" xr:uid="{00000000-0005-0000-0000-0000B9060000}"/>
    <cellStyle name="Moneda 2 3 5 4 3" xfId="2349" xr:uid="{00000000-0005-0000-0000-0000BA060000}"/>
    <cellStyle name="Moneda 2 3 5 5" xfId="848" xr:uid="{00000000-0005-0000-0000-0000BB060000}"/>
    <cellStyle name="Moneda 2 3 5 5 2" xfId="2351" xr:uid="{00000000-0005-0000-0000-0000BC060000}"/>
    <cellStyle name="Moneda 2 3 5 6" xfId="2336" xr:uid="{00000000-0005-0000-0000-0000BD060000}"/>
    <cellStyle name="Moneda 2 3 6" xfId="849" xr:uid="{00000000-0005-0000-0000-0000BE060000}"/>
    <cellStyle name="Moneda 2 3 6 2" xfId="850" xr:uid="{00000000-0005-0000-0000-0000BF060000}"/>
    <cellStyle name="Moneda 2 3 6 2 2" xfId="851" xr:uid="{00000000-0005-0000-0000-0000C0060000}"/>
    <cellStyle name="Moneda 2 3 6 2 2 2" xfId="852" xr:uid="{00000000-0005-0000-0000-0000C1060000}"/>
    <cellStyle name="Moneda 2 3 6 2 2 2 2" xfId="2355" xr:uid="{00000000-0005-0000-0000-0000C2060000}"/>
    <cellStyle name="Moneda 2 3 6 2 2 3" xfId="2354" xr:uid="{00000000-0005-0000-0000-0000C3060000}"/>
    <cellStyle name="Moneda 2 3 6 2 3" xfId="853" xr:uid="{00000000-0005-0000-0000-0000C4060000}"/>
    <cellStyle name="Moneda 2 3 6 2 3 2" xfId="2356" xr:uid="{00000000-0005-0000-0000-0000C5060000}"/>
    <cellStyle name="Moneda 2 3 6 2 4" xfId="2353" xr:uid="{00000000-0005-0000-0000-0000C6060000}"/>
    <cellStyle name="Moneda 2 3 6 3" xfId="854" xr:uid="{00000000-0005-0000-0000-0000C7060000}"/>
    <cellStyle name="Moneda 2 3 6 3 2" xfId="855" xr:uid="{00000000-0005-0000-0000-0000C8060000}"/>
    <cellStyle name="Moneda 2 3 6 3 2 2" xfId="2358" xr:uid="{00000000-0005-0000-0000-0000C9060000}"/>
    <cellStyle name="Moneda 2 3 6 3 3" xfId="2357" xr:uid="{00000000-0005-0000-0000-0000CA060000}"/>
    <cellStyle name="Moneda 2 3 6 4" xfId="856" xr:uid="{00000000-0005-0000-0000-0000CB060000}"/>
    <cellStyle name="Moneda 2 3 6 4 2" xfId="2359" xr:uid="{00000000-0005-0000-0000-0000CC060000}"/>
    <cellStyle name="Moneda 2 3 6 5" xfId="2352" xr:uid="{00000000-0005-0000-0000-0000CD060000}"/>
    <cellStyle name="Moneda 2 3 7" xfId="857" xr:uid="{00000000-0005-0000-0000-0000CE060000}"/>
    <cellStyle name="Moneda 2 3 7 2" xfId="858" xr:uid="{00000000-0005-0000-0000-0000CF060000}"/>
    <cellStyle name="Moneda 2 3 7 2 2" xfId="859" xr:uid="{00000000-0005-0000-0000-0000D0060000}"/>
    <cellStyle name="Moneda 2 3 7 2 2 2" xfId="2362" xr:uid="{00000000-0005-0000-0000-0000D1060000}"/>
    <cellStyle name="Moneda 2 3 7 2 3" xfId="2361" xr:uid="{00000000-0005-0000-0000-0000D2060000}"/>
    <cellStyle name="Moneda 2 3 7 3" xfId="860" xr:uid="{00000000-0005-0000-0000-0000D3060000}"/>
    <cellStyle name="Moneda 2 3 7 3 2" xfId="2363" xr:uid="{00000000-0005-0000-0000-0000D4060000}"/>
    <cellStyle name="Moneda 2 3 7 4" xfId="2360" xr:uid="{00000000-0005-0000-0000-0000D5060000}"/>
    <cellStyle name="Moneda 2 3 8" xfId="861" xr:uid="{00000000-0005-0000-0000-0000D6060000}"/>
    <cellStyle name="Moneda 2 3 8 2" xfId="862" xr:uid="{00000000-0005-0000-0000-0000D7060000}"/>
    <cellStyle name="Moneda 2 3 8 2 2" xfId="2365" xr:uid="{00000000-0005-0000-0000-0000D8060000}"/>
    <cellStyle name="Moneda 2 3 8 3" xfId="2364" xr:uid="{00000000-0005-0000-0000-0000D9060000}"/>
    <cellStyle name="Moneda 2 3 9" xfId="863" xr:uid="{00000000-0005-0000-0000-0000DA060000}"/>
    <cellStyle name="Moneda 2 3 9 2" xfId="2366" xr:uid="{00000000-0005-0000-0000-0000DB060000}"/>
    <cellStyle name="Moneda 2 4" xfId="864" xr:uid="{00000000-0005-0000-0000-0000DC060000}"/>
    <cellStyle name="Moneda 2 4 10" xfId="865" xr:uid="{00000000-0005-0000-0000-0000DD060000}"/>
    <cellStyle name="Moneda 2 4 10 2" xfId="2368" xr:uid="{00000000-0005-0000-0000-0000DE060000}"/>
    <cellStyle name="Moneda 2 4 11" xfId="2367" xr:uid="{00000000-0005-0000-0000-0000DF060000}"/>
    <cellStyle name="Moneda 2 4 2" xfId="866" xr:uid="{00000000-0005-0000-0000-0000E0060000}"/>
    <cellStyle name="Moneda 2 4 2 2" xfId="867" xr:uid="{00000000-0005-0000-0000-0000E1060000}"/>
    <cellStyle name="Moneda 2 4 2 2 2" xfId="868" xr:uid="{00000000-0005-0000-0000-0000E2060000}"/>
    <cellStyle name="Moneda 2 4 2 2 2 2" xfId="869" xr:uid="{00000000-0005-0000-0000-0000E3060000}"/>
    <cellStyle name="Moneda 2 4 2 2 2 2 2" xfId="870" xr:uid="{00000000-0005-0000-0000-0000E4060000}"/>
    <cellStyle name="Moneda 2 4 2 2 2 2 2 2" xfId="871" xr:uid="{00000000-0005-0000-0000-0000E5060000}"/>
    <cellStyle name="Moneda 2 4 2 2 2 2 2 2 2" xfId="872" xr:uid="{00000000-0005-0000-0000-0000E6060000}"/>
    <cellStyle name="Moneda 2 4 2 2 2 2 2 2 2 2" xfId="2375" xr:uid="{00000000-0005-0000-0000-0000E7060000}"/>
    <cellStyle name="Moneda 2 4 2 2 2 2 2 2 3" xfId="2374" xr:uid="{00000000-0005-0000-0000-0000E8060000}"/>
    <cellStyle name="Moneda 2 4 2 2 2 2 2 3" xfId="873" xr:uid="{00000000-0005-0000-0000-0000E9060000}"/>
    <cellStyle name="Moneda 2 4 2 2 2 2 2 3 2" xfId="2376" xr:uid="{00000000-0005-0000-0000-0000EA060000}"/>
    <cellStyle name="Moneda 2 4 2 2 2 2 2 4" xfId="2373" xr:uid="{00000000-0005-0000-0000-0000EB060000}"/>
    <cellStyle name="Moneda 2 4 2 2 2 2 3" xfId="874" xr:uid="{00000000-0005-0000-0000-0000EC060000}"/>
    <cellStyle name="Moneda 2 4 2 2 2 2 3 2" xfId="875" xr:uid="{00000000-0005-0000-0000-0000ED060000}"/>
    <cellStyle name="Moneda 2 4 2 2 2 2 3 2 2" xfId="2378" xr:uid="{00000000-0005-0000-0000-0000EE060000}"/>
    <cellStyle name="Moneda 2 4 2 2 2 2 3 3" xfId="2377" xr:uid="{00000000-0005-0000-0000-0000EF060000}"/>
    <cellStyle name="Moneda 2 4 2 2 2 2 4" xfId="876" xr:uid="{00000000-0005-0000-0000-0000F0060000}"/>
    <cellStyle name="Moneda 2 4 2 2 2 2 4 2" xfId="2379" xr:uid="{00000000-0005-0000-0000-0000F1060000}"/>
    <cellStyle name="Moneda 2 4 2 2 2 2 5" xfId="2372" xr:uid="{00000000-0005-0000-0000-0000F2060000}"/>
    <cellStyle name="Moneda 2 4 2 2 2 3" xfId="877" xr:uid="{00000000-0005-0000-0000-0000F3060000}"/>
    <cellStyle name="Moneda 2 4 2 2 2 3 2" xfId="878" xr:uid="{00000000-0005-0000-0000-0000F4060000}"/>
    <cellStyle name="Moneda 2 4 2 2 2 3 2 2" xfId="879" xr:uid="{00000000-0005-0000-0000-0000F5060000}"/>
    <cellStyle name="Moneda 2 4 2 2 2 3 2 2 2" xfId="2382" xr:uid="{00000000-0005-0000-0000-0000F6060000}"/>
    <cellStyle name="Moneda 2 4 2 2 2 3 2 3" xfId="2381" xr:uid="{00000000-0005-0000-0000-0000F7060000}"/>
    <cellStyle name="Moneda 2 4 2 2 2 3 3" xfId="880" xr:uid="{00000000-0005-0000-0000-0000F8060000}"/>
    <cellStyle name="Moneda 2 4 2 2 2 3 3 2" xfId="2383" xr:uid="{00000000-0005-0000-0000-0000F9060000}"/>
    <cellStyle name="Moneda 2 4 2 2 2 3 4" xfId="2380" xr:uid="{00000000-0005-0000-0000-0000FA060000}"/>
    <cellStyle name="Moneda 2 4 2 2 2 4" xfId="881" xr:uid="{00000000-0005-0000-0000-0000FB060000}"/>
    <cellStyle name="Moneda 2 4 2 2 2 4 2" xfId="882" xr:uid="{00000000-0005-0000-0000-0000FC060000}"/>
    <cellStyle name="Moneda 2 4 2 2 2 4 2 2" xfId="2385" xr:uid="{00000000-0005-0000-0000-0000FD060000}"/>
    <cellStyle name="Moneda 2 4 2 2 2 4 3" xfId="2384" xr:uid="{00000000-0005-0000-0000-0000FE060000}"/>
    <cellStyle name="Moneda 2 4 2 2 2 5" xfId="883" xr:uid="{00000000-0005-0000-0000-0000FF060000}"/>
    <cellStyle name="Moneda 2 4 2 2 2 5 2" xfId="2386" xr:uid="{00000000-0005-0000-0000-000000070000}"/>
    <cellStyle name="Moneda 2 4 2 2 2 6" xfId="2371" xr:uid="{00000000-0005-0000-0000-000001070000}"/>
    <cellStyle name="Moneda 2 4 2 2 3" xfId="884" xr:uid="{00000000-0005-0000-0000-000002070000}"/>
    <cellStyle name="Moneda 2 4 2 2 3 2" xfId="885" xr:uid="{00000000-0005-0000-0000-000003070000}"/>
    <cellStyle name="Moneda 2 4 2 2 3 2 2" xfId="886" xr:uid="{00000000-0005-0000-0000-000004070000}"/>
    <cellStyle name="Moneda 2 4 2 2 3 2 2 2" xfId="887" xr:uid="{00000000-0005-0000-0000-000005070000}"/>
    <cellStyle name="Moneda 2 4 2 2 3 2 2 2 2" xfId="2390" xr:uid="{00000000-0005-0000-0000-000006070000}"/>
    <cellStyle name="Moneda 2 4 2 2 3 2 2 3" xfId="2389" xr:uid="{00000000-0005-0000-0000-000007070000}"/>
    <cellStyle name="Moneda 2 4 2 2 3 2 3" xfId="888" xr:uid="{00000000-0005-0000-0000-000008070000}"/>
    <cellStyle name="Moneda 2 4 2 2 3 2 3 2" xfId="2391" xr:uid="{00000000-0005-0000-0000-000009070000}"/>
    <cellStyle name="Moneda 2 4 2 2 3 2 4" xfId="2388" xr:uid="{00000000-0005-0000-0000-00000A070000}"/>
    <cellStyle name="Moneda 2 4 2 2 3 3" xfId="889" xr:uid="{00000000-0005-0000-0000-00000B070000}"/>
    <cellStyle name="Moneda 2 4 2 2 3 3 2" xfId="890" xr:uid="{00000000-0005-0000-0000-00000C070000}"/>
    <cellStyle name="Moneda 2 4 2 2 3 3 2 2" xfId="2393" xr:uid="{00000000-0005-0000-0000-00000D070000}"/>
    <cellStyle name="Moneda 2 4 2 2 3 3 3" xfId="2392" xr:uid="{00000000-0005-0000-0000-00000E070000}"/>
    <cellStyle name="Moneda 2 4 2 2 3 4" xfId="891" xr:uid="{00000000-0005-0000-0000-00000F070000}"/>
    <cellStyle name="Moneda 2 4 2 2 3 4 2" xfId="2394" xr:uid="{00000000-0005-0000-0000-000010070000}"/>
    <cellStyle name="Moneda 2 4 2 2 3 5" xfId="2387" xr:uid="{00000000-0005-0000-0000-000011070000}"/>
    <cellStyle name="Moneda 2 4 2 2 4" xfId="892" xr:uid="{00000000-0005-0000-0000-000012070000}"/>
    <cellStyle name="Moneda 2 4 2 2 4 2" xfId="893" xr:uid="{00000000-0005-0000-0000-000013070000}"/>
    <cellStyle name="Moneda 2 4 2 2 4 2 2" xfId="894" xr:uid="{00000000-0005-0000-0000-000014070000}"/>
    <cellStyle name="Moneda 2 4 2 2 4 2 2 2" xfId="2397" xr:uid="{00000000-0005-0000-0000-000015070000}"/>
    <cellStyle name="Moneda 2 4 2 2 4 2 3" xfId="2396" xr:uid="{00000000-0005-0000-0000-000016070000}"/>
    <cellStyle name="Moneda 2 4 2 2 4 3" xfId="895" xr:uid="{00000000-0005-0000-0000-000017070000}"/>
    <cellStyle name="Moneda 2 4 2 2 4 3 2" xfId="2398" xr:uid="{00000000-0005-0000-0000-000018070000}"/>
    <cellStyle name="Moneda 2 4 2 2 4 4" xfId="2395" xr:uid="{00000000-0005-0000-0000-000019070000}"/>
    <cellStyle name="Moneda 2 4 2 2 5" xfId="896" xr:uid="{00000000-0005-0000-0000-00001A070000}"/>
    <cellStyle name="Moneda 2 4 2 2 5 2" xfId="897" xr:uid="{00000000-0005-0000-0000-00001B070000}"/>
    <cellStyle name="Moneda 2 4 2 2 5 2 2" xfId="2400" xr:uid="{00000000-0005-0000-0000-00001C070000}"/>
    <cellStyle name="Moneda 2 4 2 2 5 3" xfId="2399" xr:uid="{00000000-0005-0000-0000-00001D070000}"/>
    <cellStyle name="Moneda 2 4 2 2 6" xfId="898" xr:uid="{00000000-0005-0000-0000-00001E070000}"/>
    <cellStyle name="Moneda 2 4 2 2 6 2" xfId="2401" xr:uid="{00000000-0005-0000-0000-00001F070000}"/>
    <cellStyle name="Moneda 2 4 2 2 7" xfId="2370" xr:uid="{00000000-0005-0000-0000-000020070000}"/>
    <cellStyle name="Moneda 2 4 2 3" xfId="899" xr:uid="{00000000-0005-0000-0000-000021070000}"/>
    <cellStyle name="Moneda 2 4 2 3 2" xfId="900" xr:uid="{00000000-0005-0000-0000-000022070000}"/>
    <cellStyle name="Moneda 2 4 2 3 2 2" xfId="901" xr:uid="{00000000-0005-0000-0000-000023070000}"/>
    <cellStyle name="Moneda 2 4 2 3 2 2 2" xfId="902" xr:uid="{00000000-0005-0000-0000-000024070000}"/>
    <cellStyle name="Moneda 2 4 2 3 2 2 2 2" xfId="903" xr:uid="{00000000-0005-0000-0000-000025070000}"/>
    <cellStyle name="Moneda 2 4 2 3 2 2 2 2 2" xfId="2406" xr:uid="{00000000-0005-0000-0000-000026070000}"/>
    <cellStyle name="Moneda 2 4 2 3 2 2 2 3" xfId="2405" xr:uid="{00000000-0005-0000-0000-000027070000}"/>
    <cellStyle name="Moneda 2 4 2 3 2 2 3" xfId="904" xr:uid="{00000000-0005-0000-0000-000028070000}"/>
    <cellStyle name="Moneda 2 4 2 3 2 2 3 2" xfId="2407" xr:uid="{00000000-0005-0000-0000-000029070000}"/>
    <cellStyle name="Moneda 2 4 2 3 2 2 4" xfId="2404" xr:uid="{00000000-0005-0000-0000-00002A070000}"/>
    <cellStyle name="Moneda 2 4 2 3 2 3" xfId="905" xr:uid="{00000000-0005-0000-0000-00002B070000}"/>
    <cellStyle name="Moneda 2 4 2 3 2 3 2" xfId="906" xr:uid="{00000000-0005-0000-0000-00002C070000}"/>
    <cellStyle name="Moneda 2 4 2 3 2 3 2 2" xfId="2409" xr:uid="{00000000-0005-0000-0000-00002D070000}"/>
    <cellStyle name="Moneda 2 4 2 3 2 3 3" xfId="2408" xr:uid="{00000000-0005-0000-0000-00002E070000}"/>
    <cellStyle name="Moneda 2 4 2 3 2 4" xfId="907" xr:uid="{00000000-0005-0000-0000-00002F070000}"/>
    <cellStyle name="Moneda 2 4 2 3 2 4 2" xfId="2410" xr:uid="{00000000-0005-0000-0000-000030070000}"/>
    <cellStyle name="Moneda 2 4 2 3 2 5" xfId="2403" xr:uid="{00000000-0005-0000-0000-000031070000}"/>
    <cellStyle name="Moneda 2 4 2 3 3" xfId="908" xr:uid="{00000000-0005-0000-0000-000032070000}"/>
    <cellStyle name="Moneda 2 4 2 3 3 2" xfId="909" xr:uid="{00000000-0005-0000-0000-000033070000}"/>
    <cellStyle name="Moneda 2 4 2 3 3 2 2" xfId="910" xr:uid="{00000000-0005-0000-0000-000034070000}"/>
    <cellStyle name="Moneda 2 4 2 3 3 2 2 2" xfId="2413" xr:uid="{00000000-0005-0000-0000-000035070000}"/>
    <cellStyle name="Moneda 2 4 2 3 3 2 3" xfId="2412" xr:uid="{00000000-0005-0000-0000-000036070000}"/>
    <cellStyle name="Moneda 2 4 2 3 3 3" xfId="911" xr:uid="{00000000-0005-0000-0000-000037070000}"/>
    <cellStyle name="Moneda 2 4 2 3 3 3 2" xfId="2414" xr:uid="{00000000-0005-0000-0000-000038070000}"/>
    <cellStyle name="Moneda 2 4 2 3 3 4" xfId="2411" xr:uid="{00000000-0005-0000-0000-000039070000}"/>
    <cellStyle name="Moneda 2 4 2 3 4" xfId="912" xr:uid="{00000000-0005-0000-0000-00003A070000}"/>
    <cellStyle name="Moneda 2 4 2 3 4 2" xfId="913" xr:uid="{00000000-0005-0000-0000-00003B070000}"/>
    <cellStyle name="Moneda 2 4 2 3 4 2 2" xfId="2416" xr:uid="{00000000-0005-0000-0000-00003C070000}"/>
    <cellStyle name="Moneda 2 4 2 3 4 3" xfId="2415" xr:uid="{00000000-0005-0000-0000-00003D070000}"/>
    <cellStyle name="Moneda 2 4 2 3 5" xfId="914" xr:uid="{00000000-0005-0000-0000-00003E070000}"/>
    <cellStyle name="Moneda 2 4 2 3 5 2" xfId="2417" xr:uid="{00000000-0005-0000-0000-00003F070000}"/>
    <cellStyle name="Moneda 2 4 2 3 6" xfId="2402" xr:uid="{00000000-0005-0000-0000-000040070000}"/>
    <cellStyle name="Moneda 2 4 2 4" xfId="915" xr:uid="{00000000-0005-0000-0000-000041070000}"/>
    <cellStyle name="Moneda 2 4 2 4 2" xfId="916" xr:uid="{00000000-0005-0000-0000-000042070000}"/>
    <cellStyle name="Moneda 2 4 2 4 2 2" xfId="917" xr:uid="{00000000-0005-0000-0000-000043070000}"/>
    <cellStyle name="Moneda 2 4 2 4 2 2 2" xfId="918" xr:uid="{00000000-0005-0000-0000-000044070000}"/>
    <cellStyle name="Moneda 2 4 2 4 2 2 2 2" xfId="2421" xr:uid="{00000000-0005-0000-0000-000045070000}"/>
    <cellStyle name="Moneda 2 4 2 4 2 2 3" xfId="2420" xr:uid="{00000000-0005-0000-0000-000046070000}"/>
    <cellStyle name="Moneda 2 4 2 4 2 3" xfId="919" xr:uid="{00000000-0005-0000-0000-000047070000}"/>
    <cellStyle name="Moneda 2 4 2 4 2 3 2" xfId="2422" xr:uid="{00000000-0005-0000-0000-000048070000}"/>
    <cellStyle name="Moneda 2 4 2 4 2 4" xfId="2419" xr:uid="{00000000-0005-0000-0000-000049070000}"/>
    <cellStyle name="Moneda 2 4 2 4 3" xfId="920" xr:uid="{00000000-0005-0000-0000-00004A070000}"/>
    <cellStyle name="Moneda 2 4 2 4 3 2" xfId="921" xr:uid="{00000000-0005-0000-0000-00004B070000}"/>
    <cellStyle name="Moneda 2 4 2 4 3 2 2" xfId="2424" xr:uid="{00000000-0005-0000-0000-00004C070000}"/>
    <cellStyle name="Moneda 2 4 2 4 3 3" xfId="2423" xr:uid="{00000000-0005-0000-0000-00004D070000}"/>
    <cellStyle name="Moneda 2 4 2 4 4" xfId="922" xr:uid="{00000000-0005-0000-0000-00004E070000}"/>
    <cellStyle name="Moneda 2 4 2 4 4 2" xfId="2425" xr:uid="{00000000-0005-0000-0000-00004F070000}"/>
    <cellStyle name="Moneda 2 4 2 4 5" xfId="2418" xr:uid="{00000000-0005-0000-0000-000050070000}"/>
    <cellStyle name="Moneda 2 4 2 5" xfId="923" xr:uid="{00000000-0005-0000-0000-000051070000}"/>
    <cellStyle name="Moneda 2 4 2 5 2" xfId="924" xr:uid="{00000000-0005-0000-0000-000052070000}"/>
    <cellStyle name="Moneda 2 4 2 5 2 2" xfId="925" xr:uid="{00000000-0005-0000-0000-000053070000}"/>
    <cellStyle name="Moneda 2 4 2 5 2 2 2" xfId="2428" xr:uid="{00000000-0005-0000-0000-000054070000}"/>
    <cellStyle name="Moneda 2 4 2 5 2 3" xfId="2427" xr:uid="{00000000-0005-0000-0000-000055070000}"/>
    <cellStyle name="Moneda 2 4 2 5 3" xfId="926" xr:uid="{00000000-0005-0000-0000-000056070000}"/>
    <cellStyle name="Moneda 2 4 2 5 3 2" xfId="2429" xr:uid="{00000000-0005-0000-0000-000057070000}"/>
    <cellStyle name="Moneda 2 4 2 5 4" xfId="2426" xr:uid="{00000000-0005-0000-0000-000058070000}"/>
    <cellStyle name="Moneda 2 4 2 6" xfId="927" xr:uid="{00000000-0005-0000-0000-000059070000}"/>
    <cellStyle name="Moneda 2 4 2 6 2" xfId="928" xr:uid="{00000000-0005-0000-0000-00005A070000}"/>
    <cellStyle name="Moneda 2 4 2 6 2 2" xfId="2431" xr:uid="{00000000-0005-0000-0000-00005B070000}"/>
    <cellStyle name="Moneda 2 4 2 6 3" xfId="2430" xr:uid="{00000000-0005-0000-0000-00005C070000}"/>
    <cellStyle name="Moneda 2 4 2 7" xfId="929" xr:uid="{00000000-0005-0000-0000-00005D070000}"/>
    <cellStyle name="Moneda 2 4 2 7 2" xfId="2432" xr:uid="{00000000-0005-0000-0000-00005E070000}"/>
    <cellStyle name="Moneda 2 4 2 8" xfId="930" xr:uid="{00000000-0005-0000-0000-00005F070000}"/>
    <cellStyle name="Moneda 2 4 2 8 2" xfId="2433" xr:uid="{00000000-0005-0000-0000-000060070000}"/>
    <cellStyle name="Moneda 2 4 2 9" xfId="2369" xr:uid="{00000000-0005-0000-0000-000061070000}"/>
    <cellStyle name="Moneda 2 4 3" xfId="931" xr:uid="{00000000-0005-0000-0000-000062070000}"/>
    <cellStyle name="Moneda 2 4 3 2" xfId="932" xr:uid="{00000000-0005-0000-0000-000063070000}"/>
    <cellStyle name="Moneda 2 4 3 2 2" xfId="933" xr:uid="{00000000-0005-0000-0000-000064070000}"/>
    <cellStyle name="Moneda 2 4 3 2 2 2" xfId="934" xr:uid="{00000000-0005-0000-0000-000065070000}"/>
    <cellStyle name="Moneda 2 4 3 2 2 2 2" xfId="935" xr:uid="{00000000-0005-0000-0000-000066070000}"/>
    <cellStyle name="Moneda 2 4 3 2 2 2 2 2" xfId="936" xr:uid="{00000000-0005-0000-0000-000067070000}"/>
    <cellStyle name="Moneda 2 4 3 2 2 2 2 2 2" xfId="937" xr:uid="{00000000-0005-0000-0000-000068070000}"/>
    <cellStyle name="Moneda 2 4 3 2 2 2 2 2 2 2" xfId="2440" xr:uid="{00000000-0005-0000-0000-000069070000}"/>
    <cellStyle name="Moneda 2 4 3 2 2 2 2 2 3" xfId="2439" xr:uid="{00000000-0005-0000-0000-00006A070000}"/>
    <cellStyle name="Moneda 2 4 3 2 2 2 2 3" xfId="938" xr:uid="{00000000-0005-0000-0000-00006B070000}"/>
    <cellStyle name="Moneda 2 4 3 2 2 2 2 3 2" xfId="2441" xr:uid="{00000000-0005-0000-0000-00006C070000}"/>
    <cellStyle name="Moneda 2 4 3 2 2 2 2 4" xfId="2438" xr:uid="{00000000-0005-0000-0000-00006D070000}"/>
    <cellStyle name="Moneda 2 4 3 2 2 2 3" xfId="939" xr:uid="{00000000-0005-0000-0000-00006E070000}"/>
    <cellStyle name="Moneda 2 4 3 2 2 2 3 2" xfId="940" xr:uid="{00000000-0005-0000-0000-00006F070000}"/>
    <cellStyle name="Moneda 2 4 3 2 2 2 3 2 2" xfId="2443" xr:uid="{00000000-0005-0000-0000-000070070000}"/>
    <cellStyle name="Moneda 2 4 3 2 2 2 3 3" xfId="2442" xr:uid="{00000000-0005-0000-0000-000071070000}"/>
    <cellStyle name="Moneda 2 4 3 2 2 2 4" xfId="941" xr:uid="{00000000-0005-0000-0000-000072070000}"/>
    <cellStyle name="Moneda 2 4 3 2 2 2 4 2" xfId="2444" xr:uid="{00000000-0005-0000-0000-000073070000}"/>
    <cellStyle name="Moneda 2 4 3 2 2 2 5" xfId="2437" xr:uid="{00000000-0005-0000-0000-000074070000}"/>
    <cellStyle name="Moneda 2 4 3 2 2 3" xfId="942" xr:uid="{00000000-0005-0000-0000-000075070000}"/>
    <cellStyle name="Moneda 2 4 3 2 2 3 2" xfId="943" xr:uid="{00000000-0005-0000-0000-000076070000}"/>
    <cellStyle name="Moneda 2 4 3 2 2 3 2 2" xfId="944" xr:uid="{00000000-0005-0000-0000-000077070000}"/>
    <cellStyle name="Moneda 2 4 3 2 2 3 2 2 2" xfId="2447" xr:uid="{00000000-0005-0000-0000-000078070000}"/>
    <cellStyle name="Moneda 2 4 3 2 2 3 2 3" xfId="2446" xr:uid="{00000000-0005-0000-0000-000079070000}"/>
    <cellStyle name="Moneda 2 4 3 2 2 3 3" xfId="945" xr:uid="{00000000-0005-0000-0000-00007A070000}"/>
    <cellStyle name="Moneda 2 4 3 2 2 3 3 2" xfId="2448" xr:uid="{00000000-0005-0000-0000-00007B070000}"/>
    <cellStyle name="Moneda 2 4 3 2 2 3 4" xfId="2445" xr:uid="{00000000-0005-0000-0000-00007C070000}"/>
    <cellStyle name="Moneda 2 4 3 2 2 4" xfId="946" xr:uid="{00000000-0005-0000-0000-00007D070000}"/>
    <cellStyle name="Moneda 2 4 3 2 2 4 2" xfId="947" xr:uid="{00000000-0005-0000-0000-00007E070000}"/>
    <cellStyle name="Moneda 2 4 3 2 2 4 2 2" xfId="2450" xr:uid="{00000000-0005-0000-0000-00007F070000}"/>
    <cellStyle name="Moneda 2 4 3 2 2 4 3" xfId="2449" xr:uid="{00000000-0005-0000-0000-000080070000}"/>
    <cellStyle name="Moneda 2 4 3 2 2 5" xfId="948" xr:uid="{00000000-0005-0000-0000-000081070000}"/>
    <cellStyle name="Moneda 2 4 3 2 2 5 2" xfId="2451" xr:uid="{00000000-0005-0000-0000-000082070000}"/>
    <cellStyle name="Moneda 2 4 3 2 2 6" xfId="2436" xr:uid="{00000000-0005-0000-0000-000083070000}"/>
    <cellStyle name="Moneda 2 4 3 2 3" xfId="949" xr:uid="{00000000-0005-0000-0000-000084070000}"/>
    <cellStyle name="Moneda 2 4 3 2 3 2" xfId="950" xr:uid="{00000000-0005-0000-0000-000085070000}"/>
    <cellStyle name="Moneda 2 4 3 2 3 2 2" xfId="951" xr:uid="{00000000-0005-0000-0000-000086070000}"/>
    <cellStyle name="Moneda 2 4 3 2 3 2 2 2" xfId="952" xr:uid="{00000000-0005-0000-0000-000087070000}"/>
    <cellStyle name="Moneda 2 4 3 2 3 2 2 2 2" xfId="2455" xr:uid="{00000000-0005-0000-0000-000088070000}"/>
    <cellStyle name="Moneda 2 4 3 2 3 2 2 3" xfId="2454" xr:uid="{00000000-0005-0000-0000-000089070000}"/>
    <cellStyle name="Moneda 2 4 3 2 3 2 3" xfId="953" xr:uid="{00000000-0005-0000-0000-00008A070000}"/>
    <cellStyle name="Moneda 2 4 3 2 3 2 3 2" xfId="2456" xr:uid="{00000000-0005-0000-0000-00008B070000}"/>
    <cellStyle name="Moneda 2 4 3 2 3 2 4" xfId="2453" xr:uid="{00000000-0005-0000-0000-00008C070000}"/>
    <cellStyle name="Moneda 2 4 3 2 3 3" xfId="954" xr:uid="{00000000-0005-0000-0000-00008D070000}"/>
    <cellStyle name="Moneda 2 4 3 2 3 3 2" xfId="955" xr:uid="{00000000-0005-0000-0000-00008E070000}"/>
    <cellStyle name="Moneda 2 4 3 2 3 3 2 2" xfId="2458" xr:uid="{00000000-0005-0000-0000-00008F070000}"/>
    <cellStyle name="Moneda 2 4 3 2 3 3 3" xfId="2457" xr:uid="{00000000-0005-0000-0000-000090070000}"/>
    <cellStyle name="Moneda 2 4 3 2 3 4" xfId="956" xr:uid="{00000000-0005-0000-0000-000091070000}"/>
    <cellStyle name="Moneda 2 4 3 2 3 4 2" xfId="2459" xr:uid="{00000000-0005-0000-0000-000092070000}"/>
    <cellStyle name="Moneda 2 4 3 2 3 5" xfId="2452" xr:uid="{00000000-0005-0000-0000-000093070000}"/>
    <cellStyle name="Moneda 2 4 3 2 4" xfId="957" xr:uid="{00000000-0005-0000-0000-000094070000}"/>
    <cellStyle name="Moneda 2 4 3 2 4 2" xfId="958" xr:uid="{00000000-0005-0000-0000-000095070000}"/>
    <cellStyle name="Moneda 2 4 3 2 4 2 2" xfId="959" xr:uid="{00000000-0005-0000-0000-000096070000}"/>
    <cellStyle name="Moneda 2 4 3 2 4 2 2 2" xfId="2462" xr:uid="{00000000-0005-0000-0000-000097070000}"/>
    <cellStyle name="Moneda 2 4 3 2 4 2 3" xfId="2461" xr:uid="{00000000-0005-0000-0000-000098070000}"/>
    <cellStyle name="Moneda 2 4 3 2 4 3" xfId="960" xr:uid="{00000000-0005-0000-0000-000099070000}"/>
    <cellStyle name="Moneda 2 4 3 2 4 3 2" xfId="2463" xr:uid="{00000000-0005-0000-0000-00009A070000}"/>
    <cellStyle name="Moneda 2 4 3 2 4 4" xfId="2460" xr:uid="{00000000-0005-0000-0000-00009B070000}"/>
    <cellStyle name="Moneda 2 4 3 2 5" xfId="961" xr:uid="{00000000-0005-0000-0000-00009C070000}"/>
    <cellStyle name="Moneda 2 4 3 2 5 2" xfId="962" xr:uid="{00000000-0005-0000-0000-00009D070000}"/>
    <cellStyle name="Moneda 2 4 3 2 5 2 2" xfId="2465" xr:uid="{00000000-0005-0000-0000-00009E070000}"/>
    <cellStyle name="Moneda 2 4 3 2 5 3" xfId="2464" xr:uid="{00000000-0005-0000-0000-00009F070000}"/>
    <cellStyle name="Moneda 2 4 3 2 6" xfId="963" xr:uid="{00000000-0005-0000-0000-0000A0070000}"/>
    <cellStyle name="Moneda 2 4 3 2 6 2" xfId="2466" xr:uid="{00000000-0005-0000-0000-0000A1070000}"/>
    <cellStyle name="Moneda 2 4 3 2 7" xfId="2435" xr:uid="{00000000-0005-0000-0000-0000A2070000}"/>
    <cellStyle name="Moneda 2 4 3 3" xfId="964" xr:uid="{00000000-0005-0000-0000-0000A3070000}"/>
    <cellStyle name="Moneda 2 4 3 3 2" xfId="965" xr:uid="{00000000-0005-0000-0000-0000A4070000}"/>
    <cellStyle name="Moneda 2 4 3 3 2 2" xfId="966" xr:uid="{00000000-0005-0000-0000-0000A5070000}"/>
    <cellStyle name="Moneda 2 4 3 3 2 2 2" xfId="967" xr:uid="{00000000-0005-0000-0000-0000A6070000}"/>
    <cellStyle name="Moneda 2 4 3 3 2 2 2 2" xfId="968" xr:uid="{00000000-0005-0000-0000-0000A7070000}"/>
    <cellStyle name="Moneda 2 4 3 3 2 2 2 2 2" xfId="2471" xr:uid="{00000000-0005-0000-0000-0000A8070000}"/>
    <cellStyle name="Moneda 2 4 3 3 2 2 2 3" xfId="2470" xr:uid="{00000000-0005-0000-0000-0000A9070000}"/>
    <cellStyle name="Moneda 2 4 3 3 2 2 3" xfId="969" xr:uid="{00000000-0005-0000-0000-0000AA070000}"/>
    <cellStyle name="Moneda 2 4 3 3 2 2 3 2" xfId="2472" xr:uid="{00000000-0005-0000-0000-0000AB070000}"/>
    <cellStyle name="Moneda 2 4 3 3 2 2 4" xfId="2469" xr:uid="{00000000-0005-0000-0000-0000AC070000}"/>
    <cellStyle name="Moneda 2 4 3 3 2 3" xfId="970" xr:uid="{00000000-0005-0000-0000-0000AD070000}"/>
    <cellStyle name="Moneda 2 4 3 3 2 3 2" xfId="971" xr:uid="{00000000-0005-0000-0000-0000AE070000}"/>
    <cellStyle name="Moneda 2 4 3 3 2 3 2 2" xfId="2474" xr:uid="{00000000-0005-0000-0000-0000AF070000}"/>
    <cellStyle name="Moneda 2 4 3 3 2 3 3" xfId="2473" xr:uid="{00000000-0005-0000-0000-0000B0070000}"/>
    <cellStyle name="Moneda 2 4 3 3 2 4" xfId="972" xr:uid="{00000000-0005-0000-0000-0000B1070000}"/>
    <cellStyle name="Moneda 2 4 3 3 2 4 2" xfId="2475" xr:uid="{00000000-0005-0000-0000-0000B2070000}"/>
    <cellStyle name="Moneda 2 4 3 3 2 5" xfId="2468" xr:uid="{00000000-0005-0000-0000-0000B3070000}"/>
    <cellStyle name="Moneda 2 4 3 3 3" xfId="973" xr:uid="{00000000-0005-0000-0000-0000B4070000}"/>
    <cellStyle name="Moneda 2 4 3 3 3 2" xfId="974" xr:uid="{00000000-0005-0000-0000-0000B5070000}"/>
    <cellStyle name="Moneda 2 4 3 3 3 2 2" xfId="975" xr:uid="{00000000-0005-0000-0000-0000B6070000}"/>
    <cellStyle name="Moneda 2 4 3 3 3 2 2 2" xfId="2478" xr:uid="{00000000-0005-0000-0000-0000B7070000}"/>
    <cellStyle name="Moneda 2 4 3 3 3 2 3" xfId="2477" xr:uid="{00000000-0005-0000-0000-0000B8070000}"/>
    <cellStyle name="Moneda 2 4 3 3 3 3" xfId="976" xr:uid="{00000000-0005-0000-0000-0000B9070000}"/>
    <cellStyle name="Moneda 2 4 3 3 3 3 2" xfId="2479" xr:uid="{00000000-0005-0000-0000-0000BA070000}"/>
    <cellStyle name="Moneda 2 4 3 3 3 4" xfId="2476" xr:uid="{00000000-0005-0000-0000-0000BB070000}"/>
    <cellStyle name="Moneda 2 4 3 3 4" xfId="977" xr:uid="{00000000-0005-0000-0000-0000BC070000}"/>
    <cellStyle name="Moneda 2 4 3 3 4 2" xfId="978" xr:uid="{00000000-0005-0000-0000-0000BD070000}"/>
    <cellStyle name="Moneda 2 4 3 3 4 2 2" xfId="2481" xr:uid="{00000000-0005-0000-0000-0000BE070000}"/>
    <cellStyle name="Moneda 2 4 3 3 4 3" xfId="2480" xr:uid="{00000000-0005-0000-0000-0000BF070000}"/>
    <cellStyle name="Moneda 2 4 3 3 5" xfId="979" xr:uid="{00000000-0005-0000-0000-0000C0070000}"/>
    <cellStyle name="Moneda 2 4 3 3 5 2" xfId="2482" xr:uid="{00000000-0005-0000-0000-0000C1070000}"/>
    <cellStyle name="Moneda 2 4 3 3 6" xfId="2467" xr:uid="{00000000-0005-0000-0000-0000C2070000}"/>
    <cellStyle name="Moneda 2 4 3 4" xfId="980" xr:uid="{00000000-0005-0000-0000-0000C3070000}"/>
    <cellStyle name="Moneda 2 4 3 4 2" xfId="981" xr:uid="{00000000-0005-0000-0000-0000C4070000}"/>
    <cellStyle name="Moneda 2 4 3 4 2 2" xfId="982" xr:uid="{00000000-0005-0000-0000-0000C5070000}"/>
    <cellStyle name="Moneda 2 4 3 4 2 2 2" xfId="983" xr:uid="{00000000-0005-0000-0000-0000C6070000}"/>
    <cellStyle name="Moneda 2 4 3 4 2 2 2 2" xfId="2486" xr:uid="{00000000-0005-0000-0000-0000C7070000}"/>
    <cellStyle name="Moneda 2 4 3 4 2 2 3" xfId="2485" xr:uid="{00000000-0005-0000-0000-0000C8070000}"/>
    <cellStyle name="Moneda 2 4 3 4 2 3" xfId="984" xr:uid="{00000000-0005-0000-0000-0000C9070000}"/>
    <cellStyle name="Moneda 2 4 3 4 2 3 2" xfId="2487" xr:uid="{00000000-0005-0000-0000-0000CA070000}"/>
    <cellStyle name="Moneda 2 4 3 4 2 4" xfId="2484" xr:uid="{00000000-0005-0000-0000-0000CB070000}"/>
    <cellStyle name="Moneda 2 4 3 4 3" xfId="985" xr:uid="{00000000-0005-0000-0000-0000CC070000}"/>
    <cellStyle name="Moneda 2 4 3 4 3 2" xfId="986" xr:uid="{00000000-0005-0000-0000-0000CD070000}"/>
    <cellStyle name="Moneda 2 4 3 4 3 2 2" xfId="2489" xr:uid="{00000000-0005-0000-0000-0000CE070000}"/>
    <cellStyle name="Moneda 2 4 3 4 3 3" xfId="2488" xr:uid="{00000000-0005-0000-0000-0000CF070000}"/>
    <cellStyle name="Moneda 2 4 3 4 4" xfId="987" xr:uid="{00000000-0005-0000-0000-0000D0070000}"/>
    <cellStyle name="Moneda 2 4 3 4 4 2" xfId="2490" xr:uid="{00000000-0005-0000-0000-0000D1070000}"/>
    <cellStyle name="Moneda 2 4 3 4 5" xfId="2483" xr:uid="{00000000-0005-0000-0000-0000D2070000}"/>
    <cellStyle name="Moneda 2 4 3 5" xfId="988" xr:uid="{00000000-0005-0000-0000-0000D3070000}"/>
    <cellStyle name="Moneda 2 4 3 5 2" xfId="989" xr:uid="{00000000-0005-0000-0000-0000D4070000}"/>
    <cellStyle name="Moneda 2 4 3 5 2 2" xfId="990" xr:uid="{00000000-0005-0000-0000-0000D5070000}"/>
    <cellStyle name="Moneda 2 4 3 5 2 2 2" xfId="2493" xr:uid="{00000000-0005-0000-0000-0000D6070000}"/>
    <cellStyle name="Moneda 2 4 3 5 2 3" xfId="2492" xr:uid="{00000000-0005-0000-0000-0000D7070000}"/>
    <cellStyle name="Moneda 2 4 3 5 3" xfId="991" xr:uid="{00000000-0005-0000-0000-0000D8070000}"/>
    <cellStyle name="Moneda 2 4 3 5 3 2" xfId="2494" xr:uid="{00000000-0005-0000-0000-0000D9070000}"/>
    <cellStyle name="Moneda 2 4 3 5 4" xfId="2491" xr:uid="{00000000-0005-0000-0000-0000DA070000}"/>
    <cellStyle name="Moneda 2 4 3 6" xfId="992" xr:uid="{00000000-0005-0000-0000-0000DB070000}"/>
    <cellStyle name="Moneda 2 4 3 6 2" xfId="993" xr:uid="{00000000-0005-0000-0000-0000DC070000}"/>
    <cellStyle name="Moneda 2 4 3 6 2 2" xfId="2496" xr:uid="{00000000-0005-0000-0000-0000DD070000}"/>
    <cellStyle name="Moneda 2 4 3 6 3" xfId="2495" xr:uid="{00000000-0005-0000-0000-0000DE070000}"/>
    <cellStyle name="Moneda 2 4 3 7" xfId="994" xr:uid="{00000000-0005-0000-0000-0000DF070000}"/>
    <cellStyle name="Moneda 2 4 3 7 2" xfId="2497" xr:uid="{00000000-0005-0000-0000-0000E0070000}"/>
    <cellStyle name="Moneda 2 4 3 8" xfId="995" xr:uid="{00000000-0005-0000-0000-0000E1070000}"/>
    <cellStyle name="Moneda 2 4 3 8 2" xfId="2498" xr:uid="{00000000-0005-0000-0000-0000E2070000}"/>
    <cellStyle name="Moneda 2 4 3 9" xfId="2434" xr:uid="{00000000-0005-0000-0000-0000E3070000}"/>
    <cellStyle name="Moneda 2 4 4" xfId="996" xr:uid="{00000000-0005-0000-0000-0000E4070000}"/>
    <cellStyle name="Moneda 2 4 4 2" xfId="997" xr:uid="{00000000-0005-0000-0000-0000E5070000}"/>
    <cellStyle name="Moneda 2 4 4 2 2" xfId="998" xr:uid="{00000000-0005-0000-0000-0000E6070000}"/>
    <cellStyle name="Moneda 2 4 4 2 2 2" xfId="999" xr:uid="{00000000-0005-0000-0000-0000E7070000}"/>
    <cellStyle name="Moneda 2 4 4 2 2 2 2" xfId="1000" xr:uid="{00000000-0005-0000-0000-0000E8070000}"/>
    <cellStyle name="Moneda 2 4 4 2 2 2 2 2" xfId="1001" xr:uid="{00000000-0005-0000-0000-0000E9070000}"/>
    <cellStyle name="Moneda 2 4 4 2 2 2 2 2 2" xfId="2504" xr:uid="{00000000-0005-0000-0000-0000EA070000}"/>
    <cellStyle name="Moneda 2 4 4 2 2 2 2 3" xfId="2503" xr:uid="{00000000-0005-0000-0000-0000EB070000}"/>
    <cellStyle name="Moneda 2 4 4 2 2 2 3" xfId="1002" xr:uid="{00000000-0005-0000-0000-0000EC070000}"/>
    <cellStyle name="Moneda 2 4 4 2 2 2 3 2" xfId="2505" xr:uid="{00000000-0005-0000-0000-0000ED070000}"/>
    <cellStyle name="Moneda 2 4 4 2 2 2 4" xfId="2502" xr:uid="{00000000-0005-0000-0000-0000EE070000}"/>
    <cellStyle name="Moneda 2 4 4 2 2 3" xfId="1003" xr:uid="{00000000-0005-0000-0000-0000EF070000}"/>
    <cellStyle name="Moneda 2 4 4 2 2 3 2" xfId="1004" xr:uid="{00000000-0005-0000-0000-0000F0070000}"/>
    <cellStyle name="Moneda 2 4 4 2 2 3 2 2" xfId="2507" xr:uid="{00000000-0005-0000-0000-0000F1070000}"/>
    <cellStyle name="Moneda 2 4 4 2 2 3 3" xfId="2506" xr:uid="{00000000-0005-0000-0000-0000F2070000}"/>
    <cellStyle name="Moneda 2 4 4 2 2 4" xfId="1005" xr:uid="{00000000-0005-0000-0000-0000F3070000}"/>
    <cellStyle name="Moneda 2 4 4 2 2 4 2" xfId="2508" xr:uid="{00000000-0005-0000-0000-0000F4070000}"/>
    <cellStyle name="Moneda 2 4 4 2 2 5" xfId="2501" xr:uid="{00000000-0005-0000-0000-0000F5070000}"/>
    <cellStyle name="Moneda 2 4 4 2 3" xfId="1006" xr:uid="{00000000-0005-0000-0000-0000F6070000}"/>
    <cellStyle name="Moneda 2 4 4 2 3 2" xfId="1007" xr:uid="{00000000-0005-0000-0000-0000F7070000}"/>
    <cellStyle name="Moneda 2 4 4 2 3 2 2" xfId="1008" xr:uid="{00000000-0005-0000-0000-0000F8070000}"/>
    <cellStyle name="Moneda 2 4 4 2 3 2 2 2" xfId="2511" xr:uid="{00000000-0005-0000-0000-0000F9070000}"/>
    <cellStyle name="Moneda 2 4 4 2 3 2 3" xfId="2510" xr:uid="{00000000-0005-0000-0000-0000FA070000}"/>
    <cellStyle name="Moneda 2 4 4 2 3 3" xfId="1009" xr:uid="{00000000-0005-0000-0000-0000FB070000}"/>
    <cellStyle name="Moneda 2 4 4 2 3 3 2" xfId="2512" xr:uid="{00000000-0005-0000-0000-0000FC070000}"/>
    <cellStyle name="Moneda 2 4 4 2 3 4" xfId="2509" xr:uid="{00000000-0005-0000-0000-0000FD070000}"/>
    <cellStyle name="Moneda 2 4 4 2 4" xfId="1010" xr:uid="{00000000-0005-0000-0000-0000FE070000}"/>
    <cellStyle name="Moneda 2 4 4 2 4 2" xfId="1011" xr:uid="{00000000-0005-0000-0000-0000FF070000}"/>
    <cellStyle name="Moneda 2 4 4 2 4 2 2" xfId="2514" xr:uid="{00000000-0005-0000-0000-000000080000}"/>
    <cellStyle name="Moneda 2 4 4 2 4 3" xfId="2513" xr:uid="{00000000-0005-0000-0000-000001080000}"/>
    <cellStyle name="Moneda 2 4 4 2 5" xfId="1012" xr:uid="{00000000-0005-0000-0000-000002080000}"/>
    <cellStyle name="Moneda 2 4 4 2 5 2" xfId="2515" xr:uid="{00000000-0005-0000-0000-000003080000}"/>
    <cellStyle name="Moneda 2 4 4 2 6" xfId="2500" xr:uid="{00000000-0005-0000-0000-000004080000}"/>
    <cellStyle name="Moneda 2 4 4 3" xfId="1013" xr:uid="{00000000-0005-0000-0000-000005080000}"/>
    <cellStyle name="Moneda 2 4 4 3 2" xfId="1014" xr:uid="{00000000-0005-0000-0000-000006080000}"/>
    <cellStyle name="Moneda 2 4 4 3 2 2" xfId="1015" xr:uid="{00000000-0005-0000-0000-000007080000}"/>
    <cellStyle name="Moneda 2 4 4 3 2 2 2" xfId="1016" xr:uid="{00000000-0005-0000-0000-000008080000}"/>
    <cellStyle name="Moneda 2 4 4 3 2 2 2 2" xfId="2519" xr:uid="{00000000-0005-0000-0000-000009080000}"/>
    <cellStyle name="Moneda 2 4 4 3 2 2 3" xfId="2518" xr:uid="{00000000-0005-0000-0000-00000A080000}"/>
    <cellStyle name="Moneda 2 4 4 3 2 3" xfId="1017" xr:uid="{00000000-0005-0000-0000-00000B080000}"/>
    <cellStyle name="Moneda 2 4 4 3 2 3 2" xfId="2520" xr:uid="{00000000-0005-0000-0000-00000C080000}"/>
    <cellStyle name="Moneda 2 4 4 3 2 4" xfId="2517" xr:uid="{00000000-0005-0000-0000-00000D080000}"/>
    <cellStyle name="Moneda 2 4 4 3 3" xfId="1018" xr:uid="{00000000-0005-0000-0000-00000E080000}"/>
    <cellStyle name="Moneda 2 4 4 3 3 2" xfId="1019" xr:uid="{00000000-0005-0000-0000-00000F080000}"/>
    <cellStyle name="Moneda 2 4 4 3 3 2 2" xfId="2522" xr:uid="{00000000-0005-0000-0000-000010080000}"/>
    <cellStyle name="Moneda 2 4 4 3 3 3" xfId="2521" xr:uid="{00000000-0005-0000-0000-000011080000}"/>
    <cellStyle name="Moneda 2 4 4 3 4" xfId="1020" xr:uid="{00000000-0005-0000-0000-000012080000}"/>
    <cellStyle name="Moneda 2 4 4 3 4 2" xfId="2523" xr:uid="{00000000-0005-0000-0000-000013080000}"/>
    <cellStyle name="Moneda 2 4 4 3 5" xfId="2516" xr:uid="{00000000-0005-0000-0000-000014080000}"/>
    <cellStyle name="Moneda 2 4 4 4" xfId="1021" xr:uid="{00000000-0005-0000-0000-000015080000}"/>
    <cellStyle name="Moneda 2 4 4 4 2" xfId="1022" xr:uid="{00000000-0005-0000-0000-000016080000}"/>
    <cellStyle name="Moneda 2 4 4 4 2 2" xfId="1023" xr:uid="{00000000-0005-0000-0000-000017080000}"/>
    <cellStyle name="Moneda 2 4 4 4 2 2 2" xfId="2526" xr:uid="{00000000-0005-0000-0000-000018080000}"/>
    <cellStyle name="Moneda 2 4 4 4 2 3" xfId="2525" xr:uid="{00000000-0005-0000-0000-000019080000}"/>
    <cellStyle name="Moneda 2 4 4 4 3" xfId="1024" xr:uid="{00000000-0005-0000-0000-00001A080000}"/>
    <cellStyle name="Moneda 2 4 4 4 3 2" xfId="2527" xr:uid="{00000000-0005-0000-0000-00001B080000}"/>
    <cellStyle name="Moneda 2 4 4 4 4" xfId="2524" xr:uid="{00000000-0005-0000-0000-00001C080000}"/>
    <cellStyle name="Moneda 2 4 4 5" xfId="1025" xr:uid="{00000000-0005-0000-0000-00001D080000}"/>
    <cellStyle name="Moneda 2 4 4 5 2" xfId="1026" xr:uid="{00000000-0005-0000-0000-00001E080000}"/>
    <cellStyle name="Moneda 2 4 4 5 2 2" xfId="2529" xr:uid="{00000000-0005-0000-0000-00001F080000}"/>
    <cellStyle name="Moneda 2 4 4 5 3" xfId="2528" xr:uid="{00000000-0005-0000-0000-000020080000}"/>
    <cellStyle name="Moneda 2 4 4 6" xfId="1027" xr:uid="{00000000-0005-0000-0000-000021080000}"/>
    <cellStyle name="Moneda 2 4 4 6 2" xfId="2530" xr:uid="{00000000-0005-0000-0000-000022080000}"/>
    <cellStyle name="Moneda 2 4 4 7" xfId="2499" xr:uid="{00000000-0005-0000-0000-000023080000}"/>
    <cellStyle name="Moneda 2 4 5" xfId="1028" xr:uid="{00000000-0005-0000-0000-000024080000}"/>
    <cellStyle name="Moneda 2 4 5 2" xfId="1029" xr:uid="{00000000-0005-0000-0000-000025080000}"/>
    <cellStyle name="Moneda 2 4 5 2 2" xfId="1030" xr:uid="{00000000-0005-0000-0000-000026080000}"/>
    <cellStyle name="Moneda 2 4 5 2 2 2" xfId="1031" xr:uid="{00000000-0005-0000-0000-000027080000}"/>
    <cellStyle name="Moneda 2 4 5 2 2 2 2" xfId="1032" xr:uid="{00000000-0005-0000-0000-000028080000}"/>
    <cellStyle name="Moneda 2 4 5 2 2 2 2 2" xfId="2535" xr:uid="{00000000-0005-0000-0000-000029080000}"/>
    <cellStyle name="Moneda 2 4 5 2 2 2 3" xfId="2534" xr:uid="{00000000-0005-0000-0000-00002A080000}"/>
    <cellStyle name="Moneda 2 4 5 2 2 3" xfId="1033" xr:uid="{00000000-0005-0000-0000-00002B080000}"/>
    <cellStyle name="Moneda 2 4 5 2 2 3 2" xfId="2536" xr:uid="{00000000-0005-0000-0000-00002C080000}"/>
    <cellStyle name="Moneda 2 4 5 2 2 4" xfId="2533" xr:uid="{00000000-0005-0000-0000-00002D080000}"/>
    <cellStyle name="Moneda 2 4 5 2 3" xfId="1034" xr:uid="{00000000-0005-0000-0000-00002E080000}"/>
    <cellStyle name="Moneda 2 4 5 2 3 2" xfId="1035" xr:uid="{00000000-0005-0000-0000-00002F080000}"/>
    <cellStyle name="Moneda 2 4 5 2 3 2 2" xfId="2538" xr:uid="{00000000-0005-0000-0000-000030080000}"/>
    <cellStyle name="Moneda 2 4 5 2 3 3" xfId="2537" xr:uid="{00000000-0005-0000-0000-000031080000}"/>
    <cellStyle name="Moneda 2 4 5 2 4" xfId="1036" xr:uid="{00000000-0005-0000-0000-000032080000}"/>
    <cellStyle name="Moneda 2 4 5 2 4 2" xfId="2539" xr:uid="{00000000-0005-0000-0000-000033080000}"/>
    <cellStyle name="Moneda 2 4 5 2 5" xfId="2532" xr:uid="{00000000-0005-0000-0000-000034080000}"/>
    <cellStyle name="Moneda 2 4 5 3" xfId="1037" xr:uid="{00000000-0005-0000-0000-000035080000}"/>
    <cellStyle name="Moneda 2 4 5 3 2" xfId="1038" xr:uid="{00000000-0005-0000-0000-000036080000}"/>
    <cellStyle name="Moneda 2 4 5 3 2 2" xfId="1039" xr:uid="{00000000-0005-0000-0000-000037080000}"/>
    <cellStyle name="Moneda 2 4 5 3 2 2 2" xfId="2542" xr:uid="{00000000-0005-0000-0000-000038080000}"/>
    <cellStyle name="Moneda 2 4 5 3 2 3" xfId="2541" xr:uid="{00000000-0005-0000-0000-000039080000}"/>
    <cellStyle name="Moneda 2 4 5 3 3" xfId="1040" xr:uid="{00000000-0005-0000-0000-00003A080000}"/>
    <cellStyle name="Moneda 2 4 5 3 3 2" xfId="2543" xr:uid="{00000000-0005-0000-0000-00003B080000}"/>
    <cellStyle name="Moneda 2 4 5 3 4" xfId="2540" xr:uid="{00000000-0005-0000-0000-00003C080000}"/>
    <cellStyle name="Moneda 2 4 5 4" xfId="1041" xr:uid="{00000000-0005-0000-0000-00003D080000}"/>
    <cellStyle name="Moneda 2 4 5 4 2" xfId="1042" xr:uid="{00000000-0005-0000-0000-00003E080000}"/>
    <cellStyle name="Moneda 2 4 5 4 2 2" xfId="2545" xr:uid="{00000000-0005-0000-0000-00003F080000}"/>
    <cellStyle name="Moneda 2 4 5 4 3" xfId="2544" xr:uid="{00000000-0005-0000-0000-000040080000}"/>
    <cellStyle name="Moneda 2 4 5 5" xfId="1043" xr:uid="{00000000-0005-0000-0000-000041080000}"/>
    <cellStyle name="Moneda 2 4 5 5 2" xfId="2546" xr:uid="{00000000-0005-0000-0000-000042080000}"/>
    <cellStyle name="Moneda 2 4 5 6" xfId="2531" xr:uid="{00000000-0005-0000-0000-000043080000}"/>
    <cellStyle name="Moneda 2 4 6" xfId="1044" xr:uid="{00000000-0005-0000-0000-000044080000}"/>
    <cellStyle name="Moneda 2 4 6 2" xfId="1045" xr:uid="{00000000-0005-0000-0000-000045080000}"/>
    <cellStyle name="Moneda 2 4 6 2 2" xfId="1046" xr:uid="{00000000-0005-0000-0000-000046080000}"/>
    <cellStyle name="Moneda 2 4 6 2 2 2" xfId="1047" xr:uid="{00000000-0005-0000-0000-000047080000}"/>
    <cellStyle name="Moneda 2 4 6 2 2 2 2" xfId="2550" xr:uid="{00000000-0005-0000-0000-000048080000}"/>
    <cellStyle name="Moneda 2 4 6 2 2 3" xfId="2549" xr:uid="{00000000-0005-0000-0000-000049080000}"/>
    <cellStyle name="Moneda 2 4 6 2 3" xfId="1048" xr:uid="{00000000-0005-0000-0000-00004A080000}"/>
    <cellStyle name="Moneda 2 4 6 2 3 2" xfId="2551" xr:uid="{00000000-0005-0000-0000-00004B080000}"/>
    <cellStyle name="Moneda 2 4 6 2 4" xfId="2548" xr:uid="{00000000-0005-0000-0000-00004C080000}"/>
    <cellStyle name="Moneda 2 4 6 3" xfId="1049" xr:uid="{00000000-0005-0000-0000-00004D080000}"/>
    <cellStyle name="Moneda 2 4 6 3 2" xfId="1050" xr:uid="{00000000-0005-0000-0000-00004E080000}"/>
    <cellStyle name="Moneda 2 4 6 3 2 2" xfId="2553" xr:uid="{00000000-0005-0000-0000-00004F080000}"/>
    <cellStyle name="Moneda 2 4 6 3 3" xfId="2552" xr:uid="{00000000-0005-0000-0000-000050080000}"/>
    <cellStyle name="Moneda 2 4 6 4" xfId="1051" xr:uid="{00000000-0005-0000-0000-000051080000}"/>
    <cellStyle name="Moneda 2 4 6 4 2" xfId="2554" xr:uid="{00000000-0005-0000-0000-000052080000}"/>
    <cellStyle name="Moneda 2 4 6 5" xfId="2547" xr:uid="{00000000-0005-0000-0000-000053080000}"/>
    <cellStyle name="Moneda 2 4 7" xfId="1052" xr:uid="{00000000-0005-0000-0000-000054080000}"/>
    <cellStyle name="Moneda 2 4 7 2" xfId="1053" xr:uid="{00000000-0005-0000-0000-000055080000}"/>
    <cellStyle name="Moneda 2 4 7 2 2" xfId="1054" xr:uid="{00000000-0005-0000-0000-000056080000}"/>
    <cellStyle name="Moneda 2 4 7 2 2 2" xfId="2557" xr:uid="{00000000-0005-0000-0000-000057080000}"/>
    <cellStyle name="Moneda 2 4 7 2 3" xfId="2556" xr:uid="{00000000-0005-0000-0000-000058080000}"/>
    <cellStyle name="Moneda 2 4 7 3" xfId="1055" xr:uid="{00000000-0005-0000-0000-000059080000}"/>
    <cellStyle name="Moneda 2 4 7 3 2" xfId="2558" xr:uid="{00000000-0005-0000-0000-00005A080000}"/>
    <cellStyle name="Moneda 2 4 7 4" xfId="2555" xr:uid="{00000000-0005-0000-0000-00005B080000}"/>
    <cellStyle name="Moneda 2 4 8" xfId="1056" xr:uid="{00000000-0005-0000-0000-00005C080000}"/>
    <cellStyle name="Moneda 2 4 8 2" xfId="1057" xr:uid="{00000000-0005-0000-0000-00005D080000}"/>
    <cellStyle name="Moneda 2 4 8 2 2" xfId="2560" xr:uid="{00000000-0005-0000-0000-00005E080000}"/>
    <cellStyle name="Moneda 2 4 8 3" xfId="2559" xr:uid="{00000000-0005-0000-0000-00005F080000}"/>
    <cellStyle name="Moneda 2 4 9" xfId="1058" xr:uid="{00000000-0005-0000-0000-000060080000}"/>
    <cellStyle name="Moneda 2 4 9 2" xfId="2561" xr:uid="{00000000-0005-0000-0000-000061080000}"/>
    <cellStyle name="Moneda 2 5" xfId="1059" xr:uid="{00000000-0005-0000-0000-000062080000}"/>
    <cellStyle name="Moneda 2 5 10" xfId="1060" xr:uid="{00000000-0005-0000-0000-000063080000}"/>
    <cellStyle name="Moneda 2 5 10 2" xfId="2563" xr:uid="{00000000-0005-0000-0000-000064080000}"/>
    <cellStyle name="Moneda 2 5 11" xfId="2562" xr:uid="{00000000-0005-0000-0000-000065080000}"/>
    <cellStyle name="Moneda 2 5 2" xfId="1061" xr:uid="{00000000-0005-0000-0000-000066080000}"/>
    <cellStyle name="Moneda 2 5 2 2" xfId="1062" xr:uid="{00000000-0005-0000-0000-000067080000}"/>
    <cellStyle name="Moneda 2 5 2 2 2" xfId="1063" xr:uid="{00000000-0005-0000-0000-000068080000}"/>
    <cellStyle name="Moneda 2 5 2 2 2 2" xfId="1064" xr:uid="{00000000-0005-0000-0000-000069080000}"/>
    <cellStyle name="Moneda 2 5 2 2 2 2 2" xfId="1065" xr:uid="{00000000-0005-0000-0000-00006A080000}"/>
    <cellStyle name="Moneda 2 5 2 2 2 2 2 2" xfId="1066" xr:uid="{00000000-0005-0000-0000-00006B080000}"/>
    <cellStyle name="Moneda 2 5 2 2 2 2 2 2 2" xfId="1067" xr:uid="{00000000-0005-0000-0000-00006C080000}"/>
    <cellStyle name="Moneda 2 5 2 2 2 2 2 2 2 2" xfId="2570" xr:uid="{00000000-0005-0000-0000-00006D080000}"/>
    <cellStyle name="Moneda 2 5 2 2 2 2 2 2 3" xfId="2569" xr:uid="{00000000-0005-0000-0000-00006E080000}"/>
    <cellStyle name="Moneda 2 5 2 2 2 2 2 3" xfId="1068" xr:uid="{00000000-0005-0000-0000-00006F080000}"/>
    <cellStyle name="Moneda 2 5 2 2 2 2 2 3 2" xfId="2571" xr:uid="{00000000-0005-0000-0000-000070080000}"/>
    <cellStyle name="Moneda 2 5 2 2 2 2 2 4" xfId="2568" xr:uid="{00000000-0005-0000-0000-000071080000}"/>
    <cellStyle name="Moneda 2 5 2 2 2 2 3" xfId="1069" xr:uid="{00000000-0005-0000-0000-000072080000}"/>
    <cellStyle name="Moneda 2 5 2 2 2 2 3 2" xfId="1070" xr:uid="{00000000-0005-0000-0000-000073080000}"/>
    <cellStyle name="Moneda 2 5 2 2 2 2 3 2 2" xfId="2573" xr:uid="{00000000-0005-0000-0000-000074080000}"/>
    <cellStyle name="Moneda 2 5 2 2 2 2 3 3" xfId="2572" xr:uid="{00000000-0005-0000-0000-000075080000}"/>
    <cellStyle name="Moneda 2 5 2 2 2 2 4" xfId="1071" xr:uid="{00000000-0005-0000-0000-000076080000}"/>
    <cellStyle name="Moneda 2 5 2 2 2 2 4 2" xfId="2574" xr:uid="{00000000-0005-0000-0000-000077080000}"/>
    <cellStyle name="Moneda 2 5 2 2 2 2 5" xfId="2567" xr:uid="{00000000-0005-0000-0000-000078080000}"/>
    <cellStyle name="Moneda 2 5 2 2 2 3" xfId="1072" xr:uid="{00000000-0005-0000-0000-000079080000}"/>
    <cellStyle name="Moneda 2 5 2 2 2 3 2" xfId="1073" xr:uid="{00000000-0005-0000-0000-00007A080000}"/>
    <cellStyle name="Moneda 2 5 2 2 2 3 2 2" xfId="1074" xr:uid="{00000000-0005-0000-0000-00007B080000}"/>
    <cellStyle name="Moneda 2 5 2 2 2 3 2 2 2" xfId="2577" xr:uid="{00000000-0005-0000-0000-00007C080000}"/>
    <cellStyle name="Moneda 2 5 2 2 2 3 2 3" xfId="2576" xr:uid="{00000000-0005-0000-0000-00007D080000}"/>
    <cellStyle name="Moneda 2 5 2 2 2 3 3" xfId="1075" xr:uid="{00000000-0005-0000-0000-00007E080000}"/>
    <cellStyle name="Moneda 2 5 2 2 2 3 3 2" xfId="2578" xr:uid="{00000000-0005-0000-0000-00007F080000}"/>
    <cellStyle name="Moneda 2 5 2 2 2 3 4" xfId="2575" xr:uid="{00000000-0005-0000-0000-000080080000}"/>
    <cellStyle name="Moneda 2 5 2 2 2 4" xfId="1076" xr:uid="{00000000-0005-0000-0000-000081080000}"/>
    <cellStyle name="Moneda 2 5 2 2 2 4 2" xfId="1077" xr:uid="{00000000-0005-0000-0000-000082080000}"/>
    <cellStyle name="Moneda 2 5 2 2 2 4 2 2" xfId="2580" xr:uid="{00000000-0005-0000-0000-000083080000}"/>
    <cellStyle name="Moneda 2 5 2 2 2 4 3" xfId="2579" xr:uid="{00000000-0005-0000-0000-000084080000}"/>
    <cellStyle name="Moneda 2 5 2 2 2 5" xfId="1078" xr:uid="{00000000-0005-0000-0000-000085080000}"/>
    <cellStyle name="Moneda 2 5 2 2 2 5 2" xfId="2581" xr:uid="{00000000-0005-0000-0000-000086080000}"/>
    <cellStyle name="Moneda 2 5 2 2 2 6" xfId="2566" xr:uid="{00000000-0005-0000-0000-000087080000}"/>
    <cellStyle name="Moneda 2 5 2 2 3" xfId="1079" xr:uid="{00000000-0005-0000-0000-000088080000}"/>
    <cellStyle name="Moneda 2 5 2 2 3 2" xfId="1080" xr:uid="{00000000-0005-0000-0000-000089080000}"/>
    <cellStyle name="Moneda 2 5 2 2 3 2 2" xfId="1081" xr:uid="{00000000-0005-0000-0000-00008A080000}"/>
    <cellStyle name="Moneda 2 5 2 2 3 2 2 2" xfId="1082" xr:uid="{00000000-0005-0000-0000-00008B080000}"/>
    <cellStyle name="Moneda 2 5 2 2 3 2 2 2 2" xfId="2585" xr:uid="{00000000-0005-0000-0000-00008C080000}"/>
    <cellStyle name="Moneda 2 5 2 2 3 2 2 3" xfId="2584" xr:uid="{00000000-0005-0000-0000-00008D080000}"/>
    <cellStyle name="Moneda 2 5 2 2 3 2 3" xfId="1083" xr:uid="{00000000-0005-0000-0000-00008E080000}"/>
    <cellStyle name="Moneda 2 5 2 2 3 2 3 2" xfId="2586" xr:uid="{00000000-0005-0000-0000-00008F080000}"/>
    <cellStyle name="Moneda 2 5 2 2 3 2 4" xfId="2583" xr:uid="{00000000-0005-0000-0000-000090080000}"/>
    <cellStyle name="Moneda 2 5 2 2 3 3" xfId="1084" xr:uid="{00000000-0005-0000-0000-000091080000}"/>
    <cellStyle name="Moneda 2 5 2 2 3 3 2" xfId="1085" xr:uid="{00000000-0005-0000-0000-000092080000}"/>
    <cellStyle name="Moneda 2 5 2 2 3 3 2 2" xfId="2588" xr:uid="{00000000-0005-0000-0000-000093080000}"/>
    <cellStyle name="Moneda 2 5 2 2 3 3 3" xfId="2587" xr:uid="{00000000-0005-0000-0000-000094080000}"/>
    <cellStyle name="Moneda 2 5 2 2 3 4" xfId="1086" xr:uid="{00000000-0005-0000-0000-000095080000}"/>
    <cellStyle name="Moneda 2 5 2 2 3 4 2" xfId="2589" xr:uid="{00000000-0005-0000-0000-000096080000}"/>
    <cellStyle name="Moneda 2 5 2 2 3 5" xfId="2582" xr:uid="{00000000-0005-0000-0000-000097080000}"/>
    <cellStyle name="Moneda 2 5 2 2 4" xfId="1087" xr:uid="{00000000-0005-0000-0000-000098080000}"/>
    <cellStyle name="Moneda 2 5 2 2 4 2" xfId="1088" xr:uid="{00000000-0005-0000-0000-000099080000}"/>
    <cellStyle name="Moneda 2 5 2 2 4 2 2" xfId="1089" xr:uid="{00000000-0005-0000-0000-00009A080000}"/>
    <cellStyle name="Moneda 2 5 2 2 4 2 2 2" xfId="2592" xr:uid="{00000000-0005-0000-0000-00009B080000}"/>
    <cellStyle name="Moneda 2 5 2 2 4 2 3" xfId="2591" xr:uid="{00000000-0005-0000-0000-00009C080000}"/>
    <cellStyle name="Moneda 2 5 2 2 4 3" xfId="1090" xr:uid="{00000000-0005-0000-0000-00009D080000}"/>
    <cellStyle name="Moneda 2 5 2 2 4 3 2" xfId="2593" xr:uid="{00000000-0005-0000-0000-00009E080000}"/>
    <cellStyle name="Moneda 2 5 2 2 4 4" xfId="2590" xr:uid="{00000000-0005-0000-0000-00009F080000}"/>
    <cellStyle name="Moneda 2 5 2 2 5" xfId="1091" xr:uid="{00000000-0005-0000-0000-0000A0080000}"/>
    <cellStyle name="Moneda 2 5 2 2 5 2" xfId="1092" xr:uid="{00000000-0005-0000-0000-0000A1080000}"/>
    <cellStyle name="Moneda 2 5 2 2 5 2 2" xfId="2595" xr:uid="{00000000-0005-0000-0000-0000A2080000}"/>
    <cellStyle name="Moneda 2 5 2 2 5 3" xfId="2594" xr:uid="{00000000-0005-0000-0000-0000A3080000}"/>
    <cellStyle name="Moneda 2 5 2 2 6" xfId="1093" xr:uid="{00000000-0005-0000-0000-0000A4080000}"/>
    <cellStyle name="Moneda 2 5 2 2 6 2" xfId="2596" xr:uid="{00000000-0005-0000-0000-0000A5080000}"/>
    <cellStyle name="Moneda 2 5 2 2 7" xfId="2565" xr:uid="{00000000-0005-0000-0000-0000A6080000}"/>
    <cellStyle name="Moneda 2 5 2 3" xfId="1094" xr:uid="{00000000-0005-0000-0000-0000A7080000}"/>
    <cellStyle name="Moneda 2 5 2 3 2" xfId="1095" xr:uid="{00000000-0005-0000-0000-0000A8080000}"/>
    <cellStyle name="Moneda 2 5 2 3 2 2" xfId="1096" xr:uid="{00000000-0005-0000-0000-0000A9080000}"/>
    <cellStyle name="Moneda 2 5 2 3 2 2 2" xfId="1097" xr:uid="{00000000-0005-0000-0000-0000AA080000}"/>
    <cellStyle name="Moneda 2 5 2 3 2 2 2 2" xfId="1098" xr:uid="{00000000-0005-0000-0000-0000AB080000}"/>
    <cellStyle name="Moneda 2 5 2 3 2 2 2 2 2" xfId="2601" xr:uid="{00000000-0005-0000-0000-0000AC080000}"/>
    <cellStyle name="Moneda 2 5 2 3 2 2 2 3" xfId="2600" xr:uid="{00000000-0005-0000-0000-0000AD080000}"/>
    <cellStyle name="Moneda 2 5 2 3 2 2 3" xfId="1099" xr:uid="{00000000-0005-0000-0000-0000AE080000}"/>
    <cellStyle name="Moneda 2 5 2 3 2 2 3 2" xfId="2602" xr:uid="{00000000-0005-0000-0000-0000AF080000}"/>
    <cellStyle name="Moneda 2 5 2 3 2 2 4" xfId="2599" xr:uid="{00000000-0005-0000-0000-0000B0080000}"/>
    <cellStyle name="Moneda 2 5 2 3 2 3" xfId="1100" xr:uid="{00000000-0005-0000-0000-0000B1080000}"/>
    <cellStyle name="Moneda 2 5 2 3 2 3 2" xfId="1101" xr:uid="{00000000-0005-0000-0000-0000B2080000}"/>
    <cellStyle name="Moneda 2 5 2 3 2 3 2 2" xfId="2604" xr:uid="{00000000-0005-0000-0000-0000B3080000}"/>
    <cellStyle name="Moneda 2 5 2 3 2 3 3" xfId="2603" xr:uid="{00000000-0005-0000-0000-0000B4080000}"/>
    <cellStyle name="Moneda 2 5 2 3 2 4" xfId="1102" xr:uid="{00000000-0005-0000-0000-0000B5080000}"/>
    <cellStyle name="Moneda 2 5 2 3 2 4 2" xfId="2605" xr:uid="{00000000-0005-0000-0000-0000B6080000}"/>
    <cellStyle name="Moneda 2 5 2 3 2 5" xfId="2598" xr:uid="{00000000-0005-0000-0000-0000B7080000}"/>
    <cellStyle name="Moneda 2 5 2 3 3" xfId="1103" xr:uid="{00000000-0005-0000-0000-0000B8080000}"/>
    <cellStyle name="Moneda 2 5 2 3 3 2" xfId="1104" xr:uid="{00000000-0005-0000-0000-0000B9080000}"/>
    <cellStyle name="Moneda 2 5 2 3 3 2 2" xfId="1105" xr:uid="{00000000-0005-0000-0000-0000BA080000}"/>
    <cellStyle name="Moneda 2 5 2 3 3 2 2 2" xfId="2608" xr:uid="{00000000-0005-0000-0000-0000BB080000}"/>
    <cellStyle name="Moneda 2 5 2 3 3 2 3" xfId="2607" xr:uid="{00000000-0005-0000-0000-0000BC080000}"/>
    <cellStyle name="Moneda 2 5 2 3 3 3" xfId="1106" xr:uid="{00000000-0005-0000-0000-0000BD080000}"/>
    <cellStyle name="Moneda 2 5 2 3 3 3 2" xfId="2609" xr:uid="{00000000-0005-0000-0000-0000BE080000}"/>
    <cellStyle name="Moneda 2 5 2 3 3 4" xfId="2606" xr:uid="{00000000-0005-0000-0000-0000BF080000}"/>
    <cellStyle name="Moneda 2 5 2 3 4" xfId="1107" xr:uid="{00000000-0005-0000-0000-0000C0080000}"/>
    <cellStyle name="Moneda 2 5 2 3 4 2" xfId="1108" xr:uid="{00000000-0005-0000-0000-0000C1080000}"/>
    <cellStyle name="Moneda 2 5 2 3 4 2 2" xfId="2611" xr:uid="{00000000-0005-0000-0000-0000C2080000}"/>
    <cellStyle name="Moneda 2 5 2 3 4 3" xfId="2610" xr:uid="{00000000-0005-0000-0000-0000C3080000}"/>
    <cellStyle name="Moneda 2 5 2 3 5" xfId="1109" xr:uid="{00000000-0005-0000-0000-0000C4080000}"/>
    <cellStyle name="Moneda 2 5 2 3 5 2" xfId="2612" xr:uid="{00000000-0005-0000-0000-0000C5080000}"/>
    <cellStyle name="Moneda 2 5 2 3 6" xfId="2597" xr:uid="{00000000-0005-0000-0000-0000C6080000}"/>
    <cellStyle name="Moneda 2 5 2 4" xfId="1110" xr:uid="{00000000-0005-0000-0000-0000C7080000}"/>
    <cellStyle name="Moneda 2 5 2 4 2" xfId="1111" xr:uid="{00000000-0005-0000-0000-0000C8080000}"/>
    <cellStyle name="Moneda 2 5 2 4 2 2" xfId="1112" xr:uid="{00000000-0005-0000-0000-0000C9080000}"/>
    <cellStyle name="Moneda 2 5 2 4 2 2 2" xfId="1113" xr:uid="{00000000-0005-0000-0000-0000CA080000}"/>
    <cellStyle name="Moneda 2 5 2 4 2 2 2 2" xfId="2616" xr:uid="{00000000-0005-0000-0000-0000CB080000}"/>
    <cellStyle name="Moneda 2 5 2 4 2 2 3" xfId="2615" xr:uid="{00000000-0005-0000-0000-0000CC080000}"/>
    <cellStyle name="Moneda 2 5 2 4 2 3" xfId="1114" xr:uid="{00000000-0005-0000-0000-0000CD080000}"/>
    <cellStyle name="Moneda 2 5 2 4 2 3 2" xfId="2617" xr:uid="{00000000-0005-0000-0000-0000CE080000}"/>
    <cellStyle name="Moneda 2 5 2 4 2 4" xfId="2614" xr:uid="{00000000-0005-0000-0000-0000CF080000}"/>
    <cellStyle name="Moneda 2 5 2 4 3" xfId="1115" xr:uid="{00000000-0005-0000-0000-0000D0080000}"/>
    <cellStyle name="Moneda 2 5 2 4 3 2" xfId="1116" xr:uid="{00000000-0005-0000-0000-0000D1080000}"/>
    <cellStyle name="Moneda 2 5 2 4 3 2 2" xfId="2619" xr:uid="{00000000-0005-0000-0000-0000D2080000}"/>
    <cellStyle name="Moneda 2 5 2 4 3 3" xfId="2618" xr:uid="{00000000-0005-0000-0000-0000D3080000}"/>
    <cellStyle name="Moneda 2 5 2 4 4" xfId="1117" xr:uid="{00000000-0005-0000-0000-0000D4080000}"/>
    <cellStyle name="Moneda 2 5 2 4 4 2" xfId="2620" xr:uid="{00000000-0005-0000-0000-0000D5080000}"/>
    <cellStyle name="Moneda 2 5 2 4 5" xfId="2613" xr:uid="{00000000-0005-0000-0000-0000D6080000}"/>
    <cellStyle name="Moneda 2 5 2 5" xfId="1118" xr:uid="{00000000-0005-0000-0000-0000D7080000}"/>
    <cellStyle name="Moneda 2 5 2 5 2" xfId="1119" xr:uid="{00000000-0005-0000-0000-0000D8080000}"/>
    <cellStyle name="Moneda 2 5 2 5 2 2" xfId="1120" xr:uid="{00000000-0005-0000-0000-0000D9080000}"/>
    <cellStyle name="Moneda 2 5 2 5 2 2 2" xfId="2623" xr:uid="{00000000-0005-0000-0000-0000DA080000}"/>
    <cellStyle name="Moneda 2 5 2 5 2 3" xfId="2622" xr:uid="{00000000-0005-0000-0000-0000DB080000}"/>
    <cellStyle name="Moneda 2 5 2 5 3" xfId="1121" xr:uid="{00000000-0005-0000-0000-0000DC080000}"/>
    <cellStyle name="Moneda 2 5 2 5 3 2" xfId="2624" xr:uid="{00000000-0005-0000-0000-0000DD080000}"/>
    <cellStyle name="Moneda 2 5 2 5 4" xfId="2621" xr:uid="{00000000-0005-0000-0000-0000DE080000}"/>
    <cellStyle name="Moneda 2 5 2 6" xfId="1122" xr:uid="{00000000-0005-0000-0000-0000DF080000}"/>
    <cellStyle name="Moneda 2 5 2 6 2" xfId="1123" xr:uid="{00000000-0005-0000-0000-0000E0080000}"/>
    <cellStyle name="Moneda 2 5 2 6 2 2" xfId="2626" xr:uid="{00000000-0005-0000-0000-0000E1080000}"/>
    <cellStyle name="Moneda 2 5 2 6 3" xfId="2625" xr:uid="{00000000-0005-0000-0000-0000E2080000}"/>
    <cellStyle name="Moneda 2 5 2 7" xfId="1124" xr:uid="{00000000-0005-0000-0000-0000E3080000}"/>
    <cellStyle name="Moneda 2 5 2 7 2" xfId="2627" xr:uid="{00000000-0005-0000-0000-0000E4080000}"/>
    <cellStyle name="Moneda 2 5 2 8" xfId="1125" xr:uid="{00000000-0005-0000-0000-0000E5080000}"/>
    <cellStyle name="Moneda 2 5 2 8 2" xfId="2628" xr:uid="{00000000-0005-0000-0000-0000E6080000}"/>
    <cellStyle name="Moneda 2 5 2 9" xfId="2564" xr:uid="{00000000-0005-0000-0000-0000E7080000}"/>
    <cellStyle name="Moneda 2 5 3" xfId="1126" xr:uid="{00000000-0005-0000-0000-0000E8080000}"/>
    <cellStyle name="Moneda 2 5 3 2" xfId="1127" xr:uid="{00000000-0005-0000-0000-0000E9080000}"/>
    <cellStyle name="Moneda 2 5 3 2 2" xfId="1128" xr:uid="{00000000-0005-0000-0000-0000EA080000}"/>
    <cellStyle name="Moneda 2 5 3 2 2 2" xfId="1129" xr:uid="{00000000-0005-0000-0000-0000EB080000}"/>
    <cellStyle name="Moneda 2 5 3 2 2 2 2" xfId="1130" xr:uid="{00000000-0005-0000-0000-0000EC080000}"/>
    <cellStyle name="Moneda 2 5 3 2 2 2 2 2" xfId="1131" xr:uid="{00000000-0005-0000-0000-0000ED080000}"/>
    <cellStyle name="Moneda 2 5 3 2 2 2 2 2 2" xfId="1132" xr:uid="{00000000-0005-0000-0000-0000EE080000}"/>
    <cellStyle name="Moneda 2 5 3 2 2 2 2 2 2 2" xfId="2635" xr:uid="{00000000-0005-0000-0000-0000EF080000}"/>
    <cellStyle name="Moneda 2 5 3 2 2 2 2 2 3" xfId="2634" xr:uid="{00000000-0005-0000-0000-0000F0080000}"/>
    <cellStyle name="Moneda 2 5 3 2 2 2 2 3" xfId="1133" xr:uid="{00000000-0005-0000-0000-0000F1080000}"/>
    <cellStyle name="Moneda 2 5 3 2 2 2 2 3 2" xfId="2636" xr:uid="{00000000-0005-0000-0000-0000F2080000}"/>
    <cellStyle name="Moneda 2 5 3 2 2 2 2 4" xfId="2633" xr:uid="{00000000-0005-0000-0000-0000F3080000}"/>
    <cellStyle name="Moneda 2 5 3 2 2 2 3" xfId="1134" xr:uid="{00000000-0005-0000-0000-0000F4080000}"/>
    <cellStyle name="Moneda 2 5 3 2 2 2 3 2" xfId="1135" xr:uid="{00000000-0005-0000-0000-0000F5080000}"/>
    <cellStyle name="Moneda 2 5 3 2 2 2 3 2 2" xfId="2638" xr:uid="{00000000-0005-0000-0000-0000F6080000}"/>
    <cellStyle name="Moneda 2 5 3 2 2 2 3 3" xfId="2637" xr:uid="{00000000-0005-0000-0000-0000F7080000}"/>
    <cellStyle name="Moneda 2 5 3 2 2 2 4" xfId="1136" xr:uid="{00000000-0005-0000-0000-0000F8080000}"/>
    <cellStyle name="Moneda 2 5 3 2 2 2 4 2" xfId="2639" xr:uid="{00000000-0005-0000-0000-0000F9080000}"/>
    <cellStyle name="Moneda 2 5 3 2 2 2 5" xfId="2632" xr:uid="{00000000-0005-0000-0000-0000FA080000}"/>
    <cellStyle name="Moneda 2 5 3 2 2 3" xfId="1137" xr:uid="{00000000-0005-0000-0000-0000FB080000}"/>
    <cellStyle name="Moneda 2 5 3 2 2 3 2" xfId="1138" xr:uid="{00000000-0005-0000-0000-0000FC080000}"/>
    <cellStyle name="Moneda 2 5 3 2 2 3 2 2" xfId="1139" xr:uid="{00000000-0005-0000-0000-0000FD080000}"/>
    <cellStyle name="Moneda 2 5 3 2 2 3 2 2 2" xfId="2642" xr:uid="{00000000-0005-0000-0000-0000FE080000}"/>
    <cellStyle name="Moneda 2 5 3 2 2 3 2 3" xfId="2641" xr:uid="{00000000-0005-0000-0000-0000FF080000}"/>
    <cellStyle name="Moneda 2 5 3 2 2 3 3" xfId="1140" xr:uid="{00000000-0005-0000-0000-000000090000}"/>
    <cellStyle name="Moneda 2 5 3 2 2 3 3 2" xfId="2643" xr:uid="{00000000-0005-0000-0000-000001090000}"/>
    <cellStyle name="Moneda 2 5 3 2 2 3 4" xfId="2640" xr:uid="{00000000-0005-0000-0000-000002090000}"/>
    <cellStyle name="Moneda 2 5 3 2 2 4" xfId="1141" xr:uid="{00000000-0005-0000-0000-000003090000}"/>
    <cellStyle name="Moneda 2 5 3 2 2 4 2" xfId="1142" xr:uid="{00000000-0005-0000-0000-000004090000}"/>
    <cellStyle name="Moneda 2 5 3 2 2 4 2 2" xfId="2645" xr:uid="{00000000-0005-0000-0000-000005090000}"/>
    <cellStyle name="Moneda 2 5 3 2 2 4 3" xfId="2644" xr:uid="{00000000-0005-0000-0000-000006090000}"/>
    <cellStyle name="Moneda 2 5 3 2 2 5" xfId="1143" xr:uid="{00000000-0005-0000-0000-000007090000}"/>
    <cellStyle name="Moneda 2 5 3 2 2 5 2" xfId="2646" xr:uid="{00000000-0005-0000-0000-000008090000}"/>
    <cellStyle name="Moneda 2 5 3 2 2 6" xfId="2631" xr:uid="{00000000-0005-0000-0000-000009090000}"/>
    <cellStyle name="Moneda 2 5 3 2 3" xfId="1144" xr:uid="{00000000-0005-0000-0000-00000A090000}"/>
    <cellStyle name="Moneda 2 5 3 2 3 2" xfId="1145" xr:uid="{00000000-0005-0000-0000-00000B090000}"/>
    <cellStyle name="Moneda 2 5 3 2 3 2 2" xfId="1146" xr:uid="{00000000-0005-0000-0000-00000C090000}"/>
    <cellStyle name="Moneda 2 5 3 2 3 2 2 2" xfId="1147" xr:uid="{00000000-0005-0000-0000-00000D090000}"/>
    <cellStyle name="Moneda 2 5 3 2 3 2 2 2 2" xfId="2650" xr:uid="{00000000-0005-0000-0000-00000E090000}"/>
    <cellStyle name="Moneda 2 5 3 2 3 2 2 3" xfId="2649" xr:uid="{00000000-0005-0000-0000-00000F090000}"/>
    <cellStyle name="Moneda 2 5 3 2 3 2 3" xfId="1148" xr:uid="{00000000-0005-0000-0000-000010090000}"/>
    <cellStyle name="Moneda 2 5 3 2 3 2 3 2" xfId="2651" xr:uid="{00000000-0005-0000-0000-000011090000}"/>
    <cellStyle name="Moneda 2 5 3 2 3 2 4" xfId="2648" xr:uid="{00000000-0005-0000-0000-000012090000}"/>
    <cellStyle name="Moneda 2 5 3 2 3 3" xfId="1149" xr:uid="{00000000-0005-0000-0000-000013090000}"/>
    <cellStyle name="Moneda 2 5 3 2 3 3 2" xfId="1150" xr:uid="{00000000-0005-0000-0000-000014090000}"/>
    <cellStyle name="Moneda 2 5 3 2 3 3 2 2" xfId="2653" xr:uid="{00000000-0005-0000-0000-000015090000}"/>
    <cellStyle name="Moneda 2 5 3 2 3 3 3" xfId="2652" xr:uid="{00000000-0005-0000-0000-000016090000}"/>
    <cellStyle name="Moneda 2 5 3 2 3 4" xfId="1151" xr:uid="{00000000-0005-0000-0000-000017090000}"/>
    <cellStyle name="Moneda 2 5 3 2 3 4 2" xfId="2654" xr:uid="{00000000-0005-0000-0000-000018090000}"/>
    <cellStyle name="Moneda 2 5 3 2 3 5" xfId="2647" xr:uid="{00000000-0005-0000-0000-000019090000}"/>
    <cellStyle name="Moneda 2 5 3 2 4" xfId="1152" xr:uid="{00000000-0005-0000-0000-00001A090000}"/>
    <cellStyle name="Moneda 2 5 3 2 4 2" xfId="1153" xr:uid="{00000000-0005-0000-0000-00001B090000}"/>
    <cellStyle name="Moneda 2 5 3 2 4 2 2" xfId="1154" xr:uid="{00000000-0005-0000-0000-00001C090000}"/>
    <cellStyle name="Moneda 2 5 3 2 4 2 2 2" xfId="2657" xr:uid="{00000000-0005-0000-0000-00001D090000}"/>
    <cellStyle name="Moneda 2 5 3 2 4 2 3" xfId="2656" xr:uid="{00000000-0005-0000-0000-00001E090000}"/>
    <cellStyle name="Moneda 2 5 3 2 4 3" xfId="1155" xr:uid="{00000000-0005-0000-0000-00001F090000}"/>
    <cellStyle name="Moneda 2 5 3 2 4 3 2" xfId="2658" xr:uid="{00000000-0005-0000-0000-000020090000}"/>
    <cellStyle name="Moneda 2 5 3 2 4 4" xfId="2655" xr:uid="{00000000-0005-0000-0000-000021090000}"/>
    <cellStyle name="Moneda 2 5 3 2 5" xfId="1156" xr:uid="{00000000-0005-0000-0000-000022090000}"/>
    <cellStyle name="Moneda 2 5 3 2 5 2" xfId="1157" xr:uid="{00000000-0005-0000-0000-000023090000}"/>
    <cellStyle name="Moneda 2 5 3 2 5 2 2" xfId="2660" xr:uid="{00000000-0005-0000-0000-000024090000}"/>
    <cellStyle name="Moneda 2 5 3 2 5 3" xfId="2659" xr:uid="{00000000-0005-0000-0000-000025090000}"/>
    <cellStyle name="Moneda 2 5 3 2 6" xfId="1158" xr:uid="{00000000-0005-0000-0000-000026090000}"/>
    <cellStyle name="Moneda 2 5 3 2 6 2" xfId="2661" xr:uid="{00000000-0005-0000-0000-000027090000}"/>
    <cellStyle name="Moneda 2 5 3 2 7" xfId="2630" xr:uid="{00000000-0005-0000-0000-000028090000}"/>
    <cellStyle name="Moneda 2 5 3 3" xfId="1159" xr:uid="{00000000-0005-0000-0000-000029090000}"/>
    <cellStyle name="Moneda 2 5 3 3 2" xfId="1160" xr:uid="{00000000-0005-0000-0000-00002A090000}"/>
    <cellStyle name="Moneda 2 5 3 3 2 2" xfId="1161" xr:uid="{00000000-0005-0000-0000-00002B090000}"/>
    <cellStyle name="Moneda 2 5 3 3 2 2 2" xfId="1162" xr:uid="{00000000-0005-0000-0000-00002C090000}"/>
    <cellStyle name="Moneda 2 5 3 3 2 2 2 2" xfId="1163" xr:uid="{00000000-0005-0000-0000-00002D090000}"/>
    <cellStyle name="Moneda 2 5 3 3 2 2 2 2 2" xfId="2666" xr:uid="{00000000-0005-0000-0000-00002E090000}"/>
    <cellStyle name="Moneda 2 5 3 3 2 2 2 3" xfId="2665" xr:uid="{00000000-0005-0000-0000-00002F090000}"/>
    <cellStyle name="Moneda 2 5 3 3 2 2 3" xfId="1164" xr:uid="{00000000-0005-0000-0000-000030090000}"/>
    <cellStyle name="Moneda 2 5 3 3 2 2 3 2" xfId="2667" xr:uid="{00000000-0005-0000-0000-000031090000}"/>
    <cellStyle name="Moneda 2 5 3 3 2 2 4" xfId="2664" xr:uid="{00000000-0005-0000-0000-000032090000}"/>
    <cellStyle name="Moneda 2 5 3 3 2 3" xfId="1165" xr:uid="{00000000-0005-0000-0000-000033090000}"/>
    <cellStyle name="Moneda 2 5 3 3 2 3 2" xfId="1166" xr:uid="{00000000-0005-0000-0000-000034090000}"/>
    <cellStyle name="Moneda 2 5 3 3 2 3 2 2" xfId="2669" xr:uid="{00000000-0005-0000-0000-000035090000}"/>
    <cellStyle name="Moneda 2 5 3 3 2 3 3" xfId="2668" xr:uid="{00000000-0005-0000-0000-000036090000}"/>
    <cellStyle name="Moneda 2 5 3 3 2 4" xfId="1167" xr:uid="{00000000-0005-0000-0000-000037090000}"/>
    <cellStyle name="Moneda 2 5 3 3 2 4 2" xfId="2670" xr:uid="{00000000-0005-0000-0000-000038090000}"/>
    <cellStyle name="Moneda 2 5 3 3 2 5" xfId="2663" xr:uid="{00000000-0005-0000-0000-000039090000}"/>
    <cellStyle name="Moneda 2 5 3 3 3" xfId="1168" xr:uid="{00000000-0005-0000-0000-00003A090000}"/>
    <cellStyle name="Moneda 2 5 3 3 3 2" xfId="1169" xr:uid="{00000000-0005-0000-0000-00003B090000}"/>
    <cellStyle name="Moneda 2 5 3 3 3 2 2" xfId="1170" xr:uid="{00000000-0005-0000-0000-00003C090000}"/>
    <cellStyle name="Moneda 2 5 3 3 3 2 2 2" xfId="2673" xr:uid="{00000000-0005-0000-0000-00003D090000}"/>
    <cellStyle name="Moneda 2 5 3 3 3 2 3" xfId="2672" xr:uid="{00000000-0005-0000-0000-00003E090000}"/>
    <cellStyle name="Moneda 2 5 3 3 3 3" xfId="1171" xr:uid="{00000000-0005-0000-0000-00003F090000}"/>
    <cellStyle name="Moneda 2 5 3 3 3 3 2" xfId="2674" xr:uid="{00000000-0005-0000-0000-000040090000}"/>
    <cellStyle name="Moneda 2 5 3 3 3 4" xfId="2671" xr:uid="{00000000-0005-0000-0000-000041090000}"/>
    <cellStyle name="Moneda 2 5 3 3 4" xfId="1172" xr:uid="{00000000-0005-0000-0000-000042090000}"/>
    <cellStyle name="Moneda 2 5 3 3 4 2" xfId="1173" xr:uid="{00000000-0005-0000-0000-000043090000}"/>
    <cellStyle name="Moneda 2 5 3 3 4 2 2" xfId="2676" xr:uid="{00000000-0005-0000-0000-000044090000}"/>
    <cellStyle name="Moneda 2 5 3 3 4 3" xfId="2675" xr:uid="{00000000-0005-0000-0000-000045090000}"/>
    <cellStyle name="Moneda 2 5 3 3 5" xfId="1174" xr:uid="{00000000-0005-0000-0000-000046090000}"/>
    <cellStyle name="Moneda 2 5 3 3 5 2" xfId="2677" xr:uid="{00000000-0005-0000-0000-000047090000}"/>
    <cellStyle name="Moneda 2 5 3 3 6" xfId="2662" xr:uid="{00000000-0005-0000-0000-000048090000}"/>
    <cellStyle name="Moneda 2 5 3 4" xfId="1175" xr:uid="{00000000-0005-0000-0000-000049090000}"/>
    <cellStyle name="Moneda 2 5 3 4 2" xfId="1176" xr:uid="{00000000-0005-0000-0000-00004A090000}"/>
    <cellStyle name="Moneda 2 5 3 4 2 2" xfId="1177" xr:uid="{00000000-0005-0000-0000-00004B090000}"/>
    <cellStyle name="Moneda 2 5 3 4 2 2 2" xfId="1178" xr:uid="{00000000-0005-0000-0000-00004C090000}"/>
    <cellStyle name="Moneda 2 5 3 4 2 2 2 2" xfId="2681" xr:uid="{00000000-0005-0000-0000-00004D090000}"/>
    <cellStyle name="Moneda 2 5 3 4 2 2 3" xfId="2680" xr:uid="{00000000-0005-0000-0000-00004E090000}"/>
    <cellStyle name="Moneda 2 5 3 4 2 3" xfId="1179" xr:uid="{00000000-0005-0000-0000-00004F090000}"/>
    <cellStyle name="Moneda 2 5 3 4 2 3 2" xfId="2682" xr:uid="{00000000-0005-0000-0000-000050090000}"/>
    <cellStyle name="Moneda 2 5 3 4 2 4" xfId="2679" xr:uid="{00000000-0005-0000-0000-000051090000}"/>
    <cellStyle name="Moneda 2 5 3 4 3" xfId="1180" xr:uid="{00000000-0005-0000-0000-000052090000}"/>
    <cellStyle name="Moneda 2 5 3 4 3 2" xfId="1181" xr:uid="{00000000-0005-0000-0000-000053090000}"/>
    <cellStyle name="Moneda 2 5 3 4 3 2 2" xfId="2684" xr:uid="{00000000-0005-0000-0000-000054090000}"/>
    <cellStyle name="Moneda 2 5 3 4 3 3" xfId="2683" xr:uid="{00000000-0005-0000-0000-000055090000}"/>
    <cellStyle name="Moneda 2 5 3 4 4" xfId="1182" xr:uid="{00000000-0005-0000-0000-000056090000}"/>
    <cellStyle name="Moneda 2 5 3 4 4 2" xfId="2685" xr:uid="{00000000-0005-0000-0000-000057090000}"/>
    <cellStyle name="Moneda 2 5 3 4 5" xfId="2678" xr:uid="{00000000-0005-0000-0000-000058090000}"/>
    <cellStyle name="Moneda 2 5 3 5" xfId="1183" xr:uid="{00000000-0005-0000-0000-000059090000}"/>
    <cellStyle name="Moneda 2 5 3 5 2" xfId="1184" xr:uid="{00000000-0005-0000-0000-00005A090000}"/>
    <cellStyle name="Moneda 2 5 3 5 2 2" xfId="1185" xr:uid="{00000000-0005-0000-0000-00005B090000}"/>
    <cellStyle name="Moneda 2 5 3 5 2 2 2" xfId="2688" xr:uid="{00000000-0005-0000-0000-00005C090000}"/>
    <cellStyle name="Moneda 2 5 3 5 2 3" xfId="2687" xr:uid="{00000000-0005-0000-0000-00005D090000}"/>
    <cellStyle name="Moneda 2 5 3 5 3" xfId="1186" xr:uid="{00000000-0005-0000-0000-00005E090000}"/>
    <cellStyle name="Moneda 2 5 3 5 3 2" xfId="2689" xr:uid="{00000000-0005-0000-0000-00005F090000}"/>
    <cellStyle name="Moneda 2 5 3 5 4" xfId="2686" xr:uid="{00000000-0005-0000-0000-000060090000}"/>
    <cellStyle name="Moneda 2 5 3 6" xfId="1187" xr:uid="{00000000-0005-0000-0000-000061090000}"/>
    <cellStyle name="Moneda 2 5 3 6 2" xfId="1188" xr:uid="{00000000-0005-0000-0000-000062090000}"/>
    <cellStyle name="Moneda 2 5 3 6 2 2" xfId="2691" xr:uid="{00000000-0005-0000-0000-000063090000}"/>
    <cellStyle name="Moneda 2 5 3 6 3" xfId="2690" xr:uid="{00000000-0005-0000-0000-000064090000}"/>
    <cellStyle name="Moneda 2 5 3 7" xfId="1189" xr:uid="{00000000-0005-0000-0000-000065090000}"/>
    <cellStyle name="Moneda 2 5 3 7 2" xfId="2692" xr:uid="{00000000-0005-0000-0000-000066090000}"/>
    <cellStyle name="Moneda 2 5 3 8" xfId="1190" xr:uid="{00000000-0005-0000-0000-000067090000}"/>
    <cellStyle name="Moneda 2 5 3 8 2" xfId="2693" xr:uid="{00000000-0005-0000-0000-000068090000}"/>
    <cellStyle name="Moneda 2 5 3 9" xfId="2629" xr:uid="{00000000-0005-0000-0000-000069090000}"/>
    <cellStyle name="Moneda 2 5 4" xfId="1191" xr:uid="{00000000-0005-0000-0000-00006A090000}"/>
    <cellStyle name="Moneda 2 5 4 2" xfId="1192" xr:uid="{00000000-0005-0000-0000-00006B090000}"/>
    <cellStyle name="Moneda 2 5 4 2 2" xfId="1193" xr:uid="{00000000-0005-0000-0000-00006C090000}"/>
    <cellStyle name="Moneda 2 5 4 2 2 2" xfId="1194" xr:uid="{00000000-0005-0000-0000-00006D090000}"/>
    <cellStyle name="Moneda 2 5 4 2 2 2 2" xfId="1195" xr:uid="{00000000-0005-0000-0000-00006E090000}"/>
    <cellStyle name="Moneda 2 5 4 2 2 2 2 2" xfId="1196" xr:uid="{00000000-0005-0000-0000-00006F090000}"/>
    <cellStyle name="Moneda 2 5 4 2 2 2 2 2 2" xfId="2699" xr:uid="{00000000-0005-0000-0000-000070090000}"/>
    <cellStyle name="Moneda 2 5 4 2 2 2 2 3" xfId="2698" xr:uid="{00000000-0005-0000-0000-000071090000}"/>
    <cellStyle name="Moneda 2 5 4 2 2 2 3" xfId="1197" xr:uid="{00000000-0005-0000-0000-000072090000}"/>
    <cellStyle name="Moneda 2 5 4 2 2 2 3 2" xfId="2700" xr:uid="{00000000-0005-0000-0000-000073090000}"/>
    <cellStyle name="Moneda 2 5 4 2 2 2 4" xfId="2697" xr:uid="{00000000-0005-0000-0000-000074090000}"/>
    <cellStyle name="Moneda 2 5 4 2 2 3" xfId="1198" xr:uid="{00000000-0005-0000-0000-000075090000}"/>
    <cellStyle name="Moneda 2 5 4 2 2 3 2" xfId="1199" xr:uid="{00000000-0005-0000-0000-000076090000}"/>
    <cellStyle name="Moneda 2 5 4 2 2 3 2 2" xfId="2702" xr:uid="{00000000-0005-0000-0000-000077090000}"/>
    <cellStyle name="Moneda 2 5 4 2 2 3 3" xfId="2701" xr:uid="{00000000-0005-0000-0000-000078090000}"/>
    <cellStyle name="Moneda 2 5 4 2 2 4" xfId="1200" xr:uid="{00000000-0005-0000-0000-000079090000}"/>
    <cellStyle name="Moneda 2 5 4 2 2 4 2" xfId="2703" xr:uid="{00000000-0005-0000-0000-00007A090000}"/>
    <cellStyle name="Moneda 2 5 4 2 2 5" xfId="2696" xr:uid="{00000000-0005-0000-0000-00007B090000}"/>
    <cellStyle name="Moneda 2 5 4 2 3" xfId="1201" xr:uid="{00000000-0005-0000-0000-00007C090000}"/>
    <cellStyle name="Moneda 2 5 4 2 3 2" xfId="1202" xr:uid="{00000000-0005-0000-0000-00007D090000}"/>
    <cellStyle name="Moneda 2 5 4 2 3 2 2" xfId="1203" xr:uid="{00000000-0005-0000-0000-00007E090000}"/>
    <cellStyle name="Moneda 2 5 4 2 3 2 2 2" xfId="2706" xr:uid="{00000000-0005-0000-0000-00007F090000}"/>
    <cellStyle name="Moneda 2 5 4 2 3 2 3" xfId="2705" xr:uid="{00000000-0005-0000-0000-000080090000}"/>
    <cellStyle name="Moneda 2 5 4 2 3 3" xfId="1204" xr:uid="{00000000-0005-0000-0000-000081090000}"/>
    <cellStyle name="Moneda 2 5 4 2 3 3 2" xfId="2707" xr:uid="{00000000-0005-0000-0000-000082090000}"/>
    <cellStyle name="Moneda 2 5 4 2 3 4" xfId="2704" xr:uid="{00000000-0005-0000-0000-000083090000}"/>
    <cellStyle name="Moneda 2 5 4 2 4" xfId="1205" xr:uid="{00000000-0005-0000-0000-000084090000}"/>
    <cellStyle name="Moneda 2 5 4 2 4 2" xfId="1206" xr:uid="{00000000-0005-0000-0000-000085090000}"/>
    <cellStyle name="Moneda 2 5 4 2 4 2 2" xfId="2709" xr:uid="{00000000-0005-0000-0000-000086090000}"/>
    <cellStyle name="Moneda 2 5 4 2 4 3" xfId="2708" xr:uid="{00000000-0005-0000-0000-000087090000}"/>
    <cellStyle name="Moneda 2 5 4 2 5" xfId="1207" xr:uid="{00000000-0005-0000-0000-000088090000}"/>
    <cellStyle name="Moneda 2 5 4 2 5 2" xfId="2710" xr:uid="{00000000-0005-0000-0000-000089090000}"/>
    <cellStyle name="Moneda 2 5 4 2 6" xfId="2695" xr:uid="{00000000-0005-0000-0000-00008A090000}"/>
    <cellStyle name="Moneda 2 5 4 3" xfId="1208" xr:uid="{00000000-0005-0000-0000-00008B090000}"/>
    <cellStyle name="Moneda 2 5 4 3 2" xfId="1209" xr:uid="{00000000-0005-0000-0000-00008C090000}"/>
    <cellStyle name="Moneda 2 5 4 3 2 2" xfId="1210" xr:uid="{00000000-0005-0000-0000-00008D090000}"/>
    <cellStyle name="Moneda 2 5 4 3 2 2 2" xfId="1211" xr:uid="{00000000-0005-0000-0000-00008E090000}"/>
    <cellStyle name="Moneda 2 5 4 3 2 2 2 2" xfId="2714" xr:uid="{00000000-0005-0000-0000-00008F090000}"/>
    <cellStyle name="Moneda 2 5 4 3 2 2 3" xfId="2713" xr:uid="{00000000-0005-0000-0000-000090090000}"/>
    <cellStyle name="Moneda 2 5 4 3 2 3" xfId="1212" xr:uid="{00000000-0005-0000-0000-000091090000}"/>
    <cellStyle name="Moneda 2 5 4 3 2 3 2" xfId="2715" xr:uid="{00000000-0005-0000-0000-000092090000}"/>
    <cellStyle name="Moneda 2 5 4 3 2 4" xfId="2712" xr:uid="{00000000-0005-0000-0000-000093090000}"/>
    <cellStyle name="Moneda 2 5 4 3 3" xfId="1213" xr:uid="{00000000-0005-0000-0000-000094090000}"/>
    <cellStyle name="Moneda 2 5 4 3 3 2" xfId="1214" xr:uid="{00000000-0005-0000-0000-000095090000}"/>
    <cellStyle name="Moneda 2 5 4 3 3 2 2" xfId="2717" xr:uid="{00000000-0005-0000-0000-000096090000}"/>
    <cellStyle name="Moneda 2 5 4 3 3 3" xfId="2716" xr:uid="{00000000-0005-0000-0000-000097090000}"/>
    <cellStyle name="Moneda 2 5 4 3 4" xfId="1215" xr:uid="{00000000-0005-0000-0000-000098090000}"/>
    <cellStyle name="Moneda 2 5 4 3 4 2" xfId="2718" xr:uid="{00000000-0005-0000-0000-000099090000}"/>
    <cellStyle name="Moneda 2 5 4 3 5" xfId="2711" xr:uid="{00000000-0005-0000-0000-00009A090000}"/>
    <cellStyle name="Moneda 2 5 4 4" xfId="1216" xr:uid="{00000000-0005-0000-0000-00009B090000}"/>
    <cellStyle name="Moneda 2 5 4 4 2" xfId="1217" xr:uid="{00000000-0005-0000-0000-00009C090000}"/>
    <cellStyle name="Moneda 2 5 4 4 2 2" xfId="1218" xr:uid="{00000000-0005-0000-0000-00009D090000}"/>
    <cellStyle name="Moneda 2 5 4 4 2 2 2" xfId="2721" xr:uid="{00000000-0005-0000-0000-00009E090000}"/>
    <cellStyle name="Moneda 2 5 4 4 2 3" xfId="2720" xr:uid="{00000000-0005-0000-0000-00009F090000}"/>
    <cellStyle name="Moneda 2 5 4 4 3" xfId="1219" xr:uid="{00000000-0005-0000-0000-0000A0090000}"/>
    <cellStyle name="Moneda 2 5 4 4 3 2" xfId="2722" xr:uid="{00000000-0005-0000-0000-0000A1090000}"/>
    <cellStyle name="Moneda 2 5 4 4 4" xfId="2719" xr:uid="{00000000-0005-0000-0000-0000A2090000}"/>
    <cellStyle name="Moneda 2 5 4 5" xfId="1220" xr:uid="{00000000-0005-0000-0000-0000A3090000}"/>
    <cellStyle name="Moneda 2 5 4 5 2" xfId="1221" xr:uid="{00000000-0005-0000-0000-0000A4090000}"/>
    <cellStyle name="Moneda 2 5 4 5 2 2" xfId="2724" xr:uid="{00000000-0005-0000-0000-0000A5090000}"/>
    <cellStyle name="Moneda 2 5 4 5 3" xfId="2723" xr:uid="{00000000-0005-0000-0000-0000A6090000}"/>
    <cellStyle name="Moneda 2 5 4 6" xfId="1222" xr:uid="{00000000-0005-0000-0000-0000A7090000}"/>
    <cellStyle name="Moneda 2 5 4 6 2" xfId="2725" xr:uid="{00000000-0005-0000-0000-0000A8090000}"/>
    <cellStyle name="Moneda 2 5 4 7" xfId="2694" xr:uid="{00000000-0005-0000-0000-0000A9090000}"/>
    <cellStyle name="Moneda 2 5 5" xfId="1223" xr:uid="{00000000-0005-0000-0000-0000AA090000}"/>
    <cellStyle name="Moneda 2 5 5 2" xfId="1224" xr:uid="{00000000-0005-0000-0000-0000AB090000}"/>
    <cellStyle name="Moneda 2 5 5 2 2" xfId="1225" xr:uid="{00000000-0005-0000-0000-0000AC090000}"/>
    <cellStyle name="Moneda 2 5 5 2 2 2" xfId="1226" xr:uid="{00000000-0005-0000-0000-0000AD090000}"/>
    <cellStyle name="Moneda 2 5 5 2 2 2 2" xfId="1227" xr:uid="{00000000-0005-0000-0000-0000AE090000}"/>
    <cellStyle name="Moneda 2 5 5 2 2 2 2 2" xfId="2730" xr:uid="{00000000-0005-0000-0000-0000AF090000}"/>
    <cellStyle name="Moneda 2 5 5 2 2 2 3" xfId="2729" xr:uid="{00000000-0005-0000-0000-0000B0090000}"/>
    <cellStyle name="Moneda 2 5 5 2 2 3" xfId="1228" xr:uid="{00000000-0005-0000-0000-0000B1090000}"/>
    <cellStyle name="Moneda 2 5 5 2 2 3 2" xfId="2731" xr:uid="{00000000-0005-0000-0000-0000B2090000}"/>
    <cellStyle name="Moneda 2 5 5 2 2 4" xfId="2728" xr:uid="{00000000-0005-0000-0000-0000B3090000}"/>
    <cellStyle name="Moneda 2 5 5 2 3" xfId="1229" xr:uid="{00000000-0005-0000-0000-0000B4090000}"/>
    <cellStyle name="Moneda 2 5 5 2 3 2" xfId="1230" xr:uid="{00000000-0005-0000-0000-0000B5090000}"/>
    <cellStyle name="Moneda 2 5 5 2 3 2 2" xfId="2733" xr:uid="{00000000-0005-0000-0000-0000B6090000}"/>
    <cellStyle name="Moneda 2 5 5 2 3 3" xfId="2732" xr:uid="{00000000-0005-0000-0000-0000B7090000}"/>
    <cellStyle name="Moneda 2 5 5 2 4" xfId="1231" xr:uid="{00000000-0005-0000-0000-0000B8090000}"/>
    <cellStyle name="Moneda 2 5 5 2 4 2" xfId="2734" xr:uid="{00000000-0005-0000-0000-0000B9090000}"/>
    <cellStyle name="Moneda 2 5 5 2 5" xfId="2727" xr:uid="{00000000-0005-0000-0000-0000BA090000}"/>
    <cellStyle name="Moneda 2 5 5 3" xfId="1232" xr:uid="{00000000-0005-0000-0000-0000BB090000}"/>
    <cellStyle name="Moneda 2 5 5 3 2" xfId="1233" xr:uid="{00000000-0005-0000-0000-0000BC090000}"/>
    <cellStyle name="Moneda 2 5 5 3 2 2" xfId="1234" xr:uid="{00000000-0005-0000-0000-0000BD090000}"/>
    <cellStyle name="Moneda 2 5 5 3 2 2 2" xfId="2737" xr:uid="{00000000-0005-0000-0000-0000BE090000}"/>
    <cellStyle name="Moneda 2 5 5 3 2 3" xfId="2736" xr:uid="{00000000-0005-0000-0000-0000BF090000}"/>
    <cellStyle name="Moneda 2 5 5 3 3" xfId="1235" xr:uid="{00000000-0005-0000-0000-0000C0090000}"/>
    <cellStyle name="Moneda 2 5 5 3 3 2" xfId="2738" xr:uid="{00000000-0005-0000-0000-0000C1090000}"/>
    <cellStyle name="Moneda 2 5 5 3 4" xfId="2735" xr:uid="{00000000-0005-0000-0000-0000C2090000}"/>
    <cellStyle name="Moneda 2 5 5 4" xfId="1236" xr:uid="{00000000-0005-0000-0000-0000C3090000}"/>
    <cellStyle name="Moneda 2 5 5 4 2" xfId="1237" xr:uid="{00000000-0005-0000-0000-0000C4090000}"/>
    <cellStyle name="Moneda 2 5 5 4 2 2" xfId="2740" xr:uid="{00000000-0005-0000-0000-0000C5090000}"/>
    <cellStyle name="Moneda 2 5 5 4 3" xfId="2739" xr:uid="{00000000-0005-0000-0000-0000C6090000}"/>
    <cellStyle name="Moneda 2 5 5 5" xfId="1238" xr:uid="{00000000-0005-0000-0000-0000C7090000}"/>
    <cellStyle name="Moneda 2 5 5 5 2" xfId="2741" xr:uid="{00000000-0005-0000-0000-0000C8090000}"/>
    <cellStyle name="Moneda 2 5 5 6" xfId="2726" xr:uid="{00000000-0005-0000-0000-0000C9090000}"/>
    <cellStyle name="Moneda 2 5 6" xfId="1239" xr:uid="{00000000-0005-0000-0000-0000CA090000}"/>
    <cellStyle name="Moneda 2 5 6 2" xfId="1240" xr:uid="{00000000-0005-0000-0000-0000CB090000}"/>
    <cellStyle name="Moneda 2 5 6 2 2" xfId="1241" xr:uid="{00000000-0005-0000-0000-0000CC090000}"/>
    <cellStyle name="Moneda 2 5 6 2 2 2" xfId="1242" xr:uid="{00000000-0005-0000-0000-0000CD090000}"/>
    <cellStyle name="Moneda 2 5 6 2 2 2 2" xfId="2745" xr:uid="{00000000-0005-0000-0000-0000CE090000}"/>
    <cellStyle name="Moneda 2 5 6 2 2 3" xfId="2744" xr:uid="{00000000-0005-0000-0000-0000CF090000}"/>
    <cellStyle name="Moneda 2 5 6 2 3" xfId="1243" xr:uid="{00000000-0005-0000-0000-0000D0090000}"/>
    <cellStyle name="Moneda 2 5 6 2 3 2" xfId="2746" xr:uid="{00000000-0005-0000-0000-0000D1090000}"/>
    <cellStyle name="Moneda 2 5 6 2 4" xfId="2743" xr:uid="{00000000-0005-0000-0000-0000D2090000}"/>
    <cellStyle name="Moneda 2 5 6 3" xfId="1244" xr:uid="{00000000-0005-0000-0000-0000D3090000}"/>
    <cellStyle name="Moneda 2 5 6 3 2" xfId="1245" xr:uid="{00000000-0005-0000-0000-0000D4090000}"/>
    <cellStyle name="Moneda 2 5 6 3 2 2" xfId="2748" xr:uid="{00000000-0005-0000-0000-0000D5090000}"/>
    <cellStyle name="Moneda 2 5 6 3 3" xfId="2747" xr:uid="{00000000-0005-0000-0000-0000D6090000}"/>
    <cellStyle name="Moneda 2 5 6 4" xfId="1246" xr:uid="{00000000-0005-0000-0000-0000D7090000}"/>
    <cellStyle name="Moneda 2 5 6 4 2" xfId="2749" xr:uid="{00000000-0005-0000-0000-0000D8090000}"/>
    <cellStyle name="Moneda 2 5 6 5" xfId="2742" xr:uid="{00000000-0005-0000-0000-0000D9090000}"/>
    <cellStyle name="Moneda 2 5 7" xfId="1247" xr:uid="{00000000-0005-0000-0000-0000DA090000}"/>
    <cellStyle name="Moneda 2 5 7 2" xfId="1248" xr:uid="{00000000-0005-0000-0000-0000DB090000}"/>
    <cellStyle name="Moneda 2 5 7 2 2" xfId="1249" xr:uid="{00000000-0005-0000-0000-0000DC090000}"/>
    <cellStyle name="Moneda 2 5 7 2 2 2" xfId="2752" xr:uid="{00000000-0005-0000-0000-0000DD090000}"/>
    <cellStyle name="Moneda 2 5 7 2 3" xfId="2751" xr:uid="{00000000-0005-0000-0000-0000DE090000}"/>
    <cellStyle name="Moneda 2 5 7 3" xfId="1250" xr:uid="{00000000-0005-0000-0000-0000DF090000}"/>
    <cellStyle name="Moneda 2 5 7 3 2" xfId="2753" xr:uid="{00000000-0005-0000-0000-0000E0090000}"/>
    <cellStyle name="Moneda 2 5 7 4" xfId="2750" xr:uid="{00000000-0005-0000-0000-0000E1090000}"/>
    <cellStyle name="Moneda 2 5 8" xfId="1251" xr:uid="{00000000-0005-0000-0000-0000E2090000}"/>
    <cellStyle name="Moneda 2 5 8 2" xfId="1252" xr:uid="{00000000-0005-0000-0000-0000E3090000}"/>
    <cellStyle name="Moneda 2 5 8 2 2" xfId="2755" xr:uid="{00000000-0005-0000-0000-0000E4090000}"/>
    <cellStyle name="Moneda 2 5 8 3" xfId="2754" xr:uid="{00000000-0005-0000-0000-0000E5090000}"/>
    <cellStyle name="Moneda 2 5 9" xfId="1253" xr:uid="{00000000-0005-0000-0000-0000E6090000}"/>
    <cellStyle name="Moneda 2 5 9 2" xfId="2756" xr:uid="{00000000-0005-0000-0000-0000E7090000}"/>
    <cellStyle name="Moneda 2 6" xfId="1254" xr:uid="{00000000-0005-0000-0000-0000E8090000}"/>
    <cellStyle name="Moneda 2 6 10" xfId="2757" xr:uid="{00000000-0005-0000-0000-0000E9090000}"/>
    <cellStyle name="Moneda 2 6 2" xfId="1255" xr:uid="{00000000-0005-0000-0000-0000EA090000}"/>
    <cellStyle name="Moneda 2 6 2 2" xfId="1256" xr:uid="{00000000-0005-0000-0000-0000EB090000}"/>
    <cellStyle name="Moneda 2 6 2 2 2" xfId="1257" xr:uid="{00000000-0005-0000-0000-0000EC090000}"/>
    <cellStyle name="Moneda 2 6 2 2 2 2" xfId="1258" xr:uid="{00000000-0005-0000-0000-0000ED090000}"/>
    <cellStyle name="Moneda 2 6 2 2 2 2 2" xfId="1259" xr:uid="{00000000-0005-0000-0000-0000EE090000}"/>
    <cellStyle name="Moneda 2 6 2 2 2 2 2 2" xfId="1260" xr:uid="{00000000-0005-0000-0000-0000EF090000}"/>
    <cellStyle name="Moneda 2 6 2 2 2 2 2 2 2" xfId="1261" xr:uid="{00000000-0005-0000-0000-0000F0090000}"/>
    <cellStyle name="Moneda 2 6 2 2 2 2 2 2 2 2" xfId="2764" xr:uid="{00000000-0005-0000-0000-0000F1090000}"/>
    <cellStyle name="Moneda 2 6 2 2 2 2 2 2 3" xfId="2763" xr:uid="{00000000-0005-0000-0000-0000F2090000}"/>
    <cellStyle name="Moneda 2 6 2 2 2 2 2 3" xfId="1262" xr:uid="{00000000-0005-0000-0000-0000F3090000}"/>
    <cellStyle name="Moneda 2 6 2 2 2 2 2 3 2" xfId="2765" xr:uid="{00000000-0005-0000-0000-0000F4090000}"/>
    <cellStyle name="Moneda 2 6 2 2 2 2 2 4" xfId="2762" xr:uid="{00000000-0005-0000-0000-0000F5090000}"/>
    <cellStyle name="Moneda 2 6 2 2 2 2 3" xfId="1263" xr:uid="{00000000-0005-0000-0000-0000F6090000}"/>
    <cellStyle name="Moneda 2 6 2 2 2 2 3 2" xfId="1264" xr:uid="{00000000-0005-0000-0000-0000F7090000}"/>
    <cellStyle name="Moneda 2 6 2 2 2 2 3 2 2" xfId="2767" xr:uid="{00000000-0005-0000-0000-0000F8090000}"/>
    <cellStyle name="Moneda 2 6 2 2 2 2 3 3" xfId="2766" xr:uid="{00000000-0005-0000-0000-0000F9090000}"/>
    <cellStyle name="Moneda 2 6 2 2 2 2 4" xfId="1265" xr:uid="{00000000-0005-0000-0000-0000FA090000}"/>
    <cellStyle name="Moneda 2 6 2 2 2 2 4 2" xfId="2768" xr:uid="{00000000-0005-0000-0000-0000FB090000}"/>
    <cellStyle name="Moneda 2 6 2 2 2 2 5" xfId="2761" xr:uid="{00000000-0005-0000-0000-0000FC090000}"/>
    <cellStyle name="Moneda 2 6 2 2 2 3" xfId="1266" xr:uid="{00000000-0005-0000-0000-0000FD090000}"/>
    <cellStyle name="Moneda 2 6 2 2 2 3 2" xfId="1267" xr:uid="{00000000-0005-0000-0000-0000FE090000}"/>
    <cellStyle name="Moneda 2 6 2 2 2 3 2 2" xfId="1268" xr:uid="{00000000-0005-0000-0000-0000FF090000}"/>
    <cellStyle name="Moneda 2 6 2 2 2 3 2 2 2" xfId="2771" xr:uid="{00000000-0005-0000-0000-0000000A0000}"/>
    <cellStyle name="Moneda 2 6 2 2 2 3 2 3" xfId="2770" xr:uid="{00000000-0005-0000-0000-0000010A0000}"/>
    <cellStyle name="Moneda 2 6 2 2 2 3 3" xfId="1269" xr:uid="{00000000-0005-0000-0000-0000020A0000}"/>
    <cellStyle name="Moneda 2 6 2 2 2 3 3 2" xfId="2772" xr:uid="{00000000-0005-0000-0000-0000030A0000}"/>
    <cellStyle name="Moneda 2 6 2 2 2 3 4" xfId="2769" xr:uid="{00000000-0005-0000-0000-0000040A0000}"/>
    <cellStyle name="Moneda 2 6 2 2 2 4" xfId="1270" xr:uid="{00000000-0005-0000-0000-0000050A0000}"/>
    <cellStyle name="Moneda 2 6 2 2 2 4 2" xfId="1271" xr:uid="{00000000-0005-0000-0000-0000060A0000}"/>
    <cellStyle name="Moneda 2 6 2 2 2 4 2 2" xfId="2774" xr:uid="{00000000-0005-0000-0000-0000070A0000}"/>
    <cellStyle name="Moneda 2 6 2 2 2 4 3" xfId="2773" xr:uid="{00000000-0005-0000-0000-0000080A0000}"/>
    <cellStyle name="Moneda 2 6 2 2 2 5" xfId="1272" xr:uid="{00000000-0005-0000-0000-0000090A0000}"/>
    <cellStyle name="Moneda 2 6 2 2 2 5 2" xfId="2775" xr:uid="{00000000-0005-0000-0000-00000A0A0000}"/>
    <cellStyle name="Moneda 2 6 2 2 2 6" xfId="2760" xr:uid="{00000000-0005-0000-0000-00000B0A0000}"/>
    <cellStyle name="Moneda 2 6 2 2 3" xfId="1273" xr:uid="{00000000-0005-0000-0000-00000C0A0000}"/>
    <cellStyle name="Moneda 2 6 2 2 3 2" xfId="1274" xr:uid="{00000000-0005-0000-0000-00000D0A0000}"/>
    <cellStyle name="Moneda 2 6 2 2 3 2 2" xfId="1275" xr:uid="{00000000-0005-0000-0000-00000E0A0000}"/>
    <cellStyle name="Moneda 2 6 2 2 3 2 2 2" xfId="1276" xr:uid="{00000000-0005-0000-0000-00000F0A0000}"/>
    <cellStyle name="Moneda 2 6 2 2 3 2 2 2 2" xfId="2779" xr:uid="{00000000-0005-0000-0000-0000100A0000}"/>
    <cellStyle name="Moneda 2 6 2 2 3 2 2 3" xfId="2778" xr:uid="{00000000-0005-0000-0000-0000110A0000}"/>
    <cellStyle name="Moneda 2 6 2 2 3 2 3" xfId="1277" xr:uid="{00000000-0005-0000-0000-0000120A0000}"/>
    <cellStyle name="Moneda 2 6 2 2 3 2 3 2" xfId="2780" xr:uid="{00000000-0005-0000-0000-0000130A0000}"/>
    <cellStyle name="Moneda 2 6 2 2 3 2 4" xfId="2777" xr:uid="{00000000-0005-0000-0000-0000140A0000}"/>
    <cellStyle name="Moneda 2 6 2 2 3 3" xfId="1278" xr:uid="{00000000-0005-0000-0000-0000150A0000}"/>
    <cellStyle name="Moneda 2 6 2 2 3 3 2" xfId="1279" xr:uid="{00000000-0005-0000-0000-0000160A0000}"/>
    <cellStyle name="Moneda 2 6 2 2 3 3 2 2" xfId="2782" xr:uid="{00000000-0005-0000-0000-0000170A0000}"/>
    <cellStyle name="Moneda 2 6 2 2 3 3 3" xfId="2781" xr:uid="{00000000-0005-0000-0000-0000180A0000}"/>
    <cellStyle name="Moneda 2 6 2 2 3 4" xfId="1280" xr:uid="{00000000-0005-0000-0000-0000190A0000}"/>
    <cellStyle name="Moneda 2 6 2 2 3 4 2" xfId="2783" xr:uid="{00000000-0005-0000-0000-00001A0A0000}"/>
    <cellStyle name="Moneda 2 6 2 2 3 5" xfId="2776" xr:uid="{00000000-0005-0000-0000-00001B0A0000}"/>
    <cellStyle name="Moneda 2 6 2 2 4" xfId="1281" xr:uid="{00000000-0005-0000-0000-00001C0A0000}"/>
    <cellStyle name="Moneda 2 6 2 2 4 2" xfId="1282" xr:uid="{00000000-0005-0000-0000-00001D0A0000}"/>
    <cellStyle name="Moneda 2 6 2 2 4 2 2" xfId="1283" xr:uid="{00000000-0005-0000-0000-00001E0A0000}"/>
    <cellStyle name="Moneda 2 6 2 2 4 2 2 2" xfId="2786" xr:uid="{00000000-0005-0000-0000-00001F0A0000}"/>
    <cellStyle name="Moneda 2 6 2 2 4 2 3" xfId="2785" xr:uid="{00000000-0005-0000-0000-0000200A0000}"/>
    <cellStyle name="Moneda 2 6 2 2 4 3" xfId="1284" xr:uid="{00000000-0005-0000-0000-0000210A0000}"/>
    <cellStyle name="Moneda 2 6 2 2 4 3 2" xfId="2787" xr:uid="{00000000-0005-0000-0000-0000220A0000}"/>
    <cellStyle name="Moneda 2 6 2 2 4 4" xfId="2784" xr:uid="{00000000-0005-0000-0000-0000230A0000}"/>
    <cellStyle name="Moneda 2 6 2 2 5" xfId="1285" xr:uid="{00000000-0005-0000-0000-0000240A0000}"/>
    <cellStyle name="Moneda 2 6 2 2 5 2" xfId="1286" xr:uid="{00000000-0005-0000-0000-0000250A0000}"/>
    <cellStyle name="Moneda 2 6 2 2 5 2 2" xfId="2789" xr:uid="{00000000-0005-0000-0000-0000260A0000}"/>
    <cellStyle name="Moneda 2 6 2 2 5 3" xfId="2788" xr:uid="{00000000-0005-0000-0000-0000270A0000}"/>
    <cellStyle name="Moneda 2 6 2 2 6" xfId="1287" xr:uid="{00000000-0005-0000-0000-0000280A0000}"/>
    <cellStyle name="Moneda 2 6 2 2 6 2" xfId="2790" xr:uid="{00000000-0005-0000-0000-0000290A0000}"/>
    <cellStyle name="Moneda 2 6 2 2 7" xfId="2759" xr:uid="{00000000-0005-0000-0000-00002A0A0000}"/>
    <cellStyle name="Moneda 2 6 2 3" xfId="1288" xr:uid="{00000000-0005-0000-0000-00002B0A0000}"/>
    <cellStyle name="Moneda 2 6 2 3 2" xfId="1289" xr:uid="{00000000-0005-0000-0000-00002C0A0000}"/>
    <cellStyle name="Moneda 2 6 2 3 2 2" xfId="1290" xr:uid="{00000000-0005-0000-0000-00002D0A0000}"/>
    <cellStyle name="Moneda 2 6 2 3 2 2 2" xfId="1291" xr:uid="{00000000-0005-0000-0000-00002E0A0000}"/>
    <cellStyle name="Moneda 2 6 2 3 2 2 2 2" xfId="1292" xr:uid="{00000000-0005-0000-0000-00002F0A0000}"/>
    <cellStyle name="Moneda 2 6 2 3 2 2 2 2 2" xfId="2795" xr:uid="{00000000-0005-0000-0000-0000300A0000}"/>
    <cellStyle name="Moneda 2 6 2 3 2 2 2 3" xfId="2794" xr:uid="{00000000-0005-0000-0000-0000310A0000}"/>
    <cellStyle name="Moneda 2 6 2 3 2 2 3" xfId="1293" xr:uid="{00000000-0005-0000-0000-0000320A0000}"/>
    <cellStyle name="Moneda 2 6 2 3 2 2 3 2" xfId="2796" xr:uid="{00000000-0005-0000-0000-0000330A0000}"/>
    <cellStyle name="Moneda 2 6 2 3 2 2 4" xfId="2793" xr:uid="{00000000-0005-0000-0000-0000340A0000}"/>
    <cellStyle name="Moneda 2 6 2 3 2 3" xfId="1294" xr:uid="{00000000-0005-0000-0000-0000350A0000}"/>
    <cellStyle name="Moneda 2 6 2 3 2 3 2" xfId="1295" xr:uid="{00000000-0005-0000-0000-0000360A0000}"/>
    <cellStyle name="Moneda 2 6 2 3 2 3 2 2" xfId="2798" xr:uid="{00000000-0005-0000-0000-0000370A0000}"/>
    <cellStyle name="Moneda 2 6 2 3 2 3 3" xfId="2797" xr:uid="{00000000-0005-0000-0000-0000380A0000}"/>
    <cellStyle name="Moneda 2 6 2 3 2 4" xfId="1296" xr:uid="{00000000-0005-0000-0000-0000390A0000}"/>
    <cellStyle name="Moneda 2 6 2 3 2 4 2" xfId="2799" xr:uid="{00000000-0005-0000-0000-00003A0A0000}"/>
    <cellStyle name="Moneda 2 6 2 3 2 5" xfId="2792" xr:uid="{00000000-0005-0000-0000-00003B0A0000}"/>
    <cellStyle name="Moneda 2 6 2 3 3" xfId="1297" xr:uid="{00000000-0005-0000-0000-00003C0A0000}"/>
    <cellStyle name="Moneda 2 6 2 3 3 2" xfId="1298" xr:uid="{00000000-0005-0000-0000-00003D0A0000}"/>
    <cellStyle name="Moneda 2 6 2 3 3 2 2" xfId="1299" xr:uid="{00000000-0005-0000-0000-00003E0A0000}"/>
    <cellStyle name="Moneda 2 6 2 3 3 2 2 2" xfId="2802" xr:uid="{00000000-0005-0000-0000-00003F0A0000}"/>
    <cellStyle name="Moneda 2 6 2 3 3 2 3" xfId="2801" xr:uid="{00000000-0005-0000-0000-0000400A0000}"/>
    <cellStyle name="Moneda 2 6 2 3 3 3" xfId="1300" xr:uid="{00000000-0005-0000-0000-0000410A0000}"/>
    <cellStyle name="Moneda 2 6 2 3 3 3 2" xfId="2803" xr:uid="{00000000-0005-0000-0000-0000420A0000}"/>
    <cellStyle name="Moneda 2 6 2 3 3 4" xfId="2800" xr:uid="{00000000-0005-0000-0000-0000430A0000}"/>
    <cellStyle name="Moneda 2 6 2 3 4" xfId="1301" xr:uid="{00000000-0005-0000-0000-0000440A0000}"/>
    <cellStyle name="Moneda 2 6 2 3 4 2" xfId="1302" xr:uid="{00000000-0005-0000-0000-0000450A0000}"/>
    <cellStyle name="Moneda 2 6 2 3 4 2 2" xfId="2805" xr:uid="{00000000-0005-0000-0000-0000460A0000}"/>
    <cellStyle name="Moneda 2 6 2 3 4 3" xfId="2804" xr:uid="{00000000-0005-0000-0000-0000470A0000}"/>
    <cellStyle name="Moneda 2 6 2 3 5" xfId="1303" xr:uid="{00000000-0005-0000-0000-0000480A0000}"/>
    <cellStyle name="Moneda 2 6 2 3 5 2" xfId="2806" xr:uid="{00000000-0005-0000-0000-0000490A0000}"/>
    <cellStyle name="Moneda 2 6 2 3 6" xfId="2791" xr:uid="{00000000-0005-0000-0000-00004A0A0000}"/>
    <cellStyle name="Moneda 2 6 2 4" xfId="1304" xr:uid="{00000000-0005-0000-0000-00004B0A0000}"/>
    <cellStyle name="Moneda 2 6 2 4 2" xfId="1305" xr:uid="{00000000-0005-0000-0000-00004C0A0000}"/>
    <cellStyle name="Moneda 2 6 2 4 2 2" xfId="1306" xr:uid="{00000000-0005-0000-0000-00004D0A0000}"/>
    <cellStyle name="Moneda 2 6 2 4 2 2 2" xfId="1307" xr:uid="{00000000-0005-0000-0000-00004E0A0000}"/>
    <cellStyle name="Moneda 2 6 2 4 2 2 2 2" xfId="2810" xr:uid="{00000000-0005-0000-0000-00004F0A0000}"/>
    <cellStyle name="Moneda 2 6 2 4 2 2 3" xfId="2809" xr:uid="{00000000-0005-0000-0000-0000500A0000}"/>
    <cellStyle name="Moneda 2 6 2 4 2 3" xfId="1308" xr:uid="{00000000-0005-0000-0000-0000510A0000}"/>
    <cellStyle name="Moneda 2 6 2 4 2 3 2" xfId="2811" xr:uid="{00000000-0005-0000-0000-0000520A0000}"/>
    <cellStyle name="Moneda 2 6 2 4 2 4" xfId="2808" xr:uid="{00000000-0005-0000-0000-0000530A0000}"/>
    <cellStyle name="Moneda 2 6 2 4 3" xfId="1309" xr:uid="{00000000-0005-0000-0000-0000540A0000}"/>
    <cellStyle name="Moneda 2 6 2 4 3 2" xfId="1310" xr:uid="{00000000-0005-0000-0000-0000550A0000}"/>
    <cellStyle name="Moneda 2 6 2 4 3 2 2" xfId="2813" xr:uid="{00000000-0005-0000-0000-0000560A0000}"/>
    <cellStyle name="Moneda 2 6 2 4 3 3" xfId="2812" xr:uid="{00000000-0005-0000-0000-0000570A0000}"/>
    <cellStyle name="Moneda 2 6 2 4 4" xfId="1311" xr:uid="{00000000-0005-0000-0000-0000580A0000}"/>
    <cellStyle name="Moneda 2 6 2 4 4 2" xfId="2814" xr:uid="{00000000-0005-0000-0000-0000590A0000}"/>
    <cellStyle name="Moneda 2 6 2 4 5" xfId="2807" xr:uid="{00000000-0005-0000-0000-00005A0A0000}"/>
    <cellStyle name="Moneda 2 6 2 5" xfId="1312" xr:uid="{00000000-0005-0000-0000-00005B0A0000}"/>
    <cellStyle name="Moneda 2 6 2 5 2" xfId="1313" xr:uid="{00000000-0005-0000-0000-00005C0A0000}"/>
    <cellStyle name="Moneda 2 6 2 5 2 2" xfId="1314" xr:uid="{00000000-0005-0000-0000-00005D0A0000}"/>
    <cellStyle name="Moneda 2 6 2 5 2 2 2" xfId="2817" xr:uid="{00000000-0005-0000-0000-00005E0A0000}"/>
    <cellStyle name="Moneda 2 6 2 5 2 3" xfId="2816" xr:uid="{00000000-0005-0000-0000-00005F0A0000}"/>
    <cellStyle name="Moneda 2 6 2 5 3" xfId="1315" xr:uid="{00000000-0005-0000-0000-0000600A0000}"/>
    <cellStyle name="Moneda 2 6 2 5 3 2" xfId="2818" xr:uid="{00000000-0005-0000-0000-0000610A0000}"/>
    <cellStyle name="Moneda 2 6 2 5 4" xfId="2815" xr:uid="{00000000-0005-0000-0000-0000620A0000}"/>
    <cellStyle name="Moneda 2 6 2 6" xfId="1316" xr:uid="{00000000-0005-0000-0000-0000630A0000}"/>
    <cellStyle name="Moneda 2 6 2 6 2" xfId="1317" xr:uid="{00000000-0005-0000-0000-0000640A0000}"/>
    <cellStyle name="Moneda 2 6 2 6 2 2" xfId="2820" xr:uid="{00000000-0005-0000-0000-0000650A0000}"/>
    <cellStyle name="Moneda 2 6 2 6 3" xfId="2819" xr:uid="{00000000-0005-0000-0000-0000660A0000}"/>
    <cellStyle name="Moneda 2 6 2 7" xfId="1318" xr:uid="{00000000-0005-0000-0000-0000670A0000}"/>
    <cellStyle name="Moneda 2 6 2 7 2" xfId="2821" xr:uid="{00000000-0005-0000-0000-0000680A0000}"/>
    <cellStyle name="Moneda 2 6 2 8" xfId="1319" xr:uid="{00000000-0005-0000-0000-0000690A0000}"/>
    <cellStyle name="Moneda 2 6 2 8 2" xfId="2822" xr:uid="{00000000-0005-0000-0000-00006A0A0000}"/>
    <cellStyle name="Moneda 2 6 2 9" xfId="2758" xr:uid="{00000000-0005-0000-0000-00006B0A0000}"/>
    <cellStyle name="Moneda 2 6 3" xfId="1320" xr:uid="{00000000-0005-0000-0000-00006C0A0000}"/>
    <cellStyle name="Moneda 2 6 3 2" xfId="1321" xr:uid="{00000000-0005-0000-0000-00006D0A0000}"/>
    <cellStyle name="Moneda 2 6 3 2 2" xfId="1322" xr:uid="{00000000-0005-0000-0000-00006E0A0000}"/>
    <cellStyle name="Moneda 2 6 3 2 2 2" xfId="1323" xr:uid="{00000000-0005-0000-0000-00006F0A0000}"/>
    <cellStyle name="Moneda 2 6 3 2 2 2 2" xfId="1324" xr:uid="{00000000-0005-0000-0000-0000700A0000}"/>
    <cellStyle name="Moneda 2 6 3 2 2 2 2 2" xfId="1325" xr:uid="{00000000-0005-0000-0000-0000710A0000}"/>
    <cellStyle name="Moneda 2 6 3 2 2 2 2 2 2" xfId="2828" xr:uid="{00000000-0005-0000-0000-0000720A0000}"/>
    <cellStyle name="Moneda 2 6 3 2 2 2 2 3" xfId="2827" xr:uid="{00000000-0005-0000-0000-0000730A0000}"/>
    <cellStyle name="Moneda 2 6 3 2 2 2 3" xfId="1326" xr:uid="{00000000-0005-0000-0000-0000740A0000}"/>
    <cellStyle name="Moneda 2 6 3 2 2 2 3 2" xfId="2829" xr:uid="{00000000-0005-0000-0000-0000750A0000}"/>
    <cellStyle name="Moneda 2 6 3 2 2 2 4" xfId="2826" xr:uid="{00000000-0005-0000-0000-0000760A0000}"/>
    <cellStyle name="Moneda 2 6 3 2 2 3" xfId="1327" xr:uid="{00000000-0005-0000-0000-0000770A0000}"/>
    <cellStyle name="Moneda 2 6 3 2 2 3 2" xfId="1328" xr:uid="{00000000-0005-0000-0000-0000780A0000}"/>
    <cellStyle name="Moneda 2 6 3 2 2 3 2 2" xfId="2831" xr:uid="{00000000-0005-0000-0000-0000790A0000}"/>
    <cellStyle name="Moneda 2 6 3 2 2 3 3" xfId="2830" xr:uid="{00000000-0005-0000-0000-00007A0A0000}"/>
    <cellStyle name="Moneda 2 6 3 2 2 4" xfId="1329" xr:uid="{00000000-0005-0000-0000-00007B0A0000}"/>
    <cellStyle name="Moneda 2 6 3 2 2 4 2" xfId="2832" xr:uid="{00000000-0005-0000-0000-00007C0A0000}"/>
    <cellStyle name="Moneda 2 6 3 2 2 5" xfId="2825" xr:uid="{00000000-0005-0000-0000-00007D0A0000}"/>
    <cellStyle name="Moneda 2 6 3 2 3" xfId="1330" xr:uid="{00000000-0005-0000-0000-00007E0A0000}"/>
    <cellStyle name="Moneda 2 6 3 2 3 2" xfId="1331" xr:uid="{00000000-0005-0000-0000-00007F0A0000}"/>
    <cellStyle name="Moneda 2 6 3 2 3 2 2" xfId="1332" xr:uid="{00000000-0005-0000-0000-0000800A0000}"/>
    <cellStyle name="Moneda 2 6 3 2 3 2 2 2" xfId="2835" xr:uid="{00000000-0005-0000-0000-0000810A0000}"/>
    <cellStyle name="Moneda 2 6 3 2 3 2 3" xfId="2834" xr:uid="{00000000-0005-0000-0000-0000820A0000}"/>
    <cellStyle name="Moneda 2 6 3 2 3 3" xfId="1333" xr:uid="{00000000-0005-0000-0000-0000830A0000}"/>
    <cellStyle name="Moneda 2 6 3 2 3 3 2" xfId="2836" xr:uid="{00000000-0005-0000-0000-0000840A0000}"/>
    <cellStyle name="Moneda 2 6 3 2 3 4" xfId="2833" xr:uid="{00000000-0005-0000-0000-0000850A0000}"/>
    <cellStyle name="Moneda 2 6 3 2 4" xfId="1334" xr:uid="{00000000-0005-0000-0000-0000860A0000}"/>
    <cellStyle name="Moneda 2 6 3 2 4 2" xfId="1335" xr:uid="{00000000-0005-0000-0000-0000870A0000}"/>
    <cellStyle name="Moneda 2 6 3 2 4 2 2" xfId="2838" xr:uid="{00000000-0005-0000-0000-0000880A0000}"/>
    <cellStyle name="Moneda 2 6 3 2 4 3" xfId="2837" xr:uid="{00000000-0005-0000-0000-0000890A0000}"/>
    <cellStyle name="Moneda 2 6 3 2 5" xfId="1336" xr:uid="{00000000-0005-0000-0000-00008A0A0000}"/>
    <cellStyle name="Moneda 2 6 3 2 5 2" xfId="2839" xr:uid="{00000000-0005-0000-0000-00008B0A0000}"/>
    <cellStyle name="Moneda 2 6 3 2 6" xfId="2824" xr:uid="{00000000-0005-0000-0000-00008C0A0000}"/>
    <cellStyle name="Moneda 2 6 3 3" xfId="1337" xr:uid="{00000000-0005-0000-0000-00008D0A0000}"/>
    <cellStyle name="Moneda 2 6 3 3 2" xfId="1338" xr:uid="{00000000-0005-0000-0000-00008E0A0000}"/>
    <cellStyle name="Moneda 2 6 3 3 2 2" xfId="1339" xr:uid="{00000000-0005-0000-0000-00008F0A0000}"/>
    <cellStyle name="Moneda 2 6 3 3 2 2 2" xfId="1340" xr:uid="{00000000-0005-0000-0000-0000900A0000}"/>
    <cellStyle name="Moneda 2 6 3 3 2 2 2 2" xfId="2843" xr:uid="{00000000-0005-0000-0000-0000910A0000}"/>
    <cellStyle name="Moneda 2 6 3 3 2 2 3" xfId="2842" xr:uid="{00000000-0005-0000-0000-0000920A0000}"/>
    <cellStyle name="Moneda 2 6 3 3 2 3" xfId="1341" xr:uid="{00000000-0005-0000-0000-0000930A0000}"/>
    <cellStyle name="Moneda 2 6 3 3 2 3 2" xfId="2844" xr:uid="{00000000-0005-0000-0000-0000940A0000}"/>
    <cellStyle name="Moneda 2 6 3 3 2 4" xfId="2841" xr:uid="{00000000-0005-0000-0000-0000950A0000}"/>
    <cellStyle name="Moneda 2 6 3 3 3" xfId="1342" xr:uid="{00000000-0005-0000-0000-0000960A0000}"/>
    <cellStyle name="Moneda 2 6 3 3 3 2" xfId="1343" xr:uid="{00000000-0005-0000-0000-0000970A0000}"/>
    <cellStyle name="Moneda 2 6 3 3 3 2 2" xfId="2846" xr:uid="{00000000-0005-0000-0000-0000980A0000}"/>
    <cellStyle name="Moneda 2 6 3 3 3 3" xfId="2845" xr:uid="{00000000-0005-0000-0000-0000990A0000}"/>
    <cellStyle name="Moneda 2 6 3 3 4" xfId="1344" xr:uid="{00000000-0005-0000-0000-00009A0A0000}"/>
    <cellStyle name="Moneda 2 6 3 3 4 2" xfId="2847" xr:uid="{00000000-0005-0000-0000-00009B0A0000}"/>
    <cellStyle name="Moneda 2 6 3 3 5" xfId="2840" xr:uid="{00000000-0005-0000-0000-00009C0A0000}"/>
    <cellStyle name="Moneda 2 6 3 4" xfId="1345" xr:uid="{00000000-0005-0000-0000-00009D0A0000}"/>
    <cellStyle name="Moneda 2 6 3 4 2" xfId="1346" xr:uid="{00000000-0005-0000-0000-00009E0A0000}"/>
    <cellStyle name="Moneda 2 6 3 4 2 2" xfId="1347" xr:uid="{00000000-0005-0000-0000-00009F0A0000}"/>
    <cellStyle name="Moneda 2 6 3 4 2 2 2" xfId="2850" xr:uid="{00000000-0005-0000-0000-0000A00A0000}"/>
    <cellStyle name="Moneda 2 6 3 4 2 3" xfId="2849" xr:uid="{00000000-0005-0000-0000-0000A10A0000}"/>
    <cellStyle name="Moneda 2 6 3 4 3" xfId="1348" xr:uid="{00000000-0005-0000-0000-0000A20A0000}"/>
    <cellStyle name="Moneda 2 6 3 4 3 2" xfId="2851" xr:uid="{00000000-0005-0000-0000-0000A30A0000}"/>
    <cellStyle name="Moneda 2 6 3 4 4" xfId="2848" xr:uid="{00000000-0005-0000-0000-0000A40A0000}"/>
    <cellStyle name="Moneda 2 6 3 5" xfId="1349" xr:uid="{00000000-0005-0000-0000-0000A50A0000}"/>
    <cellStyle name="Moneda 2 6 3 5 2" xfId="1350" xr:uid="{00000000-0005-0000-0000-0000A60A0000}"/>
    <cellStyle name="Moneda 2 6 3 5 2 2" xfId="2853" xr:uid="{00000000-0005-0000-0000-0000A70A0000}"/>
    <cellStyle name="Moneda 2 6 3 5 3" xfId="2852" xr:uid="{00000000-0005-0000-0000-0000A80A0000}"/>
    <cellStyle name="Moneda 2 6 3 6" xfId="1351" xr:uid="{00000000-0005-0000-0000-0000A90A0000}"/>
    <cellStyle name="Moneda 2 6 3 6 2" xfId="2854" xr:uid="{00000000-0005-0000-0000-0000AA0A0000}"/>
    <cellStyle name="Moneda 2 6 3 7" xfId="2823" xr:uid="{00000000-0005-0000-0000-0000AB0A0000}"/>
    <cellStyle name="Moneda 2 6 4" xfId="1352" xr:uid="{00000000-0005-0000-0000-0000AC0A0000}"/>
    <cellStyle name="Moneda 2 6 4 2" xfId="1353" xr:uid="{00000000-0005-0000-0000-0000AD0A0000}"/>
    <cellStyle name="Moneda 2 6 4 2 2" xfId="1354" xr:uid="{00000000-0005-0000-0000-0000AE0A0000}"/>
    <cellStyle name="Moneda 2 6 4 2 2 2" xfId="1355" xr:uid="{00000000-0005-0000-0000-0000AF0A0000}"/>
    <cellStyle name="Moneda 2 6 4 2 2 2 2" xfId="1356" xr:uid="{00000000-0005-0000-0000-0000B00A0000}"/>
    <cellStyle name="Moneda 2 6 4 2 2 2 2 2" xfId="2859" xr:uid="{00000000-0005-0000-0000-0000B10A0000}"/>
    <cellStyle name="Moneda 2 6 4 2 2 2 3" xfId="2858" xr:uid="{00000000-0005-0000-0000-0000B20A0000}"/>
    <cellStyle name="Moneda 2 6 4 2 2 3" xfId="1357" xr:uid="{00000000-0005-0000-0000-0000B30A0000}"/>
    <cellStyle name="Moneda 2 6 4 2 2 3 2" xfId="2860" xr:uid="{00000000-0005-0000-0000-0000B40A0000}"/>
    <cellStyle name="Moneda 2 6 4 2 2 4" xfId="2857" xr:uid="{00000000-0005-0000-0000-0000B50A0000}"/>
    <cellStyle name="Moneda 2 6 4 2 3" xfId="1358" xr:uid="{00000000-0005-0000-0000-0000B60A0000}"/>
    <cellStyle name="Moneda 2 6 4 2 3 2" xfId="1359" xr:uid="{00000000-0005-0000-0000-0000B70A0000}"/>
    <cellStyle name="Moneda 2 6 4 2 3 2 2" xfId="2862" xr:uid="{00000000-0005-0000-0000-0000B80A0000}"/>
    <cellStyle name="Moneda 2 6 4 2 3 3" xfId="2861" xr:uid="{00000000-0005-0000-0000-0000B90A0000}"/>
    <cellStyle name="Moneda 2 6 4 2 4" xfId="1360" xr:uid="{00000000-0005-0000-0000-0000BA0A0000}"/>
    <cellStyle name="Moneda 2 6 4 2 4 2" xfId="2863" xr:uid="{00000000-0005-0000-0000-0000BB0A0000}"/>
    <cellStyle name="Moneda 2 6 4 2 5" xfId="2856" xr:uid="{00000000-0005-0000-0000-0000BC0A0000}"/>
    <cellStyle name="Moneda 2 6 4 3" xfId="1361" xr:uid="{00000000-0005-0000-0000-0000BD0A0000}"/>
    <cellStyle name="Moneda 2 6 4 3 2" xfId="1362" xr:uid="{00000000-0005-0000-0000-0000BE0A0000}"/>
    <cellStyle name="Moneda 2 6 4 3 2 2" xfId="1363" xr:uid="{00000000-0005-0000-0000-0000BF0A0000}"/>
    <cellStyle name="Moneda 2 6 4 3 2 2 2" xfId="2866" xr:uid="{00000000-0005-0000-0000-0000C00A0000}"/>
    <cellStyle name="Moneda 2 6 4 3 2 3" xfId="2865" xr:uid="{00000000-0005-0000-0000-0000C10A0000}"/>
    <cellStyle name="Moneda 2 6 4 3 3" xfId="1364" xr:uid="{00000000-0005-0000-0000-0000C20A0000}"/>
    <cellStyle name="Moneda 2 6 4 3 3 2" xfId="2867" xr:uid="{00000000-0005-0000-0000-0000C30A0000}"/>
    <cellStyle name="Moneda 2 6 4 3 4" xfId="2864" xr:uid="{00000000-0005-0000-0000-0000C40A0000}"/>
    <cellStyle name="Moneda 2 6 4 4" xfId="1365" xr:uid="{00000000-0005-0000-0000-0000C50A0000}"/>
    <cellStyle name="Moneda 2 6 4 4 2" xfId="1366" xr:uid="{00000000-0005-0000-0000-0000C60A0000}"/>
    <cellStyle name="Moneda 2 6 4 4 2 2" xfId="2869" xr:uid="{00000000-0005-0000-0000-0000C70A0000}"/>
    <cellStyle name="Moneda 2 6 4 4 3" xfId="2868" xr:uid="{00000000-0005-0000-0000-0000C80A0000}"/>
    <cellStyle name="Moneda 2 6 4 5" xfId="1367" xr:uid="{00000000-0005-0000-0000-0000C90A0000}"/>
    <cellStyle name="Moneda 2 6 4 5 2" xfId="2870" xr:uid="{00000000-0005-0000-0000-0000CA0A0000}"/>
    <cellStyle name="Moneda 2 6 4 6" xfId="2855" xr:uid="{00000000-0005-0000-0000-0000CB0A0000}"/>
    <cellStyle name="Moneda 2 6 5" xfId="1368" xr:uid="{00000000-0005-0000-0000-0000CC0A0000}"/>
    <cellStyle name="Moneda 2 6 5 2" xfId="1369" xr:uid="{00000000-0005-0000-0000-0000CD0A0000}"/>
    <cellStyle name="Moneda 2 6 5 2 2" xfId="1370" xr:uid="{00000000-0005-0000-0000-0000CE0A0000}"/>
    <cellStyle name="Moneda 2 6 5 2 2 2" xfId="1371" xr:uid="{00000000-0005-0000-0000-0000CF0A0000}"/>
    <cellStyle name="Moneda 2 6 5 2 2 2 2" xfId="2874" xr:uid="{00000000-0005-0000-0000-0000D00A0000}"/>
    <cellStyle name="Moneda 2 6 5 2 2 3" xfId="2873" xr:uid="{00000000-0005-0000-0000-0000D10A0000}"/>
    <cellStyle name="Moneda 2 6 5 2 3" xfId="1372" xr:uid="{00000000-0005-0000-0000-0000D20A0000}"/>
    <cellStyle name="Moneda 2 6 5 2 3 2" xfId="2875" xr:uid="{00000000-0005-0000-0000-0000D30A0000}"/>
    <cellStyle name="Moneda 2 6 5 2 4" xfId="2872" xr:uid="{00000000-0005-0000-0000-0000D40A0000}"/>
    <cellStyle name="Moneda 2 6 5 3" xfId="1373" xr:uid="{00000000-0005-0000-0000-0000D50A0000}"/>
    <cellStyle name="Moneda 2 6 5 3 2" xfId="1374" xr:uid="{00000000-0005-0000-0000-0000D60A0000}"/>
    <cellStyle name="Moneda 2 6 5 3 2 2" xfId="2877" xr:uid="{00000000-0005-0000-0000-0000D70A0000}"/>
    <cellStyle name="Moneda 2 6 5 3 3" xfId="2876" xr:uid="{00000000-0005-0000-0000-0000D80A0000}"/>
    <cellStyle name="Moneda 2 6 5 4" xfId="1375" xr:uid="{00000000-0005-0000-0000-0000D90A0000}"/>
    <cellStyle name="Moneda 2 6 5 4 2" xfId="2878" xr:uid="{00000000-0005-0000-0000-0000DA0A0000}"/>
    <cellStyle name="Moneda 2 6 5 5" xfId="2871" xr:uid="{00000000-0005-0000-0000-0000DB0A0000}"/>
    <cellStyle name="Moneda 2 6 6" xfId="1376" xr:uid="{00000000-0005-0000-0000-0000DC0A0000}"/>
    <cellStyle name="Moneda 2 6 6 2" xfId="1377" xr:uid="{00000000-0005-0000-0000-0000DD0A0000}"/>
    <cellStyle name="Moneda 2 6 6 2 2" xfId="1378" xr:uid="{00000000-0005-0000-0000-0000DE0A0000}"/>
    <cellStyle name="Moneda 2 6 6 2 2 2" xfId="2881" xr:uid="{00000000-0005-0000-0000-0000DF0A0000}"/>
    <cellStyle name="Moneda 2 6 6 2 3" xfId="2880" xr:uid="{00000000-0005-0000-0000-0000E00A0000}"/>
    <cellStyle name="Moneda 2 6 6 3" xfId="1379" xr:uid="{00000000-0005-0000-0000-0000E10A0000}"/>
    <cellStyle name="Moneda 2 6 6 3 2" xfId="2882" xr:uid="{00000000-0005-0000-0000-0000E20A0000}"/>
    <cellStyle name="Moneda 2 6 6 4" xfId="2879" xr:uid="{00000000-0005-0000-0000-0000E30A0000}"/>
    <cellStyle name="Moneda 2 6 7" xfId="1380" xr:uid="{00000000-0005-0000-0000-0000E40A0000}"/>
    <cellStyle name="Moneda 2 6 7 2" xfId="1381" xr:uid="{00000000-0005-0000-0000-0000E50A0000}"/>
    <cellStyle name="Moneda 2 6 7 2 2" xfId="2884" xr:uid="{00000000-0005-0000-0000-0000E60A0000}"/>
    <cellStyle name="Moneda 2 6 7 3" xfId="2883" xr:uid="{00000000-0005-0000-0000-0000E70A0000}"/>
    <cellStyle name="Moneda 2 6 8" xfId="1382" xr:uid="{00000000-0005-0000-0000-0000E80A0000}"/>
    <cellStyle name="Moneda 2 6 8 2" xfId="2885" xr:uid="{00000000-0005-0000-0000-0000E90A0000}"/>
    <cellStyle name="Moneda 2 6 9" xfId="1383" xr:uid="{00000000-0005-0000-0000-0000EA0A0000}"/>
    <cellStyle name="Moneda 2 6 9 2" xfId="2886" xr:uid="{00000000-0005-0000-0000-0000EB0A0000}"/>
    <cellStyle name="Moneda 2 7" xfId="1384" xr:uid="{00000000-0005-0000-0000-0000EC0A0000}"/>
    <cellStyle name="Moneda 2 7 2" xfId="1385" xr:uid="{00000000-0005-0000-0000-0000ED0A0000}"/>
    <cellStyle name="Moneda 2 7 2 2" xfId="1386" xr:uid="{00000000-0005-0000-0000-0000EE0A0000}"/>
    <cellStyle name="Moneda 2 7 2 2 2" xfId="1387" xr:uid="{00000000-0005-0000-0000-0000EF0A0000}"/>
    <cellStyle name="Moneda 2 7 2 2 2 2" xfId="1388" xr:uid="{00000000-0005-0000-0000-0000F00A0000}"/>
    <cellStyle name="Moneda 2 7 2 2 2 2 2" xfId="1389" xr:uid="{00000000-0005-0000-0000-0000F10A0000}"/>
    <cellStyle name="Moneda 2 7 2 2 2 2 2 2" xfId="1390" xr:uid="{00000000-0005-0000-0000-0000F20A0000}"/>
    <cellStyle name="Moneda 2 7 2 2 2 2 2 2 2" xfId="2893" xr:uid="{00000000-0005-0000-0000-0000F30A0000}"/>
    <cellStyle name="Moneda 2 7 2 2 2 2 2 3" xfId="2892" xr:uid="{00000000-0005-0000-0000-0000F40A0000}"/>
    <cellStyle name="Moneda 2 7 2 2 2 2 3" xfId="1391" xr:uid="{00000000-0005-0000-0000-0000F50A0000}"/>
    <cellStyle name="Moneda 2 7 2 2 2 2 3 2" xfId="2894" xr:uid="{00000000-0005-0000-0000-0000F60A0000}"/>
    <cellStyle name="Moneda 2 7 2 2 2 2 4" xfId="2891" xr:uid="{00000000-0005-0000-0000-0000F70A0000}"/>
    <cellStyle name="Moneda 2 7 2 2 2 3" xfId="1392" xr:uid="{00000000-0005-0000-0000-0000F80A0000}"/>
    <cellStyle name="Moneda 2 7 2 2 2 3 2" xfId="1393" xr:uid="{00000000-0005-0000-0000-0000F90A0000}"/>
    <cellStyle name="Moneda 2 7 2 2 2 3 2 2" xfId="2896" xr:uid="{00000000-0005-0000-0000-0000FA0A0000}"/>
    <cellStyle name="Moneda 2 7 2 2 2 3 3" xfId="2895" xr:uid="{00000000-0005-0000-0000-0000FB0A0000}"/>
    <cellStyle name="Moneda 2 7 2 2 2 4" xfId="1394" xr:uid="{00000000-0005-0000-0000-0000FC0A0000}"/>
    <cellStyle name="Moneda 2 7 2 2 2 4 2" xfId="2897" xr:uid="{00000000-0005-0000-0000-0000FD0A0000}"/>
    <cellStyle name="Moneda 2 7 2 2 2 5" xfId="2890" xr:uid="{00000000-0005-0000-0000-0000FE0A0000}"/>
    <cellStyle name="Moneda 2 7 2 2 3" xfId="1395" xr:uid="{00000000-0005-0000-0000-0000FF0A0000}"/>
    <cellStyle name="Moneda 2 7 2 2 3 2" xfId="1396" xr:uid="{00000000-0005-0000-0000-0000000B0000}"/>
    <cellStyle name="Moneda 2 7 2 2 3 2 2" xfId="1397" xr:uid="{00000000-0005-0000-0000-0000010B0000}"/>
    <cellStyle name="Moneda 2 7 2 2 3 2 2 2" xfId="2900" xr:uid="{00000000-0005-0000-0000-0000020B0000}"/>
    <cellStyle name="Moneda 2 7 2 2 3 2 3" xfId="2899" xr:uid="{00000000-0005-0000-0000-0000030B0000}"/>
    <cellStyle name="Moneda 2 7 2 2 3 3" xfId="1398" xr:uid="{00000000-0005-0000-0000-0000040B0000}"/>
    <cellStyle name="Moneda 2 7 2 2 3 3 2" xfId="2901" xr:uid="{00000000-0005-0000-0000-0000050B0000}"/>
    <cellStyle name="Moneda 2 7 2 2 3 4" xfId="2898" xr:uid="{00000000-0005-0000-0000-0000060B0000}"/>
    <cellStyle name="Moneda 2 7 2 2 4" xfId="1399" xr:uid="{00000000-0005-0000-0000-0000070B0000}"/>
    <cellStyle name="Moneda 2 7 2 2 4 2" xfId="1400" xr:uid="{00000000-0005-0000-0000-0000080B0000}"/>
    <cellStyle name="Moneda 2 7 2 2 4 2 2" xfId="2903" xr:uid="{00000000-0005-0000-0000-0000090B0000}"/>
    <cellStyle name="Moneda 2 7 2 2 4 3" xfId="2902" xr:uid="{00000000-0005-0000-0000-00000A0B0000}"/>
    <cellStyle name="Moneda 2 7 2 2 5" xfId="1401" xr:uid="{00000000-0005-0000-0000-00000B0B0000}"/>
    <cellStyle name="Moneda 2 7 2 2 5 2" xfId="2904" xr:uid="{00000000-0005-0000-0000-00000C0B0000}"/>
    <cellStyle name="Moneda 2 7 2 2 6" xfId="2889" xr:uid="{00000000-0005-0000-0000-00000D0B0000}"/>
    <cellStyle name="Moneda 2 7 2 3" xfId="1402" xr:uid="{00000000-0005-0000-0000-00000E0B0000}"/>
    <cellStyle name="Moneda 2 7 2 3 2" xfId="1403" xr:uid="{00000000-0005-0000-0000-00000F0B0000}"/>
    <cellStyle name="Moneda 2 7 2 3 2 2" xfId="1404" xr:uid="{00000000-0005-0000-0000-0000100B0000}"/>
    <cellStyle name="Moneda 2 7 2 3 2 2 2" xfId="1405" xr:uid="{00000000-0005-0000-0000-0000110B0000}"/>
    <cellStyle name="Moneda 2 7 2 3 2 2 2 2" xfId="2908" xr:uid="{00000000-0005-0000-0000-0000120B0000}"/>
    <cellStyle name="Moneda 2 7 2 3 2 2 3" xfId="2907" xr:uid="{00000000-0005-0000-0000-0000130B0000}"/>
    <cellStyle name="Moneda 2 7 2 3 2 3" xfId="1406" xr:uid="{00000000-0005-0000-0000-0000140B0000}"/>
    <cellStyle name="Moneda 2 7 2 3 2 3 2" xfId="2909" xr:uid="{00000000-0005-0000-0000-0000150B0000}"/>
    <cellStyle name="Moneda 2 7 2 3 2 4" xfId="2906" xr:uid="{00000000-0005-0000-0000-0000160B0000}"/>
    <cellStyle name="Moneda 2 7 2 3 3" xfId="1407" xr:uid="{00000000-0005-0000-0000-0000170B0000}"/>
    <cellStyle name="Moneda 2 7 2 3 3 2" xfId="1408" xr:uid="{00000000-0005-0000-0000-0000180B0000}"/>
    <cellStyle name="Moneda 2 7 2 3 3 2 2" xfId="2911" xr:uid="{00000000-0005-0000-0000-0000190B0000}"/>
    <cellStyle name="Moneda 2 7 2 3 3 3" xfId="2910" xr:uid="{00000000-0005-0000-0000-00001A0B0000}"/>
    <cellStyle name="Moneda 2 7 2 3 4" xfId="1409" xr:uid="{00000000-0005-0000-0000-00001B0B0000}"/>
    <cellStyle name="Moneda 2 7 2 3 4 2" xfId="2912" xr:uid="{00000000-0005-0000-0000-00001C0B0000}"/>
    <cellStyle name="Moneda 2 7 2 3 5" xfId="2905" xr:uid="{00000000-0005-0000-0000-00001D0B0000}"/>
    <cellStyle name="Moneda 2 7 2 4" xfId="1410" xr:uid="{00000000-0005-0000-0000-00001E0B0000}"/>
    <cellStyle name="Moneda 2 7 2 4 2" xfId="1411" xr:uid="{00000000-0005-0000-0000-00001F0B0000}"/>
    <cellStyle name="Moneda 2 7 2 4 2 2" xfId="1412" xr:uid="{00000000-0005-0000-0000-0000200B0000}"/>
    <cellStyle name="Moneda 2 7 2 4 2 2 2" xfId="2915" xr:uid="{00000000-0005-0000-0000-0000210B0000}"/>
    <cellStyle name="Moneda 2 7 2 4 2 3" xfId="2914" xr:uid="{00000000-0005-0000-0000-0000220B0000}"/>
    <cellStyle name="Moneda 2 7 2 4 3" xfId="1413" xr:uid="{00000000-0005-0000-0000-0000230B0000}"/>
    <cellStyle name="Moneda 2 7 2 4 3 2" xfId="2916" xr:uid="{00000000-0005-0000-0000-0000240B0000}"/>
    <cellStyle name="Moneda 2 7 2 4 4" xfId="2913" xr:uid="{00000000-0005-0000-0000-0000250B0000}"/>
    <cellStyle name="Moneda 2 7 2 5" xfId="1414" xr:uid="{00000000-0005-0000-0000-0000260B0000}"/>
    <cellStyle name="Moneda 2 7 2 5 2" xfId="1415" xr:uid="{00000000-0005-0000-0000-0000270B0000}"/>
    <cellStyle name="Moneda 2 7 2 5 2 2" xfId="2918" xr:uid="{00000000-0005-0000-0000-0000280B0000}"/>
    <cellStyle name="Moneda 2 7 2 5 3" xfId="2917" xr:uid="{00000000-0005-0000-0000-0000290B0000}"/>
    <cellStyle name="Moneda 2 7 2 6" xfId="1416" xr:uid="{00000000-0005-0000-0000-00002A0B0000}"/>
    <cellStyle name="Moneda 2 7 2 6 2" xfId="2919" xr:uid="{00000000-0005-0000-0000-00002B0B0000}"/>
    <cellStyle name="Moneda 2 7 2 7" xfId="2888" xr:uid="{00000000-0005-0000-0000-00002C0B0000}"/>
    <cellStyle name="Moneda 2 7 3" xfId="1417" xr:uid="{00000000-0005-0000-0000-00002D0B0000}"/>
    <cellStyle name="Moneda 2 7 3 2" xfId="1418" xr:uid="{00000000-0005-0000-0000-00002E0B0000}"/>
    <cellStyle name="Moneda 2 7 3 2 2" xfId="1419" xr:uid="{00000000-0005-0000-0000-00002F0B0000}"/>
    <cellStyle name="Moneda 2 7 3 2 2 2" xfId="1420" xr:uid="{00000000-0005-0000-0000-0000300B0000}"/>
    <cellStyle name="Moneda 2 7 3 2 2 2 2" xfId="1421" xr:uid="{00000000-0005-0000-0000-0000310B0000}"/>
    <cellStyle name="Moneda 2 7 3 2 2 2 2 2" xfId="2924" xr:uid="{00000000-0005-0000-0000-0000320B0000}"/>
    <cellStyle name="Moneda 2 7 3 2 2 2 3" xfId="2923" xr:uid="{00000000-0005-0000-0000-0000330B0000}"/>
    <cellStyle name="Moneda 2 7 3 2 2 3" xfId="1422" xr:uid="{00000000-0005-0000-0000-0000340B0000}"/>
    <cellStyle name="Moneda 2 7 3 2 2 3 2" xfId="2925" xr:uid="{00000000-0005-0000-0000-0000350B0000}"/>
    <cellStyle name="Moneda 2 7 3 2 2 4" xfId="2922" xr:uid="{00000000-0005-0000-0000-0000360B0000}"/>
    <cellStyle name="Moneda 2 7 3 2 3" xfId="1423" xr:uid="{00000000-0005-0000-0000-0000370B0000}"/>
    <cellStyle name="Moneda 2 7 3 2 3 2" xfId="1424" xr:uid="{00000000-0005-0000-0000-0000380B0000}"/>
    <cellStyle name="Moneda 2 7 3 2 3 2 2" xfId="2927" xr:uid="{00000000-0005-0000-0000-0000390B0000}"/>
    <cellStyle name="Moneda 2 7 3 2 3 3" xfId="2926" xr:uid="{00000000-0005-0000-0000-00003A0B0000}"/>
    <cellStyle name="Moneda 2 7 3 2 4" xfId="1425" xr:uid="{00000000-0005-0000-0000-00003B0B0000}"/>
    <cellStyle name="Moneda 2 7 3 2 4 2" xfId="2928" xr:uid="{00000000-0005-0000-0000-00003C0B0000}"/>
    <cellStyle name="Moneda 2 7 3 2 5" xfId="2921" xr:uid="{00000000-0005-0000-0000-00003D0B0000}"/>
    <cellStyle name="Moneda 2 7 3 3" xfId="1426" xr:uid="{00000000-0005-0000-0000-00003E0B0000}"/>
    <cellStyle name="Moneda 2 7 3 3 2" xfId="1427" xr:uid="{00000000-0005-0000-0000-00003F0B0000}"/>
    <cellStyle name="Moneda 2 7 3 3 2 2" xfId="1428" xr:uid="{00000000-0005-0000-0000-0000400B0000}"/>
    <cellStyle name="Moneda 2 7 3 3 2 2 2" xfId="2931" xr:uid="{00000000-0005-0000-0000-0000410B0000}"/>
    <cellStyle name="Moneda 2 7 3 3 2 3" xfId="2930" xr:uid="{00000000-0005-0000-0000-0000420B0000}"/>
    <cellStyle name="Moneda 2 7 3 3 3" xfId="1429" xr:uid="{00000000-0005-0000-0000-0000430B0000}"/>
    <cellStyle name="Moneda 2 7 3 3 3 2" xfId="2932" xr:uid="{00000000-0005-0000-0000-0000440B0000}"/>
    <cellStyle name="Moneda 2 7 3 3 4" xfId="2929" xr:uid="{00000000-0005-0000-0000-0000450B0000}"/>
    <cellStyle name="Moneda 2 7 3 4" xfId="1430" xr:uid="{00000000-0005-0000-0000-0000460B0000}"/>
    <cellStyle name="Moneda 2 7 3 4 2" xfId="1431" xr:uid="{00000000-0005-0000-0000-0000470B0000}"/>
    <cellStyle name="Moneda 2 7 3 4 2 2" xfId="2934" xr:uid="{00000000-0005-0000-0000-0000480B0000}"/>
    <cellStyle name="Moneda 2 7 3 4 3" xfId="2933" xr:uid="{00000000-0005-0000-0000-0000490B0000}"/>
    <cellStyle name="Moneda 2 7 3 5" xfId="1432" xr:uid="{00000000-0005-0000-0000-00004A0B0000}"/>
    <cellStyle name="Moneda 2 7 3 5 2" xfId="2935" xr:uid="{00000000-0005-0000-0000-00004B0B0000}"/>
    <cellStyle name="Moneda 2 7 3 6" xfId="2920" xr:uid="{00000000-0005-0000-0000-00004C0B0000}"/>
    <cellStyle name="Moneda 2 7 4" xfId="1433" xr:uid="{00000000-0005-0000-0000-00004D0B0000}"/>
    <cellStyle name="Moneda 2 7 4 2" xfId="1434" xr:uid="{00000000-0005-0000-0000-00004E0B0000}"/>
    <cellStyle name="Moneda 2 7 4 2 2" xfId="1435" xr:uid="{00000000-0005-0000-0000-00004F0B0000}"/>
    <cellStyle name="Moneda 2 7 4 2 2 2" xfId="1436" xr:uid="{00000000-0005-0000-0000-0000500B0000}"/>
    <cellStyle name="Moneda 2 7 4 2 2 2 2" xfId="2939" xr:uid="{00000000-0005-0000-0000-0000510B0000}"/>
    <cellStyle name="Moneda 2 7 4 2 2 3" xfId="2938" xr:uid="{00000000-0005-0000-0000-0000520B0000}"/>
    <cellStyle name="Moneda 2 7 4 2 3" xfId="1437" xr:uid="{00000000-0005-0000-0000-0000530B0000}"/>
    <cellStyle name="Moneda 2 7 4 2 3 2" xfId="2940" xr:uid="{00000000-0005-0000-0000-0000540B0000}"/>
    <cellStyle name="Moneda 2 7 4 2 4" xfId="2937" xr:uid="{00000000-0005-0000-0000-0000550B0000}"/>
    <cellStyle name="Moneda 2 7 4 3" xfId="1438" xr:uid="{00000000-0005-0000-0000-0000560B0000}"/>
    <cellStyle name="Moneda 2 7 4 3 2" xfId="1439" xr:uid="{00000000-0005-0000-0000-0000570B0000}"/>
    <cellStyle name="Moneda 2 7 4 3 2 2" xfId="2942" xr:uid="{00000000-0005-0000-0000-0000580B0000}"/>
    <cellStyle name="Moneda 2 7 4 3 3" xfId="2941" xr:uid="{00000000-0005-0000-0000-0000590B0000}"/>
    <cellStyle name="Moneda 2 7 4 4" xfId="1440" xr:uid="{00000000-0005-0000-0000-00005A0B0000}"/>
    <cellStyle name="Moneda 2 7 4 4 2" xfId="2943" xr:uid="{00000000-0005-0000-0000-00005B0B0000}"/>
    <cellStyle name="Moneda 2 7 4 5" xfId="2936" xr:uid="{00000000-0005-0000-0000-00005C0B0000}"/>
    <cellStyle name="Moneda 2 7 5" xfId="1441" xr:uid="{00000000-0005-0000-0000-00005D0B0000}"/>
    <cellStyle name="Moneda 2 7 5 2" xfId="1442" xr:uid="{00000000-0005-0000-0000-00005E0B0000}"/>
    <cellStyle name="Moneda 2 7 5 2 2" xfId="1443" xr:uid="{00000000-0005-0000-0000-00005F0B0000}"/>
    <cellStyle name="Moneda 2 7 5 2 2 2" xfId="2946" xr:uid="{00000000-0005-0000-0000-0000600B0000}"/>
    <cellStyle name="Moneda 2 7 5 2 3" xfId="2945" xr:uid="{00000000-0005-0000-0000-0000610B0000}"/>
    <cellStyle name="Moneda 2 7 5 3" xfId="1444" xr:uid="{00000000-0005-0000-0000-0000620B0000}"/>
    <cellStyle name="Moneda 2 7 5 3 2" xfId="2947" xr:uid="{00000000-0005-0000-0000-0000630B0000}"/>
    <cellStyle name="Moneda 2 7 5 4" xfId="2944" xr:uid="{00000000-0005-0000-0000-0000640B0000}"/>
    <cellStyle name="Moneda 2 7 6" xfId="1445" xr:uid="{00000000-0005-0000-0000-0000650B0000}"/>
    <cellStyle name="Moneda 2 7 6 2" xfId="1446" xr:uid="{00000000-0005-0000-0000-0000660B0000}"/>
    <cellStyle name="Moneda 2 7 6 2 2" xfId="2949" xr:uid="{00000000-0005-0000-0000-0000670B0000}"/>
    <cellStyle name="Moneda 2 7 6 3" xfId="2948" xr:uid="{00000000-0005-0000-0000-0000680B0000}"/>
    <cellStyle name="Moneda 2 7 7" xfId="1447" xr:uid="{00000000-0005-0000-0000-0000690B0000}"/>
    <cellStyle name="Moneda 2 7 7 2" xfId="2950" xr:uid="{00000000-0005-0000-0000-00006A0B0000}"/>
    <cellStyle name="Moneda 2 7 8" xfId="1448" xr:uid="{00000000-0005-0000-0000-00006B0B0000}"/>
    <cellStyle name="Moneda 2 7 8 2" xfId="2951" xr:uid="{00000000-0005-0000-0000-00006C0B0000}"/>
    <cellStyle name="Moneda 2 7 9" xfId="2887" xr:uid="{00000000-0005-0000-0000-00006D0B0000}"/>
    <cellStyle name="Moneda 2 8" xfId="1449" xr:uid="{00000000-0005-0000-0000-00006E0B0000}"/>
    <cellStyle name="Moneda 2 8 2" xfId="1450" xr:uid="{00000000-0005-0000-0000-00006F0B0000}"/>
    <cellStyle name="Moneda 2 8 2 2" xfId="1451" xr:uid="{00000000-0005-0000-0000-0000700B0000}"/>
    <cellStyle name="Moneda 2 8 2 2 2" xfId="1452" xr:uid="{00000000-0005-0000-0000-0000710B0000}"/>
    <cellStyle name="Moneda 2 8 2 2 2 2" xfId="1453" xr:uid="{00000000-0005-0000-0000-0000720B0000}"/>
    <cellStyle name="Moneda 2 8 2 2 2 2 2" xfId="1454" xr:uid="{00000000-0005-0000-0000-0000730B0000}"/>
    <cellStyle name="Moneda 2 8 2 2 2 2 2 2" xfId="1455" xr:uid="{00000000-0005-0000-0000-0000740B0000}"/>
    <cellStyle name="Moneda 2 8 2 2 2 2 2 2 2" xfId="2958" xr:uid="{00000000-0005-0000-0000-0000750B0000}"/>
    <cellStyle name="Moneda 2 8 2 2 2 2 2 3" xfId="2957" xr:uid="{00000000-0005-0000-0000-0000760B0000}"/>
    <cellStyle name="Moneda 2 8 2 2 2 2 3" xfId="1456" xr:uid="{00000000-0005-0000-0000-0000770B0000}"/>
    <cellStyle name="Moneda 2 8 2 2 2 2 3 2" xfId="2959" xr:uid="{00000000-0005-0000-0000-0000780B0000}"/>
    <cellStyle name="Moneda 2 8 2 2 2 2 4" xfId="2956" xr:uid="{00000000-0005-0000-0000-0000790B0000}"/>
    <cellStyle name="Moneda 2 8 2 2 2 3" xfId="1457" xr:uid="{00000000-0005-0000-0000-00007A0B0000}"/>
    <cellStyle name="Moneda 2 8 2 2 2 3 2" xfId="1458" xr:uid="{00000000-0005-0000-0000-00007B0B0000}"/>
    <cellStyle name="Moneda 2 8 2 2 2 3 2 2" xfId="2961" xr:uid="{00000000-0005-0000-0000-00007C0B0000}"/>
    <cellStyle name="Moneda 2 8 2 2 2 3 3" xfId="2960" xr:uid="{00000000-0005-0000-0000-00007D0B0000}"/>
    <cellStyle name="Moneda 2 8 2 2 2 4" xfId="1459" xr:uid="{00000000-0005-0000-0000-00007E0B0000}"/>
    <cellStyle name="Moneda 2 8 2 2 2 4 2" xfId="2962" xr:uid="{00000000-0005-0000-0000-00007F0B0000}"/>
    <cellStyle name="Moneda 2 8 2 2 2 5" xfId="2955" xr:uid="{00000000-0005-0000-0000-0000800B0000}"/>
    <cellStyle name="Moneda 2 8 2 2 3" xfId="1460" xr:uid="{00000000-0005-0000-0000-0000810B0000}"/>
    <cellStyle name="Moneda 2 8 2 2 3 2" xfId="1461" xr:uid="{00000000-0005-0000-0000-0000820B0000}"/>
    <cellStyle name="Moneda 2 8 2 2 3 2 2" xfId="1462" xr:uid="{00000000-0005-0000-0000-0000830B0000}"/>
    <cellStyle name="Moneda 2 8 2 2 3 2 2 2" xfId="2965" xr:uid="{00000000-0005-0000-0000-0000840B0000}"/>
    <cellStyle name="Moneda 2 8 2 2 3 2 3" xfId="2964" xr:uid="{00000000-0005-0000-0000-0000850B0000}"/>
    <cellStyle name="Moneda 2 8 2 2 3 3" xfId="1463" xr:uid="{00000000-0005-0000-0000-0000860B0000}"/>
    <cellStyle name="Moneda 2 8 2 2 3 3 2" xfId="2966" xr:uid="{00000000-0005-0000-0000-0000870B0000}"/>
    <cellStyle name="Moneda 2 8 2 2 3 4" xfId="2963" xr:uid="{00000000-0005-0000-0000-0000880B0000}"/>
    <cellStyle name="Moneda 2 8 2 2 4" xfId="1464" xr:uid="{00000000-0005-0000-0000-0000890B0000}"/>
    <cellStyle name="Moneda 2 8 2 2 4 2" xfId="1465" xr:uid="{00000000-0005-0000-0000-00008A0B0000}"/>
    <cellStyle name="Moneda 2 8 2 2 4 2 2" xfId="2968" xr:uid="{00000000-0005-0000-0000-00008B0B0000}"/>
    <cellStyle name="Moneda 2 8 2 2 4 3" xfId="2967" xr:uid="{00000000-0005-0000-0000-00008C0B0000}"/>
    <cellStyle name="Moneda 2 8 2 2 5" xfId="1466" xr:uid="{00000000-0005-0000-0000-00008D0B0000}"/>
    <cellStyle name="Moneda 2 8 2 2 5 2" xfId="2969" xr:uid="{00000000-0005-0000-0000-00008E0B0000}"/>
    <cellStyle name="Moneda 2 8 2 2 6" xfId="2954" xr:uid="{00000000-0005-0000-0000-00008F0B0000}"/>
    <cellStyle name="Moneda 2 8 2 3" xfId="1467" xr:uid="{00000000-0005-0000-0000-0000900B0000}"/>
    <cellStyle name="Moneda 2 8 2 3 2" xfId="1468" xr:uid="{00000000-0005-0000-0000-0000910B0000}"/>
    <cellStyle name="Moneda 2 8 2 3 2 2" xfId="1469" xr:uid="{00000000-0005-0000-0000-0000920B0000}"/>
    <cellStyle name="Moneda 2 8 2 3 2 2 2" xfId="1470" xr:uid="{00000000-0005-0000-0000-0000930B0000}"/>
    <cellStyle name="Moneda 2 8 2 3 2 2 2 2" xfId="2973" xr:uid="{00000000-0005-0000-0000-0000940B0000}"/>
    <cellStyle name="Moneda 2 8 2 3 2 2 3" xfId="2972" xr:uid="{00000000-0005-0000-0000-0000950B0000}"/>
    <cellStyle name="Moneda 2 8 2 3 2 3" xfId="1471" xr:uid="{00000000-0005-0000-0000-0000960B0000}"/>
    <cellStyle name="Moneda 2 8 2 3 2 3 2" xfId="2974" xr:uid="{00000000-0005-0000-0000-0000970B0000}"/>
    <cellStyle name="Moneda 2 8 2 3 2 4" xfId="2971" xr:uid="{00000000-0005-0000-0000-0000980B0000}"/>
    <cellStyle name="Moneda 2 8 2 3 3" xfId="1472" xr:uid="{00000000-0005-0000-0000-0000990B0000}"/>
    <cellStyle name="Moneda 2 8 2 3 3 2" xfId="1473" xr:uid="{00000000-0005-0000-0000-00009A0B0000}"/>
    <cellStyle name="Moneda 2 8 2 3 3 2 2" xfId="2976" xr:uid="{00000000-0005-0000-0000-00009B0B0000}"/>
    <cellStyle name="Moneda 2 8 2 3 3 3" xfId="2975" xr:uid="{00000000-0005-0000-0000-00009C0B0000}"/>
    <cellStyle name="Moneda 2 8 2 3 4" xfId="1474" xr:uid="{00000000-0005-0000-0000-00009D0B0000}"/>
    <cellStyle name="Moneda 2 8 2 3 4 2" xfId="2977" xr:uid="{00000000-0005-0000-0000-00009E0B0000}"/>
    <cellStyle name="Moneda 2 8 2 3 5" xfId="2970" xr:uid="{00000000-0005-0000-0000-00009F0B0000}"/>
    <cellStyle name="Moneda 2 8 2 4" xfId="1475" xr:uid="{00000000-0005-0000-0000-0000A00B0000}"/>
    <cellStyle name="Moneda 2 8 2 4 2" xfId="1476" xr:uid="{00000000-0005-0000-0000-0000A10B0000}"/>
    <cellStyle name="Moneda 2 8 2 4 2 2" xfId="1477" xr:uid="{00000000-0005-0000-0000-0000A20B0000}"/>
    <cellStyle name="Moneda 2 8 2 4 2 2 2" xfId="2980" xr:uid="{00000000-0005-0000-0000-0000A30B0000}"/>
    <cellStyle name="Moneda 2 8 2 4 2 3" xfId="2979" xr:uid="{00000000-0005-0000-0000-0000A40B0000}"/>
    <cellStyle name="Moneda 2 8 2 4 3" xfId="1478" xr:uid="{00000000-0005-0000-0000-0000A50B0000}"/>
    <cellStyle name="Moneda 2 8 2 4 3 2" xfId="2981" xr:uid="{00000000-0005-0000-0000-0000A60B0000}"/>
    <cellStyle name="Moneda 2 8 2 4 4" xfId="2978" xr:uid="{00000000-0005-0000-0000-0000A70B0000}"/>
    <cellStyle name="Moneda 2 8 2 5" xfId="1479" xr:uid="{00000000-0005-0000-0000-0000A80B0000}"/>
    <cellStyle name="Moneda 2 8 2 5 2" xfId="1480" xr:uid="{00000000-0005-0000-0000-0000A90B0000}"/>
    <cellStyle name="Moneda 2 8 2 5 2 2" xfId="2983" xr:uid="{00000000-0005-0000-0000-0000AA0B0000}"/>
    <cellStyle name="Moneda 2 8 2 5 3" xfId="2982" xr:uid="{00000000-0005-0000-0000-0000AB0B0000}"/>
    <cellStyle name="Moneda 2 8 2 6" xfId="1481" xr:uid="{00000000-0005-0000-0000-0000AC0B0000}"/>
    <cellStyle name="Moneda 2 8 2 6 2" xfId="2984" xr:uid="{00000000-0005-0000-0000-0000AD0B0000}"/>
    <cellStyle name="Moneda 2 8 2 7" xfId="2953" xr:uid="{00000000-0005-0000-0000-0000AE0B0000}"/>
    <cellStyle name="Moneda 2 8 3" xfId="1482" xr:uid="{00000000-0005-0000-0000-0000AF0B0000}"/>
    <cellStyle name="Moneda 2 8 3 2" xfId="1483" xr:uid="{00000000-0005-0000-0000-0000B00B0000}"/>
    <cellStyle name="Moneda 2 8 3 2 2" xfId="1484" xr:uid="{00000000-0005-0000-0000-0000B10B0000}"/>
    <cellStyle name="Moneda 2 8 3 2 2 2" xfId="1485" xr:uid="{00000000-0005-0000-0000-0000B20B0000}"/>
    <cellStyle name="Moneda 2 8 3 2 2 2 2" xfId="1486" xr:uid="{00000000-0005-0000-0000-0000B30B0000}"/>
    <cellStyle name="Moneda 2 8 3 2 2 2 2 2" xfId="2989" xr:uid="{00000000-0005-0000-0000-0000B40B0000}"/>
    <cellStyle name="Moneda 2 8 3 2 2 2 3" xfId="2988" xr:uid="{00000000-0005-0000-0000-0000B50B0000}"/>
    <cellStyle name="Moneda 2 8 3 2 2 3" xfId="1487" xr:uid="{00000000-0005-0000-0000-0000B60B0000}"/>
    <cellStyle name="Moneda 2 8 3 2 2 3 2" xfId="2990" xr:uid="{00000000-0005-0000-0000-0000B70B0000}"/>
    <cellStyle name="Moneda 2 8 3 2 2 4" xfId="2987" xr:uid="{00000000-0005-0000-0000-0000B80B0000}"/>
    <cellStyle name="Moneda 2 8 3 2 3" xfId="1488" xr:uid="{00000000-0005-0000-0000-0000B90B0000}"/>
    <cellStyle name="Moneda 2 8 3 2 3 2" xfId="1489" xr:uid="{00000000-0005-0000-0000-0000BA0B0000}"/>
    <cellStyle name="Moneda 2 8 3 2 3 2 2" xfId="2992" xr:uid="{00000000-0005-0000-0000-0000BB0B0000}"/>
    <cellStyle name="Moneda 2 8 3 2 3 3" xfId="2991" xr:uid="{00000000-0005-0000-0000-0000BC0B0000}"/>
    <cellStyle name="Moneda 2 8 3 2 4" xfId="1490" xr:uid="{00000000-0005-0000-0000-0000BD0B0000}"/>
    <cellStyle name="Moneda 2 8 3 2 4 2" xfId="2993" xr:uid="{00000000-0005-0000-0000-0000BE0B0000}"/>
    <cellStyle name="Moneda 2 8 3 2 5" xfId="2986" xr:uid="{00000000-0005-0000-0000-0000BF0B0000}"/>
    <cellStyle name="Moneda 2 8 3 3" xfId="1491" xr:uid="{00000000-0005-0000-0000-0000C00B0000}"/>
    <cellStyle name="Moneda 2 8 3 3 2" xfId="1492" xr:uid="{00000000-0005-0000-0000-0000C10B0000}"/>
    <cellStyle name="Moneda 2 8 3 3 2 2" xfId="1493" xr:uid="{00000000-0005-0000-0000-0000C20B0000}"/>
    <cellStyle name="Moneda 2 8 3 3 2 2 2" xfId="2996" xr:uid="{00000000-0005-0000-0000-0000C30B0000}"/>
    <cellStyle name="Moneda 2 8 3 3 2 3" xfId="2995" xr:uid="{00000000-0005-0000-0000-0000C40B0000}"/>
    <cellStyle name="Moneda 2 8 3 3 3" xfId="1494" xr:uid="{00000000-0005-0000-0000-0000C50B0000}"/>
    <cellStyle name="Moneda 2 8 3 3 3 2" xfId="2997" xr:uid="{00000000-0005-0000-0000-0000C60B0000}"/>
    <cellStyle name="Moneda 2 8 3 3 4" xfId="2994" xr:uid="{00000000-0005-0000-0000-0000C70B0000}"/>
    <cellStyle name="Moneda 2 8 3 4" xfId="1495" xr:uid="{00000000-0005-0000-0000-0000C80B0000}"/>
    <cellStyle name="Moneda 2 8 3 4 2" xfId="1496" xr:uid="{00000000-0005-0000-0000-0000C90B0000}"/>
    <cellStyle name="Moneda 2 8 3 4 2 2" xfId="2999" xr:uid="{00000000-0005-0000-0000-0000CA0B0000}"/>
    <cellStyle name="Moneda 2 8 3 4 3" xfId="2998" xr:uid="{00000000-0005-0000-0000-0000CB0B0000}"/>
    <cellStyle name="Moneda 2 8 3 5" xfId="1497" xr:uid="{00000000-0005-0000-0000-0000CC0B0000}"/>
    <cellStyle name="Moneda 2 8 3 5 2" xfId="3000" xr:uid="{00000000-0005-0000-0000-0000CD0B0000}"/>
    <cellStyle name="Moneda 2 8 3 6" xfId="2985" xr:uid="{00000000-0005-0000-0000-0000CE0B0000}"/>
    <cellStyle name="Moneda 2 8 4" xfId="1498" xr:uid="{00000000-0005-0000-0000-0000CF0B0000}"/>
    <cellStyle name="Moneda 2 8 4 2" xfId="1499" xr:uid="{00000000-0005-0000-0000-0000D00B0000}"/>
    <cellStyle name="Moneda 2 8 4 2 2" xfId="1500" xr:uid="{00000000-0005-0000-0000-0000D10B0000}"/>
    <cellStyle name="Moneda 2 8 4 2 2 2" xfId="1501" xr:uid="{00000000-0005-0000-0000-0000D20B0000}"/>
    <cellStyle name="Moneda 2 8 4 2 2 2 2" xfId="3004" xr:uid="{00000000-0005-0000-0000-0000D30B0000}"/>
    <cellStyle name="Moneda 2 8 4 2 2 3" xfId="3003" xr:uid="{00000000-0005-0000-0000-0000D40B0000}"/>
    <cellStyle name="Moneda 2 8 4 2 3" xfId="1502" xr:uid="{00000000-0005-0000-0000-0000D50B0000}"/>
    <cellStyle name="Moneda 2 8 4 2 3 2" xfId="3005" xr:uid="{00000000-0005-0000-0000-0000D60B0000}"/>
    <cellStyle name="Moneda 2 8 4 2 4" xfId="3002" xr:uid="{00000000-0005-0000-0000-0000D70B0000}"/>
    <cellStyle name="Moneda 2 8 4 3" xfId="1503" xr:uid="{00000000-0005-0000-0000-0000D80B0000}"/>
    <cellStyle name="Moneda 2 8 4 3 2" xfId="1504" xr:uid="{00000000-0005-0000-0000-0000D90B0000}"/>
    <cellStyle name="Moneda 2 8 4 3 2 2" xfId="3007" xr:uid="{00000000-0005-0000-0000-0000DA0B0000}"/>
    <cellStyle name="Moneda 2 8 4 3 3" xfId="3006" xr:uid="{00000000-0005-0000-0000-0000DB0B0000}"/>
    <cellStyle name="Moneda 2 8 4 4" xfId="1505" xr:uid="{00000000-0005-0000-0000-0000DC0B0000}"/>
    <cellStyle name="Moneda 2 8 4 4 2" xfId="3008" xr:uid="{00000000-0005-0000-0000-0000DD0B0000}"/>
    <cellStyle name="Moneda 2 8 4 5" xfId="3001" xr:uid="{00000000-0005-0000-0000-0000DE0B0000}"/>
    <cellStyle name="Moneda 2 8 5" xfId="1506" xr:uid="{00000000-0005-0000-0000-0000DF0B0000}"/>
    <cellStyle name="Moneda 2 8 5 2" xfId="1507" xr:uid="{00000000-0005-0000-0000-0000E00B0000}"/>
    <cellStyle name="Moneda 2 8 5 2 2" xfId="1508" xr:uid="{00000000-0005-0000-0000-0000E10B0000}"/>
    <cellStyle name="Moneda 2 8 5 2 2 2" xfId="3011" xr:uid="{00000000-0005-0000-0000-0000E20B0000}"/>
    <cellStyle name="Moneda 2 8 5 2 3" xfId="3010" xr:uid="{00000000-0005-0000-0000-0000E30B0000}"/>
    <cellStyle name="Moneda 2 8 5 3" xfId="1509" xr:uid="{00000000-0005-0000-0000-0000E40B0000}"/>
    <cellStyle name="Moneda 2 8 5 3 2" xfId="3012" xr:uid="{00000000-0005-0000-0000-0000E50B0000}"/>
    <cellStyle name="Moneda 2 8 5 4" xfId="3009" xr:uid="{00000000-0005-0000-0000-0000E60B0000}"/>
    <cellStyle name="Moneda 2 8 6" xfId="1510" xr:uid="{00000000-0005-0000-0000-0000E70B0000}"/>
    <cellStyle name="Moneda 2 8 6 2" xfId="1511" xr:uid="{00000000-0005-0000-0000-0000E80B0000}"/>
    <cellStyle name="Moneda 2 8 6 2 2" xfId="3014" xr:uid="{00000000-0005-0000-0000-0000E90B0000}"/>
    <cellStyle name="Moneda 2 8 6 3" xfId="3013" xr:uid="{00000000-0005-0000-0000-0000EA0B0000}"/>
    <cellStyle name="Moneda 2 8 7" xfId="1512" xr:uid="{00000000-0005-0000-0000-0000EB0B0000}"/>
    <cellStyle name="Moneda 2 8 7 2" xfId="3015" xr:uid="{00000000-0005-0000-0000-0000EC0B0000}"/>
    <cellStyle name="Moneda 2 8 8" xfId="1513" xr:uid="{00000000-0005-0000-0000-0000ED0B0000}"/>
    <cellStyle name="Moneda 2 8 8 2" xfId="3016" xr:uid="{00000000-0005-0000-0000-0000EE0B0000}"/>
    <cellStyle name="Moneda 2 8 9" xfId="2952" xr:uid="{00000000-0005-0000-0000-0000EF0B0000}"/>
    <cellStyle name="Moneda 2 9" xfId="1514" xr:uid="{00000000-0005-0000-0000-0000F00B0000}"/>
    <cellStyle name="Moneda 2 9 2" xfId="1515" xr:uid="{00000000-0005-0000-0000-0000F10B0000}"/>
    <cellStyle name="Moneda 2 9 2 2" xfId="1516" xr:uid="{00000000-0005-0000-0000-0000F20B0000}"/>
    <cellStyle name="Moneda 2 9 2 2 2" xfId="1517" xr:uid="{00000000-0005-0000-0000-0000F30B0000}"/>
    <cellStyle name="Moneda 2 9 2 2 2 2" xfId="1518" xr:uid="{00000000-0005-0000-0000-0000F40B0000}"/>
    <cellStyle name="Moneda 2 9 2 2 2 2 2" xfId="1519" xr:uid="{00000000-0005-0000-0000-0000F50B0000}"/>
    <cellStyle name="Moneda 2 9 2 2 2 2 2 2" xfId="3022" xr:uid="{00000000-0005-0000-0000-0000F60B0000}"/>
    <cellStyle name="Moneda 2 9 2 2 2 2 3" xfId="3021" xr:uid="{00000000-0005-0000-0000-0000F70B0000}"/>
    <cellStyle name="Moneda 2 9 2 2 2 3" xfId="1520" xr:uid="{00000000-0005-0000-0000-0000F80B0000}"/>
    <cellStyle name="Moneda 2 9 2 2 2 3 2" xfId="3023" xr:uid="{00000000-0005-0000-0000-0000F90B0000}"/>
    <cellStyle name="Moneda 2 9 2 2 2 4" xfId="3020" xr:uid="{00000000-0005-0000-0000-0000FA0B0000}"/>
    <cellStyle name="Moneda 2 9 2 2 3" xfId="1521" xr:uid="{00000000-0005-0000-0000-0000FB0B0000}"/>
    <cellStyle name="Moneda 2 9 2 2 3 2" xfId="1522" xr:uid="{00000000-0005-0000-0000-0000FC0B0000}"/>
    <cellStyle name="Moneda 2 9 2 2 3 2 2" xfId="3025" xr:uid="{00000000-0005-0000-0000-0000FD0B0000}"/>
    <cellStyle name="Moneda 2 9 2 2 3 3" xfId="3024" xr:uid="{00000000-0005-0000-0000-0000FE0B0000}"/>
    <cellStyle name="Moneda 2 9 2 2 4" xfId="1523" xr:uid="{00000000-0005-0000-0000-0000FF0B0000}"/>
    <cellStyle name="Moneda 2 9 2 2 4 2" xfId="3026" xr:uid="{00000000-0005-0000-0000-0000000C0000}"/>
    <cellStyle name="Moneda 2 9 2 2 5" xfId="3019" xr:uid="{00000000-0005-0000-0000-0000010C0000}"/>
    <cellStyle name="Moneda 2 9 2 3" xfId="1524" xr:uid="{00000000-0005-0000-0000-0000020C0000}"/>
    <cellStyle name="Moneda 2 9 2 3 2" xfId="1525" xr:uid="{00000000-0005-0000-0000-0000030C0000}"/>
    <cellStyle name="Moneda 2 9 2 3 2 2" xfId="1526" xr:uid="{00000000-0005-0000-0000-0000040C0000}"/>
    <cellStyle name="Moneda 2 9 2 3 2 2 2" xfId="3029" xr:uid="{00000000-0005-0000-0000-0000050C0000}"/>
    <cellStyle name="Moneda 2 9 2 3 2 3" xfId="3028" xr:uid="{00000000-0005-0000-0000-0000060C0000}"/>
    <cellStyle name="Moneda 2 9 2 3 3" xfId="1527" xr:uid="{00000000-0005-0000-0000-0000070C0000}"/>
    <cellStyle name="Moneda 2 9 2 3 3 2" xfId="3030" xr:uid="{00000000-0005-0000-0000-0000080C0000}"/>
    <cellStyle name="Moneda 2 9 2 3 4" xfId="3027" xr:uid="{00000000-0005-0000-0000-0000090C0000}"/>
    <cellStyle name="Moneda 2 9 2 4" xfId="1528" xr:uid="{00000000-0005-0000-0000-00000A0C0000}"/>
    <cellStyle name="Moneda 2 9 2 4 2" xfId="1529" xr:uid="{00000000-0005-0000-0000-00000B0C0000}"/>
    <cellStyle name="Moneda 2 9 2 4 2 2" xfId="3032" xr:uid="{00000000-0005-0000-0000-00000C0C0000}"/>
    <cellStyle name="Moneda 2 9 2 4 3" xfId="3031" xr:uid="{00000000-0005-0000-0000-00000D0C0000}"/>
    <cellStyle name="Moneda 2 9 2 5" xfId="1530" xr:uid="{00000000-0005-0000-0000-00000E0C0000}"/>
    <cellStyle name="Moneda 2 9 2 5 2" xfId="3033" xr:uid="{00000000-0005-0000-0000-00000F0C0000}"/>
    <cellStyle name="Moneda 2 9 2 6" xfId="3018" xr:uid="{00000000-0005-0000-0000-0000100C0000}"/>
    <cellStyle name="Moneda 2 9 3" xfId="1531" xr:uid="{00000000-0005-0000-0000-0000110C0000}"/>
    <cellStyle name="Moneda 2 9 3 2" xfId="1532" xr:uid="{00000000-0005-0000-0000-0000120C0000}"/>
    <cellStyle name="Moneda 2 9 3 2 2" xfId="1533" xr:uid="{00000000-0005-0000-0000-0000130C0000}"/>
    <cellStyle name="Moneda 2 9 3 2 2 2" xfId="1534" xr:uid="{00000000-0005-0000-0000-0000140C0000}"/>
    <cellStyle name="Moneda 2 9 3 2 2 2 2" xfId="3037" xr:uid="{00000000-0005-0000-0000-0000150C0000}"/>
    <cellStyle name="Moneda 2 9 3 2 2 3" xfId="3036" xr:uid="{00000000-0005-0000-0000-0000160C0000}"/>
    <cellStyle name="Moneda 2 9 3 2 3" xfId="1535" xr:uid="{00000000-0005-0000-0000-0000170C0000}"/>
    <cellStyle name="Moneda 2 9 3 2 3 2" xfId="3038" xr:uid="{00000000-0005-0000-0000-0000180C0000}"/>
    <cellStyle name="Moneda 2 9 3 2 4" xfId="3035" xr:uid="{00000000-0005-0000-0000-0000190C0000}"/>
    <cellStyle name="Moneda 2 9 3 3" xfId="1536" xr:uid="{00000000-0005-0000-0000-00001A0C0000}"/>
    <cellStyle name="Moneda 2 9 3 3 2" xfId="1537" xr:uid="{00000000-0005-0000-0000-00001B0C0000}"/>
    <cellStyle name="Moneda 2 9 3 3 2 2" xfId="3040" xr:uid="{00000000-0005-0000-0000-00001C0C0000}"/>
    <cellStyle name="Moneda 2 9 3 3 3" xfId="3039" xr:uid="{00000000-0005-0000-0000-00001D0C0000}"/>
    <cellStyle name="Moneda 2 9 3 4" xfId="1538" xr:uid="{00000000-0005-0000-0000-00001E0C0000}"/>
    <cellStyle name="Moneda 2 9 3 4 2" xfId="3041" xr:uid="{00000000-0005-0000-0000-00001F0C0000}"/>
    <cellStyle name="Moneda 2 9 3 5" xfId="3034" xr:uid="{00000000-0005-0000-0000-0000200C0000}"/>
    <cellStyle name="Moneda 2 9 4" xfId="1539" xr:uid="{00000000-0005-0000-0000-0000210C0000}"/>
    <cellStyle name="Moneda 2 9 4 2" xfId="1540" xr:uid="{00000000-0005-0000-0000-0000220C0000}"/>
    <cellStyle name="Moneda 2 9 4 2 2" xfId="1541" xr:uid="{00000000-0005-0000-0000-0000230C0000}"/>
    <cellStyle name="Moneda 2 9 4 2 2 2" xfId="3044" xr:uid="{00000000-0005-0000-0000-0000240C0000}"/>
    <cellStyle name="Moneda 2 9 4 2 3" xfId="3043" xr:uid="{00000000-0005-0000-0000-0000250C0000}"/>
    <cellStyle name="Moneda 2 9 4 3" xfId="1542" xr:uid="{00000000-0005-0000-0000-0000260C0000}"/>
    <cellStyle name="Moneda 2 9 4 3 2" xfId="3045" xr:uid="{00000000-0005-0000-0000-0000270C0000}"/>
    <cellStyle name="Moneda 2 9 4 4" xfId="3042" xr:uid="{00000000-0005-0000-0000-0000280C0000}"/>
    <cellStyle name="Moneda 2 9 5" xfId="1543" xr:uid="{00000000-0005-0000-0000-0000290C0000}"/>
    <cellStyle name="Moneda 2 9 5 2" xfId="1544" xr:uid="{00000000-0005-0000-0000-00002A0C0000}"/>
    <cellStyle name="Moneda 2 9 5 2 2" xfId="3047" xr:uid="{00000000-0005-0000-0000-00002B0C0000}"/>
    <cellStyle name="Moneda 2 9 5 3" xfId="3046" xr:uid="{00000000-0005-0000-0000-00002C0C0000}"/>
    <cellStyle name="Moneda 2 9 6" xfId="1545" xr:uid="{00000000-0005-0000-0000-00002D0C0000}"/>
    <cellStyle name="Moneda 2 9 6 2" xfId="3048" xr:uid="{00000000-0005-0000-0000-00002E0C0000}"/>
    <cellStyle name="Moneda 2 9 7" xfId="3017" xr:uid="{00000000-0005-0000-0000-00002F0C0000}"/>
    <cellStyle name="Moneda 3" xfId="3049" xr:uid="{00000000-0005-0000-0000-0000300C0000}"/>
    <cellStyle name="Neutral 2" xfId="1546" xr:uid="{00000000-0005-0000-0000-0000310C0000}"/>
    <cellStyle name="Neutral 3" xfId="1547" xr:uid="{00000000-0005-0000-0000-0000320C0000}"/>
    <cellStyle name="Neutral 4" xfId="1548" xr:uid="{00000000-0005-0000-0000-0000330C0000}"/>
    <cellStyle name="Neutral 5" xfId="3206" xr:uid="{00000000-0005-0000-0000-0000340C0000}"/>
    <cellStyle name="Normal" xfId="0" builtinId="0"/>
    <cellStyle name="Normal 10" xfId="1549" xr:uid="{00000000-0005-0000-0000-0000360C0000}"/>
    <cellStyle name="Normal 10 2" xfId="1550" xr:uid="{00000000-0005-0000-0000-0000370C0000}"/>
    <cellStyle name="Normal 10 3" xfId="1551" xr:uid="{00000000-0005-0000-0000-0000380C0000}"/>
    <cellStyle name="Normal 10 4" xfId="1552" xr:uid="{00000000-0005-0000-0000-0000390C0000}"/>
    <cellStyle name="Normal 10 4 2" xfId="1553" xr:uid="{00000000-0005-0000-0000-00003A0C0000}"/>
    <cellStyle name="Normal 10 4 2 2" xfId="1554" xr:uid="{00000000-0005-0000-0000-00003B0C0000}"/>
    <cellStyle name="Normal 10 4 3" xfId="1555" xr:uid="{00000000-0005-0000-0000-00003C0C0000}"/>
    <cellStyle name="Normal 10 5" xfId="1556" xr:uid="{00000000-0005-0000-0000-00003D0C0000}"/>
    <cellStyle name="Normal 11" xfId="1557" xr:uid="{00000000-0005-0000-0000-00003E0C0000}"/>
    <cellStyle name="Normal 11 2" xfId="1558" xr:uid="{00000000-0005-0000-0000-00003F0C0000}"/>
    <cellStyle name="Normal 12" xfId="1559" xr:uid="{00000000-0005-0000-0000-0000400C0000}"/>
    <cellStyle name="Normal 12 2" xfId="1560" xr:uid="{00000000-0005-0000-0000-0000410C0000}"/>
    <cellStyle name="Normal 13" xfId="1561" xr:uid="{00000000-0005-0000-0000-0000420C0000}"/>
    <cellStyle name="Normal 13 2" xfId="1562" xr:uid="{00000000-0005-0000-0000-0000430C0000}"/>
    <cellStyle name="Normal 13 3" xfId="1563" xr:uid="{00000000-0005-0000-0000-0000440C0000}"/>
    <cellStyle name="Normal 14" xfId="1564" xr:uid="{00000000-0005-0000-0000-0000450C0000}"/>
    <cellStyle name="Normal 14 2" xfId="1565" xr:uid="{00000000-0005-0000-0000-0000460C0000}"/>
    <cellStyle name="Normal 15" xfId="1566" xr:uid="{00000000-0005-0000-0000-0000470C0000}"/>
    <cellStyle name="Normal 16" xfId="1567" xr:uid="{00000000-0005-0000-0000-0000480C0000}"/>
    <cellStyle name="Normal 16 2" xfId="1568" xr:uid="{00000000-0005-0000-0000-0000490C0000}"/>
    <cellStyle name="Normal 17" xfId="1569" xr:uid="{00000000-0005-0000-0000-00004A0C0000}"/>
    <cellStyle name="Normal 17 2" xfId="1570" xr:uid="{00000000-0005-0000-0000-00004B0C0000}"/>
    <cellStyle name="Normal 17 2 2" xfId="1571" xr:uid="{00000000-0005-0000-0000-00004C0C0000}"/>
    <cellStyle name="Normal 17 3" xfId="1572" xr:uid="{00000000-0005-0000-0000-00004D0C0000}"/>
    <cellStyle name="Normal 17 4" xfId="1573" xr:uid="{00000000-0005-0000-0000-00004E0C0000}"/>
    <cellStyle name="Normal 18" xfId="1574" xr:uid="{00000000-0005-0000-0000-00004F0C0000}"/>
    <cellStyle name="Normal 18 2" xfId="1575" xr:uid="{00000000-0005-0000-0000-0000500C0000}"/>
    <cellStyle name="Normal 19" xfId="1576" xr:uid="{00000000-0005-0000-0000-0000510C0000}"/>
    <cellStyle name="Normal 2" xfId="1577" xr:uid="{00000000-0005-0000-0000-0000520C0000}"/>
    <cellStyle name="Normal 2 2" xfId="1578" xr:uid="{00000000-0005-0000-0000-0000530C0000}"/>
    <cellStyle name="Normal 2 2 2" xfId="1579" xr:uid="{00000000-0005-0000-0000-0000540C0000}"/>
    <cellStyle name="Normal 2 3" xfId="1580" xr:uid="{00000000-0005-0000-0000-0000550C0000}"/>
    <cellStyle name="Normal 2 4" xfId="3163" xr:uid="{00000000-0005-0000-0000-0000560C0000}"/>
    <cellStyle name="Normal 20" xfId="1581" xr:uid="{00000000-0005-0000-0000-0000570C0000}"/>
    <cellStyle name="Normal 21" xfId="1582" xr:uid="{00000000-0005-0000-0000-0000580C0000}"/>
    <cellStyle name="Normal 22" xfId="1583" xr:uid="{00000000-0005-0000-0000-0000590C0000}"/>
    <cellStyle name="Normal 23" xfId="3198" xr:uid="{00000000-0005-0000-0000-00005A0C0000}"/>
    <cellStyle name="Normal 3" xfId="1584" xr:uid="{00000000-0005-0000-0000-00005B0C0000}"/>
    <cellStyle name="Normal 3 2" xfId="1585" xr:uid="{00000000-0005-0000-0000-00005C0C0000}"/>
    <cellStyle name="Normal 4" xfId="1586" xr:uid="{00000000-0005-0000-0000-00005D0C0000}"/>
    <cellStyle name="Normal 4 2" xfId="1587" xr:uid="{00000000-0005-0000-0000-00005E0C0000}"/>
    <cellStyle name="Normal 4 2 2" xfId="1588" xr:uid="{00000000-0005-0000-0000-00005F0C0000}"/>
    <cellStyle name="Normal 4 2 2 2" xfId="1589" xr:uid="{00000000-0005-0000-0000-0000600C0000}"/>
    <cellStyle name="Normal 4 2 2 2 2" xfId="1590" xr:uid="{00000000-0005-0000-0000-0000610C0000}"/>
    <cellStyle name="Normal 4 2 2 3" xfId="1591" xr:uid="{00000000-0005-0000-0000-0000620C0000}"/>
    <cellStyle name="Normal 4 2 3" xfId="1592" xr:uid="{00000000-0005-0000-0000-0000630C0000}"/>
    <cellStyle name="Normal 4 2 4" xfId="1593" xr:uid="{00000000-0005-0000-0000-0000640C0000}"/>
    <cellStyle name="Normal 4 2 4 2" xfId="1594" xr:uid="{00000000-0005-0000-0000-0000650C0000}"/>
    <cellStyle name="Normal 4 2 5" xfId="1595" xr:uid="{00000000-0005-0000-0000-0000660C0000}"/>
    <cellStyle name="Normal 4 3" xfId="1596" xr:uid="{00000000-0005-0000-0000-0000670C0000}"/>
    <cellStyle name="Normal 5" xfId="1597" xr:uid="{00000000-0005-0000-0000-0000680C0000}"/>
    <cellStyle name="Normal 5 2" xfId="1598" xr:uid="{00000000-0005-0000-0000-0000690C0000}"/>
    <cellStyle name="Normal 5 3" xfId="1599" xr:uid="{00000000-0005-0000-0000-00006A0C0000}"/>
    <cellStyle name="Normal 5 4" xfId="3207" xr:uid="{00000000-0005-0000-0000-00006B0C0000}"/>
    <cellStyle name="Normal 6" xfId="1600" xr:uid="{00000000-0005-0000-0000-00006C0C0000}"/>
    <cellStyle name="Normal 6 2" xfId="1601" xr:uid="{00000000-0005-0000-0000-00006D0C0000}"/>
    <cellStyle name="Normal 7" xfId="1602" xr:uid="{00000000-0005-0000-0000-00006E0C0000}"/>
    <cellStyle name="Normal 7 2" xfId="1603" xr:uid="{00000000-0005-0000-0000-00006F0C0000}"/>
    <cellStyle name="Normal 7 2 2" xfId="3164" xr:uid="{00000000-0005-0000-0000-0000700C0000}"/>
    <cellStyle name="Normal 7 3" xfId="3161" xr:uid="{00000000-0005-0000-0000-0000710C0000}"/>
    <cellStyle name="Normal 8" xfId="1604" xr:uid="{00000000-0005-0000-0000-0000720C0000}"/>
    <cellStyle name="Normal 8 10" xfId="1605" xr:uid="{00000000-0005-0000-0000-0000730C0000}"/>
    <cellStyle name="Normal 8 2" xfId="1606" xr:uid="{00000000-0005-0000-0000-0000740C0000}"/>
    <cellStyle name="Normal 9" xfId="1607" xr:uid="{00000000-0005-0000-0000-0000750C0000}"/>
    <cellStyle name="Normal 9 2" xfId="1608" xr:uid="{00000000-0005-0000-0000-0000760C0000}"/>
    <cellStyle name="Normal 9 3" xfId="1609" xr:uid="{00000000-0005-0000-0000-0000770C0000}"/>
    <cellStyle name="Normal 9 3 2" xfId="1610" xr:uid="{00000000-0005-0000-0000-0000780C0000}"/>
    <cellStyle name="Normal 9 3 2 2" xfId="1611" xr:uid="{00000000-0005-0000-0000-0000790C0000}"/>
    <cellStyle name="Normal 9 3 3" xfId="1612" xr:uid="{00000000-0005-0000-0000-00007A0C0000}"/>
    <cellStyle name="Normal 9 4" xfId="1613" xr:uid="{00000000-0005-0000-0000-00007B0C0000}"/>
    <cellStyle name="Notas" xfId="3177" builtinId="10" customBuiltin="1"/>
    <cellStyle name="Porcentaje" xfId="3208" builtinId="5"/>
    <cellStyle name="Porcentaje 2" xfId="1614" xr:uid="{00000000-0005-0000-0000-00007E0C0000}"/>
    <cellStyle name="Porcentaje 3" xfId="1615" xr:uid="{00000000-0005-0000-0000-00007F0C0000}"/>
    <cellStyle name="Porcentaje 3 2" xfId="1616" xr:uid="{00000000-0005-0000-0000-0000800C0000}"/>
    <cellStyle name="Porcentaje 3 3" xfId="1617" xr:uid="{00000000-0005-0000-0000-0000810C0000}"/>
    <cellStyle name="Salida" xfId="3172" builtinId="21" customBuiltin="1"/>
    <cellStyle name="Texto de advertencia" xfId="3176" builtinId="11" customBuiltin="1"/>
    <cellStyle name="Texto explicativo" xfId="3178" builtinId="53" customBuiltin="1"/>
    <cellStyle name="Título" xfId="3165" builtinId="15" customBuiltin="1"/>
    <cellStyle name="Título 2" xfId="3167" builtinId="17" customBuiltin="1"/>
    <cellStyle name="Título 3" xfId="3168" builtinId="18" customBuiltin="1"/>
    <cellStyle name="Total" xfId="3179" builtinId="25" customBuiltin="1"/>
  </cellStyles>
  <dxfs count="665">
    <dxf>
      <font>
        <b/>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rgb="FF000000"/>
        <name val="Arial"/>
        <scheme val="none"/>
      </font>
      <numFmt numFmtId="0" formatCode="General"/>
      <fill>
        <patternFill patternType="solid">
          <fgColor indexed="64"/>
          <bgColor rgb="FFAFCC4A"/>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rgb="FFFFFFFF"/>
        <name val="Arial"/>
        <scheme val="none"/>
      </font>
      <numFmt numFmtId="0" formatCode="General"/>
      <fill>
        <patternFill patternType="solid">
          <fgColor indexed="64"/>
          <bgColor rgb="FF30449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rgb="FFFFFFFF"/>
        <name val="Arial"/>
        <scheme val="none"/>
      </font>
      <numFmt numFmtId="171" formatCode="m/d/yyyy"/>
      <fill>
        <patternFill patternType="solid">
          <fgColor indexed="64"/>
          <bgColor rgb="FF304496"/>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rgb="FFFFFFFF"/>
        <name val="Arial"/>
        <scheme val="none"/>
      </font>
      <numFmt numFmtId="0" formatCode="General"/>
      <fill>
        <patternFill patternType="solid">
          <fgColor indexed="64"/>
          <bgColor rgb="FF30449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strike val="0"/>
        <outline val="0"/>
        <shadow val="0"/>
        <u val="none"/>
        <vertAlign val="baseline"/>
        <sz val="10"/>
        <color auto="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auto="1"/>
        <name val="Arial"/>
        <scheme val="none"/>
      </font>
      <numFmt numFmtId="171" formatCode="m/d/yyyy"/>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rgb="FF000000"/>
        <name val="Arial"/>
        <scheme val="none"/>
      </font>
      <numFmt numFmtId="0" formatCode="General"/>
      <fill>
        <patternFill patternType="solid">
          <fgColor indexed="64"/>
          <bgColor rgb="FFAFCC4A"/>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rgb="FF000000"/>
        <name val="Arial"/>
        <scheme val="none"/>
      </font>
      <numFmt numFmtId="0" formatCode="General"/>
      <fill>
        <patternFill patternType="solid">
          <fgColor indexed="64"/>
          <bgColor rgb="FFAF9C3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strike val="0"/>
        <outline val="0"/>
        <shadow val="0"/>
        <u val="none"/>
        <vertAlign val="baseline"/>
        <sz val="10"/>
        <color auto="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FF00"/>
        </patternFill>
      </fill>
    </dxf>
    <dxf>
      <font>
        <color theme="1"/>
      </font>
      <fill>
        <patternFill>
          <bgColor rgb="FFFFFF00"/>
        </patternFill>
      </fill>
    </dxf>
    <dxf>
      <font>
        <color theme="0"/>
      </font>
      <fill>
        <patternFill>
          <bgColor theme="9" tint="-0.499984740745262"/>
        </patternFill>
      </fill>
    </dxf>
    <dxf>
      <font>
        <color theme="0"/>
      </font>
      <fill>
        <patternFill>
          <bgColor rgb="FFFF0000"/>
        </patternFill>
      </fill>
    </dxf>
    <dxf>
      <font>
        <color theme="1"/>
      </font>
      <fill>
        <patternFill>
          <bgColor rgb="FFFFFF00"/>
        </patternFill>
      </fill>
    </dxf>
    <dxf>
      <font>
        <color theme="0"/>
      </font>
      <fill>
        <patternFill>
          <bgColor theme="5" tint="-0.24994659260841701"/>
        </patternFill>
      </fill>
    </dxf>
    <dxf>
      <font>
        <color theme="0"/>
      </font>
      <fill>
        <patternFill>
          <bgColor rgb="FFFF0000"/>
        </patternFill>
      </fill>
    </dxf>
    <dxf>
      <font>
        <color rgb="FFFF0000"/>
      </font>
      <fill>
        <patternFill>
          <bgColor rgb="FFD9B9C4"/>
        </patternFill>
      </fill>
    </dxf>
    <dxf>
      <font>
        <color theme="0"/>
      </font>
      <fill>
        <patternFill>
          <bgColor rgb="FFFF0000"/>
        </patternFill>
      </fill>
    </dxf>
    <dxf>
      <font>
        <color auto="1"/>
      </font>
      <fill>
        <patternFill>
          <bgColor rgb="FFFFFF00"/>
        </patternFill>
      </fill>
    </dxf>
    <dxf>
      <font>
        <color auto="1"/>
      </font>
      <fill>
        <patternFill>
          <bgColor rgb="FFFFFF00"/>
        </patternFill>
      </fill>
    </dxf>
    <dxf>
      <font>
        <color theme="0"/>
      </font>
      <fill>
        <patternFill>
          <bgColor rgb="FF002060"/>
        </patternFill>
      </fill>
    </dxf>
    <dxf>
      <font>
        <color theme="0"/>
      </font>
      <fill>
        <patternFill>
          <bgColor theme="9" tint="-0.499984740745262"/>
        </patternFill>
      </fill>
    </dxf>
    <dxf>
      <font>
        <color theme="0"/>
      </font>
      <fill>
        <patternFill>
          <bgColor theme="5" tint="-0.24994659260841701"/>
        </patternFill>
      </fill>
    </dxf>
    <dxf>
      <font>
        <color theme="0"/>
      </font>
      <fill>
        <patternFill>
          <bgColor rgb="FFFF0000"/>
        </patternFill>
      </fill>
    </dxf>
    <dxf>
      <font>
        <color rgb="FFFF0000"/>
      </font>
      <fill>
        <patternFill>
          <bgColor rgb="FFD9B9C4"/>
        </patternFill>
      </fill>
    </dxf>
    <dxf>
      <font>
        <color theme="0"/>
      </font>
      <fill>
        <patternFill>
          <bgColor rgb="FFFF0000"/>
        </patternFill>
      </fill>
    </dxf>
    <dxf>
      <font>
        <color auto="1"/>
      </font>
      <fill>
        <patternFill>
          <bgColor rgb="FFFFFF00"/>
        </patternFill>
      </fill>
    </dxf>
    <dxf>
      <font>
        <color auto="1"/>
      </font>
      <fill>
        <patternFill>
          <bgColor rgb="FFFFFF00"/>
        </patternFill>
      </fill>
    </dxf>
    <dxf>
      <font>
        <color theme="1"/>
      </font>
      <fill>
        <patternFill>
          <bgColor rgb="FFFFFF00"/>
        </patternFill>
      </fill>
    </dxf>
    <dxf>
      <font>
        <color theme="0"/>
      </font>
      <fill>
        <patternFill>
          <bgColor theme="5" tint="-0.24994659260841701"/>
        </patternFill>
      </fill>
    </dxf>
    <dxf>
      <font>
        <color theme="0"/>
      </font>
      <fill>
        <patternFill>
          <bgColor rgb="FFFF0000"/>
        </patternFill>
      </fill>
    </dxf>
    <dxf>
      <font>
        <color rgb="FFFF0000"/>
      </font>
      <fill>
        <patternFill>
          <bgColor rgb="FFD9B9C4"/>
        </patternFill>
      </fill>
    </dxf>
    <dxf>
      <font>
        <color theme="0"/>
      </font>
      <fill>
        <patternFill>
          <bgColor rgb="FFFF0000"/>
        </patternFill>
      </fill>
    </dxf>
    <dxf>
      <font>
        <color auto="1"/>
      </font>
      <fill>
        <patternFill>
          <bgColor rgb="FFFFFF00"/>
        </patternFill>
      </fill>
    </dxf>
    <dxf>
      <font>
        <color auto="1"/>
      </font>
      <fill>
        <patternFill>
          <bgColor rgb="FFFFFF00"/>
        </patternFill>
      </fill>
    </dxf>
    <dxf>
      <font>
        <color theme="0"/>
      </font>
      <fill>
        <patternFill>
          <bgColor rgb="FF002060"/>
        </patternFill>
      </fill>
    </dxf>
    <dxf>
      <font>
        <color theme="0"/>
      </font>
      <fill>
        <patternFill>
          <bgColor theme="9" tint="-0.499984740745262"/>
        </patternFill>
      </fill>
    </dxf>
    <dxf>
      <font>
        <color theme="0"/>
      </font>
      <fill>
        <patternFill>
          <bgColor theme="5" tint="-0.24994659260841701"/>
        </patternFill>
      </fill>
    </dxf>
    <dxf>
      <font>
        <color theme="0"/>
      </font>
      <fill>
        <patternFill>
          <bgColor rgb="FFFF0000"/>
        </patternFill>
      </fill>
    </dxf>
    <dxf>
      <font>
        <color rgb="FFFF0000"/>
      </font>
      <fill>
        <patternFill>
          <bgColor rgb="FFD9B9C4"/>
        </patternFill>
      </fill>
    </dxf>
    <dxf>
      <font>
        <color theme="0"/>
      </font>
      <fill>
        <patternFill>
          <bgColor rgb="FFFF0000"/>
        </patternFill>
      </fill>
    </dxf>
    <dxf>
      <font>
        <color auto="1"/>
      </font>
      <fill>
        <patternFill>
          <bgColor rgb="FFFFFF00"/>
        </patternFill>
      </fill>
    </dxf>
    <dxf>
      <font>
        <color auto="1"/>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0"/>
      </font>
      <fill>
        <patternFill>
          <bgColor rgb="FFFF0000"/>
        </patternFill>
      </fill>
    </dxf>
    <dxf>
      <font>
        <color theme="0"/>
      </font>
      <fill>
        <patternFill>
          <bgColor theme="9" tint="-0.499984740745262"/>
        </patternFill>
      </fill>
    </dxf>
    <dxf>
      <font>
        <color theme="0"/>
      </font>
      <fill>
        <patternFill>
          <bgColor rgb="FFFF0000"/>
        </patternFill>
      </fill>
    </dxf>
    <dxf>
      <font>
        <color theme="0"/>
      </font>
      <fill>
        <patternFill>
          <bgColor theme="9" tint="-0.499984740745262"/>
        </patternFill>
      </fill>
    </dxf>
    <dxf>
      <font>
        <color theme="0"/>
      </font>
      <fill>
        <patternFill>
          <bgColor rgb="FFFF0000"/>
        </patternFill>
      </fill>
    </dxf>
    <dxf>
      <font>
        <color theme="0"/>
      </font>
      <fill>
        <patternFill>
          <bgColor theme="9" tint="-0.499984740745262"/>
        </patternFill>
      </fill>
    </dxf>
    <dxf>
      <font>
        <color theme="0"/>
      </font>
      <fill>
        <patternFill>
          <bgColor rgb="FFFF0000"/>
        </patternFill>
      </fill>
    </dxf>
    <dxf>
      <font>
        <color theme="0"/>
      </font>
      <fill>
        <patternFill>
          <bgColor theme="9" tint="-0.499984740745262"/>
        </patternFill>
      </fill>
    </dxf>
    <dxf>
      <font>
        <color theme="0"/>
      </font>
      <fill>
        <patternFill>
          <bgColor rgb="FFFF0000"/>
        </patternFill>
      </fill>
    </dxf>
    <dxf>
      <font>
        <color theme="0"/>
      </font>
      <fill>
        <patternFill>
          <bgColor theme="9" tint="-0.499984740745262"/>
        </patternFill>
      </fill>
    </dxf>
    <dxf>
      <numFmt numFmtId="30" formatCode="@"/>
    </dxf>
    <dxf>
      <numFmt numFmtId="30" formatCode="@"/>
    </dxf>
    <dxf>
      <numFmt numFmtId="30" formatCode="@"/>
    </dxf>
    <dxf>
      <numFmt numFmtId="30" formatCode="@"/>
    </dxf>
    <dxf>
      <font>
        <b/>
        <strike val="0"/>
        <outline val="0"/>
        <shadow val="0"/>
        <u val="none"/>
        <vertAlign val="baseline"/>
        <sz val="10"/>
        <color auto="1"/>
        <name val="Arial"/>
        <scheme val="none"/>
      </font>
      <numFmt numFmtId="171"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numFmt numFmtId="171"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auto="1"/>
        <name val="Arial"/>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rgb="FFFFFFFF"/>
        <name val="Arial"/>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tint="4.9989318521683403E-2"/>
        <name val="Arial"/>
        <scheme val="none"/>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vertAlign val="baseline"/>
        <sz val="10"/>
        <name val="Arial"/>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0"/>
        <name val="Arial"/>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0"/>
        <name val="Arial"/>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0"/>
        <name val="Arial"/>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strike val="0"/>
        <outline val="0"/>
        <shadow val="0"/>
        <u val="none"/>
        <vertAlign val="baseline"/>
        <sz val="10"/>
        <name val="Arial"/>
        <scheme val="none"/>
      </font>
      <numFmt numFmtId="171"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name val="Arial"/>
        <scheme val="none"/>
      </font>
      <numFmt numFmtId="171"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rgb="FFFF0000"/>
        <name val="Arial"/>
        <scheme val="none"/>
      </font>
      <numFmt numFmtId="30" formatCode="@"/>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rgb="FFFF0000"/>
        <name val="Arial"/>
        <scheme val="none"/>
      </font>
      <numFmt numFmtId="30" formatCode="@"/>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i val="0"/>
        <strike val="0"/>
        <condense val="0"/>
        <extend val="0"/>
        <outline val="0"/>
        <shadow val="0"/>
        <u val="none"/>
        <vertAlign val="baseline"/>
        <sz val="10"/>
        <color rgb="FFFFFFFF"/>
        <name val="Arial"/>
        <scheme val="none"/>
      </font>
      <numFmt numFmtId="0" formatCode="General"/>
      <fill>
        <patternFill patternType="solid">
          <fgColor indexed="64"/>
          <bgColor rgb="FF304496"/>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1"/>
    </dxf>
    <dxf>
      <font>
        <b/>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0"/>
        <color auto="1"/>
        <name val="Arial"/>
        <scheme val="none"/>
      </font>
      <fill>
        <patternFill patternType="none">
          <fgColor indexed="64"/>
          <bgColor auto="1"/>
        </patternFill>
      </fill>
      <protection locked="0" hidden="1"/>
    </dxf>
    <dxf>
      <border>
        <bottom style="thin">
          <color indexed="64"/>
        </bottom>
      </border>
    </dxf>
    <dxf>
      <font>
        <b/>
        <i val="0"/>
        <strike val="0"/>
        <condense val="0"/>
        <extend val="0"/>
        <outline val="0"/>
        <shadow val="0"/>
        <u val="none"/>
        <vertAlign val="baseline"/>
        <sz val="10"/>
        <color theme="0"/>
        <name val="Arial"/>
        <scheme val="none"/>
      </font>
      <fill>
        <patternFill patternType="solid">
          <fgColor indexed="64"/>
          <bgColor theme="8" tint="-0.249977111117893"/>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hidden="1"/>
    </dxf>
    <dxf>
      <font>
        <b/>
        <i val="0"/>
        <strike val="0"/>
        <condense val="0"/>
        <extend val="0"/>
        <outline val="0"/>
        <shadow val="0"/>
        <u val="none"/>
        <vertAlign val="baseline"/>
        <sz val="10"/>
        <color rgb="FFFF0000"/>
        <name val="Arial"/>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i val="0"/>
        <strike val="0"/>
        <condense val="0"/>
        <extend val="0"/>
        <outline val="0"/>
        <shadow val="0"/>
        <u val="none"/>
        <vertAlign val="baseline"/>
        <sz val="10"/>
        <color rgb="FFFF0000"/>
        <name val="Arial"/>
        <scheme val="none"/>
      </font>
      <fill>
        <patternFill patternType="solid">
          <fgColor indexed="64"/>
          <bgColor theme="0" tint="-0.49998474074526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fill>
        <patternFill patternType="solid">
          <fgColor indexed="64"/>
          <bgColor theme="0" tint="-0.49998474074526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i val="0"/>
        <strike val="0"/>
        <condense val="0"/>
        <extend val="0"/>
        <outline val="0"/>
        <shadow val="0"/>
        <u val="none"/>
        <vertAlign val="baseline"/>
        <sz val="10"/>
        <color rgb="FFFF0000"/>
        <name val="Arial"/>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i val="0"/>
        <strike val="0"/>
        <condense val="0"/>
        <extend val="0"/>
        <outline val="0"/>
        <shadow val="0"/>
        <u val="none"/>
        <vertAlign val="baseline"/>
        <sz val="10"/>
        <color rgb="FFFF0000"/>
        <name val="Arial"/>
        <scheme val="none"/>
      </font>
      <numFmt numFmtId="25" formatCode="h: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25" formatCode="h:m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right style="thin">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b/>
        <i val="0"/>
        <strike val="0"/>
        <condense val="0"/>
        <extend val="0"/>
        <outline val="0"/>
        <shadow val="0"/>
        <u val="none"/>
        <vertAlign val="baseline"/>
        <sz val="10"/>
        <color rgb="FFFF0000"/>
        <name val="Arial"/>
        <scheme val="none"/>
      </font>
      <numFmt numFmtId="25" formatCode="h:mm"/>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25" formatCode="h:mm"/>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i val="0"/>
        <strike val="0"/>
        <condense val="0"/>
        <extend val="0"/>
        <outline val="0"/>
        <shadow val="0"/>
        <u val="none"/>
        <vertAlign val="baseline"/>
        <sz val="10"/>
        <color rgb="FFFF0000"/>
        <name val="Arial"/>
        <scheme val="none"/>
      </font>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25" formatCode="h:mm"/>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i val="0"/>
        <strike val="0"/>
        <condense val="0"/>
        <extend val="0"/>
        <outline val="0"/>
        <shadow val="0"/>
        <u val="none"/>
        <vertAlign val="baseline"/>
        <sz val="10"/>
        <color rgb="FFFF0000"/>
        <name val="Arial"/>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theme="1"/>
        <name val="Arial"/>
        <scheme val="none"/>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right style="thin">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b/>
        <strike val="0"/>
        <outline val="0"/>
        <shadow val="0"/>
        <u val="none"/>
        <vertAlign val="baseline"/>
        <sz val="10"/>
        <color theme="1"/>
        <name val="Arial"/>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border>
      <protection locked="0" hidden="0"/>
    </dxf>
    <dxf>
      <font>
        <b/>
        <strike val="0"/>
        <outline val="0"/>
        <shadow val="0"/>
        <u val="none"/>
        <vertAlign val="baseline"/>
        <sz val="10"/>
        <color rgb="FFFF0000"/>
        <name val="Arial"/>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sz val="10"/>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z val="10"/>
      </font>
      <numFmt numFmtId="170" formatCode="hh:mm"/>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z val="10"/>
        <color theme="1"/>
        <name val="Arial"/>
        <scheme val="none"/>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sz val="10"/>
        <color theme="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sz val="10"/>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font>
      <numFmt numFmtId="0" formatCode="General"/>
      <fill>
        <patternFill patternType="none">
          <fgColor indexed="64"/>
          <bgColor auto="1"/>
        </patternFill>
      </fill>
      <alignment vertical="center" textRotation="0" wrapText="1" indent="0" justifyLastLine="0" shrinkToFit="0" readingOrder="0"/>
      <border diagonalUp="0" diagonalDown="0" outline="0">
        <left/>
        <right style="thin">
          <color indexed="64"/>
        </right>
        <top style="thin">
          <color indexed="64"/>
        </top>
        <bottom style="thin">
          <color indexed="64"/>
        </bottom>
      </border>
      <protection locked="1" hidden="0"/>
    </dxf>
    <dxf>
      <font>
        <b/>
        <strike val="0"/>
        <outline val="0"/>
        <shadow val="0"/>
        <u val="none"/>
        <vertAlign val="baseline"/>
        <sz val="14"/>
        <color rgb="FF000000"/>
        <name val="Arial"/>
        <scheme val="none"/>
      </font>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font>
      <fill>
        <patternFill patternType="none">
          <fgColor indexed="64"/>
          <bgColor auto="1"/>
        </patternFill>
      </fill>
      <protection locked="0" hidden="0"/>
    </dxf>
    <dxf>
      <border>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font>
        <b val="0"/>
      </font>
    </dxf>
    <dxf>
      <font>
        <b val="0"/>
      </font>
    </dxf>
    <dxf>
      <font>
        <b val="0"/>
      </font>
    </dxf>
    <dxf>
      <font>
        <b val="0"/>
      </font>
    </dxf>
    <dxf>
      <font>
        <b val="0"/>
      </font>
    </dxf>
    <dxf>
      <font>
        <b val="0"/>
      </font>
    </dxf>
    <dxf>
      <font>
        <b val="0"/>
      </font>
    </dxf>
    <dxf>
      <font>
        <b val="0"/>
      </font>
    </dxf>
    <dxf>
      <alignment horizontal="lef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s>
  <tableStyles count="1" defaultTableStyle="TableStyleMedium2" defaultPivotStyle="PivotStyleLight16">
    <tableStyle name="Estilo de tabla dinámica 1" table="0" count="0" xr9:uid="{00000000-0011-0000-FFFF-FFFF00000000}"/>
  </tableStyles>
  <colors>
    <mruColors>
      <color rgb="FFFF0000"/>
      <color rgb="FFAFCC4A"/>
      <color rgb="FF1D7D4D"/>
      <color rgb="FFA9D08E"/>
      <color rgb="FFFFF2CC"/>
      <color rgb="FFD9B9C4"/>
      <color rgb="FFC47E4E"/>
      <color rgb="FFBF8F00"/>
      <color rgb="FF9BC2E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3</xdr:col>
      <xdr:colOff>688062</xdr:colOff>
      <xdr:row>1</xdr:row>
      <xdr:rowOff>685</xdr:rowOff>
    </xdr:from>
    <xdr:to>
      <xdr:col>3</xdr:col>
      <xdr:colOff>2208838</xdr:colOff>
      <xdr:row>5</xdr:row>
      <xdr:rowOff>79628</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alphaModFix amt="70000"/>
          <a:extLst>
            <a:ext uri="{28A0092B-C50C-407E-A947-70E740481C1C}">
              <a14:useLocalDpi xmlns:a14="http://schemas.microsoft.com/office/drawing/2010/main" val="0"/>
            </a:ext>
          </a:extLst>
        </a:blip>
        <a:stretch>
          <a:fillRect/>
        </a:stretch>
      </xdr:blipFill>
      <xdr:spPr>
        <a:xfrm>
          <a:off x="6768822" y="297865"/>
          <a:ext cx="1513156" cy="1286713"/>
        </a:xfrm>
        <a:prstGeom prst="rect">
          <a:avLst/>
        </a:prstGeom>
      </xdr:spPr>
    </xdr:pic>
    <xdr:clientData/>
  </xdr:twoCellAnchor>
  <xdr:twoCellAnchor editAs="absolute">
    <xdr:from>
      <xdr:col>2</xdr:col>
      <xdr:colOff>2269298</xdr:colOff>
      <xdr:row>1</xdr:row>
      <xdr:rowOff>209138</xdr:rowOff>
    </xdr:from>
    <xdr:to>
      <xdr:col>3</xdr:col>
      <xdr:colOff>3333193</xdr:colOff>
      <xdr:row>4</xdr:row>
      <xdr:rowOff>172116</xdr:rowOff>
    </xdr:to>
    <xdr:sp macro="" textlink="">
      <xdr:nvSpPr>
        <xdr:cNvPr id="3" name="Rectángulo 2">
          <a:extLst>
            <a:ext uri="{FF2B5EF4-FFF2-40B4-BE49-F238E27FC236}">
              <a16:creationId xmlns:a16="http://schemas.microsoft.com/office/drawing/2014/main" id="{00000000-0008-0000-0400-000003000000}"/>
            </a:ext>
          </a:extLst>
        </xdr:cNvPr>
        <xdr:cNvSpPr/>
      </xdr:nvSpPr>
      <xdr:spPr>
        <a:xfrm>
          <a:off x="5700838" y="510128"/>
          <a:ext cx="3709305" cy="865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400" b="1">
              <a:solidFill>
                <a:schemeClr val="tx1"/>
              </a:solidFill>
              <a:latin typeface="Arial" panose="020B0604020202020204" pitchFamily="34" charset="0"/>
              <a:cs typeface="Arial" panose="020B0604020202020204" pitchFamily="34" charset="0"/>
            </a:rPr>
            <a:t>CARABINEROS DE CHILE</a:t>
          </a:r>
        </a:p>
        <a:p>
          <a:pPr algn="ctr"/>
          <a:r>
            <a:rPr lang="es-CL" sz="1400" b="0">
              <a:solidFill>
                <a:schemeClr val="tx1"/>
              </a:solidFill>
              <a:latin typeface="Arial" panose="020B0604020202020204" pitchFamily="34" charset="0"/>
              <a:cs typeface="Arial" panose="020B0604020202020204" pitchFamily="34" charset="0"/>
            </a:rPr>
            <a:t>ZONA</a:t>
          </a:r>
          <a:r>
            <a:rPr lang="es-CL" sz="1400" b="0" baseline="0">
              <a:solidFill>
                <a:schemeClr val="tx1"/>
              </a:solidFill>
              <a:latin typeface="Arial" panose="020B0604020202020204" pitchFamily="34" charset="0"/>
              <a:cs typeface="Arial" panose="020B0604020202020204" pitchFamily="34" charset="0"/>
            </a:rPr>
            <a:t> DE CARABINEROS STGO. ESTE</a:t>
          </a:r>
        </a:p>
        <a:p>
          <a:pPr algn="ctr"/>
          <a:r>
            <a:rPr lang="es-CL" sz="1400" b="1" baseline="0">
              <a:solidFill>
                <a:schemeClr val="tx1"/>
              </a:solidFill>
              <a:latin typeface="Arial" panose="020B0604020202020204" pitchFamily="34" charset="0"/>
              <a:cs typeface="Arial" panose="020B0604020202020204" pitchFamily="34" charset="0"/>
            </a:rPr>
            <a:t>PREFECTURA COP ESTE</a:t>
          </a:r>
          <a:endParaRPr lang="es-CL" sz="1400" b="1">
            <a:solidFill>
              <a:schemeClr val="tx1"/>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472987</xdr:colOff>
          <xdr:row>11</xdr:row>
          <xdr:rowOff>171604</xdr:rowOff>
        </xdr:from>
        <xdr:to>
          <xdr:col>18</xdr:col>
          <xdr:colOff>218378</xdr:colOff>
          <xdr:row>34</xdr:row>
          <xdr:rowOff>76090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19357887" y="2394104"/>
              <a:ext cx="3885591" cy="4387586"/>
              <a:chOff x="13893067" y="951154"/>
              <a:chExt cx="2175249" cy="2848467"/>
            </a:xfrm>
          </xdr:grpSpPr>
          <xdr:grpSp>
            <xdr:nvGrpSpPr>
              <xdr:cNvPr id="2" name="Grupo 1">
                <a:extLst>
                  <a:ext uri="{FF2B5EF4-FFF2-40B4-BE49-F238E27FC236}">
                    <a16:creationId xmlns:a16="http://schemas.microsoft.com/office/drawing/2014/main" id="{00000000-0008-0000-0500-000002000000}"/>
                  </a:ext>
                </a:extLst>
              </xdr:cNvPr>
              <xdr:cNvGrpSpPr/>
            </xdr:nvGrpSpPr>
            <xdr:grpSpPr>
              <a:xfrm>
                <a:off x="13893067" y="1504351"/>
                <a:ext cx="2175249" cy="2295270"/>
                <a:chOff x="13902032" y="78963"/>
                <a:chExt cx="2175249" cy="2295270"/>
              </a:xfrm>
            </xdr:grpSpPr>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500-000004A40000}"/>
                    </a:ext>
                  </a:extLst>
                </xdr:cNvPr>
                <xdr:cNvSpPr/>
              </xdr:nvSpPr>
              <xdr:spPr bwMode="auto">
                <a:xfrm>
                  <a:off x="13902033" y="667070"/>
                  <a:ext cx="2175248" cy="491061"/>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Generar Carta de Servicio</a:t>
                  </a:r>
                </a:p>
              </xdr:txBody>
            </xdr:sp>
            <xdr:sp macro="" textlink="">
              <xdr:nvSpPr>
                <xdr:cNvPr id="41990" name="Button 6" hidden="1">
                  <a:extLst>
                    <a:ext uri="{63B3BB69-23CF-44E3-9099-C40C66FF867C}">
                      <a14:compatExt spid="_x0000_s41990"/>
                    </a:ext>
                    <a:ext uri="{FF2B5EF4-FFF2-40B4-BE49-F238E27FC236}">
                      <a16:creationId xmlns:a16="http://schemas.microsoft.com/office/drawing/2014/main" id="{00000000-0008-0000-0500-000006A40000}"/>
                    </a:ext>
                  </a:extLst>
                </xdr:cNvPr>
                <xdr:cNvSpPr/>
              </xdr:nvSpPr>
              <xdr:spPr bwMode="auto">
                <a:xfrm>
                  <a:off x="13902033" y="1290080"/>
                  <a:ext cx="2175248" cy="491061"/>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Generar Distribución</a:t>
                  </a:r>
                </a:p>
              </xdr:txBody>
            </xdr:sp>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500-000008A40000}"/>
                    </a:ext>
                  </a:extLst>
                </xdr:cNvPr>
                <xdr:cNvSpPr/>
              </xdr:nvSpPr>
              <xdr:spPr bwMode="auto">
                <a:xfrm>
                  <a:off x="13902032" y="1883172"/>
                  <a:ext cx="2175249" cy="491061"/>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Cambio píe de Firma</a:t>
                  </a:r>
                </a:p>
              </xdr:txBody>
            </xdr:sp>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500-00000BA40000}"/>
                    </a:ext>
                  </a:extLst>
                </xdr:cNvPr>
                <xdr:cNvSpPr/>
              </xdr:nvSpPr>
              <xdr:spPr bwMode="auto">
                <a:xfrm>
                  <a:off x="13902033" y="78963"/>
                  <a:ext cx="2175240" cy="491061"/>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Cerrar Sesión</a:t>
                  </a:r>
                </a:p>
              </xdr:txBody>
            </xdr:sp>
          </xdr:grpSp>
          <xdr:sp macro="" textlink="">
            <xdr:nvSpPr>
              <xdr:cNvPr id="42001" name="Button 17" hidden="1">
                <a:extLst>
                  <a:ext uri="{63B3BB69-23CF-44E3-9099-C40C66FF867C}">
                    <a14:compatExt spid="_x0000_s42001"/>
                  </a:ext>
                  <a:ext uri="{FF2B5EF4-FFF2-40B4-BE49-F238E27FC236}">
                    <a16:creationId xmlns:a16="http://schemas.microsoft.com/office/drawing/2014/main" id="{00000000-0008-0000-0500-000011A40000}"/>
                  </a:ext>
                </a:extLst>
              </xdr:cNvPr>
              <xdr:cNvSpPr/>
            </xdr:nvSpPr>
            <xdr:spPr bwMode="auto">
              <a:xfrm>
                <a:off x="13893067" y="951154"/>
                <a:ext cx="2175247" cy="491061"/>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Pasar a Tabla de Servicio</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861060</xdr:colOff>
          <xdr:row>2</xdr:row>
          <xdr:rowOff>60960</xdr:rowOff>
        </xdr:from>
        <xdr:to>
          <xdr:col>11</xdr:col>
          <xdr:colOff>0</xdr:colOff>
          <xdr:row>3</xdr:row>
          <xdr:rowOff>121920</xdr:rowOff>
        </xdr:to>
        <xdr:sp macro="" textlink="">
          <xdr:nvSpPr>
            <xdr:cNvPr id="42055" name="Button 71" hidden="1">
              <a:extLst>
                <a:ext uri="{63B3BB69-23CF-44E3-9099-C40C66FF867C}">
                  <a14:compatExt spid="_x0000_s42055"/>
                </a:ext>
                <a:ext uri="{FF2B5EF4-FFF2-40B4-BE49-F238E27FC236}">
                  <a16:creationId xmlns:a16="http://schemas.microsoft.com/office/drawing/2014/main" id="{00000000-0008-0000-0500-000047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GENERAR TABLA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4398591</xdr:colOff>
      <xdr:row>0</xdr:row>
      <xdr:rowOff>138545</xdr:rowOff>
    </xdr:from>
    <xdr:to>
      <xdr:col>3</xdr:col>
      <xdr:colOff>6495996</xdr:colOff>
      <xdr:row>1</xdr:row>
      <xdr:rowOff>73140</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24227" y="138545"/>
          <a:ext cx="2101215" cy="2226830"/>
        </a:xfrm>
        <a:prstGeom prst="rect">
          <a:avLst/>
        </a:prstGeom>
        <a:effectLst>
          <a:outerShdw blurRad="50800" dist="381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xdr:colOff>
          <xdr:row>0</xdr:row>
          <xdr:rowOff>175260</xdr:rowOff>
        </xdr:from>
        <xdr:to>
          <xdr:col>5</xdr:col>
          <xdr:colOff>2217420</xdr:colOff>
          <xdr:row>1</xdr:row>
          <xdr:rowOff>533400</xdr:rowOff>
        </xdr:to>
        <xdr:sp macro="" textlink="">
          <xdr:nvSpPr>
            <xdr:cNvPr id="40476" name="Button 8732" hidden="1">
              <a:extLst>
                <a:ext uri="{63B3BB69-23CF-44E3-9099-C40C66FF867C}">
                  <a14:compatExt spid="_x0000_s40476"/>
                </a:ext>
                <a:ext uri="{FF2B5EF4-FFF2-40B4-BE49-F238E27FC236}">
                  <a16:creationId xmlns:a16="http://schemas.microsoft.com/office/drawing/2014/main" id="{00000000-0008-0000-0700-00001C9E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CL" sz="2000" b="1" i="0" u="none" strike="noStrike" baseline="0">
                  <a:solidFill>
                    <a:srgbClr val="000000"/>
                  </a:solidFill>
                  <a:latin typeface="Calibri"/>
                  <a:cs typeface="Calibri"/>
                </a:rPr>
                <a:t>EJECUTAR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2381508</xdr:colOff>
          <xdr:row>0</xdr:row>
          <xdr:rowOff>160071</xdr:rowOff>
        </xdr:from>
        <xdr:to>
          <xdr:col>6</xdr:col>
          <xdr:colOff>22448</xdr:colOff>
          <xdr:row>1</xdr:row>
          <xdr:rowOff>453424</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5298879" y="160071"/>
              <a:ext cx="1233226" cy="609039"/>
              <a:chOff x="9274626" y="70756"/>
              <a:chExt cx="1738952" cy="817202"/>
            </a:xfrm>
          </xdr:grpSpPr>
          <xdr:sp macro="" textlink="">
            <xdr:nvSpPr>
              <xdr:cNvPr id="40482" name="Button 8738" hidden="1">
                <a:extLst>
                  <a:ext uri="{63B3BB69-23CF-44E3-9099-C40C66FF867C}">
                    <a14:compatExt spid="_x0000_s40482"/>
                  </a:ext>
                  <a:ext uri="{FF2B5EF4-FFF2-40B4-BE49-F238E27FC236}">
                    <a16:creationId xmlns:a16="http://schemas.microsoft.com/office/drawing/2014/main" id="{00000000-0008-0000-0700-0000229E0000}"/>
                  </a:ext>
                </a:extLst>
              </xdr:cNvPr>
              <xdr:cNvSpPr/>
            </xdr:nvSpPr>
            <xdr:spPr bwMode="auto">
              <a:xfrm>
                <a:off x="9274626" y="70756"/>
                <a:ext cx="1728000" cy="360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1600" b="1" i="0" u="none" strike="noStrike" baseline="0">
                    <a:solidFill>
                      <a:srgbClr val="000000"/>
                    </a:solidFill>
                    <a:latin typeface="Calibri"/>
                    <a:cs typeface="Calibri"/>
                  </a:rPr>
                  <a:t>MOSTRAR</a:t>
                </a:r>
              </a:p>
            </xdr:txBody>
          </xdr:sp>
          <xdr:sp macro="" textlink="">
            <xdr:nvSpPr>
              <xdr:cNvPr id="40483" name="Button 8739" hidden="1">
                <a:extLst>
                  <a:ext uri="{63B3BB69-23CF-44E3-9099-C40C66FF867C}">
                    <a14:compatExt spid="_x0000_s40483"/>
                  </a:ext>
                  <a:ext uri="{FF2B5EF4-FFF2-40B4-BE49-F238E27FC236}">
                    <a16:creationId xmlns:a16="http://schemas.microsoft.com/office/drawing/2014/main" id="{00000000-0008-0000-0700-0000239E0000}"/>
                  </a:ext>
                </a:extLst>
              </xdr:cNvPr>
              <xdr:cNvSpPr/>
            </xdr:nvSpPr>
            <xdr:spPr bwMode="auto">
              <a:xfrm>
                <a:off x="9285578" y="527958"/>
                <a:ext cx="1728000" cy="360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1600" b="1" i="0" u="none" strike="noStrike" baseline="0">
                    <a:solidFill>
                      <a:srgbClr val="000000"/>
                    </a:solidFill>
                    <a:latin typeface="Calibri"/>
                    <a:cs typeface="Calibri"/>
                  </a:rPr>
                  <a:t>OCULTAR</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131255</xdr:colOff>
          <xdr:row>0</xdr:row>
          <xdr:rowOff>149183</xdr:rowOff>
        </xdr:from>
        <xdr:to>
          <xdr:col>12</xdr:col>
          <xdr:colOff>1654898</xdr:colOff>
          <xdr:row>1</xdr:row>
          <xdr:rowOff>453424</xdr:rowOff>
        </xdr:to>
        <xdr:grpSp>
          <xdr:nvGrpSpPr>
            <xdr:cNvPr id="3" name="Grupo 2">
              <a:extLst>
                <a:ext uri="{FF2B5EF4-FFF2-40B4-BE49-F238E27FC236}">
                  <a16:creationId xmlns:a16="http://schemas.microsoft.com/office/drawing/2014/main" id="{00000000-0008-0000-0700-000003000000}"/>
                </a:ext>
              </a:extLst>
            </xdr:cNvPr>
            <xdr:cNvGrpSpPr/>
          </xdr:nvGrpSpPr>
          <xdr:grpSpPr>
            <a:xfrm>
              <a:off x="6640912" y="149183"/>
              <a:ext cx="3156500" cy="619927"/>
              <a:chOff x="11059988" y="38099"/>
              <a:chExt cx="3170063" cy="828001"/>
            </a:xfrm>
          </xdr:grpSpPr>
          <xdr:sp macro="" textlink="">
            <xdr:nvSpPr>
              <xdr:cNvPr id="40484" name="Button 8740" hidden="1">
                <a:extLst>
                  <a:ext uri="{63B3BB69-23CF-44E3-9099-C40C66FF867C}">
                    <a14:compatExt spid="_x0000_s40484"/>
                  </a:ext>
                  <a:ext uri="{FF2B5EF4-FFF2-40B4-BE49-F238E27FC236}">
                    <a16:creationId xmlns:a16="http://schemas.microsoft.com/office/drawing/2014/main" id="{00000000-0008-0000-0700-0000249E0000}"/>
                  </a:ext>
                </a:extLst>
              </xdr:cNvPr>
              <xdr:cNvSpPr/>
            </xdr:nvSpPr>
            <xdr:spPr bwMode="auto">
              <a:xfrm>
                <a:off x="12682051" y="38099"/>
                <a:ext cx="1548000" cy="82800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Eliminar Funcionario</a:t>
                </a:r>
              </a:p>
            </xdr:txBody>
          </xdr:sp>
          <xdr:sp macro="" textlink="">
            <xdr:nvSpPr>
              <xdr:cNvPr id="40485" name="Button 8741" hidden="1">
                <a:extLst>
                  <a:ext uri="{63B3BB69-23CF-44E3-9099-C40C66FF867C}">
                    <a14:compatExt spid="_x0000_s40485"/>
                  </a:ext>
                  <a:ext uri="{FF2B5EF4-FFF2-40B4-BE49-F238E27FC236}">
                    <a16:creationId xmlns:a16="http://schemas.microsoft.com/office/drawing/2014/main" id="{00000000-0008-0000-0700-0000259E0000}"/>
                  </a:ext>
                </a:extLst>
              </xdr:cNvPr>
              <xdr:cNvSpPr/>
            </xdr:nvSpPr>
            <xdr:spPr bwMode="auto">
              <a:xfrm>
                <a:off x="11059988" y="38100"/>
                <a:ext cx="1548000" cy="82800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Agregar Funcionario</a:t>
                </a:r>
              </a:p>
            </xdr:txBody>
          </xdr:sp>
        </xdr:grpSp>
        <xdr:clientData fPrintsWithSheet="0"/>
      </xdr:twoCellAnchor>
    </mc:Choice>
    <mc:Fallback/>
  </mc:AlternateContent>
  <xdr:oneCellAnchor>
    <xdr:from>
      <xdr:col>3</xdr:col>
      <xdr:colOff>1230238</xdr:colOff>
      <xdr:row>0</xdr:row>
      <xdr:rowOff>0</xdr:rowOff>
    </xdr:from>
    <xdr:ext cx="327654" cy="264560"/>
    <xdr:sp macro="" textlink="Datos!$AA$17">
      <xdr:nvSpPr>
        <xdr:cNvPr id="4" name="CuadroTexto 3">
          <a:extLst>
            <a:ext uri="{FF2B5EF4-FFF2-40B4-BE49-F238E27FC236}">
              <a16:creationId xmlns:a16="http://schemas.microsoft.com/office/drawing/2014/main" id="{00000000-0008-0000-0700-000004000000}"/>
            </a:ext>
          </a:extLst>
        </xdr:cNvPr>
        <xdr:cNvSpPr txBox="1"/>
      </xdr:nvSpPr>
      <xdr:spPr>
        <a:xfrm>
          <a:off x="1230238" y="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841A593-B296-49BC-B549-FAE9F98A21E1}" type="TxLink">
            <a:rPr lang="en-US" sz="1100" b="0" i="0" u="none" strike="noStrike">
              <a:solidFill>
                <a:srgbClr val="000000"/>
              </a:solidFill>
              <a:latin typeface="Calibri"/>
              <a:cs typeface="Calibri"/>
            </a:rPr>
            <a:pPr/>
            <a:t>19</a:t>
          </a:fld>
          <a:endParaRPr lang="es-CL" sz="1100"/>
        </a:p>
      </xdr:txBody>
    </xdr:sp>
    <xdr:clientData/>
  </xdr:oneCellAnchor>
  <xdr:oneCellAnchor>
    <xdr:from>
      <xdr:col>4</xdr:col>
      <xdr:colOff>725332</xdr:colOff>
      <xdr:row>0</xdr:row>
      <xdr:rowOff>2857</xdr:rowOff>
    </xdr:from>
    <xdr:ext cx="399148" cy="264560"/>
    <xdr:sp macro="" textlink="Datos!$AB$17">
      <xdr:nvSpPr>
        <xdr:cNvPr id="5" name="CuadroTexto 4">
          <a:extLst>
            <a:ext uri="{FF2B5EF4-FFF2-40B4-BE49-F238E27FC236}">
              <a16:creationId xmlns:a16="http://schemas.microsoft.com/office/drawing/2014/main" id="{00000000-0008-0000-0700-000005000000}"/>
            </a:ext>
          </a:extLst>
        </xdr:cNvPr>
        <xdr:cNvSpPr txBox="1"/>
      </xdr:nvSpPr>
      <xdr:spPr>
        <a:xfrm>
          <a:off x="1822612" y="2857"/>
          <a:ext cx="3991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347FDB8-A1D1-476B-AE7F-F0ABE61B8296}" type="TxLink">
            <a:rPr lang="en-US" sz="1100" b="0" i="0" u="none" strike="noStrike">
              <a:solidFill>
                <a:srgbClr val="000000"/>
              </a:solidFill>
              <a:latin typeface="Calibri"/>
              <a:cs typeface="Calibri"/>
            </a:rPr>
            <a:pPr/>
            <a:t>399</a:t>
          </a:fld>
          <a:endParaRPr lang="es-CL" sz="1100"/>
        </a:p>
      </xdr:txBody>
    </xdr:sp>
    <xdr:clientData/>
  </xdr:oneCellAnchor>
  <xdr:oneCellAnchor>
    <xdr:from>
      <xdr:col>3</xdr:col>
      <xdr:colOff>1297733</xdr:colOff>
      <xdr:row>0</xdr:row>
      <xdr:rowOff>191257</xdr:rowOff>
    </xdr:from>
    <xdr:ext cx="256160" cy="264560"/>
    <xdr:sp macro="" textlink="Datos!$AA$18">
      <xdr:nvSpPr>
        <xdr:cNvPr id="6" name="CuadroTexto 5">
          <a:extLst>
            <a:ext uri="{FF2B5EF4-FFF2-40B4-BE49-F238E27FC236}">
              <a16:creationId xmlns:a16="http://schemas.microsoft.com/office/drawing/2014/main" id="{00000000-0008-0000-0700-000006000000}"/>
            </a:ext>
          </a:extLst>
        </xdr:cNvPr>
        <xdr:cNvSpPr txBox="1"/>
      </xdr:nvSpPr>
      <xdr:spPr>
        <a:xfrm>
          <a:off x="1297733" y="191257"/>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6F9AC6F-8FB2-4D31-A20C-11ECC100ADF8}" type="TxLink">
            <a:rPr lang="en-US" sz="1100" b="0" i="0" u="none" strike="noStrike">
              <a:solidFill>
                <a:srgbClr val="000000"/>
              </a:solidFill>
              <a:latin typeface="Calibri"/>
              <a:cs typeface="Calibri"/>
            </a:rPr>
            <a:pPr/>
            <a:t>0</a:t>
          </a:fld>
          <a:endParaRPr lang="es-CL" sz="1100"/>
        </a:p>
      </xdr:txBody>
    </xdr:sp>
    <xdr:clientData/>
  </xdr:oneCellAnchor>
  <xdr:oneCellAnchor>
    <xdr:from>
      <xdr:col>4</xdr:col>
      <xdr:colOff>727992</xdr:colOff>
      <xdr:row>0</xdr:row>
      <xdr:rowOff>185890</xdr:rowOff>
    </xdr:from>
    <xdr:ext cx="327654" cy="264560"/>
    <xdr:sp macro="" textlink="Datos!$AB$18">
      <xdr:nvSpPr>
        <xdr:cNvPr id="7" name="CuadroTexto 6">
          <a:extLst>
            <a:ext uri="{FF2B5EF4-FFF2-40B4-BE49-F238E27FC236}">
              <a16:creationId xmlns:a16="http://schemas.microsoft.com/office/drawing/2014/main" id="{00000000-0008-0000-0700-000007000000}"/>
            </a:ext>
          </a:extLst>
        </xdr:cNvPr>
        <xdr:cNvSpPr txBox="1"/>
      </xdr:nvSpPr>
      <xdr:spPr>
        <a:xfrm>
          <a:off x="1825272" y="18589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AAEA146-0ECC-4759-9759-1D3A25AD80A6}" type="TxLink">
            <a:rPr lang="en-US" sz="1100" b="0" i="0" u="none" strike="noStrike">
              <a:solidFill>
                <a:srgbClr val="000000"/>
              </a:solidFill>
              <a:latin typeface="Calibri"/>
              <a:cs typeface="Calibri"/>
            </a:rPr>
            <a:pPr/>
            <a:t>21</a:t>
          </a:fld>
          <a:endParaRPr lang="es-CL" sz="1100"/>
        </a:p>
      </xdr:txBody>
    </xdr:sp>
    <xdr:clientData/>
  </xdr:oneCellAnchor>
  <xdr:oneCellAnchor>
    <xdr:from>
      <xdr:col>3</xdr:col>
      <xdr:colOff>1300675</xdr:colOff>
      <xdr:row>1</xdr:row>
      <xdr:rowOff>76959</xdr:rowOff>
    </xdr:from>
    <xdr:ext cx="256160" cy="264560"/>
    <xdr:sp macro="" textlink="Datos!$AA$19">
      <xdr:nvSpPr>
        <xdr:cNvPr id="8" name="CuadroTexto 7">
          <a:extLst>
            <a:ext uri="{FF2B5EF4-FFF2-40B4-BE49-F238E27FC236}">
              <a16:creationId xmlns:a16="http://schemas.microsoft.com/office/drawing/2014/main" id="{00000000-0008-0000-0700-000008000000}"/>
            </a:ext>
          </a:extLst>
        </xdr:cNvPr>
        <xdr:cNvSpPr txBox="1"/>
      </xdr:nvSpPr>
      <xdr:spPr>
        <a:xfrm>
          <a:off x="1300675" y="391698"/>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CCCA724-8204-4C92-BFED-720BE070D4C6}" type="TxLink">
            <a:rPr lang="en-US" sz="1100" b="0" i="0" u="none" strike="noStrike">
              <a:solidFill>
                <a:srgbClr val="000000"/>
              </a:solidFill>
              <a:latin typeface="Calibri"/>
              <a:cs typeface="Calibri"/>
            </a:rPr>
            <a:pPr/>
            <a:t>0</a:t>
          </a:fld>
          <a:endParaRPr lang="es-CL" sz="1100"/>
        </a:p>
      </xdr:txBody>
    </xdr:sp>
    <xdr:clientData/>
  </xdr:oneCellAnchor>
  <xdr:oneCellAnchor>
    <xdr:from>
      <xdr:col>4</xdr:col>
      <xdr:colOff>767647</xdr:colOff>
      <xdr:row>1</xdr:row>
      <xdr:rowOff>72796</xdr:rowOff>
    </xdr:from>
    <xdr:ext cx="256160" cy="264560"/>
    <xdr:sp macro="" textlink="Datos!$AB$19">
      <xdr:nvSpPr>
        <xdr:cNvPr id="9" name="CuadroTexto 8">
          <a:extLst>
            <a:ext uri="{FF2B5EF4-FFF2-40B4-BE49-F238E27FC236}">
              <a16:creationId xmlns:a16="http://schemas.microsoft.com/office/drawing/2014/main" id="{00000000-0008-0000-0700-000009000000}"/>
            </a:ext>
          </a:extLst>
        </xdr:cNvPr>
        <xdr:cNvSpPr txBox="1"/>
      </xdr:nvSpPr>
      <xdr:spPr>
        <a:xfrm>
          <a:off x="4327276" y="388482"/>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A102A5D-D1AD-4FC5-98F4-6AFDB4FB2399}" type="TxLink">
            <a:rPr lang="en-US" sz="1100" b="0" i="0" u="none" strike="noStrike">
              <a:solidFill>
                <a:srgbClr val="000000"/>
              </a:solidFill>
              <a:latin typeface="Calibri"/>
              <a:cs typeface="Calibri"/>
            </a:rPr>
            <a:pPr/>
            <a:t>2</a:t>
          </a:fld>
          <a:endParaRPr lang="es-CL" sz="1100"/>
        </a:p>
      </xdr:txBody>
    </xdr:sp>
    <xdr:clientData/>
  </xdr:oneCellAnchor>
  <xdr:oneCellAnchor>
    <xdr:from>
      <xdr:col>3</xdr:col>
      <xdr:colOff>1231162</xdr:colOff>
      <xdr:row>1</xdr:row>
      <xdr:rowOff>265483</xdr:rowOff>
    </xdr:from>
    <xdr:ext cx="327654" cy="264560"/>
    <xdr:sp macro="" textlink="Datos!$AA$20">
      <xdr:nvSpPr>
        <xdr:cNvPr id="10" name="CuadroTexto 9">
          <a:extLst>
            <a:ext uri="{FF2B5EF4-FFF2-40B4-BE49-F238E27FC236}">
              <a16:creationId xmlns:a16="http://schemas.microsoft.com/office/drawing/2014/main" id="{00000000-0008-0000-0700-00000A000000}"/>
            </a:ext>
          </a:extLst>
        </xdr:cNvPr>
        <xdr:cNvSpPr txBox="1"/>
      </xdr:nvSpPr>
      <xdr:spPr>
        <a:xfrm>
          <a:off x="1231162" y="580222"/>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996586B-293D-4459-8668-F952CDCCC20E}" type="TxLink">
            <a:rPr lang="en-US" sz="1100" b="0" i="0" u="none" strike="noStrike">
              <a:solidFill>
                <a:srgbClr val="000000"/>
              </a:solidFill>
              <a:latin typeface="Calibri"/>
              <a:cs typeface="Calibri"/>
            </a:rPr>
            <a:pPr/>
            <a:t>19</a:t>
          </a:fld>
          <a:endParaRPr lang="es-CL" sz="1100"/>
        </a:p>
      </xdr:txBody>
    </xdr:sp>
    <xdr:clientData/>
  </xdr:oneCellAnchor>
  <xdr:oneCellAnchor>
    <xdr:from>
      <xdr:col>4</xdr:col>
      <xdr:colOff>727546</xdr:colOff>
      <xdr:row>1</xdr:row>
      <xdr:rowOff>263269</xdr:rowOff>
    </xdr:from>
    <xdr:ext cx="399148" cy="264560"/>
    <xdr:sp macro="" textlink="Datos!$AB$20">
      <xdr:nvSpPr>
        <xdr:cNvPr id="11" name="CuadroTexto 10">
          <a:extLst>
            <a:ext uri="{FF2B5EF4-FFF2-40B4-BE49-F238E27FC236}">
              <a16:creationId xmlns:a16="http://schemas.microsoft.com/office/drawing/2014/main" id="{00000000-0008-0000-0700-00000B000000}"/>
            </a:ext>
          </a:extLst>
        </xdr:cNvPr>
        <xdr:cNvSpPr txBox="1"/>
      </xdr:nvSpPr>
      <xdr:spPr>
        <a:xfrm>
          <a:off x="1824826" y="575689"/>
          <a:ext cx="3991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90E1C2D-15CD-45B3-8487-BE8B7F43D297}" type="TxLink">
            <a:rPr lang="en-US" sz="1100" b="0" i="0" u="none" strike="noStrike">
              <a:solidFill>
                <a:srgbClr val="000000"/>
              </a:solidFill>
              <a:latin typeface="Calibri"/>
              <a:cs typeface="Calibri"/>
            </a:rPr>
            <a:pPr/>
            <a:t>422</a:t>
          </a:fld>
          <a:endParaRPr lang="es-CL" sz="1100"/>
        </a:p>
      </xdr:txBody>
    </xdr:sp>
    <xdr:clientData/>
  </xdr:oneCellAnchor>
  <xdr:oneCellAnchor>
    <xdr:from>
      <xdr:col>4</xdr:col>
      <xdr:colOff>204412</xdr:colOff>
      <xdr:row>1</xdr:row>
      <xdr:rowOff>452981</xdr:rowOff>
    </xdr:from>
    <xdr:ext cx="522882" cy="264560"/>
    <xdr:sp macro="" textlink="Datos!$AA$21">
      <xdr:nvSpPr>
        <xdr:cNvPr id="12" name="CuadroTexto 11">
          <a:extLst>
            <a:ext uri="{FF2B5EF4-FFF2-40B4-BE49-F238E27FC236}">
              <a16:creationId xmlns:a16="http://schemas.microsoft.com/office/drawing/2014/main" id="{00000000-0008-0000-0700-00000C000000}"/>
            </a:ext>
          </a:extLst>
        </xdr:cNvPr>
        <xdr:cNvSpPr txBox="1"/>
      </xdr:nvSpPr>
      <xdr:spPr>
        <a:xfrm>
          <a:off x="1301692" y="765401"/>
          <a:ext cx="5228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B63D81C-DA54-4145-9E5B-7549CA002770}" type="TxLink">
            <a:rPr lang="en-US" sz="1100" b="0" i="0" u="none" strike="noStrike">
              <a:solidFill>
                <a:srgbClr val="000000"/>
              </a:solidFill>
              <a:latin typeface="Calibri"/>
              <a:cs typeface="Calibri"/>
            </a:rPr>
            <a:pPr/>
            <a:t>441</a:t>
          </a:fld>
          <a:endParaRPr lang="es-CL" sz="1100"/>
        </a:p>
      </xdr:txBody>
    </xdr:sp>
    <xdr:clientData/>
  </xdr:oneCellAnchor>
  <xdr:oneCellAnchor>
    <xdr:from>
      <xdr:col>2</xdr:col>
      <xdr:colOff>2296308</xdr:colOff>
      <xdr:row>0</xdr:row>
      <xdr:rowOff>3332</xdr:rowOff>
    </xdr:from>
    <xdr:ext cx="1272271" cy="264560"/>
    <xdr:sp macro="" textlink="#REF!">
      <xdr:nvSpPr>
        <xdr:cNvPr id="13" name="CuadroTexto 12">
          <a:extLst>
            <a:ext uri="{FF2B5EF4-FFF2-40B4-BE49-F238E27FC236}">
              <a16:creationId xmlns:a16="http://schemas.microsoft.com/office/drawing/2014/main" id="{00000000-0008-0000-0700-00000D000000}"/>
            </a:ext>
          </a:extLst>
        </xdr:cNvPr>
        <xdr:cNvSpPr txBox="1"/>
      </xdr:nvSpPr>
      <xdr:spPr>
        <a:xfrm>
          <a:off x="4770567" y="3332"/>
          <a:ext cx="127227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rgbClr val="000000"/>
              </a:solidFill>
              <a:latin typeface="Calibri"/>
              <a:cs typeface="Calibri"/>
            </a:rPr>
            <a:t>40°</a:t>
          </a:r>
          <a:r>
            <a:rPr lang="en-US" sz="1100" b="0" i="0" u="none" strike="noStrike" baseline="0">
              <a:solidFill>
                <a:srgbClr val="000000"/>
              </a:solidFill>
              <a:latin typeface="Calibri"/>
              <a:cs typeface="Calibri"/>
            </a:rPr>
            <a:t> Comisaria PNS:</a:t>
          </a:r>
          <a:endParaRPr lang="en-US" sz="1100" b="0" i="0" u="none" strike="noStrike">
            <a:solidFill>
              <a:srgbClr val="000000"/>
            </a:solidFill>
            <a:latin typeface="Calibri"/>
            <a:cs typeface="Calibri"/>
          </a:endParaRPr>
        </a:p>
      </xdr:txBody>
    </xdr:sp>
    <xdr:clientData/>
  </xdr:oneCellAnchor>
  <xdr:oneCellAnchor>
    <xdr:from>
      <xdr:col>2</xdr:col>
      <xdr:colOff>2294964</xdr:colOff>
      <xdr:row>0</xdr:row>
      <xdr:rowOff>166938</xdr:rowOff>
    </xdr:from>
    <xdr:ext cx="1274131" cy="264560"/>
    <xdr:sp macro="" textlink="#REF!">
      <xdr:nvSpPr>
        <xdr:cNvPr id="14" name="CuadroTexto 13">
          <a:extLst>
            <a:ext uri="{FF2B5EF4-FFF2-40B4-BE49-F238E27FC236}">
              <a16:creationId xmlns:a16="http://schemas.microsoft.com/office/drawing/2014/main" id="{00000000-0008-0000-0700-00000E000000}"/>
            </a:ext>
          </a:extLst>
        </xdr:cNvPr>
        <xdr:cNvSpPr txBox="1"/>
      </xdr:nvSpPr>
      <xdr:spPr>
        <a:xfrm>
          <a:off x="4769223" y="166938"/>
          <a:ext cx="12741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rgbClr val="000000"/>
              </a:solidFill>
              <a:latin typeface="Calibri"/>
              <a:cs typeface="Calibri"/>
            </a:rPr>
            <a:t>Dentro</a:t>
          </a:r>
          <a:r>
            <a:rPr lang="en-US" sz="1100" b="0" i="0" u="none" strike="noStrike" baseline="0">
              <a:solidFill>
                <a:srgbClr val="000000"/>
              </a:solidFill>
              <a:latin typeface="Calibri"/>
              <a:cs typeface="Calibri"/>
            </a:rPr>
            <a:t> Zona - PNS:</a:t>
          </a:r>
          <a:endParaRPr lang="en-US" sz="1100" b="0" i="0" u="none" strike="noStrike">
            <a:solidFill>
              <a:srgbClr val="000000"/>
            </a:solidFill>
            <a:latin typeface="Calibri"/>
            <a:cs typeface="Calibri"/>
          </a:endParaRPr>
        </a:p>
      </xdr:txBody>
    </xdr:sp>
    <xdr:clientData/>
  </xdr:oneCellAnchor>
  <xdr:oneCellAnchor>
    <xdr:from>
      <xdr:col>3</xdr:col>
      <xdr:colOff>59384</xdr:colOff>
      <xdr:row>1</xdr:row>
      <xdr:rowOff>72477</xdr:rowOff>
    </xdr:from>
    <xdr:ext cx="1198085" cy="264560"/>
    <xdr:sp macro="" textlink="#REF!">
      <xdr:nvSpPr>
        <xdr:cNvPr id="15" name="CuadroTexto 14">
          <a:extLst>
            <a:ext uri="{FF2B5EF4-FFF2-40B4-BE49-F238E27FC236}">
              <a16:creationId xmlns:a16="http://schemas.microsoft.com/office/drawing/2014/main" id="{00000000-0008-0000-0700-00000F000000}"/>
            </a:ext>
          </a:extLst>
        </xdr:cNvPr>
        <xdr:cNvSpPr txBox="1"/>
      </xdr:nvSpPr>
      <xdr:spPr>
        <a:xfrm>
          <a:off x="59384" y="384897"/>
          <a:ext cx="119808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Fuera Zona - PNS:</a:t>
          </a:r>
          <a:endParaRPr lang="en-US" sz="1100" b="0" i="0" u="none" strike="noStrike">
            <a:solidFill>
              <a:srgbClr val="000000"/>
            </a:solidFill>
            <a:latin typeface="Calibri"/>
            <a:cs typeface="Calibri"/>
          </a:endParaRPr>
        </a:p>
      </xdr:txBody>
    </xdr:sp>
    <xdr:clientData/>
  </xdr:oneCellAnchor>
  <xdr:oneCellAnchor>
    <xdr:from>
      <xdr:col>3</xdr:col>
      <xdr:colOff>150583</xdr:colOff>
      <xdr:row>1</xdr:row>
      <xdr:rowOff>262735</xdr:rowOff>
    </xdr:from>
    <xdr:ext cx="1104790" cy="264560"/>
    <xdr:sp macro="" textlink="#REF!">
      <xdr:nvSpPr>
        <xdr:cNvPr id="16" name="CuadroTexto 15">
          <a:extLst>
            <a:ext uri="{FF2B5EF4-FFF2-40B4-BE49-F238E27FC236}">
              <a16:creationId xmlns:a16="http://schemas.microsoft.com/office/drawing/2014/main" id="{00000000-0008-0000-0700-000010000000}"/>
            </a:ext>
          </a:extLst>
        </xdr:cNvPr>
        <xdr:cNvSpPr txBox="1"/>
      </xdr:nvSpPr>
      <xdr:spPr>
        <a:xfrm>
          <a:off x="150583" y="575155"/>
          <a:ext cx="11047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Sub-Total - PNS:</a:t>
          </a:r>
          <a:endParaRPr lang="en-US" sz="1100" b="0" i="0" u="none" strike="noStrike">
            <a:solidFill>
              <a:srgbClr val="000000"/>
            </a:solidFill>
            <a:latin typeface="Calibri"/>
            <a:cs typeface="Calibri"/>
          </a:endParaRPr>
        </a:p>
      </xdr:txBody>
    </xdr:sp>
    <xdr:clientData/>
  </xdr:oneCellAnchor>
  <xdr:oneCellAnchor>
    <xdr:from>
      <xdr:col>3</xdr:col>
      <xdr:colOff>948259</xdr:colOff>
      <xdr:row>1</xdr:row>
      <xdr:rowOff>453235</xdr:rowOff>
    </xdr:from>
    <xdr:ext cx="512769" cy="264560"/>
    <xdr:sp macro="" textlink="#REF!">
      <xdr:nvSpPr>
        <xdr:cNvPr id="17" name="CuadroTexto 16">
          <a:extLst>
            <a:ext uri="{FF2B5EF4-FFF2-40B4-BE49-F238E27FC236}">
              <a16:creationId xmlns:a16="http://schemas.microsoft.com/office/drawing/2014/main" id="{00000000-0008-0000-0700-000011000000}"/>
            </a:ext>
          </a:extLst>
        </xdr:cNvPr>
        <xdr:cNvSpPr txBox="1"/>
      </xdr:nvSpPr>
      <xdr:spPr>
        <a:xfrm>
          <a:off x="948259" y="765655"/>
          <a:ext cx="51276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Total:</a:t>
          </a:r>
          <a:endParaRPr lang="en-US" sz="1100" b="0" i="0" u="none" strike="noStrike">
            <a:solidFill>
              <a:srgbClr val="000000"/>
            </a:solidFill>
            <a:latin typeface="Calibri"/>
            <a:cs typeface="Calibri"/>
          </a:endParaRPr>
        </a:p>
      </xdr:txBody>
    </xdr:sp>
    <xdr:clientData/>
  </xdr:oneCellAnchor>
  <xdr:oneCellAnchor>
    <xdr:from>
      <xdr:col>4</xdr:col>
      <xdr:colOff>417853</xdr:colOff>
      <xdr:row>0</xdr:row>
      <xdr:rowOff>3333</xdr:rowOff>
    </xdr:from>
    <xdr:ext cx="421910" cy="264560"/>
    <xdr:sp macro="" textlink="#REF!">
      <xdr:nvSpPr>
        <xdr:cNvPr id="18" name="CuadroTexto 17">
          <a:extLst>
            <a:ext uri="{FF2B5EF4-FFF2-40B4-BE49-F238E27FC236}">
              <a16:creationId xmlns:a16="http://schemas.microsoft.com/office/drawing/2014/main" id="{00000000-0008-0000-0700-000012000000}"/>
            </a:ext>
          </a:extLst>
        </xdr:cNvPr>
        <xdr:cNvSpPr txBox="1"/>
      </xdr:nvSpPr>
      <xdr:spPr>
        <a:xfrm>
          <a:off x="1515133" y="3333"/>
          <a:ext cx="42191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PNI:</a:t>
          </a:r>
          <a:endParaRPr lang="en-US" sz="1100" b="0" i="0" u="none" strike="noStrike">
            <a:solidFill>
              <a:srgbClr val="000000"/>
            </a:solidFill>
            <a:latin typeface="Calibri"/>
            <a:cs typeface="Calibri"/>
          </a:endParaRPr>
        </a:p>
      </xdr:txBody>
    </xdr:sp>
    <xdr:clientData/>
  </xdr:oneCellAnchor>
  <xdr:oneCellAnchor>
    <xdr:from>
      <xdr:col>4</xdr:col>
      <xdr:colOff>417859</xdr:colOff>
      <xdr:row>0</xdr:row>
      <xdr:rowOff>193836</xdr:rowOff>
    </xdr:from>
    <xdr:ext cx="421910" cy="264560"/>
    <xdr:sp macro="" textlink="#REF!">
      <xdr:nvSpPr>
        <xdr:cNvPr id="19" name="CuadroTexto 18">
          <a:extLst>
            <a:ext uri="{FF2B5EF4-FFF2-40B4-BE49-F238E27FC236}">
              <a16:creationId xmlns:a16="http://schemas.microsoft.com/office/drawing/2014/main" id="{00000000-0008-0000-0700-000013000000}"/>
            </a:ext>
          </a:extLst>
        </xdr:cNvPr>
        <xdr:cNvSpPr txBox="1"/>
      </xdr:nvSpPr>
      <xdr:spPr>
        <a:xfrm>
          <a:off x="1515139" y="193836"/>
          <a:ext cx="42191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PNI:</a:t>
          </a:r>
          <a:endParaRPr lang="en-US" sz="1100" b="0" i="0" u="none" strike="noStrike">
            <a:solidFill>
              <a:srgbClr val="000000"/>
            </a:solidFill>
            <a:latin typeface="Calibri"/>
            <a:cs typeface="Calibri"/>
          </a:endParaRPr>
        </a:p>
      </xdr:txBody>
    </xdr:sp>
    <xdr:clientData/>
  </xdr:oneCellAnchor>
  <xdr:oneCellAnchor>
    <xdr:from>
      <xdr:col>4</xdr:col>
      <xdr:colOff>423577</xdr:colOff>
      <xdr:row>1</xdr:row>
      <xdr:rowOff>80095</xdr:rowOff>
    </xdr:from>
    <xdr:ext cx="421910" cy="264560"/>
    <xdr:sp macro="" textlink="#REF!">
      <xdr:nvSpPr>
        <xdr:cNvPr id="20" name="CuadroTexto 19">
          <a:extLst>
            <a:ext uri="{FF2B5EF4-FFF2-40B4-BE49-F238E27FC236}">
              <a16:creationId xmlns:a16="http://schemas.microsoft.com/office/drawing/2014/main" id="{00000000-0008-0000-0700-000014000000}"/>
            </a:ext>
          </a:extLst>
        </xdr:cNvPr>
        <xdr:cNvSpPr txBox="1"/>
      </xdr:nvSpPr>
      <xdr:spPr>
        <a:xfrm>
          <a:off x="1520857" y="392515"/>
          <a:ext cx="42191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PNI:</a:t>
          </a:r>
          <a:endParaRPr lang="en-US" sz="1100" b="0" i="0" u="none" strike="noStrike">
            <a:solidFill>
              <a:srgbClr val="000000"/>
            </a:solidFill>
            <a:latin typeface="Calibri"/>
            <a:cs typeface="Calibri"/>
          </a:endParaRPr>
        </a:p>
      </xdr:txBody>
    </xdr:sp>
    <xdr:clientData/>
  </xdr:oneCellAnchor>
  <xdr:oneCellAnchor>
    <xdr:from>
      <xdr:col>4</xdr:col>
      <xdr:colOff>449771</xdr:colOff>
      <xdr:row>1</xdr:row>
      <xdr:rowOff>264166</xdr:rowOff>
    </xdr:from>
    <xdr:ext cx="421910" cy="264560"/>
    <xdr:sp macro="" textlink="#REF!">
      <xdr:nvSpPr>
        <xdr:cNvPr id="21" name="CuadroTexto 20">
          <a:extLst>
            <a:ext uri="{FF2B5EF4-FFF2-40B4-BE49-F238E27FC236}">
              <a16:creationId xmlns:a16="http://schemas.microsoft.com/office/drawing/2014/main" id="{00000000-0008-0000-0700-000015000000}"/>
            </a:ext>
          </a:extLst>
        </xdr:cNvPr>
        <xdr:cNvSpPr txBox="1"/>
      </xdr:nvSpPr>
      <xdr:spPr>
        <a:xfrm>
          <a:off x="1547051" y="576586"/>
          <a:ext cx="42191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baseline="0">
              <a:solidFill>
                <a:srgbClr val="000000"/>
              </a:solidFill>
              <a:latin typeface="Calibri"/>
              <a:cs typeface="Calibri"/>
            </a:rPr>
            <a:t>PNI:</a:t>
          </a:r>
          <a:endParaRPr lang="en-US" sz="1100" b="0" i="0" u="none" strike="noStrike">
            <a:solidFill>
              <a:srgbClr val="000000"/>
            </a:solidFill>
            <a:latin typeface="Calibri"/>
            <a:cs typeface="Calibri"/>
          </a:endParaRPr>
        </a:p>
      </xdr:txBody>
    </xdr:sp>
    <xdr:clientData/>
  </xdr:oneCellAnchor>
  <mc:AlternateContent xmlns:mc="http://schemas.openxmlformats.org/markup-compatibility/2006">
    <mc:Choice xmlns:a14="http://schemas.microsoft.com/office/drawing/2010/main" Requires="a14">
      <xdr:twoCellAnchor editAs="absolute">
        <xdr:from>
          <xdr:col>19</xdr:col>
          <xdr:colOff>1775460</xdr:colOff>
          <xdr:row>0</xdr:row>
          <xdr:rowOff>213360</xdr:rowOff>
        </xdr:from>
        <xdr:to>
          <xdr:col>20</xdr:col>
          <xdr:colOff>236220</xdr:colOff>
          <xdr:row>1</xdr:row>
          <xdr:rowOff>495300</xdr:rowOff>
        </xdr:to>
        <xdr:sp macro="" textlink="">
          <xdr:nvSpPr>
            <xdr:cNvPr id="40506" name="Button 8762" hidden="1">
              <a:extLst>
                <a:ext uri="{63B3BB69-23CF-44E3-9099-C40C66FF867C}">
                  <a14:compatExt spid="_x0000_s40506"/>
                </a:ext>
                <a:ext uri="{FF2B5EF4-FFF2-40B4-BE49-F238E27FC236}">
                  <a16:creationId xmlns:a16="http://schemas.microsoft.com/office/drawing/2014/main" id="{00000000-0008-0000-0700-00003A9E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Registros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0</xdr:row>
          <xdr:rowOff>99060</xdr:rowOff>
        </xdr:from>
        <xdr:to>
          <xdr:col>19</xdr:col>
          <xdr:colOff>1493520</xdr:colOff>
          <xdr:row>1</xdr:row>
          <xdr:rowOff>83820</xdr:rowOff>
        </xdr:to>
        <xdr:sp macro="" textlink="">
          <xdr:nvSpPr>
            <xdr:cNvPr id="40507" name="Button 8763" hidden="1">
              <a:extLst>
                <a:ext uri="{63B3BB69-23CF-44E3-9099-C40C66FF867C}">
                  <a14:compatExt spid="_x0000_s40507"/>
                </a:ext>
                <a:ext uri="{FF2B5EF4-FFF2-40B4-BE49-F238E27FC236}">
                  <a16:creationId xmlns:a16="http://schemas.microsoft.com/office/drawing/2014/main" id="{00000000-0008-0000-0700-00003B9E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Ordenear por Dotación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198120</xdr:rowOff>
        </xdr:from>
        <xdr:to>
          <xdr:col>19</xdr:col>
          <xdr:colOff>1493520</xdr:colOff>
          <xdr:row>1</xdr:row>
          <xdr:rowOff>678180</xdr:rowOff>
        </xdr:to>
        <xdr:sp macro="" textlink="">
          <xdr:nvSpPr>
            <xdr:cNvPr id="40508" name="Button 8764" hidden="1">
              <a:extLst>
                <a:ext uri="{63B3BB69-23CF-44E3-9099-C40C66FF867C}">
                  <a14:compatExt spid="_x0000_s40508"/>
                </a:ext>
                <a:ext uri="{FF2B5EF4-FFF2-40B4-BE49-F238E27FC236}">
                  <a16:creationId xmlns:a16="http://schemas.microsoft.com/office/drawing/2014/main" id="{00000000-0008-0000-0700-00003C9E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2</xdr:row>
          <xdr:rowOff>137160</xdr:rowOff>
        </xdr:from>
        <xdr:to>
          <xdr:col>1</xdr:col>
          <xdr:colOff>1485900</xdr:colOff>
          <xdr:row>4</xdr:row>
          <xdr:rowOff>99060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900-000006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Pasar Fecha A Panel de Trabajo</a:t>
              </a:r>
            </a:p>
            <a:p>
              <a:pPr algn="ctr" rtl="0">
                <a:defRPr sz="1000"/>
              </a:pPr>
              <a:endParaRPr lang="es-CL"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4</xdr:row>
          <xdr:rowOff>137160</xdr:rowOff>
        </xdr:from>
        <xdr:to>
          <xdr:col>1</xdr:col>
          <xdr:colOff>1493520</xdr:colOff>
          <xdr:row>5</xdr:row>
          <xdr:rowOff>182880</xdr:rowOff>
        </xdr:to>
        <xdr:sp macro="" textlink="">
          <xdr:nvSpPr>
            <xdr:cNvPr id="53256" name="Button 8" hidden="1">
              <a:extLst>
                <a:ext uri="{63B3BB69-23CF-44E3-9099-C40C66FF867C}">
                  <a14:compatExt spid="_x0000_s53256"/>
                </a:ext>
                <a:ext uri="{FF2B5EF4-FFF2-40B4-BE49-F238E27FC236}">
                  <a16:creationId xmlns:a16="http://schemas.microsoft.com/office/drawing/2014/main" id="{00000000-0008-0000-0900-000008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Cerrar Sesión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1684020</xdr:colOff>
          <xdr:row>2</xdr:row>
          <xdr:rowOff>137160</xdr:rowOff>
        </xdr:from>
        <xdr:to>
          <xdr:col>1</xdr:col>
          <xdr:colOff>2941320</xdr:colOff>
          <xdr:row>4</xdr:row>
          <xdr:rowOff>68580</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900-00000F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Mostrar Servicios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1676400</xdr:colOff>
          <xdr:row>4</xdr:row>
          <xdr:rowOff>106680</xdr:rowOff>
        </xdr:from>
        <xdr:to>
          <xdr:col>1</xdr:col>
          <xdr:colOff>2964180</xdr:colOff>
          <xdr:row>5</xdr:row>
          <xdr:rowOff>198120</xdr:rowOff>
        </xdr:to>
        <xdr:sp macro="" textlink="">
          <xdr:nvSpPr>
            <xdr:cNvPr id="53264" name="Button 16" hidden="1">
              <a:extLst>
                <a:ext uri="{63B3BB69-23CF-44E3-9099-C40C66FF867C}">
                  <a14:compatExt spid="_x0000_s53264"/>
                </a:ext>
                <a:ext uri="{FF2B5EF4-FFF2-40B4-BE49-F238E27FC236}">
                  <a16:creationId xmlns:a16="http://schemas.microsoft.com/office/drawing/2014/main" id="{00000000-0008-0000-0900-000010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Ocultar Servicios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85725</xdr:colOff>
      <xdr:row>0</xdr:row>
      <xdr:rowOff>76202</xdr:rowOff>
    </xdr:from>
    <xdr:to>
      <xdr:col>5</xdr:col>
      <xdr:colOff>1552575</xdr:colOff>
      <xdr:row>5</xdr:row>
      <xdr:rowOff>152400</xdr:rowOff>
    </xdr:to>
    <xdr:grpSp>
      <xdr:nvGrpSpPr>
        <xdr:cNvPr id="2" name="Grupo 1">
          <a:extLst>
            <a:ext uri="{FF2B5EF4-FFF2-40B4-BE49-F238E27FC236}">
              <a16:creationId xmlns:a16="http://schemas.microsoft.com/office/drawing/2014/main" id="{00000000-0008-0000-0A00-000002000000}"/>
            </a:ext>
          </a:extLst>
        </xdr:cNvPr>
        <xdr:cNvGrpSpPr/>
      </xdr:nvGrpSpPr>
      <xdr:grpSpPr>
        <a:xfrm>
          <a:off x="2958737" y="76202"/>
          <a:ext cx="2714897" cy="960662"/>
          <a:chOff x="2571750" y="295276"/>
          <a:chExt cx="2676525" cy="838200"/>
        </a:xfrm>
      </xdr:grpSpPr>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alphaModFix amt="70000"/>
            <a:extLst>
              <a:ext uri="{28A0092B-C50C-407E-A947-70E740481C1C}">
                <a14:useLocalDpi xmlns:a14="http://schemas.microsoft.com/office/drawing/2010/main" val="0"/>
              </a:ext>
            </a:extLst>
          </a:blip>
          <a:stretch>
            <a:fillRect/>
          </a:stretch>
        </xdr:blipFill>
        <xdr:spPr>
          <a:xfrm>
            <a:off x="3382559" y="295276"/>
            <a:ext cx="927384" cy="838200"/>
          </a:xfrm>
          <a:prstGeom prst="rect">
            <a:avLst/>
          </a:prstGeom>
        </xdr:spPr>
      </xdr:pic>
      <xdr:sp macro="" textlink="">
        <xdr:nvSpPr>
          <xdr:cNvPr id="4" name="Rectángulo 3">
            <a:extLst>
              <a:ext uri="{FF2B5EF4-FFF2-40B4-BE49-F238E27FC236}">
                <a16:creationId xmlns:a16="http://schemas.microsoft.com/office/drawing/2014/main" id="{00000000-0008-0000-0A00-000004000000}"/>
              </a:ext>
            </a:extLst>
          </xdr:cNvPr>
          <xdr:cNvSpPr/>
        </xdr:nvSpPr>
        <xdr:spPr>
          <a:xfrm>
            <a:off x="2571750" y="312363"/>
            <a:ext cx="2676525" cy="8110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050" b="1">
                <a:solidFill>
                  <a:schemeClr val="tx1"/>
                </a:solidFill>
                <a:latin typeface="Arial" panose="020B0604020202020204" pitchFamily="34" charset="0"/>
                <a:cs typeface="Arial" panose="020B0604020202020204" pitchFamily="34" charset="0"/>
              </a:rPr>
              <a:t>CARABINEROS DE CHILE</a:t>
            </a:r>
          </a:p>
          <a:p>
            <a:pPr algn="ctr"/>
            <a:r>
              <a:rPr lang="es-CL" sz="1050" b="0" baseline="0">
                <a:solidFill>
                  <a:schemeClr val="tx1"/>
                </a:solidFill>
                <a:latin typeface="Arial" panose="020B0604020202020204" pitchFamily="34" charset="0"/>
                <a:cs typeface="Arial" panose="020B0604020202020204" pitchFamily="34" charset="0"/>
              </a:rPr>
              <a:t>PREFECTURA COP ESTE</a:t>
            </a:r>
          </a:p>
          <a:p>
            <a:pPr algn="ctr"/>
            <a:r>
              <a:rPr lang="es-CL" sz="1050" b="1" baseline="0">
                <a:solidFill>
                  <a:schemeClr val="tx1"/>
                </a:solidFill>
                <a:latin typeface="Arial" panose="020B0604020202020204" pitchFamily="34" charset="0"/>
                <a:cs typeface="Arial" panose="020B0604020202020204" pitchFamily="34" charset="0"/>
              </a:rPr>
              <a:t>40° COMISARIA COP</a:t>
            </a:r>
            <a:endParaRPr lang="es-CL" sz="1050" b="1">
              <a:solidFill>
                <a:schemeClr val="tx1"/>
              </a:solidFill>
              <a:latin typeface="Arial" panose="020B0604020202020204" pitchFamily="34" charset="0"/>
              <a:cs typeface="Arial" panose="020B0604020202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35</xdr:row>
      <xdr:rowOff>193040</xdr:rowOff>
    </xdr:from>
    <xdr:to>
      <xdr:col>10</xdr:col>
      <xdr:colOff>64782</xdr:colOff>
      <xdr:row>50</xdr:row>
      <xdr:rowOff>177853</xdr:rowOff>
    </xdr:to>
    <xdr:sp macro="" textlink="">
      <xdr:nvSpPr>
        <xdr:cNvPr id="2" name="Rectángulo 1">
          <a:extLst>
            <a:ext uri="{FF2B5EF4-FFF2-40B4-BE49-F238E27FC236}">
              <a16:creationId xmlns:a16="http://schemas.microsoft.com/office/drawing/2014/main" id="{00000000-0008-0000-0B00-000002000000}"/>
            </a:ext>
          </a:extLst>
        </xdr:cNvPr>
        <xdr:cNvSpPr/>
      </xdr:nvSpPr>
      <xdr:spPr>
        <a:xfrm>
          <a:off x="251460" y="7729220"/>
          <a:ext cx="5604522" cy="3726233"/>
        </a:xfrm>
        <a:prstGeom prst="rect">
          <a:avLst/>
        </a:prstGeom>
        <a:noFill/>
        <a:ln w="762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358140</xdr:colOff>
      <xdr:row>44</xdr:row>
      <xdr:rowOff>178592</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622780" cy="8225312"/>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76200</xdr:colOff>
          <xdr:row>13</xdr:row>
          <xdr:rowOff>137160</xdr:rowOff>
        </xdr:from>
        <xdr:to>
          <xdr:col>7</xdr:col>
          <xdr:colOff>784860</xdr:colOff>
          <xdr:row>18</xdr:row>
          <xdr:rowOff>137160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E00-000002B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s-CL" sz="2200" b="0" i="0" u="none" strike="noStrike" baseline="0">
                  <a:solidFill>
                    <a:srgbClr val="000000"/>
                  </a:solidFill>
                  <a:latin typeface="Century Gothic"/>
                </a:rPr>
                <a:t>INGRESAR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23</xdr:col>
      <xdr:colOff>1757082</xdr:colOff>
      <xdr:row>239</xdr:row>
      <xdr:rowOff>0</xdr:rowOff>
    </xdr:from>
    <xdr:ext cx="184731" cy="264560"/>
    <xdr:sp macro="" textlink="">
      <xdr:nvSpPr>
        <xdr:cNvPr id="3" name="CuadroTexto 2">
          <a:extLst>
            <a:ext uri="{FF2B5EF4-FFF2-40B4-BE49-F238E27FC236}">
              <a16:creationId xmlns:a16="http://schemas.microsoft.com/office/drawing/2014/main" id="{00000000-0008-0000-0F00-000003000000}"/>
            </a:ext>
          </a:extLst>
        </xdr:cNvPr>
        <xdr:cNvSpPr txBox="1"/>
      </xdr:nvSpPr>
      <xdr:spPr>
        <a:xfrm>
          <a:off x="24339176" y="30121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L" sz="1100"/>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2</xdr:col>
      <xdr:colOff>20771</xdr:colOff>
      <xdr:row>0</xdr:row>
      <xdr:rowOff>38595</xdr:rowOff>
    </xdr:from>
    <xdr:to>
      <xdr:col>2</xdr:col>
      <xdr:colOff>821581</xdr:colOff>
      <xdr:row>5</xdr:row>
      <xdr:rowOff>39631</xdr:rowOff>
    </xdr:to>
    <xdr:pic>
      <xdr:nvPicPr>
        <xdr:cNvPr id="7" name="Imagen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cstate="print">
          <a:alphaModFix amt="70000"/>
          <a:extLst>
            <a:ext uri="{28A0092B-C50C-407E-A947-70E740481C1C}">
              <a14:useLocalDpi xmlns:a14="http://schemas.microsoft.com/office/drawing/2010/main" val="0"/>
            </a:ext>
          </a:extLst>
        </a:blip>
        <a:stretch>
          <a:fillRect/>
        </a:stretch>
      </xdr:blipFill>
      <xdr:spPr>
        <a:xfrm>
          <a:off x="1698171" y="38595"/>
          <a:ext cx="1385282" cy="1323650"/>
        </a:xfrm>
        <a:prstGeom prst="rect">
          <a:avLst/>
        </a:prstGeom>
      </xdr:spPr>
    </xdr:pic>
    <xdr:clientData/>
  </xdr:twoCellAnchor>
  <xdr:twoCellAnchor editAs="absolute">
    <xdr:from>
      <xdr:col>1</xdr:col>
      <xdr:colOff>285305</xdr:colOff>
      <xdr:row>1</xdr:row>
      <xdr:rowOff>34901</xdr:rowOff>
    </xdr:from>
    <xdr:to>
      <xdr:col>3</xdr:col>
      <xdr:colOff>974488</xdr:colOff>
      <xdr:row>4</xdr:row>
      <xdr:rowOff>94341</xdr:rowOff>
    </xdr:to>
    <xdr:sp macro="" textlink="">
      <xdr:nvSpPr>
        <xdr:cNvPr id="8" name="Rectángulo 7">
          <a:extLst>
            <a:ext uri="{FF2B5EF4-FFF2-40B4-BE49-F238E27FC236}">
              <a16:creationId xmlns:a16="http://schemas.microsoft.com/office/drawing/2014/main" id="{00000000-0008-0000-1000-000008000000}"/>
            </a:ext>
          </a:extLst>
        </xdr:cNvPr>
        <xdr:cNvSpPr/>
      </xdr:nvSpPr>
      <xdr:spPr>
        <a:xfrm>
          <a:off x="565068" y="282551"/>
          <a:ext cx="3726932" cy="879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400" b="1">
              <a:solidFill>
                <a:schemeClr val="tx1"/>
              </a:solidFill>
              <a:latin typeface="Arial" panose="020B0604020202020204" pitchFamily="34" charset="0"/>
              <a:cs typeface="Arial" panose="020B0604020202020204" pitchFamily="34" charset="0"/>
            </a:rPr>
            <a:t>CARABINEROS DE CHILE</a:t>
          </a:r>
        </a:p>
        <a:p>
          <a:pPr algn="ctr"/>
          <a:r>
            <a:rPr lang="es-CL" sz="1400" b="0">
              <a:solidFill>
                <a:schemeClr val="tx1"/>
              </a:solidFill>
              <a:latin typeface="Arial" panose="020B0604020202020204" pitchFamily="34" charset="0"/>
              <a:cs typeface="Arial" panose="020B0604020202020204" pitchFamily="34" charset="0"/>
            </a:rPr>
            <a:t>ZONA</a:t>
          </a:r>
          <a:r>
            <a:rPr lang="es-CL" sz="1400" b="0" baseline="0">
              <a:solidFill>
                <a:schemeClr val="tx1"/>
              </a:solidFill>
              <a:latin typeface="Arial" panose="020B0604020202020204" pitchFamily="34" charset="0"/>
              <a:cs typeface="Arial" panose="020B0604020202020204" pitchFamily="34" charset="0"/>
            </a:rPr>
            <a:t> DE CARABINEROS STGO. ESTE</a:t>
          </a:r>
        </a:p>
        <a:p>
          <a:pPr algn="ctr"/>
          <a:r>
            <a:rPr lang="es-CL" sz="1400" b="1" baseline="0">
              <a:solidFill>
                <a:schemeClr val="tx1"/>
              </a:solidFill>
              <a:latin typeface="Arial" panose="020B0604020202020204" pitchFamily="34" charset="0"/>
              <a:cs typeface="Arial" panose="020B0604020202020204" pitchFamily="34" charset="0"/>
            </a:rPr>
            <a:t>PREFECTURA COP ESTE</a:t>
          </a:r>
          <a:endParaRPr lang="es-CL" sz="1400" b="1">
            <a:solidFill>
              <a:schemeClr val="tx1"/>
            </a:solidFill>
            <a:latin typeface="Arial" panose="020B0604020202020204" pitchFamily="34" charset="0"/>
            <a:cs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114300</xdr:rowOff>
        </xdr:from>
        <xdr:to>
          <xdr:col>1</xdr:col>
          <xdr:colOff>762000</xdr:colOff>
          <xdr:row>0</xdr:row>
          <xdr:rowOff>480060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1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1051560</xdr:colOff>
          <xdr:row>22</xdr:row>
          <xdr:rowOff>106680</xdr:rowOff>
        </xdr:from>
        <xdr:to>
          <xdr:col>1</xdr:col>
          <xdr:colOff>2628900</xdr:colOff>
          <xdr:row>25</xdr:row>
          <xdr:rowOff>38100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1200-00000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Agregar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1866900</xdr:colOff>
          <xdr:row>22</xdr:row>
          <xdr:rowOff>106680</xdr:rowOff>
        </xdr:from>
        <xdr:to>
          <xdr:col>1</xdr:col>
          <xdr:colOff>944880</xdr:colOff>
          <xdr:row>25</xdr:row>
          <xdr:rowOff>30480</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1200-000006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cs typeface="Calibri"/>
                </a:rPr>
                <a:t>Cancelar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7</xdr:col>
      <xdr:colOff>387724</xdr:colOff>
      <xdr:row>0</xdr:row>
      <xdr:rowOff>0</xdr:rowOff>
    </xdr:from>
    <xdr:to>
      <xdr:col>8</xdr:col>
      <xdr:colOff>1787650</xdr:colOff>
      <xdr:row>1</xdr:row>
      <xdr:rowOff>152400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41524" y="0"/>
          <a:ext cx="2043815" cy="2190750"/>
        </a:xfrm>
        <a:prstGeom prst="rect">
          <a:avLst/>
        </a:prstGeom>
        <a:effectLst>
          <a:outerShdw blurRad="50800" dist="38100" dir="2700000" algn="tl" rotWithShape="0">
            <a:prstClr val="black">
              <a:alpha val="40000"/>
            </a:prstClr>
          </a:outerShdw>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sktop-cjuls2o\pass%20v2\Users\OPERACIONES\Desktop\PASS%20V2\PASS%20V2.&#2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erza Efectiva"/>
      <sheetName val="TABLAS DINAMICAS"/>
      <sheetName val="Carta de Servicios"/>
      <sheetName val="Panel de Trabajo"/>
      <sheetName val="DISTRIBUCION DIARIA"/>
      <sheetName val="Actividades Proyectadas"/>
      <sheetName val="DESP.OPER."/>
      <sheetName val="ULTIMO FORM. F.E"/>
      <sheetName val="Ingreso"/>
      <sheetName val="Tabla de Servicio"/>
      <sheetName val="Inicio"/>
      <sheetName val="TABLA DE SERVICIO FUN"/>
      <sheetName val="Datos"/>
      <sheetName val="DISTRIBUCION PDF"/>
      <sheetName val="Registros"/>
      <sheetName val="Agregar Funcionario"/>
      <sheetName val="PASS V2.Ñ"/>
    </sheetNames>
    <sheetDataSet>
      <sheetData sheetId="0" refreshError="1"/>
      <sheetData sheetId="1" refreshError="1"/>
      <sheetData sheetId="2">
        <row r="397">
          <cell r="L397" t="str">
            <v>NICOLAS CALDERÓN CALDERÓN</v>
          </cell>
        </row>
      </sheetData>
      <sheetData sheetId="3">
        <row r="2">
          <cell r="C2" t="str">
            <v>USUARIO:</v>
          </cell>
        </row>
        <row r="3">
          <cell r="C3" t="str">
            <v>FECHA:</v>
          </cell>
        </row>
        <row r="5">
          <cell r="E5" t="str">
            <v>MANDO REPARTICIÓN</v>
          </cell>
        </row>
        <row r="6">
          <cell r="C6" t="str">
            <v>SIGLA</v>
          </cell>
          <cell r="D6" t="str">
            <v>FUNCIONARIO A CARGO</v>
          </cell>
          <cell r="E6" t="str">
            <v>VEH.</v>
          </cell>
          <cell r="F6" t="str">
            <v>TURNO</v>
          </cell>
          <cell r="G6" t="str">
            <v>SERVICIO</v>
          </cell>
          <cell r="H6" t="str">
            <v>H. I.</v>
          </cell>
          <cell r="I6" t="str">
            <v>H.T.</v>
          </cell>
          <cell r="J6" t="str">
            <v>F.E.</v>
          </cell>
          <cell r="K6" t="str">
            <v>OBSERVACIÓN</v>
          </cell>
        </row>
        <row r="7">
          <cell r="C7" t="str">
            <v>G1-E</v>
          </cell>
          <cell r="D7" t="str">
            <v>CORONEL PEREZ GUERRERO JUAN</v>
          </cell>
          <cell r="E7" t="str">
            <v>A/C</v>
          </cell>
          <cell r="F7" t="str">
            <v>1P</v>
          </cell>
          <cell r="G7" t="str">
            <v>PREFECTO</v>
          </cell>
          <cell r="H7">
            <v>0.33333333333333331</v>
          </cell>
          <cell r="I7" t="str">
            <v>NORM.</v>
          </cell>
          <cell r="J7" t="str">
            <v>PNS: 1 PNI: 3</v>
          </cell>
        </row>
        <row r="8">
          <cell r="C8" t="str">
            <v>G2-E</v>
          </cell>
          <cell r="D8" t="str">
            <v>TTE. CRL. DONOSO IRIBARREN CLAUDIO ALBERTO</v>
          </cell>
          <cell r="E8" t="str">
            <v>B-688</v>
          </cell>
          <cell r="F8" t="str">
            <v>1P</v>
          </cell>
          <cell r="G8" t="str">
            <v>SUBPREF. SERV. 1</v>
          </cell>
          <cell r="H8">
            <v>0.29166666666666669</v>
          </cell>
          <cell r="I8" t="str">
            <v>NORM.</v>
          </cell>
          <cell r="J8" t="str">
            <v>PNS: 1 PNI: 3</v>
          </cell>
          <cell r="K8" t="str">
            <v>JEFE 1ER TURNO APS</v>
          </cell>
        </row>
        <row r="9">
          <cell r="C9" t="str">
            <v>G3-E</v>
          </cell>
          <cell r="D9" t="str">
            <v>TTE. CRL. BASCUR VILLAGRAN GERARDO ANTONIO</v>
          </cell>
          <cell r="E9" t="str">
            <v>J-1230</v>
          </cell>
          <cell r="F9" t="str">
            <v>1P</v>
          </cell>
          <cell r="G9" t="str">
            <v>SUBPREF. SERV. 2</v>
          </cell>
          <cell r="H9">
            <v>0.29166666666666669</v>
          </cell>
          <cell r="I9" t="str">
            <v>NORM.</v>
          </cell>
          <cell r="J9" t="str">
            <v>PNS: 1 PNI: 3</v>
          </cell>
          <cell r="K9" t="str">
            <v>PREF. DE SERV.</v>
          </cell>
        </row>
        <row r="10">
          <cell r="C10" t="str">
            <v>G4-E</v>
          </cell>
          <cell r="D10" t="str">
            <v>TTE. CRL. AGUILERA BERRIOS MANUEL ALFONSO</v>
          </cell>
          <cell r="F10" t="str">
            <v>LIC.</v>
          </cell>
          <cell r="G10" t="str">
            <v>SUBPREF. ADM.</v>
          </cell>
          <cell r="H10">
            <v>0.33333333333333331</v>
          </cell>
          <cell r="I10" t="str">
            <v>NORM.</v>
          </cell>
          <cell r="J10" t="str">
            <v>PNS: 1 PNI: 0</v>
          </cell>
          <cell r="K10" t="str">
            <v>LICENCIA MEDICA</v>
          </cell>
        </row>
        <row r="11">
          <cell r="C11" t="str">
            <v>A/J</v>
          </cell>
          <cell r="D11" t="str">
            <v>MAYOR  RIVERA LEVANCCINI MAURICIO</v>
          </cell>
          <cell r="F11" t="str">
            <v>1P</v>
          </cell>
          <cell r="G11" t="str">
            <v xml:space="preserve">MAYOR ( J ) </v>
          </cell>
          <cell r="H11">
            <v>0.33333333333333331</v>
          </cell>
          <cell r="I11" t="str">
            <v>NORM.</v>
          </cell>
          <cell r="J11" t="str">
            <v>PNS: 1 PNI: 0</v>
          </cell>
        </row>
        <row r="12">
          <cell r="E12" t="str">
            <v>MANDO UNIDAD</v>
          </cell>
        </row>
        <row r="13">
          <cell r="C13" t="str">
            <v>SIGLA</v>
          </cell>
          <cell r="D13" t="str">
            <v>FUNCIONARIO A CARGO</v>
          </cell>
          <cell r="E13" t="str">
            <v>VEH.</v>
          </cell>
          <cell r="F13" t="str">
            <v>TURNO</v>
          </cell>
          <cell r="G13" t="str">
            <v>SERVICIO</v>
          </cell>
          <cell r="H13" t="str">
            <v>H. I.</v>
          </cell>
          <cell r="I13" t="str">
            <v>H.T.</v>
          </cell>
          <cell r="J13" t="str">
            <v>F.E.</v>
          </cell>
          <cell r="K13" t="str">
            <v>OBSERVACIÓN</v>
          </cell>
        </row>
        <row r="14">
          <cell r="B14" t="str">
            <v>COMISARIO 1</v>
          </cell>
          <cell r="C14" t="str">
            <v>C40</v>
          </cell>
          <cell r="D14" t="str">
            <v>CAPITÁN ZURITA MORGADO MARCO ANTONIO</v>
          </cell>
          <cell r="E14" t="str">
            <v>J-1228</v>
          </cell>
          <cell r="F14" t="str">
            <v>1P</v>
          </cell>
          <cell r="G14" t="str">
            <v>COMISARIO</v>
          </cell>
          <cell r="H14">
            <v>0.33333333333333331</v>
          </cell>
          <cell r="I14" t="str">
            <v>NORM.</v>
          </cell>
          <cell r="J14" t="str">
            <v>PNS: 1 PNI: 3</v>
          </cell>
        </row>
        <row r="15">
          <cell r="B15" t="str">
            <v>SUBCOM. SERV. 1 1</v>
          </cell>
          <cell r="C15" t="str">
            <v>C40-A</v>
          </cell>
          <cell r="D15" t="str">
            <v>CAPITÁN CALDERON CALDERON NICOLAS MAURICIO</v>
          </cell>
          <cell r="E15" t="str">
            <v>J-022</v>
          </cell>
          <cell r="F15" t="str">
            <v>1P</v>
          </cell>
          <cell r="G15" t="str">
            <v>SUBCOM. SERV. 1</v>
          </cell>
          <cell r="H15">
            <v>0.29166666666666669</v>
          </cell>
          <cell r="I15" t="str">
            <v>NORM.</v>
          </cell>
          <cell r="J15" t="str">
            <v>PNS: 1 PNI: 2</v>
          </cell>
          <cell r="K15" t="str">
            <v>COM. SERV. /  ARIETE C40-A</v>
          </cell>
        </row>
        <row r="16">
          <cell r="B16" t="str">
            <v>SUBCOM. SERV. 2 1</v>
          </cell>
          <cell r="C16" t="str">
            <v>C40-B</v>
          </cell>
          <cell r="D16" t="str">
            <v>CAPITÁN ARAYA LAVIL ANDRES MATIAS</v>
          </cell>
          <cell r="F16" t="str">
            <v>FER.</v>
          </cell>
          <cell r="G16" t="str">
            <v>SUBCOM. SERV. 2</v>
          </cell>
          <cell r="H16">
            <v>0.33333333333333331</v>
          </cell>
          <cell r="I16" t="str">
            <v>NORM.</v>
          </cell>
          <cell r="J16" t="str">
            <v>PNS: 1 PNI: 0</v>
          </cell>
        </row>
        <row r="17">
          <cell r="B17" t="str">
            <v>SUBCOMISARIO ADMINISTRATIVO 1</v>
          </cell>
          <cell r="C17" t="str">
            <v>C40-C</v>
          </cell>
          <cell r="D17" t="str">
            <v>CAPITÁN DIAZ WILHELM CARLOS ANDRÉS</v>
          </cell>
          <cell r="E17" t="str">
            <v>J-009</v>
          </cell>
          <cell r="F17" t="str">
            <v>1P</v>
          </cell>
          <cell r="G17" t="str">
            <v>SUBCOMISARIO ADMINISTRATIVO</v>
          </cell>
          <cell r="H17">
            <v>0.33333333333333331</v>
          </cell>
          <cell r="I17" t="str">
            <v>NORM.</v>
          </cell>
          <cell r="J17" t="str">
            <v>PNS: 1 PNI: 3</v>
          </cell>
        </row>
        <row r="18">
          <cell r="B18" t="str">
            <v xml:space="preserve"> 0</v>
          </cell>
          <cell r="E18" t="str">
            <v>OFICIALES</v>
          </cell>
        </row>
        <row r="19">
          <cell r="B19" t="str">
            <v>SERVICIO 1</v>
          </cell>
          <cell r="C19" t="str">
            <v>SIGLA</v>
          </cell>
          <cell r="D19" t="str">
            <v>FUNCIONARIO A CARGO</v>
          </cell>
          <cell r="E19" t="str">
            <v>VEH.</v>
          </cell>
          <cell r="F19" t="str">
            <v>TURNO</v>
          </cell>
          <cell r="G19" t="str">
            <v>SERVICIO</v>
          </cell>
          <cell r="H19" t="str">
            <v>H. I.</v>
          </cell>
          <cell r="I19" t="str">
            <v>H.T.</v>
          </cell>
          <cell r="J19" t="str">
            <v>F.E.</v>
          </cell>
          <cell r="K19" t="str">
            <v>OBSERVACIÓN</v>
          </cell>
        </row>
        <row r="20">
          <cell r="A20" t="str">
            <v>1P 1</v>
          </cell>
          <cell r="B20" t="str">
            <v>ARIETE 11 1</v>
          </cell>
          <cell r="C20" t="str">
            <v>GRIFO 11</v>
          </cell>
          <cell r="D20" t="str">
            <v>CAPITÁN ANDERS CONTRERAS LEONARDO IGNACIO</v>
          </cell>
          <cell r="E20" t="str">
            <v>J-1227</v>
          </cell>
          <cell r="F20" t="str">
            <v>1P</v>
          </cell>
          <cell r="G20" t="str">
            <v>ARIETE 11</v>
          </cell>
          <cell r="H20">
            <v>0.45833333333333331</v>
          </cell>
          <cell r="I20" t="str">
            <v>NORM</v>
          </cell>
          <cell r="J20" t="str">
            <v>PNS: 1 PNI: 3</v>
          </cell>
          <cell r="K20" t="str">
            <v>COMISION DE SERVICIO</v>
          </cell>
        </row>
        <row r="21">
          <cell r="A21" t="str">
            <v>1P 2</v>
          </cell>
          <cell r="B21" t="str">
            <v>ARIETE 12 1</v>
          </cell>
          <cell r="C21" t="str">
            <v>GRIFO 12</v>
          </cell>
          <cell r="D21" t="str">
            <v>CAPITÁN AGURTO PEÑA FELIPE</v>
          </cell>
          <cell r="F21" t="str">
            <v>1P</v>
          </cell>
          <cell r="G21" t="str">
            <v>ARIETE 12</v>
          </cell>
          <cell r="J21" t="str">
            <v>PNS: 1 PNI: 0</v>
          </cell>
          <cell r="K21" t="str">
            <v xml:space="preserve"> 07-11-2022</v>
          </cell>
        </row>
        <row r="22">
          <cell r="A22" t="str">
            <v>AG. 1</v>
          </cell>
          <cell r="B22" t="str">
            <v>AGREGADA ZONA ESTE 1</v>
          </cell>
          <cell r="C22" t="str">
            <v>GRIFO 13</v>
          </cell>
          <cell r="D22" t="str">
            <v>CAPITÁN FUENTES FUENTES CAROLINA</v>
          </cell>
          <cell r="F22" t="str">
            <v>AG.</v>
          </cell>
          <cell r="G22" t="str">
            <v>AGREGADA ZONA ESTE</v>
          </cell>
          <cell r="J22" t="str">
            <v>PNS: 1 PNI: 0</v>
          </cell>
          <cell r="K22" t="str">
            <v>26-10-2022 AL 14-11-2022</v>
          </cell>
        </row>
        <row r="23">
          <cell r="A23" t="str">
            <v>2T 1</v>
          </cell>
          <cell r="B23" t="str">
            <v>APOYO 2T APS 1</v>
          </cell>
          <cell r="C23" t="str">
            <v>GRIFO 14</v>
          </cell>
          <cell r="D23" t="str">
            <v>CAPITÁN MAIRA VERA NELSON</v>
          </cell>
          <cell r="E23" t="str">
            <v>B-645</v>
          </cell>
          <cell r="F23" t="str">
            <v>2T</v>
          </cell>
          <cell r="G23" t="str">
            <v>APOYO 2T APS</v>
          </cell>
          <cell r="J23" t="str">
            <v>PNS: 1 PNI: 0</v>
          </cell>
        </row>
        <row r="24">
          <cell r="A24" t="str">
            <v>1P 3</v>
          </cell>
          <cell r="B24" t="str">
            <v>ARIETE 15 1</v>
          </cell>
          <cell r="C24" t="str">
            <v>GRIFO 15</v>
          </cell>
          <cell r="D24" t="str">
            <v xml:space="preserve">TENIENTE JANSANA SOTO JOAQUIN    </v>
          </cell>
          <cell r="E24" t="str">
            <v>J-032</v>
          </cell>
          <cell r="F24" t="str">
            <v>1P</v>
          </cell>
          <cell r="G24" t="str">
            <v>ARIETE 15</v>
          </cell>
          <cell r="J24" t="str">
            <v>PNS: 1 PNI: 3</v>
          </cell>
          <cell r="K24" t="str">
            <v>1ER TURNO BAQ / 07:30 A 10:00 HRS</v>
          </cell>
        </row>
        <row r="25">
          <cell r="A25" t="str">
            <v>1P 4</v>
          </cell>
          <cell r="B25" t="str">
            <v>ARIETE 16 1</v>
          </cell>
          <cell r="C25" t="str">
            <v>GRIFO 16</v>
          </cell>
          <cell r="D25" t="str">
            <v>TENIENTE NAVARRO VELASQUEZ RODOLFO</v>
          </cell>
          <cell r="E25" t="str">
            <v>J-020</v>
          </cell>
          <cell r="F25" t="str">
            <v>1P</v>
          </cell>
          <cell r="G25" t="str">
            <v>ARIETE 16</v>
          </cell>
          <cell r="J25" t="str">
            <v>PNS: 1 PNI: 3</v>
          </cell>
          <cell r="K25" t="str">
            <v>GRECIA MACUL</v>
          </cell>
        </row>
        <row r="26">
          <cell r="A26" t="str">
            <v>1T 1</v>
          </cell>
          <cell r="B26" t="str">
            <v>BAQUEDANO 1</v>
          </cell>
          <cell r="C26" t="str">
            <v>GRIFO 17</v>
          </cell>
          <cell r="D26" t="str">
            <v xml:space="preserve">TENIENTE PALAVECINO LLANOS CAROLINA VIVIANA </v>
          </cell>
          <cell r="E26" t="str">
            <v>J-027</v>
          </cell>
          <cell r="F26" t="str">
            <v>1T</v>
          </cell>
          <cell r="G26" t="str">
            <v>BAQUEDANO</v>
          </cell>
          <cell r="J26" t="str">
            <v>PNS: 1 PNI: 2</v>
          </cell>
        </row>
        <row r="27">
          <cell r="A27" t="str">
            <v>LIC. 1</v>
          </cell>
          <cell r="B27" t="str">
            <v>LICENCIA MEDICA 1</v>
          </cell>
          <cell r="C27" t="str">
            <v>GRIFO 18</v>
          </cell>
          <cell r="D27" t="str">
            <v>TENIENTE DUBO CASTILLO DANKO ALEJANDRO</v>
          </cell>
          <cell r="F27" t="str">
            <v>LIC.</v>
          </cell>
          <cell r="G27" t="str">
            <v>LICENCIA MEDICA</v>
          </cell>
          <cell r="J27" t="str">
            <v>PNS: 1 PNI: 0</v>
          </cell>
          <cell r="K27" t="str">
            <v>18-10-2022 AL 14-11-2022</v>
          </cell>
        </row>
        <row r="28">
          <cell r="A28" t="str">
            <v>1T 2</v>
          </cell>
          <cell r="B28" t="str">
            <v>COMANDO Y CONTROL 1</v>
          </cell>
          <cell r="C28" t="str">
            <v>GRIFO 19</v>
          </cell>
          <cell r="D28" t="str">
            <v>TENIENTE DOMINGUEZ GARRIDO TATIANA MARIELA</v>
          </cell>
          <cell r="F28" t="str">
            <v>1T</v>
          </cell>
          <cell r="G28" t="str">
            <v>COMANDO Y CONTROL</v>
          </cell>
          <cell r="J28" t="str">
            <v>PNS: 1 PNI: 0</v>
          </cell>
        </row>
        <row r="29">
          <cell r="A29" t="str">
            <v>2P 1</v>
          </cell>
          <cell r="B29" t="str">
            <v>JEFE ARIETE NOCTURNO 1</v>
          </cell>
          <cell r="C29" t="str">
            <v>GRIFO 20</v>
          </cell>
          <cell r="D29" t="str">
            <v>TENIENTE ESCOBAR PEREZ MATIAS</v>
          </cell>
          <cell r="E29" t="str">
            <v>J-035</v>
          </cell>
          <cell r="F29" t="str">
            <v>2P</v>
          </cell>
          <cell r="G29" t="str">
            <v>JEFE ARIETE NOCTURNO</v>
          </cell>
          <cell r="J29" t="str">
            <v>PNS: 1 PNI: 2</v>
          </cell>
          <cell r="K29" t="str">
            <v>VER ACT. NRO. 04 Y 06</v>
          </cell>
        </row>
        <row r="30">
          <cell r="A30" t="str">
            <v>2T 2</v>
          </cell>
          <cell r="B30" t="str">
            <v>BAQUEDANO 2</v>
          </cell>
          <cell r="C30" t="str">
            <v>GRIFO 21</v>
          </cell>
          <cell r="D30" t="str">
            <v>TENIENTE SILVA NAVARRO JUAN MIGUEL</v>
          </cell>
          <cell r="E30" t="str">
            <v>J-1189</v>
          </cell>
          <cell r="F30" t="str">
            <v>2T</v>
          </cell>
          <cell r="G30" t="str">
            <v>BAQUEDANO</v>
          </cell>
          <cell r="J30" t="str">
            <v>PNS: 1 PNI: 2</v>
          </cell>
        </row>
        <row r="31">
          <cell r="A31" t="str">
            <v>F 1</v>
          </cell>
          <cell r="B31" t="str">
            <v>SALIENTE ARIETE NOCTURNO 1</v>
          </cell>
          <cell r="C31" t="str">
            <v>GRIFO 22</v>
          </cell>
          <cell r="D31" t="str">
            <v>TENIENTE LEPIN SOLAR MAXIMILIANO ARTURO</v>
          </cell>
          <cell r="E31" t="str">
            <v>J-010</v>
          </cell>
          <cell r="F31" t="str">
            <v>F</v>
          </cell>
          <cell r="G31" t="str">
            <v>SALIENTE ARIETE NOCTURNO</v>
          </cell>
          <cell r="J31" t="str">
            <v>PNS: 1 PNI: 2</v>
          </cell>
        </row>
        <row r="32">
          <cell r="A32" t="str">
            <v xml:space="preserve"> 0</v>
          </cell>
          <cell r="B32" t="str">
            <v xml:space="preserve"> 0</v>
          </cell>
          <cell r="C32" t="str">
            <v>SSOO 1</v>
          </cell>
          <cell r="D32" t="str">
            <v>-</v>
          </cell>
          <cell r="J32" t="str">
            <v>PNS: 0 PNI: 0</v>
          </cell>
        </row>
        <row r="33">
          <cell r="A33" t="str">
            <v>LIC. 2</v>
          </cell>
          <cell r="B33" t="str">
            <v>LICENCIA MEDICA 2</v>
          </cell>
          <cell r="C33" t="str">
            <v>SSOO 2</v>
          </cell>
          <cell r="D33" t="str">
            <v>TENIENTE REBOLLEDO CASTRO ALEXANDRA E.</v>
          </cell>
          <cell r="F33" t="str">
            <v>LIC.</v>
          </cell>
          <cell r="G33" t="str">
            <v>LICENCIA MEDICA</v>
          </cell>
          <cell r="J33" t="str">
            <v>PNS: 1 PNI: 0</v>
          </cell>
          <cell r="K33" t="str">
            <v>HASTA EL 09-11-2022</v>
          </cell>
        </row>
        <row r="34">
          <cell r="A34" t="str">
            <v xml:space="preserve"> 0</v>
          </cell>
          <cell r="B34" t="str">
            <v xml:space="preserve"> 0</v>
          </cell>
          <cell r="C34" t="str">
            <v>SSOO 3</v>
          </cell>
          <cell r="D34" t="str">
            <v>-</v>
          </cell>
          <cell r="J34" t="str">
            <v>PNS: 0 PNI: 0</v>
          </cell>
        </row>
        <row r="35">
          <cell r="A35" t="str">
            <v xml:space="preserve"> 0</v>
          </cell>
          <cell r="B35" t="str">
            <v xml:space="preserve"> 0</v>
          </cell>
          <cell r="C35" t="str">
            <v>SSOO 4</v>
          </cell>
          <cell r="D35" t="str">
            <v>-</v>
          </cell>
          <cell r="J35" t="str">
            <v>PNS: 0 PNI: 0</v>
          </cell>
        </row>
        <row r="36">
          <cell r="A36" t="str">
            <v>LIC. 3</v>
          </cell>
          <cell r="B36" t="str">
            <v>LICENCIA MEDICA 3</v>
          </cell>
          <cell r="C36" t="str">
            <v>SSOO 5</v>
          </cell>
          <cell r="D36" t="str">
            <v>SUBTENIENTE ARRIAZA HORMAZABAL MARIO-IGNACIO</v>
          </cell>
          <cell r="F36" t="str">
            <v>LIC.</v>
          </cell>
          <cell r="G36" t="str">
            <v>LICENCIA MEDICA</v>
          </cell>
          <cell r="J36" t="str">
            <v>PNS: 1 PNI: 0</v>
          </cell>
          <cell r="K36" t="str">
            <v>12-10-2022 AL 08-11-2022</v>
          </cell>
        </row>
        <row r="37">
          <cell r="A37" t="str">
            <v xml:space="preserve"> 0</v>
          </cell>
          <cell r="B37" t="str">
            <v xml:space="preserve"> 0</v>
          </cell>
          <cell r="C37" t="str">
            <v>SSOO 6</v>
          </cell>
          <cell r="D37" t="str">
            <v>-</v>
          </cell>
          <cell r="J37" t="str">
            <v>PNS: 0 PNI: 0</v>
          </cell>
        </row>
        <row r="38">
          <cell r="A38" t="str">
            <v>SECCIONES 1</v>
          </cell>
          <cell r="B38" t="str">
            <v xml:space="preserve"> 0</v>
          </cell>
          <cell r="F38" t="str">
            <v>SECCIONES</v>
          </cell>
        </row>
        <row r="39">
          <cell r="A39" t="str">
            <v>TURNO 2</v>
          </cell>
          <cell r="B39" t="str">
            <v>SERVICIO 2</v>
          </cell>
          <cell r="C39" t="str">
            <v>SECCIÓN</v>
          </cell>
          <cell r="D39" t="str">
            <v>FUNCIONARIO A CARGO</v>
          </cell>
          <cell r="E39" t="str">
            <v>VEH.</v>
          </cell>
          <cell r="F39" t="str">
            <v>TURNO</v>
          </cell>
          <cell r="G39" t="str">
            <v>SERVICIO</v>
          </cell>
          <cell r="H39" t="str">
            <v>H.I.</v>
          </cell>
          <cell r="I39" t="str">
            <v>H.T.</v>
          </cell>
          <cell r="J39" t="str">
            <v>F.E.</v>
          </cell>
          <cell r="K39" t="str">
            <v>OBSERVACIÓN</v>
          </cell>
        </row>
        <row r="40">
          <cell r="A40" t="str">
            <v>1P 5</v>
          </cell>
          <cell r="B40" t="str">
            <v>METRO 1</v>
          </cell>
          <cell r="C40" t="str">
            <v>S-30</v>
          </cell>
          <cell r="D40" t="str">
            <v>SUBOFICIAL GATICA NAVARRETE ROBERTO FELIPE</v>
          </cell>
          <cell r="E40" t="str">
            <v>AB-365</v>
          </cell>
          <cell r="F40" t="str">
            <v>1P</v>
          </cell>
          <cell r="G40" t="str">
            <v>METRO</v>
          </cell>
          <cell r="H40">
            <v>0.29166666666666669</v>
          </cell>
          <cell r="I40">
            <v>0.58333333333333337</v>
          </cell>
          <cell r="J40">
            <v>13</v>
          </cell>
        </row>
        <row r="41">
          <cell r="A41" t="str">
            <v>1P 6</v>
          </cell>
          <cell r="B41" t="str">
            <v>COMISION 1</v>
          </cell>
          <cell r="C41" t="str">
            <v>S-31</v>
          </cell>
          <cell r="D41" t="str">
            <v>SUBOFICIAL AGUILA ESCOBAR GUILERMO EULOGIO</v>
          </cell>
          <cell r="E41" t="str">
            <v>B-680</v>
          </cell>
          <cell r="F41" t="str">
            <v>1P</v>
          </cell>
          <cell r="G41" t="str">
            <v>COMISION</v>
          </cell>
          <cell r="H41">
            <v>0.45833333333333331</v>
          </cell>
          <cell r="I41" t="str">
            <v>NORM.</v>
          </cell>
          <cell r="J41">
            <v>10</v>
          </cell>
          <cell r="K41" t="str">
            <v>COMISION DE SERVICIO</v>
          </cell>
        </row>
        <row r="42">
          <cell r="A42" t="str">
            <v>1P 7</v>
          </cell>
          <cell r="B42" t="str">
            <v>COMISION 2</v>
          </cell>
          <cell r="C42" t="str">
            <v>S-32</v>
          </cell>
          <cell r="D42" t="str">
            <v>SUBTENIENTE MELLADO RIDEAU SEBASTIAN MOISES</v>
          </cell>
          <cell r="E42" t="str">
            <v>B-681</v>
          </cell>
          <cell r="F42" t="str">
            <v>1P</v>
          </cell>
          <cell r="G42" t="str">
            <v>COMISION</v>
          </cell>
          <cell r="H42">
            <v>0.45833333333333331</v>
          </cell>
          <cell r="I42" t="str">
            <v>NORM.</v>
          </cell>
          <cell r="J42">
            <v>10</v>
          </cell>
          <cell r="K42" t="str">
            <v>COMISION DE SERVICIO</v>
          </cell>
        </row>
        <row r="43">
          <cell r="A43" t="str">
            <v>1P 8</v>
          </cell>
          <cell r="B43" t="str">
            <v>LEGUA EMERGENCIA 1</v>
          </cell>
          <cell r="C43" t="str">
            <v>S-33</v>
          </cell>
          <cell r="D43" t="str">
            <v>SUBOFICIAL AYANCAN MONTECINOS RAUL ( C )</v>
          </cell>
          <cell r="E43" t="str">
            <v>B-647</v>
          </cell>
          <cell r="F43" t="str">
            <v>1P</v>
          </cell>
          <cell r="G43" t="str">
            <v>LEGUA EMERGENCIA</v>
          </cell>
          <cell r="H43">
            <v>0.45833333333333331</v>
          </cell>
          <cell r="I43">
            <v>0.79166666666666663</v>
          </cell>
          <cell r="J43">
            <v>6</v>
          </cell>
          <cell r="K43" t="str">
            <v>GRECIA MACUL</v>
          </cell>
        </row>
        <row r="44">
          <cell r="A44" t="str">
            <v>PER. 1</v>
          </cell>
          <cell r="B44" t="str">
            <v>PERMISO ESPECIAL DIGCAR 1</v>
          </cell>
          <cell r="C44" t="str">
            <v>S-34</v>
          </cell>
          <cell r="D44" t="str">
            <v>SGTO 2DO. MORALES LEVIO MARCO ANTONIO</v>
          </cell>
          <cell r="F44" t="str">
            <v>PER.</v>
          </cell>
          <cell r="G44" t="str">
            <v>PERMISO ESPECIAL DIGCAR</v>
          </cell>
          <cell r="J44">
            <v>9</v>
          </cell>
          <cell r="K44" t="str">
            <v>HASTA EL 07-11-22</v>
          </cell>
        </row>
        <row r="45">
          <cell r="A45" t="str">
            <v>1T 3</v>
          </cell>
          <cell r="B45" t="str">
            <v>BAQUEDANO 3</v>
          </cell>
          <cell r="C45" t="str">
            <v>S-35</v>
          </cell>
          <cell r="D45" t="str">
            <v>S.O.M. BRAVO BRAVO ALEX  GONZALO</v>
          </cell>
          <cell r="E45" t="str">
            <v>B-683</v>
          </cell>
          <cell r="F45" t="str">
            <v>1T</v>
          </cell>
          <cell r="G45" t="str">
            <v>BAQUEDANO</v>
          </cell>
          <cell r="H45">
            <v>0.29166666666666669</v>
          </cell>
          <cell r="I45">
            <v>0.625</v>
          </cell>
          <cell r="J45">
            <v>10</v>
          </cell>
        </row>
        <row r="46">
          <cell r="A46" t="str">
            <v>2T 3</v>
          </cell>
          <cell r="B46" t="str">
            <v>CIUDADANIA 1</v>
          </cell>
          <cell r="C46" t="str">
            <v>S-36</v>
          </cell>
          <cell r="D46" t="str">
            <v>SUBTENIENTE SEPULVEDA BUSTOS ALVARO SEBASTIAN</v>
          </cell>
          <cell r="E46" t="str">
            <v>B-498</v>
          </cell>
          <cell r="F46" t="str">
            <v>2T</v>
          </cell>
          <cell r="G46" t="str">
            <v>CIUDADANIA</v>
          </cell>
          <cell r="J46">
            <v>8</v>
          </cell>
        </row>
        <row r="47">
          <cell r="A47" t="str">
            <v>2T 4</v>
          </cell>
          <cell r="B47" t="str">
            <v>MONEDA 1</v>
          </cell>
          <cell r="C47" t="str">
            <v>S-37</v>
          </cell>
          <cell r="D47" t="str">
            <v>SUBTENIENTE MARTINEZ ACUÑA MATIAS VALENTIN</v>
          </cell>
          <cell r="E47" t="str">
            <v>B-683</v>
          </cell>
          <cell r="F47" t="str">
            <v>2T</v>
          </cell>
          <cell r="G47" t="str">
            <v>MONEDA</v>
          </cell>
          <cell r="J47">
            <v>9</v>
          </cell>
        </row>
        <row r="48">
          <cell r="A48" t="str">
            <v>2T 5</v>
          </cell>
          <cell r="B48" t="str">
            <v>CONSTUCION 1</v>
          </cell>
          <cell r="C48" t="str">
            <v>S-38</v>
          </cell>
          <cell r="D48" t="str">
            <v>SGTO 1RO. BAHAMONDE SEPULVEDA LUIS GONZALO ( C )</v>
          </cell>
          <cell r="E48" t="str">
            <v>B-682</v>
          </cell>
          <cell r="F48" t="str">
            <v>2T</v>
          </cell>
          <cell r="G48" t="str">
            <v>CONSTUCION</v>
          </cell>
          <cell r="J48">
            <v>8</v>
          </cell>
        </row>
        <row r="49">
          <cell r="A49" t="str">
            <v>2P 2</v>
          </cell>
          <cell r="B49" t="str">
            <v>DOMICILIO EX SE 1</v>
          </cell>
          <cell r="C49" t="str">
            <v>S-39</v>
          </cell>
          <cell r="D49" t="str">
            <v xml:space="preserve">SUBOFICIAL HENRIQUEZ JARAMILLO FIDEL </v>
          </cell>
          <cell r="E49" t="str">
            <v>Z-3410</v>
          </cell>
          <cell r="F49" t="str">
            <v>2P</v>
          </cell>
          <cell r="G49" t="str">
            <v>DOMICILIO EX SE</v>
          </cell>
          <cell r="H49">
            <v>0.33333333333333331</v>
          </cell>
          <cell r="I49">
            <v>0.83333333333333337</v>
          </cell>
          <cell r="J49">
            <v>5</v>
          </cell>
        </row>
        <row r="50">
          <cell r="A50" t="str">
            <v>2P 3</v>
          </cell>
          <cell r="B50" t="str">
            <v>LEGUA EMERGENCIA 2</v>
          </cell>
          <cell r="C50" t="str">
            <v>S-40</v>
          </cell>
          <cell r="D50" t="str">
            <v>SGTO 1RO. VILLAGRA AREVALO SERGIO HUMBERTO ( C )</v>
          </cell>
          <cell r="E50" t="str">
            <v>B-645</v>
          </cell>
          <cell r="F50" t="str">
            <v>2P</v>
          </cell>
          <cell r="G50" t="str">
            <v>LEGUA EMERGENCIA</v>
          </cell>
          <cell r="H50">
            <v>0.29166666666666669</v>
          </cell>
          <cell r="I50">
            <v>0.58333333333333337</v>
          </cell>
          <cell r="J50">
            <v>10</v>
          </cell>
        </row>
        <row r="51">
          <cell r="A51" t="str">
            <v>2P 4</v>
          </cell>
          <cell r="B51" t="str">
            <v>ARIETE NOCTURNO 1</v>
          </cell>
          <cell r="C51" t="str">
            <v>S-41</v>
          </cell>
          <cell r="D51" t="str">
            <v>SGTO 2DO. RIQUELME PARADA CARLOS ROBERTO ( C )</v>
          </cell>
          <cell r="E51" t="str">
            <v>B-687</v>
          </cell>
          <cell r="F51" t="str">
            <v>2P</v>
          </cell>
          <cell r="G51" t="str">
            <v>ARIETE NOCTURNO</v>
          </cell>
          <cell r="H51">
            <v>0.29166666666666669</v>
          </cell>
          <cell r="I51">
            <v>0.75</v>
          </cell>
          <cell r="J51">
            <v>8</v>
          </cell>
        </row>
        <row r="52">
          <cell r="A52" t="str">
            <v>1P 9</v>
          </cell>
          <cell r="B52" t="str">
            <v>ARIETE 15 2</v>
          </cell>
          <cell r="C52" t="str">
            <v>S-42</v>
          </cell>
          <cell r="D52" t="str">
            <v>SGTO 1RO. ARRATIA CONTRERAS  CARLOS ALBERTO</v>
          </cell>
          <cell r="E52" t="str">
            <v>B-498</v>
          </cell>
          <cell r="F52" t="str">
            <v>1P</v>
          </cell>
          <cell r="G52" t="str">
            <v>ARIETE 15</v>
          </cell>
          <cell r="H52">
            <v>0.33333333333333331</v>
          </cell>
          <cell r="I52">
            <v>0.83333333333333337</v>
          </cell>
          <cell r="J52">
            <v>6</v>
          </cell>
        </row>
        <row r="53">
          <cell r="A53" t="str">
            <v>1P 10</v>
          </cell>
          <cell r="B53" t="str">
            <v>DOMICILIO EX SE 2</v>
          </cell>
          <cell r="C53" t="str">
            <v>S-43</v>
          </cell>
          <cell r="D53" t="str">
            <v>SUBTENIENTE TOLEDO SALVATIERRA EDUARDO ALEXANDER</v>
          </cell>
          <cell r="E53" t="str">
            <v>AB-365</v>
          </cell>
          <cell r="F53" t="str">
            <v>1P</v>
          </cell>
          <cell r="G53" t="str">
            <v>DOMICILIO EX SE</v>
          </cell>
          <cell r="H53">
            <v>0.29166666666666669</v>
          </cell>
          <cell r="I53">
            <v>0.58333333333333337</v>
          </cell>
          <cell r="J53">
            <v>10</v>
          </cell>
        </row>
        <row r="54">
          <cell r="A54" t="str">
            <v>1P 11</v>
          </cell>
          <cell r="B54" t="str">
            <v>ARIETE 16 2</v>
          </cell>
          <cell r="C54" t="str">
            <v>S-44</v>
          </cell>
          <cell r="D54" t="str">
            <v>SUBOFICIAL ARAVENA ARAYA GEORGE ALEXIS</v>
          </cell>
          <cell r="E54" t="str">
            <v>B-684</v>
          </cell>
          <cell r="F54" t="str">
            <v>1P</v>
          </cell>
          <cell r="G54" t="str">
            <v>ARIETE 16</v>
          </cell>
          <cell r="H54">
            <v>0.29166666666666669</v>
          </cell>
          <cell r="I54">
            <v>0.625</v>
          </cell>
          <cell r="J54">
            <v>8</v>
          </cell>
        </row>
        <row r="55">
          <cell r="A55" t="str">
            <v>F 2</v>
          </cell>
          <cell r="B55" t="str">
            <v>SALIENTE LEGUA EMERGENCIA 1</v>
          </cell>
          <cell r="C55" t="str">
            <v>S-45</v>
          </cell>
          <cell r="D55" t="str">
            <v>SGTO 2DO. BUSTOS QUEZADA  RODRIGO  ( c )</v>
          </cell>
          <cell r="E55" t="str">
            <v>B-498</v>
          </cell>
          <cell r="F55" t="str">
            <v>F</v>
          </cell>
          <cell r="G55" t="str">
            <v>SALIENTE LEGUA EMERGENCIA</v>
          </cell>
          <cell r="H55">
            <v>0.83333333333333337</v>
          </cell>
          <cell r="I55">
            <v>0.33333333333333331</v>
          </cell>
          <cell r="J55">
            <v>11</v>
          </cell>
        </row>
        <row r="56">
          <cell r="A56" t="str">
            <v>F 3</v>
          </cell>
          <cell r="B56" t="str">
            <v>SALIENTE DOMICILIO EX SE 1</v>
          </cell>
          <cell r="C56" t="str">
            <v>S-46</v>
          </cell>
          <cell r="D56" t="str">
            <v>SGTO 1RO. SILVA BARRIA FRANCISCO</v>
          </cell>
          <cell r="E56" t="str">
            <v>B-685</v>
          </cell>
          <cell r="F56" t="str">
            <v>F</v>
          </cell>
          <cell r="G56" t="str">
            <v>SALIENTE DOMICILIO EX SE</v>
          </cell>
          <cell r="H56">
            <v>0.83333333333333337</v>
          </cell>
          <cell r="I56">
            <v>0.33333333333333331</v>
          </cell>
          <cell r="J56">
            <v>9</v>
          </cell>
        </row>
        <row r="57">
          <cell r="A57" t="str">
            <v>F 4</v>
          </cell>
          <cell r="B57" t="str">
            <v>SALIENTE ARIETE NOCTURNO 2</v>
          </cell>
          <cell r="C57" t="str">
            <v>S-47</v>
          </cell>
          <cell r="D57" t="str">
            <v xml:space="preserve">SUBTENIENTE PEREZ BERRIOS MARCELO </v>
          </cell>
          <cell r="E57" t="str">
            <v>B-512</v>
          </cell>
          <cell r="F57" t="str">
            <v>F</v>
          </cell>
          <cell r="G57" t="str">
            <v>SALIENTE ARIETE NOCTURNO</v>
          </cell>
          <cell r="H57">
            <v>0.83333333333333337</v>
          </cell>
          <cell r="I57">
            <v>0.33333333333333331</v>
          </cell>
          <cell r="J57">
            <v>9</v>
          </cell>
        </row>
        <row r="58">
          <cell r="A58" t="str">
            <v>2T 6</v>
          </cell>
          <cell r="B58" t="str">
            <v>BAQUEDANO 4</v>
          </cell>
          <cell r="C58" t="str">
            <v>S-48</v>
          </cell>
          <cell r="D58" t="str">
            <v xml:space="preserve">SUBTENIENTE SALAZAR CARVAJAL CARLOS </v>
          </cell>
          <cell r="E58" t="str">
            <v>B-686</v>
          </cell>
          <cell r="F58" t="str">
            <v>2T</v>
          </cell>
          <cell r="G58" t="str">
            <v>BAQUEDANO</v>
          </cell>
          <cell r="H58">
            <v>0.625</v>
          </cell>
          <cell r="I58" t="str">
            <v>NORM.</v>
          </cell>
          <cell r="J58">
            <v>11</v>
          </cell>
        </row>
        <row r="59">
          <cell r="A59" t="str">
            <v>1P 12</v>
          </cell>
          <cell r="B59" t="str">
            <v>ARIETE 12 2</v>
          </cell>
          <cell r="C59" t="str">
            <v>S-49</v>
          </cell>
          <cell r="D59" t="str">
            <v>SGTO 1RO. PORTILLA ARAYA LEONARDO MANUEL</v>
          </cell>
          <cell r="E59" t="str">
            <v>B-644</v>
          </cell>
          <cell r="F59" t="str">
            <v>1P</v>
          </cell>
          <cell r="G59" t="str">
            <v>ARIETE 12</v>
          </cell>
          <cell r="H59">
            <v>0.375</v>
          </cell>
          <cell r="I59" t="str">
            <v>NORM.</v>
          </cell>
          <cell r="J59">
            <v>12</v>
          </cell>
        </row>
        <row r="60">
          <cell r="A60" t="str">
            <v xml:space="preserve"> 0</v>
          </cell>
          <cell r="B60" t="str">
            <v xml:space="preserve"> 0</v>
          </cell>
          <cell r="C60" t="str">
            <v>S-EV</v>
          </cell>
          <cell r="D60" t="str">
            <v>-</v>
          </cell>
          <cell r="J60">
            <v>0</v>
          </cell>
        </row>
        <row r="61">
          <cell r="A61" t="str">
            <v xml:space="preserve"> 0</v>
          </cell>
          <cell r="B61" t="str">
            <v xml:space="preserve"> 0</v>
          </cell>
          <cell r="C61" t="str">
            <v>S-EV-2</v>
          </cell>
          <cell r="D61" t="str">
            <v>-</v>
          </cell>
          <cell r="J61">
            <v>0</v>
          </cell>
        </row>
        <row r="62">
          <cell r="A62" t="str">
            <v xml:space="preserve"> 0</v>
          </cell>
          <cell r="B62" t="str">
            <v xml:space="preserve"> 0</v>
          </cell>
          <cell r="C62" t="str">
            <v>S-30-B</v>
          </cell>
          <cell r="D62" t="str">
            <v>-</v>
          </cell>
          <cell r="J62">
            <v>0</v>
          </cell>
        </row>
        <row r="63">
          <cell r="A63" t="str">
            <v xml:space="preserve"> 0</v>
          </cell>
          <cell r="B63" t="str">
            <v xml:space="preserve"> 0</v>
          </cell>
          <cell r="C63" t="str">
            <v>S-31-B</v>
          </cell>
          <cell r="D63" t="str">
            <v>-</v>
          </cell>
          <cell r="J63">
            <v>0</v>
          </cell>
        </row>
        <row r="64">
          <cell r="A64" t="str">
            <v xml:space="preserve"> 0</v>
          </cell>
          <cell r="B64" t="str">
            <v xml:space="preserve"> 0</v>
          </cell>
          <cell r="C64" t="str">
            <v>S-32-B</v>
          </cell>
          <cell r="D64" t="str">
            <v>-</v>
          </cell>
          <cell r="J64">
            <v>0</v>
          </cell>
        </row>
        <row r="65">
          <cell r="A65" t="str">
            <v xml:space="preserve"> 0</v>
          </cell>
          <cell r="B65" t="str">
            <v xml:space="preserve"> 0</v>
          </cell>
          <cell r="C65" t="str">
            <v>S-33-B</v>
          </cell>
          <cell r="D65" t="str">
            <v>-</v>
          </cell>
          <cell r="J65">
            <v>0</v>
          </cell>
        </row>
        <row r="66">
          <cell r="A66" t="str">
            <v xml:space="preserve"> 0</v>
          </cell>
          <cell r="B66" t="str">
            <v xml:space="preserve"> 0</v>
          </cell>
          <cell r="C66" t="str">
            <v>S-34-B</v>
          </cell>
          <cell r="D66" t="str">
            <v>-</v>
          </cell>
          <cell r="J66">
            <v>0</v>
          </cell>
        </row>
        <row r="67">
          <cell r="A67" t="str">
            <v xml:space="preserve"> 0</v>
          </cell>
          <cell r="B67" t="str">
            <v xml:space="preserve"> 0</v>
          </cell>
          <cell r="C67" t="str">
            <v>S-35-B</v>
          </cell>
          <cell r="D67" t="str">
            <v>-</v>
          </cell>
          <cell r="J67">
            <v>0</v>
          </cell>
        </row>
        <row r="68">
          <cell r="A68" t="str">
            <v xml:space="preserve"> 0</v>
          </cell>
          <cell r="B68" t="str">
            <v xml:space="preserve"> 0</v>
          </cell>
          <cell r="C68" t="str">
            <v>S-36-B</v>
          </cell>
          <cell r="D68" t="str">
            <v>-</v>
          </cell>
          <cell r="J68">
            <v>0</v>
          </cell>
        </row>
        <row r="69">
          <cell r="A69" t="str">
            <v xml:space="preserve"> 0</v>
          </cell>
          <cell r="B69" t="str">
            <v xml:space="preserve"> 0</v>
          </cell>
          <cell r="C69" t="str">
            <v>S-37-B</v>
          </cell>
          <cell r="D69" t="str">
            <v>-</v>
          </cell>
          <cell r="J69">
            <v>0</v>
          </cell>
        </row>
        <row r="70">
          <cell r="A70" t="str">
            <v xml:space="preserve"> 0</v>
          </cell>
          <cell r="B70" t="str">
            <v xml:space="preserve"> 0</v>
          </cell>
          <cell r="C70" t="str">
            <v>S-38-B</v>
          </cell>
          <cell r="D70" t="str">
            <v>-</v>
          </cell>
          <cell r="J70">
            <v>0</v>
          </cell>
        </row>
        <row r="71">
          <cell r="A71" t="str">
            <v xml:space="preserve"> 0</v>
          </cell>
          <cell r="B71" t="str">
            <v xml:space="preserve"> 0</v>
          </cell>
          <cell r="C71" t="str">
            <v>S-39-B</v>
          </cell>
          <cell r="D71" t="str">
            <v>-</v>
          </cell>
          <cell r="J71">
            <v>0</v>
          </cell>
        </row>
        <row r="72">
          <cell r="A72" t="str">
            <v xml:space="preserve"> 0</v>
          </cell>
          <cell r="B72" t="str">
            <v xml:space="preserve"> 0</v>
          </cell>
          <cell r="C72" t="str">
            <v>S-40-B</v>
          </cell>
          <cell r="D72" t="str">
            <v>-</v>
          </cell>
          <cell r="J72">
            <v>0</v>
          </cell>
        </row>
        <row r="73">
          <cell r="A73" t="str">
            <v xml:space="preserve"> 0</v>
          </cell>
          <cell r="B73" t="str">
            <v xml:space="preserve"> 0</v>
          </cell>
          <cell r="C73" t="str">
            <v>S-41-B</v>
          </cell>
          <cell r="D73" t="str">
            <v>-</v>
          </cell>
          <cell r="J73">
            <v>0</v>
          </cell>
        </row>
        <row r="74">
          <cell r="A74" t="str">
            <v xml:space="preserve"> 0</v>
          </cell>
          <cell r="B74" t="str">
            <v xml:space="preserve"> 0</v>
          </cell>
          <cell r="C74" t="str">
            <v>S-42-B</v>
          </cell>
          <cell r="D74" t="str">
            <v>-</v>
          </cell>
          <cell r="J74">
            <v>0</v>
          </cell>
        </row>
        <row r="75">
          <cell r="A75" t="str">
            <v xml:space="preserve"> 0</v>
          </cell>
          <cell r="B75" t="str">
            <v xml:space="preserve"> 0</v>
          </cell>
          <cell r="C75" t="str">
            <v>S-43-B</v>
          </cell>
          <cell r="D75" t="str">
            <v>-</v>
          </cell>
          <cell r="J75">
            <v>0</v>
          </cell>
        </row>
        <row r="76">
          <cell r="A76" t="str">
            <v xml:space="preserve"> 0</v>
          </cell>
          <cell r="B76" t="str">
            <v xml:space="preserve"> 0</v>
          </cell>
          <cell r="C76" t="str">
            <v>S-44-B</v>
          </cell>
          <cell r="D76" t="str">
            <v>-</v>
          </cell>
          <cell r="J76">
            <v>0</v>
          </cell>
        </row>
        <row r="77">
          <cell r="A77" t="str">
            <v xml:space="preserve"> 0</v>
          </cell>
          <cell r="B77" t="str">
            <v xml:space="preserve"> 0</v>
          </cell>
          <cell r="C77" t="str">
            <v>S-45-B</v>
          </cell>
          <cell r="D77" t="str">
            <v>-</v>
          </cell>
          <cell r="J77">
            <v>0</v>
          </cell>
        </row>
        <row r="78">
          <cell r="A78" t="str">
            <v xml:space="preserve"> 0</v>
          </cell>
          <cell r="B78" t="str">
            <v xml:space="preserve"> 0</v>
          </cell>
          <cell r="C78" t="str">
            <v>S-46-B</v>
          </cell>
          <cell r="D78" t="str">
            <v>-</v>
          </cell>
          <cell r="J78">
            <v>0</v>
          </cell>
        </row>
        <row r="79">
          <cell r="A79" t="str">
            <v xml:space="preserve"> 0</v>
          </cell>
          <cell r="B79" t="str">
            <v xml:space="preserve"> 0</v>
          </cell>
          <cell r="C79" t="str">
            <v>S-47-B</v>
          </cell>
          <cell r="D79" t="str">
            <v>-</v>
          </cell>
          <cell r="J79">
            <v>0</v>
          </cell>
        </row>
        <row r="80">
          <cell r="A80" t="str">
            <v xml:space="preserve"> 0</v>
          </cell>
          <cell r="B80" t="str">
            <v xml:space="preserve"> 0</v>
          </cell>
          <cell r="C80" t="str">
            <v>S-48-B</v>
          </cell>
          <cell r="D80" t="str">
            <v>-</v>
          </cell>
          <cell r="J80">
            <v>0</v>
          </cell>
        </row>
        <row r="81">
          <cell r="A81" t="str">
            <v xml:space="preserve"> 0</v>
          </cell>
          <cell r="B81" t="str">
            <v xml:space="preserve"> 0</v>
          </cell>
          <cell r="C81" t="str">
            <v>S-49-B</v>
          </cell>
          <cell r="D81" t="str">
            <v>-</v>
          </cell>
          <cell r="J81">
            <v>0</v>
          </cell>
        </row>
        <row r="82">
          <cell r="A82" t="str">
            <v>PATRULLAS LANZA AGUA 1</v>
          </cell>
          <cell r="B82" t="str">
            <v xml:space="preserve"> 0</v>
          </cell>
          <cell r="F82" t="str">
            <v>PATRULLAS LANZA AGUA</v>
          </cell>
        </row>
        <row r="83">
          <cell r="A83" t="str">
            <v>TURNO 3</v>
          </cell>
          <cell r="B83" t="str">
            <v>SERVICIO 3</v>
          </cell>
          <cell r="C83" t="str">
            <v>PTL</v>
          </cell>
          <cell r="D83" t="str">
            <v>FUNCIONARIO A CARGO</v>
          </cell>
          <cell r="E83" t="str">
            <v>VEH.</v>
          </cell>
          <cell r="F83" t="str">
            <v>TURNO</v>
          </cell>
          <cell r="G83" t="str">
            <v>SERVICIO</v>
          </cell>
          <cell r="H83" t="str">
            <v>H.I.</v>
          </cell>
          <cell r="I83" t="str">
            <v>H.T.</v>
          </cell>
          <cell r="J83" t="str">
            <v>F.E.</v>
          </cell>
          <cell r="K83" t="str">
            <v>OBSERVACIÓN</v>
          </cell>
        </row>
        <row r="84">
          <cell r="A84" t="str">
            <v>1p 13</v>
          </cell>
          <cell r="B84" t="str">
            <v>ARIETE 16 3</v>
          </cell>
          <cell r="C84" t="str">
            <v>PTL-11</v>
          </cell>
          <cell r="D84" t="str">
            <v xml:space="preserve">S.O.M. SANZANA DIAZ JORGE </v>
          </cell>
          <cell r="E84" t="str">
            <v>LA-042</v>
          </cell>
          <cell r="F84" t="str">
            <v>1p</v>
          </cell>
          <cell r="G84" t="str">
            <v>ARIETE 16</v>
          </cell>
          <cell r="H84">
            <v>0.45833333333333331</v>
          </cell>
          <cell r="I84">
            <v>0.79166666666666663</v>
          </cell>
          <cell r="J84">
            <v>4</v>
          </cell>
        </row>
        <row r="85">
          <cell r="A85" t="str">
            <v xml:space="preserve"> 0</v>
          </cell>
          <cell r="B85" t="str">
            <v xml:space="preserve"> 0</v>
          </cell>
          <cell r="C85" t="str">
            <v>PTL-12</v>
          </cell>
          <cell r="D85" t="str">
            <v>-</v>
          </cell>
          <cell r="J85">
            <v>0</v>
          </cell>
        </row>
        <row r="86">
          <cell r="A86" t="str">
            <v>1P 14</v>
          </cell>
          <cell r="B86" t="str">
            <v>ARIETE 12 3</v>
          </cell>
          <cell r="C86" t="str">
            <v>PTL-13</v>
          </cell>
          <cell r="D86" t="str">
            <v>SUBOFICIAL MUÑOZ BRAVO MARCELO ALEXIS</v>
          </cell>
          <cell r="E86" t="str">
            <v>LA-044</v>
          </cell>
          <cell r="F86" t="str">
            <v>1P</v>
          </cell>
          <cell r="G86" t="str">
            <v>ARIETE 12</v>
          </cell>
          <cell r="H86">
            <v>0.41666666666666669</v>
          </cell>
          <cell r="I86" t="str">
            <v>NORM.</v>
          </cell>
          <cell r="J86">
            <v>4</v>
          </cell>
          <cell r="K86" t="str">
            <v>GRECIA MACUL</v>
          </cell>
        </row>
        <row r="87">
          <cell r="A87" t="str">
            <v>1P 15</v>
          </cell>
          <cell r="B87" t="str">
            <v>ARIETE 15 3</v>
          </cell>
          <cell r="C87" t="str">
            <v>PTL-14</v>
          </cell>
          <cell r="D87" t="str">
            <v>SUBOFICIAL JUANICOTENA TAPIA  MANUEL ( C )</v>
          </cell>
          <cell r="E87" t="str">
            <v>LA-064</v>
          </cell>
          <cell r="F87" t="str">
            <v>1P</v>
          </cell>
          <cell r="G87" t="str">
            <v>ARIETE 15</v>
          </cell>
          <cell r="H87">
            <v>0.33333333333333331</v>
          </cell>
          <cell r="I87">
            <v>0.83333333333333337</v>
          </cell>
          <cell r="J87">
            <v>2</v>
          </cell>
        </row>
        <row r="88">
          <cell r="A88" t="str">
            <v xml:space="preserve"> 0</v>
          </cell>
          <cell r="B88" t="str">
            <v xml:space="preserve"> 0</v>
          </cell>
          <cell r="C88" t="str">
            <v>PTL-15</v>
          </cell>
          <cell r="D88" t="str">
            <v>-</v>
          </cell>
          <cell r="J88">
            <v>0</v>
          </cell>
        </row>
        <row r="89">
          <cell r="A89" t="str">
            <v>1P 16</v>
          </cell>
          <cell r="B89" t="str">
            <v>BAQUEDANO 5</v>
          </cell>
          <cell r="C89" t="str">
            <v>PTL-16</v>
          </cell>
          <cell r="D89" t="str">
            <v>SGTO 2DO. SAN MARTIN FIGUEROA OMAR ALEJANDRO  ( C )</v>
          </cell>
          <cell r="E89" t="str">
            <v>LA-060</v>
          </cell>
          <cell r="F89" t="str">
            <v>1P</v>
          </cell>
          <cell r="G89" t="str">
            <v>BAQUEDANO</v>
          </cell>
          <cell r="H89">
            <v>0.83333333333333337</v>
          </cell>
          <cell r="I89">
            <v>0.33333333333333331</v>
          </cell>
          <cell r="J89">
            <v>2</v>
          </cell>
        </row>
        <row r="90">
          <cell r="A90" t="str">
            <v xml:space="preserve"> 0</v>
          </cell>
          <cell r="B90" t="str">
            <v xml:space="preserve"> 0</v>
          </cell>
          <cell r="C90" t="str">
            <v>PTL-17</v>
          </cell>
          <cell r="D90" t="str">
            <v>-</v>
          </cell>
          <cell r="J90">
            <v>0</v>
          </cell>
        </row>
        <row r="91">
          <cell r="A91" t="str">
            <v>1P 17</v>
          </cell>
          <cell r="B91" t="str">
            <v>ARIETE 11 2</v>
          </cell>
          <cell r="C91" t="str">
            <v>PTL-18</v>
          </cell>
          <cell r="D91" t="str">
            <v>SGTO 1RO. RODRIGUEZ GAETE JOSE DIONISIO</v>
          </cell>
          <cell r="E91" t="str">
            <v>LA-061</v>
          </cell>
          <cell r="F91" t="str">
            <v>1P</v>
          </cell>
          <cell r="G91" t="str">
            <v>ARIETE 11</v>
          </cell>
          <cell r="H91">
            <v>0.45833333333333331</v>
          </cell>
          <cell r="I91" t="str">
            <v>NORM.</v>
          </cell>
          <cell r="J91">
            <v>2</v>
          </cell>
          <cell r="K91" t="str">
            <v>COMISION DE SERVICIO</v>
          </cell>
        </row>
        <row r="92">
          <cell r="A92" t="str">
            <v>F 5</v>
          </cell>
          <cell r="B92" t="str">
            <v>SALIENTE DE ARIETE NOCTURNO 1</v>
          </cell>
          <cell r="C92" t="str">
            <v>PTL-19</v>
          </cell>
          <cell r="D92" t="str">
            <v>SGTO 2DO. MELLA MORALES MARCO ALEXIS</v>
          </cell>
          <cell r="E92" t="str">
            <v>LA-020</v>
          </cell>
          <cell r="F92" t="str">
            <v>F</v>
          </cell>
          <cell r="G92" t="str">
            <v>SALIENTE DE ARIETE NOCTURNO</v>
          </cell>
          <cell r="H92">
            <v>0.83333333333333337</v>
          </cell>
          <cell r="I92">
            <v>0.33333333333333331</v>
          </cell>
          <cell r="J92">
            <v>2</v>
          </cell>
        </row>
        <row r="93">
          <cell r="A93" t="str">
            <v>2P 5</v>
          </cell>
          <cell r="B93" t="str">
            <v>ARIETE NOCTURNO 2</v>
          </cell>
          <cell r="C93" t="str">
            <v>PTL-20</v>
          </cell>
          <cell r="D93" t="str">
            <v>SGTO 2DO. CAAMAÑO JARA RODRIGO ALEJANDRO ( C )</v>
          </cell>
          <cell r="E93" t="str">
            <v>LA-065</v>
          </cell>
          <cell r="F93" t="str">
            <v>2P</v>
          </cell>
          <cell r="G93" t="str">
            <v>ARIETE NOCTURNO</v>
          </cell>
          <cell r="H93">
            <v>0.29166666666666669</v>
          </cell>
          <cell r="I93">
            <v>0.75</v>
          </cell>
          <cell r="J93">
            <v>2</v>
          </cell>
        </row>
        <row r="94">
          <cell r="A94" t="str">
            <v xml:space="preserve"> 0</v>
          </cell>
          <cell r="B94" t="str">
            <v xml:space="preserve"> 0</v>
          </cell>
          <cell r="C94" t="str">
            <v>PTL-21</v>
          </cell>
          <cell r="D94" t="str">
            <v>-</v>
          </cell>
          <cell r="J94">
            <v>0</v>
          </cell>
        </row>
        <row r="95">
          <cell r="A95" t="str">
            <v xml:space="preserve"> 0</v>
          </cell>
          <cell r="B95" t="str">
            <v xml:space="preserve"> 0</v>
          </cell>
          <cell r="C95" t="str">
            <v>PTL-22</v>
          </cell>
          <cell r="D95" t="str">
            <v>-</v>
          </cell>
          <cell r="J95">
            <v>0</v>
          </cell>
        </row>
        <row r="96">
          <cell r="A96" t="str">
            <v>AG. 2</v>
          </cell>
          <cell r="B96" t="str">
            <v>COMISIÓN ANTOFAGASTA 1</v>
          </cell>
          <cell r="C96" t="str">
            <v>PTL-EV</v>
          </cell>
          <cell r="D96" t="str">
            <v>SGTO 2DO. ORTIZ NOVA PATRICIO EDUARDO  ( C )</v>
          </cell>
          <cell r="E96" t="str">
            <v>LA-062</v>
          </cell>
          <cell r="F96" t="str">
            <v>AG.</v>
          </cell>
          <cell r="G96" t="str">
            <v>COMISIÓN ANTOFAGASTA</v>
          </cell>
          <cell r="J96">
            <v>2</v>
          </cell>
          <cell r="K96" t="str">
            <v>DESDE EL SABADO 22 DE OCTUBRE DEL 2022</v>
          </cell>
        </row>
        <row r="97">
          <cell r="A97" t="str">
            <v xml:space="preserve"> 0</v>
          </cell>
          <cell r="B97" t="str">
            <v xml:space="preserve"> 0</v>
          </cell>
          <cell r="C97" t="str">
            <v>PTL-EV-2</v>
          </cell>
          <cell r="D97" t="str">
            <v>-</v>
          </cell>
          <cell r="J97">
            <v>0</v>
          </cell>
        </row>
        <row r="98">
          <cell r="A98" t="str">
            <v>SERVICIOS DE APOYO 1</v>
          </cell>
          <cell r="B98" t="str">
            <v xml:space="preserve"> 0</v>
          </cell>
          <cell r="F98" t="str">
            <v>SERVICIOS DE APOYO</v>
          </cell>
        </row>
        <row r="99">
          <cell r="B99" t="str">
            <v>SERVICIO 4</v>
          </cell>
          <cell r="C99" t="str">
            <v>DISPOSITIVO</v>
          </cell>
          <cell r="D99" t="str">
            <v>FUNCIONARIO A CARGO</v>
          </cell>
          <cell r="E99" t="str">
            <v>VEH.</v>
          </cell>
          <cell r="F99" t="str">
            <v>TURNO</v>
          </cell>
          <cell r="G99" t="str">
            <v>SERVICIO</v>
          </cell>
          <cell r="H99" t="str">
            <v>H.I.</v>
          </cell>
          <cell r="I99" t="str">
            <v>H.T.</v>
          </cell>
          <cell r="J99" t="str">
            <v>F.E.</v>
          </cell>
          <cell r="K99" t="str">
            <v>OBSERVACIÓN</v>
          </cell>
        </row>
        <row r="100">
          <cell r="C100" t="str">
            <v>PATRULLA DE RESCATE</v>
          </cell>
          <cell r="D100" t="str">
            <v xml:space="preserve">CABO 1RO. LANDAETA LOPEZ CESAR </v>
          </cell>
          <cell r="E100" t="str">
            <v>B-382</v>
          </cell>
          <cell r="F100" t="str">
            <v>1P</v>
          </cell>
          <cell r="G100" t="str">
            <v>PATRULLA DE RESCATE</v>
          </cell>
          <cell r="H100">
            <v>0.33333333333333298</v>
          </cell>
          <cell r="I100" t="str">
            <v>NORM.</v>
          </cell>
          <cell r="J100">
            <v>2</v>
          </cell>
        </row>
        <row r="101">
          <cell r="C101" t="str">
            <v>PATRULLA AMUNICIONADORA</v>
          </cell>
          <cell r="D101" t="str">
            <v>SGTO 1RO. SILVA LIRA ORLANDO ENRIQUE</v>
          </cell>
          <cell r="F101" t="str">
            <v>1P</v>
          </cell>
          <cell r="G101" t="str">
            <v>PATRULLA AMUNICIONADORA</v>
          </cell>
          <cell r="H101">
            <v>0.33333333333333298</v>
          </cell>
          <cell r="I101" t="str">
            <v>NORM.</v>
          </cell>
          <cell r="J101">
            <v>1</v>
          </cell>
        </row>
        <row r="102">
          <cell r="C102" t="str">
            <v>AA-1</v>
          </cell>
          <cell r="D102" t="str">
            <v>-</v>
          </cell>
          <cell r="E102" t="str">
            <v>AA-023</v>
          </cell>
          <cell r="F102" t="str">
            <v>1P</v>
          </cell>
          <cell r="G102" t="str">
            <v>SERVICIO MEDICO</v>
          </cell>
          <cell r="H102">
            <v>0.33333333333333298</v>
          </cell>
          <cell r="I102" t="str">
            <v>NORM.</v>
          </cell>
          <cell r="J102">
            <v>0</v>
          </cell>
        </row>
        <row r="103">
          <cell r="C103" t="str">
            <v>AA-2</v>
          </cell>
          <cell r="D103" t="str">
            <v>-</v>
          </cell>
          <cell r="E103" t="str">
            <v>AA-023</v>
          </cell>
          <cell r="F103" t="str">
            <v>1P</v>
          </cell>
          <cell r="G103" t="str">
            <v>SERVICIO MEDICO</v>
          </cell>
          <cell r="H103">
            <v>0.33333333333333298</v>
          </cell>
          <cell r="I103" t="str">
            <v>NORM.</v>
          </cell>
          <cell r="J103">
            <v>0</v>
          </cell>
        </row>
        <row r="104">
          <cell r="C104" t="str">
            <v>PTI-1</v>
          </cell>
          <cell r="D104" t="str">
            <v>SGTO 1RO. FERNANDEZ MONTES JOSE DEL CARMEN</v>
          </cell>
          <cell r="E104" t="str">
            <v>Z-5143</v>
          </cell>
          <cell r="F104" t="str">
            <v>1T</v>
          </cell>
          <cell r="G104" t="str">
            <v>TRASLADO DE IMPUTADOS</v>
          </cell>
          <cell r="H104">
            <v>0.375</v>
          </cell>
          <cell r="I104">
            <v>0.625</v>
          </cell>
          <cell r="J104">
            <v>2</v>
          </cell>
        </row>
        <row r="105">
          <cell r="C105" t="str">
            <v>PTI-2</v>
          </cell>
          <cell r="D105" t="str">
            <v>SGTO 2DO. BARROS PEREZ VICTOR HUGO</v>
          </cell>
          <cell r="E105" t="str">
            <v>Z-5142</v>
          </cell>
          <cell r="F105" t="str">
            <v>2T</v>
          </cell>
          <cell r="G105" t="str">
            <v>TRASLADO DE IMPUTADOS</v>
          </cell>
          <cell r="H105">
            <v>0.625</v>
          </cell>
          <cell r="I105">
            <v>0.875</v>
          </cell>
          <cell r="J105">
            <v>2</v>
          </cell>
        </row>
        <row r="106">
          <cell r="C106" t="str">
            <v>PATRULLA PERIFONEO</v>
          </cell>
          <cell r="D106" t="str">
            <v>-</v>
          </cell>
          <cell r="J106">
            <v>0</v>
          </cell>
        </row>
      </sheetData>
      <sheetData sheetId="4"/>
      <sheetData sheetId="5" refreshError="1"/>
      <sheetData sheetId="6" refreshError="1"/>
      <sheetData sheetId="7" refreshError="1"/>
      <sheetData sheetId="8" refreshError="1"/>
      <sheetData sheetId="9">
        <row r="11">
          <cell r="A11" t="str">
            <v>G1-E</v>
          </cell>
          <cell r="B11" t="str">
            <v>G1-E / CORONEL PEREZ GUERRERO JUAN</v>
          </cell>
          <cell r="BG11" t="str">
            <v>1P</v>
          </cell>
          <cell r="BH11" t="str">
            <v>PREFECTO</v>
          </cell>
          <cell r="BI11" t="str">
            <v>1P</v>
          </cell>
          <cell r="BJ11" t="str">
            <v>PREFECTO</v>
          </cell>
          <cell r="BK11" t="str">
            <v>1P</v>
          </cell>
          <cell r="BL11" t="str">
            <v>PREFECTO</v>
          </cell>
          <cell r="BM11" t="str">
            <v>1P</v>
          </cell>
          <cell r="BN11" t="str">
            <v>PREFECTO</v>
          </cell>
          <cell r="BO11" t="str">
            <v>1P</v>
          </cell>
          <cell r="BP11" t="str">
            <v>PREFECTO</v>
          </cell>
          <cell r="BQ11" t="str">
            <v>1P</v>
          </cell>
          <cell r="BR11" t="str">
            <v>PREFECTO</v>
          </cell>
          <cell r="BS11" t="str">
            <v>1P</v>
          </cell>
          <cell r="BT11" t="str">
            <v>PREFECTO</v>
          </cell>
          <cell r="BU11" t="str">
            <v>F</v>
          </cell>
          <cell r="BV11" t="str">
            <v>PREFECTO</v>
          </cell>
          <cell r="BW11" t="str">
            <v>F</v>
          </cell>
          <cell r="BX11" t="str">
            <v>PREFECTO</v>
          </cell>
          <cell r="BY11" t="str">
            <v>1P</v>
          </cell>
          <cell r="BZ11" t="str">
            <v>PREFECTO</v>
          </cell>
          <cell r="CA11" t="str">
            <v>1P</v>
          </cell>
          <cell r="CB11" t="str">
            <v>PREFECTO</v>
          </cell>
          <cell r="CC11" t="str">
            <v>1P</v>
          </cell>
          <cell r="CD11" t="str">
            <v>PREFECTO</v>
          </cell>
          <cell r="CE11" t="str">
            <v>1P</v>
          </cell>
          <cell r="CF11" t="str">
            <v>PREFECTO</v>
          </cell>
        </row>
        <row r="12">
          <cell r="A12" t="str">
            <v>G2-E</v>
          </cell>
          <cell r="B12" t="str">
            <v>G2-E / TTE. CRL. DONOSO IRIBARREN CLAUDIO ALBERTO</v>
          </cell>
          <cell r="BG12" t="str">
            <v>1P</v>
          </cell>
          <cell r="BH12" t="str">
            <v>SUBPREF. SERV. 1</v>
          </cell>
          <cell r="BI12" t="str">
            <v>1P</v>
          </cell>
          <cell r="BJ12" t="str">
            <v>SUBPREF. SERV. 1</v>
          </cell>
          <cell r="BK12" t="str">
            <v>1P</v>
          </cell>
          <cell r="BL12" t="str">
            <v>SUBPREF. SERV. 1</v>
          </cell>
          <cell r="BM12" t="str">
            <v>1P</v>
          </cell>
          <cell r="BN12" t="str">
            <v>SUBPREF. SERV. 1</v>
          </cell>
          <cell r="BO12" t="str">
            <v>1P</v>
          </cell>
          <cell r="BP12" t="str">
            <v>SUBPREF. SERV. 1</v>
          </cell>
          <cell r="BQ12" t="str">
            <v>1P</v>
          </cell>
          <cell r="BR12" t="str">
            <v>SUBPREF. SERV. 1</v>
          </cell>
          <cell r="BS12" t="str">
            <v>1P</v>
          </cell>
          <cell r="BT12" t="str">
            <v>SUBPREF. SERV. 1</v>
          </cell>
          <cell r="BU12" t="str">
            <v>F</v>
          </cell>
          <cell r="BV12" t="str">
            <v>SUBPREF. SERV. 1</v>
          </cell>
          <cell r="BW12" t="str">
            <v>F</v>
          </cell>
          <cell r="BX12" t="str">
            <v>SUBPREF. SERV. 1</v>
          </cell>
          <cell r="BY12" t="str">
            <v>1P</v>
          </cell>
          <cell r="BZ12" t="str">
            <v>SUBPREF. SERV. 1</v>
          </cell>
          <cell r="CA12" t="str">
            <v>1P</v>
          </cell>
          <cell r="CB12" t="str">
            <v>SUBPREF. SERV. 1</v>
          </cell>
          <cell r="CC12" t="str">
            <v>1P</v>
          </cell>
          <cell r="CD12" t="str">
            <v>SUBPREF. SERV. 1</v>
          </cell>
          <cell r="CE12" t="str">
            <v>1P</v>
          </cell>
          <cell r="CF12" t="str">
            <v>SUBPREF. SERV. 1</v>
          </cell>
        </row>
        <row r="13">
          <cell r="A13" t="str">
            <v>G3-E</v>
          </cell>
          <cell r="B13" t="str">
            <v>G3-E / TTE. CRL. BASCUR VILLAGRAN GERARDO ANTONIO</v>
          </cell>
          <cell r="BG13" t="str">
            <v>F</v>
          </cell>
          <cell r="BH13" t="str">
            <v>SUBPREF. SERV. 2</v>
          </cell>
          <cell r="BI13" t="str">
            <v>F</v>
          </cell>
          <cell r="BJ13" t="str">
            <v>SUBPREF. SERV. 2</v>
          </cell>
          <cell r="BK13" t="str">
            <v>F</v>
          </cell>
          <cell r="BL13" t="str">
            <v>SUBPREF. SERV. 2</v>
          </cell>
          <cell r="BM13" t="str">
            <v>F</v>
          </cell>
          <cell r="BN13" t="str">
            <v>SUBPREF. SERV. 2</v>
          </cell>
          <cell r="BO13" t="str">
            <v>1P</v>
          </cell>
          <cell r="BP13" t="str">
            <v>SUBPREF. SERV. 2</v>
          </cell>
          <cell r="BQ13" t="str">
            <v>1P</v>
          </cell>
          <cell r="BR13" t="str">
            <v>SUBPREF. SERV. 2</v>
          </cell>
          <cell r="BS13" t="str">
            <v>1P</v>
          </cell>
          <cell r="BT13" t="str">
            <v>SUBPREF. SERV. 2</v>
          </cell>
          <cell r="BU13" t="str">
            <v>1P</v>
          </cell>
          <cell r="BV13" t="str">
            <v>SUBPREF. SERV. 2</v>
          </cell>
          <cell r="BW13" t="str">
            <v>1P</v>
          </cell>
          <cell r="BX13" t="str">
            <v>SUBPREF. SERV. 2</v>
          </cell>
          <cell r="BY13" t="str">
            <v>1P</v>
          </cell>
          <cell r="BZ13" t="str">
            <v>SUBPREF. SERV. 2</v>
          </cell>
          <cell r="CA13" t="str">
            <v>1P</v>
          </cell>
          <cell r="CB13" t="str">
            <v>SUBPREF. SERV. 2</v>
          </cell>
          <cell r="CC13" t="str">
            <v>1P</v>
          </cell>
          <cell r="CD13" t="str">
            <v>SUBPREF. SERV. 2</v>
          </cell>
          <cell r="CE13" t="str">
            <v>1P</v>
          </cell>
          <cell r="CF13" t="str">
            <v>SUBPREF. SERV. 2</v>
          </cell>
        </row>
        <row r="14">
          <cell r="A14" t="str">
            <v>G4-E</v>
          </cell>
          <cell r="B14" t="str">
            <v>G4-E / TTE. CRL. AGUILERA BERRIOS MANUEL ALFONSO</v>
          </cell>
          <cell r="BG14" t="str">
            <v>F</v>
          </cell>
          <cell r="BH14" t="str">
            <v>SUBPREF. ADM.</v>
          </cell>
          <cell r="BI14" t="str">
            <v>F</v>
          </cell>
          <cell r="BJ14" t="str">
            <v>SUBPREF. ADM.</v>
          </cell>
          <cell r="BK14" t="str">
            <v>F</v>
          </cell>
          <cell r="BL14" t="str">
            <v>SUBPREF. ADM.</v>
          </cell>
          <cell r="BM14" t="str">
            <v>F</v>
          </cell>
          <cell r="BN14" t="str">
            <v>SUBPREF. ADM.</v>
          </cell>
          <cell r="BO14" t="str">
            <v>PER.</v>
          </cell>
          <cell r="BP14" t="str">
            <v>SUBPREF. ADM.</v>
          </cell>
          <cell r="BQ14" t="str">
            <v>PER.</v>
          </cell>
          <cell r="BR14" t="str">
            <v>SUBPREF. ADM.</v>
          </cell>
          <cell r="BS14" t="str">
            <v>PER.</v>
          </cell>
          <cell r="BT14" t="str">
            <v>SUBPREF. ADM.</v>
          </cell>
          <cell r="BU14" t="str">
            <v>F</v>
          </cell>
          <cell r="BV14" t="str">
            <v>SUBPREF. ADM.</v>
          </cell>
          <cell r="BW14" t="str">
            <v>F</v>
          </cell>
          <cell r="BX14" t="str">
            <v>SUBPREF. ADM.</v>
          </cell>
          <cell r="BY14" t="str">
            <v>LIC.</v>
          </cell>
          <cell r="BZ14" t="str">
            <v>SUBPREF. ADM.</v>
          </cell>
          <cell r="CA14" t="str">
            <v>LIC.</v>
          </cell>
          <cell r="CB14" t="str">
            <v>SUBPREF. ADM.</v>
          </cell>
          <cell r="CC14" t="str">
            <v>LIC.</v>
          </cell>
          <cell r="CD14" t="str">
            <v>SUBPREF. ADM.</v>
          </cell>
          <cell r="CE14" t="str">
            <v>LIC.</v>
          </cell>
          <cell r="CF14" t="str">
            <v>SUBPREF. ADM.</v>
          </cell>
          <cell r="CG14" t="str">
            <v>LIC.</v>
          </cell>
          <cell r="CH14" t="str">
            <v>SUBPREF. ADM.</v>
          </cell>
          <cell r="CI14" t="str">
            <v>LIC.</v>
          </cell>
          <cell r="CJ14" t="str">
            <v>SUBPREF. ADM.</v>
          </cell>
          <cell r="CK14" t="str">
            <v>LIC.</v>
          </cell>
          <cell r="CL14" t="str">
            <v>SUBPREF. ADM.</v>
          </cell>
          <cell r="CM14" t="str">
            <v>LIC.</v>
          </cell>
          <cell r="CN14" t="str">
            <v>SUBPREF. ADM.</v>
          </cell>
          <cell r="CO14" t="str">
            <v>LIC.</v>
          </cell>
          <cell r="CP14" t="str">
            <v>SUBPREF. ADM.</v>
          </cell>
          <cell r="CQ14" t="str">
            <v>LIC.</v>
          </cell>
          <cell r="CR14" t="str">
            <v>SUBPREF. ADM.</v>
          </cell>
          <cell r="CS14" t="str">
            <v>LIC.</v>
          </cell>
          <cell r="CT14" t="str">
            <v>SUBPREF. ADM.</v>
          </cell>
          <cell r="CU14" t="str">
            <v>LIC.</v>
          </cell>
          <cell r="CV14" t="str">
            <v>SUBPREF. ADM.</v>
          </cell>
          <cell r="CW14" t="str">
            <v>LIC.</v>
          </cell>
          <cell r="CX14" t="str">
            <v>SUBPREF. ADM.</v>
          </cell>
          <cell r="CY14" t="str">
            <v>LIC.</v>
          </cell>
          <cell r="CZ14" t="str">
            <v>SUBPREF. ADM.</v>
          </cell>
          <cell r="DA14" t="str">
            <v>LIC.</v>
          </cell>
          <cell r="DB14" t="str">
            <v>SUBPREF. ADM.</v>
          </cell>
          <cell r="DC14" t="str">
            <v>LIC.</v>
          </cell>
          <cell r="DD14" t="str">
            <v>SUBPREF. ADM.</v>
          </cell>
          <cell r="DE14" t="str">
            <v>LIC.</v>
          </cell>
          <cell r="DF14" t="str">
            <v>SUBPREF. ADM.</v>
          </cell>
          <cell r="DG14" t="str">
            <v>LIC.</v>
          </cell>
          <cell r="DH14" t="str">
            <v>SUBPREF. ADM.</v>
          </cell>
          <cell r="DI14" t="str">
            <v>LIC.</v>
          </cell>
          <cell r="DJ14" t="str">
            <v>SUBPREF. ADM.</v>
          </cell>
          <cell r="DK14" t="str">
            <v>LIC.</v>
          </cell>
          <cell r="DL14" t="str">
            <v>SUBPREF. ADM.</v>
          </cell>
          <cell r="DM14" t="str">
            <v>LIC.</v>
          </cell>
          <cell r="DN14" t="str">
            <v>SUBPREF. ADM.</v>
          </cell>
          <cell r="DO14" t="str">
            <v>LIC.</v>
          </cell>
        </row>
        <row r="15">
          <cell r="A15" t="str">
            <v>A/J</v>
          </cell>
          <cell r="B15" t="str">
            <v>A/J / MAYOR  RIVERA LEVANCCINI MAURICIO</v>
          </cell>
          <cell r="BG15" t="str">
            <v>LIC.</v>
          </cell>
          <cell r="BH15" t="str">
            <v>LICENCIA MEDICA</v>
          </cell>
          <cell r="BI15" t="str">
            <v>LIC.</v>
          </cell>
          <cell r="BJ15" t="str">
            <v>LICENCIA MEDICA</v>
          </cell>
          <cell r="BK15" t="str">
            <v>LIC.</v>
          </cell>
          <cell r="BL15" t="str">
            <v>LICENCIA MEDICA</v>
          </cell>
          <cell r="BM15" t="str">
            <v>LIC.</v>
          </cell>
          <cell r="BN15" t="str">
            <v>LICENCIA MEDICA</v>
          </cell>
          <cell r="BO15" t="str">
            <v>LIC.</v>
          </cell>
          <cell r="BP15" t="str">
            <v>LICENCIA MEDICA</v>
          </cell>
          <cell r="BQ15" t="str">
            <v>1P</v>
          </cell>
          <cell r="BR15" t="str">
            <v xml:space="preserve">MAYOR ( J ) </v>
          </cell>
          <cell r="BS15" t="str">
            <v>1P</v>
          </cell>
          <cell r="BT15" t="str">
            <v xml:space="preserve">MAYOR ( J ) </v>
          </cell>
          <cell r="BU15" t="str">
            <v>F</v>
          </cell>
          <cell r="BV15" t="str">
            <v xml:space="preserve">MAYOR ( J ) </v>
          </cell>
          <cell r="BW15" t="str">
            <v>F</v>
          </cell>
          <cell r="BX15" t="str">
            <v xml:space="preserve">MAYOR ( J ) </v>
          </cell>
          <cell r="BY15" t="str">
            <v>1P</v>
          </cell>
          <cell r="BZ15" t="str">
            <v xml:space="preserve">MAYOR ( J ) </v>
          </cell>
          <cell r="CA15" t="str">
            <v>1P</v>
          </cell>
          <cell r="CB15" t="str">
            <v xml:space="preserve">MAYOR ( J ) </v>
          </cell>
          <cell r="CC15" t="str">
            <v>1P</v>
          </cell>
          <cell r="CD15" t="str">
            <v xml:space="preserve">MAYOR ( J ) </v>
          </cell>
          <cell r="CE15" t="str">
            <v>1P</v>
          </cell>
          <cell r="CF15" t="str">
            <v xml:space="preserve">MAYOR ( J ) </v>
          </cell>
        </row>
        <row r="17">
          <cell r="A17" t="str">
            <v>C40</v>
          </cell>
          <cell r="B17" t="str">
            <v>C40 / CAPITÁN ZURITA MORGADO MARCO ANTONIO</v>
          </cell>
          <cell r="BG17" t="str">
            <v>F</v>
          </cell>
          <cell r="BH17" t="str">
            <v>COMISARIO</v>
          </cell>
          <cell r="BI17" t="str">
            <v>F</v>
          </cell>
          <cell r="BJ17" t="str">
            <v>COMISARIO</v>
          </cell>
          <cell r="BK17" t="str">
            <v>1P</v>
          </cell>
          <cell r="BL17" t="str">
            <v>COMISARIO</v>
          </cell>
          <cell r="BM17" t="str">
            <v>F</v>
          </cell>
          <cell r="BN17" t="str">
            <v>COMISARIO</v>
          </cell>
          <cell r="BO17" t="str">
            <v>1P</v>
          </cell>
          <cell r="BP17" t="str">
            <v>COMISARIO</v>
          </cell>
          <cell r="BQ17" t="str">
            <v>1P</v>
          </cell>
          <cell r="BR17" t="str">
            <v>COMISARIO</v>
          </cell>
          <cell r="BS17" t="str">
            <v>1P</v>
          </cell>
          <cell r="BT17" t="str">
            <v>COMISARIO</v>
          </cell>
          <cell r="BU17" t="str">
            <v>F</v>
          </cell>
          <cell r="BV17" t="str">
            <v>COMISARIO</v>
          </cell>
          <cell r="BW17" t="str">
            <v>F</v>
          </cell>
          <cell r="BX17" t="str">
            <v>COMISARIO</v>
          </cell>
          <cell r="BY17" t="str">
            <v>1P</v>
          </cell>
          <cell r="BZ17" t="str">
            <v>COMISARIO</v>
          </cell>
          <cell r="CA17" t="str">
            <v>1P</v>
          </cell>
          <cell r="CB17" t="str">
            <v>COMISARIO</v>
          </cell>
          <cell r="CC17" t="str">
            <v>1P</v>
          </cell>
          <cell r="CD17" t="str">
            <v>COMISARIO</v>
          </cell>
          <cell r="CE17" t="str">
            <v>1P</v>
          </cell>
          <cell r="CF17" t="str">
            <v>COMISARIO</v>
          </cell>
        </row>
        <row r="18">
          <cell r="A18" t="str">
            <v>C40-A</v>
          </cell>
          <cell r="B18" t="str">
            <v>C40-A / CAPITÁN CALDERON CALDERON NICOLAS MAURICIO</v>
          </cell>
          <cell r="BG18" t="str">
            <v>F</v>
          </cell>
          <cell r="BH18" t="str">
            <v>SUBCOM. SERV. 1</v>
          </cell>
          <cell r="BI18" t="str">
            <v>F</v>
          </cell>
          <cell r="BJ18" t="str">
            <v>SUBCOMISARIO DE LOS SERVICIOS 1</v>
          </cell>
          <cell r="BK18" t="str">
            <v>F</v>
          </cell>
          <cell r="BL18" t="str">
            <v>SUBCOM. SERV. 1</v>
          </cell>
          <cell r="BM18" t="str">
            <v>F</v>
          </cell>
          <cell r="BN18" t="str">
            <v>SUBCOM. SERV. 1</v>
          </cell>
          <cell r="BO18" t="str">
            <v>1P</v>
          </cell>
          <cell r="BP18" t="str">
            <v>SUBCOM. SERV. 1</v>
          </cell>
          <cell r="BQ18" t="str">
            <v>1P</v>
          </cell>
          <cell r="BR18" t="str">
            <v>SUBCOM. SERV. 1</v>
          </cell>
          <cell r="BS18" t="str">
            <v>1P</v>
          </cell>
          <cell r="BT18" t="str">
            <v>SUBCOM. SERV. 1</v>
          </cell>
          <cell r="BU18" t="str">
            <v>1P</v>
          </cell>
          <cell r="BV18" t="str">
            <v>SUBCOM. SERV. 1</v>
          </cell>
          <cell r="BW18" t="str">
            <v>1P</v>
          </cell>
          <cell r="BX18" t="str">
            <v>SUBCOM. SERV. 1</v>
          </cell>
          <cell r="BY18" t="str">
            <v>1P</v>
          </cell>
          <cell r="BZ18" t="str">
            <v>SUBCOM. SERV. 1</v>
          </cell>
          <cell r="CA18" t="str">
            <v>1P</v>
          </cell>
          <cell r="CB18" t="str">
            <v>SUBCOM. SERV. 1</v>
          </cell>
          <cell r="CC18" t="str">
            <v>1P</v>
          </cell>
          <cell r="CD18" t="str">
            <v>SUBCOM. SERV. 1</v>
          </cell>
          <cell r="CE18" t="str">
            <v>1P</v>
          </cell>
          <cell r="CF18" t="str">
            <v>SUBCOM. SERV. 1</v>
          </cell>
        </row>
        <row r="19">
          <cell r="A19" t="str">
            <v>C40-B</v>
          </cell>
          <cell r="B19" t="str">
            <v>C40-B / CAPITÁN ARAYA LAVIL ANDRES MATIAS</v>
          </cell>
          <cell r="BG19" t="str">
            <v>1P</v>
          </cell>
          <cell r="BH19" t="str">
            <v>SUBCOM. SERV. 2 / A-C40-B</v>
          </cell>
          <cell r="BI19" t="str">
            <v>1P</v>
          </cell>
          <cell r="BJ19" t="str">
            <v>SUBCOM. SERV. 2 / E-C40-B</v>
          </cell>
          <cell r="BK19" t="str">
            <v>F</v>
          </cell>
          <cell r="BL19" t="str">
            <v>SUBCOM. SERV. 2</v>
          </cell>
          <cell r="BM19" t="str">
            <v>F</v>
          </cell>
          <cell r="BN19" t="str">
            <v>SUBCOM. SERV. 2</v>
          </cell>
          <cell r="BO19" t="str">
            <v>FER.</v>
          </cell>
          <cell r="BP19" t="str">
            <v>SUBCOM. SERV. 2</v>
          </cell>
          <cell r="BQ19" t="str">
            <v>FER.</v>
          </cell>
          <cell r="BR19" t="str">
            <v>SUBCOM. SERV. 2</v>
          </cell>
          <cell r="BS19" t="str">
            <v>FER.</v>
          </cell>
          <cell r="BT19" t="str">
            <v>SUBCOM. SERV. 2</v>
          </cell>
          <cell r="BU19" t="str">
            <v>F</v>
          </cell>
          <cell r="BV19" t="str">
            <v>SUBCOM. SERV. 2</v>
          </cell>
          <cell r="BW19" t="str">
            <v>F</v>
          </cell>
          <cell r="BX19" t="str">
            <v>SUBCOM. SERV. 2</v>
          </cell>
          <cell r="BY19" t="str">
            <v>FER.</v>
          </cell>
          <cell r="BZ19" t="str">
            <v>SUBCOM. SERV. 2</v>
          </cell>
          <cell r="CA19" t="str">
            <v>FER.</v>
          </cell>
          <cell r="CB19" t="str">
            <v>SUBCOM. SERV. 2</v>
          </cell>
          <cell r="CC19" t="str">
            <v>FER.</v>
          </cell>
          <cell r="CD19" t="str">
            <v>SUBCOM. SERV. 2</v>
          </cell>
          <cell r="CE19" t="str">
            <v>FER.</v>
          </cell>
          <cell r="CF19" t="str">
            <v>SUBCOM. SERV. 2</v>
          </cell>
          <cell r="CG19" t="str">
            <v>FER.</v>
          </cell>
          <cell r="CH19" t="str">
            <v>SUBCOM. SERV. 2</v>
          </cell>
          <cell r="CI19" t="str">
            <v>FER.</v>
          </cell>
          <cell r="CJ19" t="str">
            <v>SUBCOM. SERV. 2</v>
          </cell>
          <cell r="CK19" t="str">
            <v>FER.</v>
          </cell>
          <cell r="CL19" t="str">
            <v>SUBCOM. SERV. 2</v>
          </cell>
          <cell r="CM19" t="str">
            <v>FER.</v>
          </cell>
          <cell r="CN19" t="str">
            <v>SUBCOM. SERV. 2</v>
          </cell>
        </row>
        <row r="20">
          <cell r="A20" t="str">
            <v>C40-C</v>
          </cell>
          <cell r="B20" t="str">
            <v>C40-C / CAPITÁN DIAZ WILHELM CARLOS ANDRÉS</v>
          </cell>
          <cell r="BG20" t="str">
            <v>F</v>
          </cell>
          <cell r="BH20" t="str">
            <v>SUBCOMISARIO ADMINISTRATIVO</v>
          </cell>
          <cell r="BI20" t="str">
            <v>F</v>
          </cell>
          <cell r="BJ20" t="str">
            <v>SUBCOMISARIO ADMINISTRATIVO</v>
          </cell>
          <cell r="BK20" t="str">
            <v>F</v>
          </cell>
          <cell r="BL20" t="str">
            <v>SUBCOMISARIO ADMINISTRATIVO</v>
          </cell>
          <cell r="BM20" t="str">
            <v>1P</v>
          </cell>
          <cell r="BN20" t="str">
            <v>SUBCOMISARIO ADMINISTRATIVO</v>
          </cell>
          <cell r="BO20" t="str">
            <v>1P</v>
          </cell>
          <cell r="BP20" t="str">
            <v>SUBCOMISARIO ADMINISTRATIVO</v>
          </cell>
          <cell r="BQ20" t="str">
            <v>1P</v>
          </cell>
          <cell r="BR20" t="str">
            <v>SUBCOMISARIO ADMINISTRATIVO</v>
          </cell>
          <cell r="BS20" t="str">
            <v>1P</v>
          </cell>
          <cell r="BT20" t="str">
            <v>SUBCOMISARIO ADMINISTRATIVO</v>
          </cell>
          <cell r="BU20" t="str">
            <v>F</v>
          </cell>
          <cell r="BV20" t="str">
            <v>SUBCOMISARIO ADMINISTRATIVO</v>
          </cell>
          <cell r="BW20" t="str">
            <v>F</v>
          </cell>
          <cell r="BX20" t="str">
            <v>SUBCOMISARIO ADMINISTRATIVO</v>
          </cell>
          <cell r="BY20" t="str">
            <v>1P</v>
          </cell>
          <cell r="BZ20" t="str">
            <v>SUBCOMISARIO ADMINISTRATIVO</v>
          </cell>
          <cell r="CA20" t="str">
            <v>1P</v>
          </cell>
          <cell r="CB20" t="str">
            <v>SUBCOMISARIO ADMINISTRATIVO</v>
          </cell>
          <cell r="CC20" t="str">
            <v>1P</v>
          </cell>
          <cell r="CD20" t="str">
            <v>SUBCOMISARIO ADMINISTRATIVO</v>
          </cell>
          <cell r="CE20" t="str">
            <v>1P</v>
          </cell>
          <cell r="CF20" t="str">
            <v>SUBCOMISARIO ADMINISTRATIVO</v>
          </cell>
        </row>
        <row r="22">
          <cell r="A22" t="str">
            <v>GRIFO 11</v>
          </cell>
          <cell r="B22" t="str">
            <v>GRIFO 11 / CAPITÁN ANDERS CONTRERAS LEONARDO IGNACIO</v>
          </cell>
          <cell r="BG22" t="str">
            <v>1P</v>
          </cell>
          <cell r="BH22" t="str">
            <v>ARIETE 11</v>
          </cell>
          <cell r="BI22" t="str">
            <v>1P</v>
          </cell>
          <cell r="BJ22" t="str">
            <v>JEFE SERVICIO APS</v>
          </cell>
          <cell r="BK22" t="str">
            <v>1P</v>
          </cell>
          <cell r="BL22" t="str">
            <v>ARIETE 11</v>
          </cell>
          <cell r="BM22" t="str">
            <v>1P</v>
          </cell>
          <cell r="BN22" t="str">
            <v>JEFE SERVICIO APS.</v>
          </cell>
          <cell r="BO22" t="str">
            <v>1P</v>
          </cell>
          <cell r="BP22" t="str">
            <v>ARIETE 11</v>
          </cell>
          <cell r="BQ22" t="str">
            <v>1P</v>
          </cell>
          <cell r="BR22" t="str">
            <v>ARIETE 11</v>
          </cell>
          <cell r="BS22" t="str">
            <v>1T</v>
          </cell>
          <cell r="BT22" t="str">
            <v>BAQUEDANO</v>
          </cell>
          <cell r="BU22" t="str">
            <v>F</v>
          </cell>
          <cell r="BV22" t="str">
            <v>FRANCO</v>
          </cell>
          <cell r="BW22" t="str">
            <v>F</v>
          </cell>
          <cell r="BX22" t="str">
            <v>FRANCO</v>
          </cell>
          <cell r="BY22" t="str">
            <v>1P</v>
          </cell>
          <cell r="BZ22" t="str">
            <v>ARIETE 11</v>
          </cell>
          <cell r="CA22" t="str">
            <v>1P</v>
          </cell>
          <cell r="CB22" t="str">
            <v>ARIETE 11</v>
          </cell>
          <cell r="CC22" t="str">
            <v>1P</v>
          </cell>
          <cell r="CD22" t="str">
            <v>ARIETE 11</v>
          </cell>
          <cell r="CE22" t="str">
            <v>1P</v>
          </cell>
          <cell r="CF22" t="str">
            <v>ARIETE 11</v>
          </cell>
        </row>
        <row r="23">
          <cell r="A23" t="str">
            <v>GRIFO 12</v>
          </cell>
          <cell r="B23" t="str">
            <v>GRIFO 12 / CAPITÁN AGURTO PEÑA FELIPE</v>
          </cell>
          <cell r="BG23" t="str">
            <v>1P</v>
          </cell>
          <cell r="BH23" t="str">
            <v>ARIETE 12</v>
          </cell>
          <cell r="BI23" t="str">
            <v>F</v>
          </cell>
          <cell r="BJ23" t="str">
            <v>FRANCO</v>
          </cell>
          <cell r="BK23" t="str">
            <v>F</v>
          </cell>
          <cell r="BL23" t="str">
            <v>FRANCO</v>
          </cell>
          <cell r="BM23" t="str">
            <v>F</v>
          </cell>
          <cell r="BN23" t="str">
            <v>FRANCO</v>
          </cell>
          <cell r="BO23" t="str">
            <v>1P</v>
          </cell>
          <cell r="BP23" t="str">
            <v>ARIETE 12</v>
          </cell>
          <cell r="BQ23" t="str">
            <v>1P</v>
          </cell>
          <cell r="BR23" t="str">
            <v>ARIETE 12</v>
          </cell>
          <cell r="BS23" t="str">
            <v>1P</v>
          </cell>
          <cell r="BT23" t="str">
            <v>ARIETE 12</v>
          </cell>
          <cell r="BU23" t="str">
            <v>F</v>
          </cell>
          <cell r="BV23" t="str">
            <v>FRANCO</v>
          </cell>
          <cell r="BW23" t="str">
            <v>F</v>
          </cell>
          <cell r="BX23" t="str">
            <v>FRANCO</v>
          </cell>
          <cell r="BY23" t="str">
            <v>FER.</v>
          </cell>
          <cell r="BZ23" t="str">
            <v>FERIADO</v>
          </cell>
          <cell r="CA23" t="str">
            <v>1P</v>
          </cell>
          <cell r="CB23" t="str">
            <v>ARIETE 12</v>
          </cell>
        </row>
        <row r="24">
          <cell r="A24" t="str">
            <v>GRIFO 13</v>
          </cell>
          <cell r="B24" t="str">
            <v>GRIFO 13 / CAPITÁN FUENTES FUENTES CAROLINA</v>
          </cell>
          <cell r="BG24" t="str">
            <v>AG.</v>
          </cell>
          <cell r="BH24" t="str">
            <v>AGREGADA ZONA ESTE</v>
          </cell>
          <cell r="BI24" t="str">
            <v>AG.</v>
          </cell>
          <cell r="BJ24" t="str">
            <v>AGREGADA ZONA ESTE</v>
          </cell>
          <cell r="BK24" t="str">
            <v>AG.</v>
          </cell>
          <cell r="BL24" t="str">
            <v>AGREGADA ZONA ESTE</v>
          </cell>
          <cell r="BM24" t="str">
            <v>AG.</v>
          </cell>
          <cell r="BN24" t="str">
            <v>AGREGADA ZONA ESTE</v>
          </cell>
          <cell r="BO24" t="str">
            <v>AG.</v>
          </cell>
          <cell r="BP24" t="str">
            <v>AGREGADA ZONA ESTE</v>
          </cell>
          <cell r="BQ24" t="str">
            <v>AG.</v>
          </cell>
          <cell r="BR24" t="str">
            <v>AGREGADA ZONA ESTE</v>
          </cell>
          <cell r="BS24" t="str">
            <v>AG.</v>
          </cell>
          <cell r="BT24" t="str">
            <v>AGREGADA ZONA ESTE</v>
          </cell>
          <cell r="BU24" t="str">
            <v>AG.</v>
          </cell>
          <cell r="BV24" t="str">
            <v>AGREGADA ZONA ESTE</v>
          </cell>
          <cell r="BW24" t="str">
            <v>AG.</v>
          </cell>
          <cell r="BX24" t="str">
            <v>AGREGADA ZONA ESTE</v>
          </cell>
          <cell r="BY24" t="str">
            <v>AG.</v>
          </cell>
          <cell r="BZ24" t="str">
            <v>AGREGADA ZONA ESTE</v>
          </cell>
          <cell r="CA24" t="str">
            <v>AG.</v>
          </cell>
          <cell r="CB24" t="str">
            <v>AGREGADA ZONA ESTE</v>
          </cell>
          <cell r="CC24" t="str">
            <v>AG.</v>
          </cell>
          <cell r="CD24" t="str">
            <v>AGREGADA ZONA ESTE</v>
          </cell>
          <cell r="CE24" t="str">
            <v>AG.</v>
          </cell>
          <cell r="CF24" t="str">
            <v>AGREGADA ZONA ESTE</v>
          </cell>
          <cell r="CG24" t="str">
            <v>AG.</v>
          </cell>
          <cell r="CH24" t="str">
            <v>AGREGADA ZONA ESTE</v>
          </cell>
          <cell r="CI24" t="str">
            <v>AG.</v>
          </cell>
          <cell r="CJ24" t="str">
            <v>AGREGADA ZONA ESTE</v>
          </cell>
          <cell r="CK24" t="str">
            <v>AG.</v>
          </cell>
          <cell r="CL24" t="str">
            <v>AGREGADA ZONA ESTE</v>
          </cell>
          <cell r="CM24" t="str">
            <v>AG.</v>
          </cell>
          <cell r="CN24" t="str">
            <v>AGREGADA ZONA ESTE</v>
          </cell>
        </row>
        <row r="25">
          <cell r="A25" t="str">
            <v>GRIFO 14</v>
          </cell>
          <cell r="B25" t="str">
            <v>GRIFO 14 / CAPITÁN MAIRA VERA NELSON</v>
          </cell>
          <cell r="BG25" t="str">
            <v>FER.</v>
          </cell>
          <cell r="BH25" t="str">
            <v>FERIADO</v>
          </cell>
          <cell r="BI25" t="str">
            <v>FER.</v>
          </cell>
          <cell r="BJ25" t="str">
            <v>FERIADO</v>
          </cell>
          <cell r="BK25" t="str">
            <v>FER.</v>
          </cell>
          <cell r="BL25" t="str">
            <v>FERIADO</v>
          </cell>
          <cell r="BM25" t="str">
            <v>FER.</v>
          </cell>
          <cell r="BN25" t="str">
            <v>FERIADO</v>
          </cell>
          <cell r="BO25" t="str">
            <v>FER.</v>
          </cell>
          <cell r="BP25" t="str">
            <v>FERIADO</v>
          </cell>
          <cell r="BQ25" t="str">
            <v>FER.</v>
          </cell>
          <cell r="BR25" t="str">
            <v>FERIADO</v>
          </cell>
          <cell r="BS25" t="str">
            <v>FER.</v>
          </cell>
          <cell r="BT25" t="str">
            <v>FERIADO</v>
          </cell>
          <cell r="BU25" t="str">
            <v>1P</v>
          </cell>
          <cell r="BV25" t="str">
            <v>JEFE APS</v>
          </cell>
          <cell r="BW25" t="str">
            <v>F</v>
          </cell>
          <cell r="BX25" t="str">
            <v>FRANCO</v>
          </cell>
          <cell r="BY25" t="str">
            <v>1T</v>
          </cell>
          <cell r="BZ25" t="str">
            <v>APOYO APS</v>
          </cell>
          <cell r="CA25" t="str">
            <v>2T</v>
          </cell>
          <cell r="CB25" t="str">
            <v>APOYO 2T APS</v>
          </cell>
        </row>
        <row r="26">
          <cell r="A26" t="str">
            <v>GRIFO 15</v>
          </cell>
          <cell r="B26" t="str">
            <v xml:space="preserve">GRIFO 15 / TENIENTE JANSANA SOTO JOAQUIN    </v>
          </cell>
          <cell r="BG26" t="str">
            <v>1P</v>
          </cell>
          <cell r="BH26" t="str">
            <v>ARIETE 15</v>
          </cell>
          <cell r="BI26" t="str">
            <v>F</v>
          </cell>
          <cell r="BJ26" t="str">
            <v>FRANCO</v>
          </cell>
          <cell r="BK26" t="str">
            <v>F</v>
          </cell>
          <cell r="BL26" t="str">
            <v>FRANCO</v>
          </cell>
          <cell r="BM26" t="str">
            <v>F</v>
          </cell>
          <cell r="BN26" t="str">
            <v>FRANCO</v>
          </cell>
          <cell r="BO26" t="str">
            <v>PER.</v>
          </cell>
          <cell r="BP26" t="str">
            <v>PERMISO ESPECIAL DIGCAR</v>
          </cell>
          <cell r="BQ26" t="str">
            <v>PER.</v>
          </cell>
          <cell r="BR26" t="str">
            <v>PERMISO ESPECIAL DIGCAR</v>
          </cell>
          <cell r="BS26" t="str">
            <v>PER.</v>
          </cell>
          <cell r="BT26" t="str">
            <v>PERMISO ESPECIAL DIGCAR</v>
          </cell>
          <cell r="BU26" t="str">
            <v>1P</v>
          </cell>
          <cell r="BV26" t="str">
            <v>ARIETE 15</v>
          </cell>
          <cell r="BW26" t="str">
            <v>1P</v>
          </cell>
          <cell r="BX26" t="str">
            <v>ARIETE 15</v>
          </cell>
          <cell r="BY26" t="str">
            <v>1P</v>
          </cell>
          <cell r="BZ26" t="str">
            <v xml:space="preserve">FISAD / CAP. ESCAR </v>
          </cell>
          <cell r="CA26" t="str">
            <v>1P</v>
          </cell>
          <cell r="CB26" t="str">
            <v>ARIETE 15</v>
          </cell>
        </row>
        <row r="27">
          <cell r="A27" t="str">
            <v>GRIFO 16</v>
          </cell>
          <cell r="B27" t="str">
            <v>GRIFO 16 / TENIENTE NAVARRO VELASQUEZ RODOLFO</v>
          </cell>
          <cell r="BG27" t="str">
            <v>1P</v>
          </cell>
          <cell r="BH27" t="str">
            <v>ARIETE 16</v>
          </cell>
          <cell r="BI27" t="str">
            <v>1P</v>
          </cell>
          <cell r="BJ27" t="str">
            <v>ESCUADRON 16</v>
          </cell>
          <cell r="BK27" t="str">
            <v>1P</v>
          </cell>
          <cell r="BL27" t="str">
            <v>ARIETE 16</v>
          </cell>
          <cell r="BM27" t="str">
            <v>1P</v>
          </cell>
          <cell r="BN27" t="str">
            <v>ARIETE 16</v>
          </cell>
          <cell r="BO27" t="str">
            <v>1P</v>
          </cell>
          <cell r="BP27" t="str">
            <v>ARIETE 16</v>
          </cell>
          <cell r="BQ27" t="str">
            <v>1P</v>
          </cell>
          <cell r="BR27" t="str">
            <v>ARIETE 16</v>
          </cell>
          <cell r="BS27" t="str">
            <v>1P</v>
          </cell>
          <cell r="BT27" t="str">
            <v>ARIETE 16</v>
          </cell>
          <cell r="BU27" t="str">
            <v>F</v>
          </cell>
          <cell r="BV27" t="str">
            <v>FRANCO</v>
          </cell>
          <cell r="BW27" t="str">
            <v>F</v>
          </cell>
          <cell r="BX27" t="str">
            <v>FRANCO</v>
          </cell>
          <cell r="BY27" t="str">
            <v>1P</v>
          </cell>
          <cell r="BZ27" t="str">
            <v>ARIETE 16</v>
          </cell>
          <cell r="CA27" t="str">
            <v>1P</v>
          </cell>
          <cell r="CB27" t="str">
            <v>ARIETE 16</v>
          </cell>
        </row>
        <row r="28">
          <cell r="A28" t="str">
            <v>GRIFO 17</v>
          </cell>
          <cell r="B28" t="str">
            <v xml:space="preserve">GRIFO 17 / TENIENTE PALAVECINO LLANOS CAROLINA VIVIANA </v>
          </cell>
          <cell r="BG28" t="str">
            <v>2P</v>
          </cell>
          <cell r="BH28" t="str">
            <v>ARIETE NOCTURNO</v>
          </cell>
          <cell r="BI28" t="str">
            <v>F</v>
          </cell>
          <cell r="BJ28" t="str">
            <v>SALIENTE DE NOCHE</v>
          </cell>
          <cell r="BK28" t="str">
            <v>1P</v>
          </cell>
          <cell r="BL28" t="str">
            <v>PLAZA BAQUEDANO</v>
          </cell>
          <cell r="BM28" t="str">
            <v>1P</v>
          </cell>
          <cell r="BN28" t="str">
            <v>ARIETE 17</v>
          </cell>
          <cell r="BO28" t="str">
            <v>2P</v>
          </cell>
          <cell r="BP28" t="str">
            <v>ARIETE NOCTURNO</v>
          </cell>
          <cell r="BQ28" t="str">
            <v>F</v>
          </cell>
          <cell r="BR28" t="str">
            <v>SALIENTE SERV. NOCTURNO</v>
          </cell>
          <cell r="BS28" t="str">
            <v>2T</v>
          </cell>
          <cell r="BT28" t="str">
            <v>BAQUEDANO</v>
          </cell>
          <cell r="BU28" t="str">
            <v>1P</v>
          </cell>
          <cell r="BV28" t="str">
            <v>BAQUEDANO</v>
          </cell>
          <cell r="BW28" t="str">
            <v>2P</v>
          </cell>
          <cell r="BX28" t="str">
            <v>ARIETE NOCTURNO</v>
          </cell>
          <cell r="BY28" t="str">
            <v>F</v>
          </cell>
          <cell r="BZ28" t="str">
            <v>SALIENTE ARIETE NOCTURNO</v>
          </cell>
          <cell r="CA28" t="str">
            <v>1T</v>
          </cell>
          <cell r="CB28" t="str">
            <v>BAQUEDANO</v>
          </cell>
        </row>
        <row r="29">
          <cell r="A29" t="str">
            <v>GRIFO 18</v>
          </cell>
          <cell r="B29" t="str">
            <v>GRIFO 18 / TENIENTE DUBO CASTILLO DANKO ALEJANDRO</v>
          </cell>
          <cell r="BG29" t="str">
            <v>LIC.</v>
          </cell>
          <cell r="BH29" t="str">
            <v>LICENCIA MEDICA</v>
          </cell>
          <cell r="BI29" t="str">
            <v>LIC.</v>
          </cell>
          <cell r="BJ29" t="str">
            <v>LICENCIA MEDICA</v>
          </cell>
          <cell r="BK29" t="str">
            <v>LIC.</v>
          </cell>
          <cell r="BL29" t="str">
            <v>LICENCIA MEDICA</v>
          </cell>
          <cell r="BM29" t="str">
            <v>LIC.</v>
          </cell>
          <cell r="BN29" t="str">
            <v>LICENCIA MEDICA</v>
          </cell>
          <cell r="BO29" t="str">
            <v>LIC.</v>
          </cell>
          <cell r="BP29" t="str">
            <v>LICENCIA MEDICA</v>
          </cell>
          <cell r="BQ29" t="str">
            <v>LIC.</v>
          </cell>
          <cell r="BR29" t="str">
            <v>LICENCIA MEDICA</v>
          </cell>
          <cell r="BS29" t="str">
            <v>LIC.</v>
          </cell>
          <cell r="BT29" t="str">
            <v>LICENCIA MEDICA</v>
          </cell>
          <cell r="BU29" t="str">
            <v>LIC.</v>
          </cell>
          <cell r="BV29" t="str">
            <v>LICENCIA MEDICA</v>
          </cell>
          <cell r="BW29" t="str">
            <v>LIC.</v>
          </cell>
          <cell r="BX29" t="str">
            <v>LICENCIA MEDICA</v>
          </cell>
          <cell r="BY29" t="str">
            <v>LIC.</v>
          </cell>
          <cell r="BZ29" t="str">
            <v>LICENCIA MEDICA</v>
          </cell>
          <cell r="CA29" t="str">
            <v>LIC.</v>
          </cell>
          <cell r="CB29" t="str">
            <v>LICENCIA MEDICA</v>
          </cell>
          <cell r="CC29" t="str">
            <v>LIC.</v>
          </cell>
          <cell r="CD29" t="str">
            <v>LICENCIA MEDICA</v>
          </cell>
          <cell r="CE29" t="str">
            <v>LIC.</v>
          </cell>
          <cell r="CF29" t="str">
            <v>LICENCIA MEDICA</v>
          </cell>
          <cell r="CG29" t="str">
            <v>LIC.</v>
          </cell>
          <cell r="CH29" t="str">
            <v>LICENCIA MEDICA</v>
          </cell>
          <cell r="CI29" t="str">
            <v>LIC.</v>
          </cell>
          <cell r="CJ29" t="str">
            <v>LICENCIA MEDICA</v>
          </cell>
          <cell r="CK29" t="str">
            <v>LIC.</v>
          </cell>
          <cell r="CL29" t="str">
            <v>LICENCIA MEDICA</v>
          </cell>
          <cell r="CM29" t="str">
            <v>LIC.</v>
          </cell>
          <cell r="CN29" t="str">
            <v>LICENCIA MEDICA</v>
          </cell>
        </row>
        <row r="30">
          <cell r="A30" t="str">
            <v>GRIFO 19</v>
          </cell>
          <cell r="B30" t="str">
            <v>GRIFO 19 / TENIENTE DOMINGUEZ GARRIDO TATIANA MARIELA</v>
          </cell>
          <cell r="BG30" t="str">
            <v>1P</v>
          </cell>
          <cell r="BH30" t="str">
            <v>DISPONIBLE</v>
          </cell>
          <cell r="BI30" t="str">
            <v>F</v>
          </cell>
          <cell r="BJ30" t="str">
            <v>FRANCO</v>
          </cell>
          <cell r="BK30" t="str">
            <v>F</v>
          </cell>
          <cell r="BL30" t="str">
            <v>FRANCO</v>
          </cell>
          <cell r="BM30" t="str">
            <v>F</v>
          </cell>
          <cell r="BN30" t="str">
            <v>FRANCO</v>
          </cell>
          <cell r="BO30" t="str">
            <v>1T</v>
          </cell>
          <cell r="BP30" t="str">
            <v>COMANDO Y CONTROL</v>
          </cell>
          <cell r="BQ30" t="str">
            <v>2T</v>
          </cell>
          <cell r="BR30" t="str">
            <v>COMANDO Y CONTROL</v>
          </cell>
          <cell r="BS30" t="str">
            <v>1P</v>
          </cell>
          <cell r="BT30" t="str">
            <v>COMANDO Y CONTROL</v>
          </cell>
          <cell r="BU30" t="str">
            <v>1P</v>
          </cell>
          <cell r="BV30" t="str">
            <v>DISPONIBLE</v>
          </cell>
          <cell r="BW30" t="str">
            <v>1P</v>
          </cell>
          <cell r="BX30" t="str">
            <v>DISPONIBLE</v>
          </cell>
          <cell r="BY30" t="str">
            <v>2T</v>
          </cell>
          <cell r="BZ30" t="str">
            <v>COMANDO Y CONTROL</v>
          </cell>
          <cell r="CA30" t="str">
            <v>1T</v>
          </cell>
          <cell r="CB30" t="str">
            <v>COMANDO Y CONTROL</v>
          </cell>
        </row>
        <row r="31">
          <cell r="A31" t="str">
            <v>GRIFO 20</v>
          </cell>
          <cell r="B31" t="str">
            <v>GRIFO 20 / TENIENTE ESCOBAR PEREZ MATIAS</v>
          </cell>
          <cell r="BG31" t="str">
            <v>1P</v>
          </cell>
          <cell r="BH31" t="str">
            <v>PLAZA BAQUEDANO</v>
          </cell>
          <cell r="BI31" t="str">
            <v>1P</v>
          </cell>
          <cell r="BJ31" t="str">
            <v>ARIETE 20</v>
          </cell>
          <cell r="BK31" t="str">
            <v>2P</v>
          </cell>
          <cell r="BL31" t="str">
            <v>ARIETE NOCTURNO</v>
          </cell>
          <cell r="BM31" t="str">
            <v>F</v>
          </cell>
          <cell r="BN31" t="str">
            <v>SALIENTE SERV.</v>
          </cell>
          <cell r="BO31" t="str">
            <v>1P</v>
          </cell>
          <cell r="BP31" t="str">
            <v>ARIETE 20</v>
          </cell>
          <cell r="BQ31" t="str">
            <v>1P</v>
          </cell>
          <cell r="BR31" t="str">
            <v>BAQUEDANO</v>
          </cell>
          <cell r="BS31" t="str">
            <v>2P</v>
          </cell>
          <cell r="BT31" t="str">
            <v>ARIETE NOCTURNO</v>
          </cell>
          <cell r="BU31" t="str">
            <v>F</v>
          </cell>
          <cell r="BV31" t="str">
            <v>SALIENTE ARIETE NOCTURNO</v>
          </cell>
          <cell r="BW31" t="str">
            <v>1P</v>
          </cell>
          <cell r="BX31" t="str">
            <v>BAQUEDANO</v>
          </cell>
          <cell r="BY31" t="str">
            <v>1P</v>
          </cell>
          <cell r="BZ31" t="str">
            <v>ARIETE 20</v>
          </cell>
          <cell r="CA31" t="str">
            <v>2P</v>
          </cell>
          <cell r="CB31" t="str">
            <v>JEFE ARIETE NOCTURNO</v>
          </cell>
        </row>
        <row r="32">
          <cell r="A32" t="str">
            <v>GRIFO 21</v>
          </cell>
          <cell r="B32" t="str">
            <v>GRIFO 21 / TENIENTE SILVA NAVARRO JUAN MIGUEL</v>
          </cell>
          <cell r="BG32" t="str">
            <v>1P</v>
          </cell>
          <cell r="BH32" t="str">
            <v>ARIETE 21</v>
          </cell>
          <cell r="BI32" t="str">
            <v>1P</v>
          </cell>
          <cell r="BJ32" t="str">
            <v>PLAZA BAQUEDANO</v>
          </cell>
          <cell r="BK32" t="str">
            <v>1P</v>
          </cell>
          <cell r="BL32" t="str">
            <v>ARIETE 21</v>
          </cell>
          <cell r="BM32" t="str">
            <v>2P</v>
          </cell>
          <cell r="BN32" t="str">
            <v>ARIETE NOCTURNO</v>
          </cell>
          <cell r="BO32" t="str">
            <v>F</v>
          </cell>
          <cell r="BP32" t="str">
            <v>SALIENTE SERV. NOCTURNO</v>
          </cell>
          <cell r="BQ32" t="str">
            <v>1P</v>
          </cell>
          <cell r="BR32" t="str">
            <v>ARIETE 21</v>
          </cell>
          <cell r="BS32" t="str">
            <v>1P</v>
          </cell>
          <cell r="BT32" t="str">
            <v>ARIETE 21</v>
          </cell>
          <cell r="BU32" t="str">
            <v>2P</v>
          </cell>
          <cell r="BV32" t="str">
            <v>ARIETE NOCTURNO</v>
          </cell>
          <cell r="BW32" t="str">
            <v>F</v>
          </cell>
          <cell r="BX32" t="str">
            <v>SALIENTE ARIETE NOCTURNO</v>
          </cell>
          <cell r="BY32" t="str">
            <v>1P</v>
          </cell>
          <cell r="BZ32" t="str">
            <v>BAQUEDANO</v>
          </cell>
          <cell r="CA32" t="str">
            <v>2T</v>
          </cell>
          <cell r="CB32" t="str">
            <v>BAQUEDANO</v>
          </cell>
        </row>
        <row r="33">
          <cell r="A33" t="str">
            <v>GRIFO 22</v>
          </cell>
          <cell r="B33" t="str">
            <v>GRIFO 22 / TENIENTE LEPIN SOLAR MAXIMILIANO ARTURO</v>
          </cell>
          <cell r="BG33" t="str">
            <v>PER.</v>
          </cell>
          <cell r="BH33" t="str">
            <v>PERMISO DIGCAR</v>
          </cell>
          <cell r="BI33" t="str">
            <v>PER.</v>
          </cell>
          <cell r="BJ33" t="str">
            <v>PERMISO DIGCAR</v>
          </cell>
          <cell r="BK33" t="str">
            <v>PER.</v>
          </cell>
          <cell r="BL33" t="str">
            <v>PERMISO DIGCAR</v>
          </cell>
          <cell r="BM33" t="str">
            <v>1P</v>
          </cell>
          <cell r="BN33" t="str">
            <v>PLAZA BAQUEDANO</v>
          </cell>
          <cell r="BO33" t="str">
            <v>1P</v>
          </cell>
          <cell r="BP33" t="str">
            <v>PLAZA BAQUEDANO</v>
          </cell>
          <cell r="BQ33" t="str">
            <v>2P</v>
          </cell>
          <cell r="BR33" t="str">
            <v>ARIETE NOCTURNO</v>
          </cell>
          <cell r="BS33" t="str">
            <v>F</v>
          </cell>
          <cell r="BT33" t="str">
            <v>SALIENTE SERVICIO NOCTURNO</v>
          </cell>
          <cell r="BU33" t="str">
            <v>1P</v>
          </cell>
          <cell r="BV33" t="str">
            <v>ARIETE 22</v>
          </cell>
          <cell r="BW33" t="str">
            <v>1P</v>
          </cell>
          <cell r="BX33" t="str">
            <v>ARIETE 22</v>
          </cell>
          <cell r="BY33" t="str">
            <v>2P</v>
          </cell>
          <cell r="BZ33" t="str">
            <v>ARIETE NOCTURNO</v>
          </cell>
          <cell r="CA33" t="str">
            <v>F</v>
          </cell>
          <cell r="CB33" t="str">
            <v>SALIENTE ARIETE NOCTURNO</v>
          </cell>
        </row>
        <row r="34">
          <cell r="A34" t="str">
            <v>GRIFO 23</v>
          </cell>
          <cell r="B34" t="e">
            <v>#N/A</v>
          </cell>
        </row>
        <row r="35">
          <cell r="A35" t="str">
            <v>GRIFO 24</v>
          </cell>
          <cell r="B35" t="e">
            <v>#N/A</v>
          </cell>
          <cell r="BG35" t="str">
            <v>LIC.</v>
          </cell>
          <cell r="BH35" t="str">
            <v>LICENCIA MEDICA</v>
          </cell>
          <cell r="BI35" t="str">
            <v>LIC.</v>
          </cell>
          <cell r="BJ35" t="str">
            <v>LICENCIA MEDICA</v>
          </cell>
          <cell r="BK35" t="str">
            <v>LIC.</v>
          </cell>
          <cell r="BL35" t="str">
            <v>LICENCIA MEDICA</v>
          </cell>
          <cell r="BM35" t="str">
            <v>LIC.</v>
          </cell>
          <cell r="BN35" t="str">
            <v>LICENCIA MEDICA</v>
          </cell>
          <cell r="BO35" t="str">
            <v>LIC.</v>
          </cell>
          <cell r="BP35" t="str">
            <v>LICENCIA MEDICA</v>
          </cell>
          <cell r="BQ35" t="str">
            <v>LIC.</v>
          </cell>
          <cell r="BR35" t="str">
            <v>LICENCIA MEDICA</v>
          </cell>
          <cell r="BS35" t="str">
            <v>LIC.</v>
          </cell>
          <cell r="BT35" t="str">
            <v>LICENCIA MEDICA</v>
          </cell>
          <cell r="BU35" t="str">
            <v>LIC.</v>
          </cell>
          <cell r="BV35" t="str">
            <v>LICENCIA MEDICA</v>
          </cell>
          <cell r="BW35" t="str">
            <v>LIC.</v>
          </cell>
          <cell r="BX35" t="str">
            <v>LICENCIA MEDICA</v>
          </cell>
          <cell r="BY35" t="str">
            <v>LIC.</v>
          </cell>
          <cell r="BZ35" t="str">
            <v>LICENCIA MEDICA</v>
          </cell>
          <cell r="CA35" t="str">
            <v>LIC.</v>
          </cell>
          <cell r="CB35" t="str">
            <v>LICENCIA MEDICA</v>
          </cell>
          <cell r="CC35" t="str">
            <v>LIC.</v>
          </cell>
          <cell r="CD35" t="str">
            <v>LICENCIA MEDICA</v>
          </cell>
          <cell r="CE35" t="str">
            <v>LIC.</v>
          </cell>
          <cell r="CF35" t="str">
            <v>LICENCIA MEDICA</v>
          </cell>
          <cell r="CG35" t="str">
            <v>LIC.</v>
          </cell>
          <cell r="CH35" t="str">
            <v>LICENCIA MEDICA</v>
          </cell>
          <cell r="CI35" t="str">
            <v>LIC.</v>
          </cell>
          <cell r="CJ35" t="str">
            <v>LICENCIA MEDICA</v>
          </cell>
          <cell r="CK35" t="str">
            <v>LIC.</v>
          </cell>
          <cell r="CL35" t="str">
            <v>LICENCIA MEDICA</v>
          </cell>
          <cell r="CM35" t="str">
            <v>LIC.</v>
          </cell>
          <cell r="CN35" t="str">
            <v>LICENCIA MEDICA</v>
          </cell>
          <cell r="CO35" t="str">
            <v>LIC.</v>
          </cell>
          <cell r="CP35" t="str">
            <v>LICENCIA MEDICA</v>
          </cell>
          <cell r="CQ35" t="str">
            <v>LIC.</v>
          </cell>
          <cell r="CR35" t="str">
            <v>LICENCIA MEDICA</v>
          </cell>
          <cell r="CS35" t="str">
            <v>LIC.</v>
          </cell>
        </row>
        <row r="36">
          <cell r="A36" t="str">
            <v>GRIFO 25</v>
          </cell>
          <cell r="B36" t="e">
            <v>#N/A</v>
          </cell>
          <cell r="BQ36" t="str">
            <v>1T</v>
          </cell>
          <cell r="BR36" t="str">
            <v>APOYO APS</v>
          </cell>
          <cell r="BS36" t="str">
            <v>2T</v>
          </cell>
          <cell r="BT36" t="str">
            <v>APOYO APS</v>
          </cell>
        </row>
        <row r="37">
          <cell r="A37" t="str">
            <v>GRIFO 26</v>
          </cell>
          <cell r="B37" t="e">
            <v>#N/A</v>
          </cell>
          <cell r="BI37" t="str">
            <v>2P</v>
          </cell>
          <cell r="BJ37" t="str">
            <v>ARIETE NOCTURNO</v>
          </cell>
          <cell r="BK37" t="str">
            <v>F</v>
          </cell>
          <cell r="BL37" t="str">
            <v>SALIENTE DE SERVICIO</v>
          </cell>
          <cell r="BO37" t="str">
            <v>2T</v>
          </cell>
          <cell r="BP37" t="str">
            <v>APOYO APS</v>
          </cell>
        </row>
        <row r="38">
          <cell r="A38" t="str">
            <v>GRIFO 27</v>
          </cell>
          <cell r="B38" t="e">
            <v>#N/A</v>
          </cell>
          <cell r="BG38" t="str">
            <v>LIC.</v>
          </cell>
          <cell r="BH38" t="str">
            <v>LICENCIA MEDICA</v>
          </cell>
          <cell r="BI38" t="str">
            <v>LIC.</v>
          </cell>
          <cell r="BJ38" t="str">
            <v>LICENCIA MEDICA</v>
          </cell>
          <cell r="BK38" t="str">
            <v>LIC.</v>
          </cell>
          <cell r="BL38" t="str">
            <v>LICENCIA MEDICA</v>
          </cell>
          <cell r="BM38" t="str">
            <v>LIC.</v>
          </cell>
          <cell r="BN38" t="str">
            <v>LICENCIA MEDICA</v>
          </cell>
          <cell r="BO38" t="str">
            <v>LIC.</v>
          </cell>
          <cell r="BP38" t="str">
            <v>LICENCIA MEDICA</v>
          </cell>
          <cell r="BQ38" t="str">
            <v>LIC.</v>
          </cell>
          <cell r="BR38" t="str">
            <v>LICENCIA MEDICA</v>
          </cell>
          <cell r="BS38" t="str">
            <v>LIC.</v>
          </cell>
          <cell r="BT38" t="str">
            <v>LICENCIA MEDICA</v>
          </cell>
          <cell r="BU38" t="str">
            <v>LIC.</v>
          </cell>
          <cell r="BV38" t="str">
            <v>LICENCIA MEDICA</v>
          </cell>
          <cell r="BW38" t="str">
            <v>LIC.</v>
          </cell>
          <cell r="BX38" t="str">
            <v>LICENCIA MEDICA</v>
          </cell>
          <cell r="BY38" t="str">
            <v>LIC.</v>
          </cell>
          <cell r="BZ38" t="str">
            <v>LICENCIA MEDICA</v>
          </cell>
          <cell r="CA38" t="str">
            <v>LIC.</v>
          </cell>
          <cell r="CB38" t="str">
            <v>LICENCIA MEDICA</v>
          </cell>
          <cell r="CC38" t="str">
            <v>LIC.</v>
          </cell>
          <cell r="CD38" t="str">
            <v>LICENCIA MEDICA</v>
          </cell>
          <cell r="CE38" t="str">
            <v>LIC.</v>
          </cell>
          <cell r="CF38" t="str">
            <v>LICENCIA MEDICA</v>
          </cell>
          <cell r="CG38" t="str">
            <v>LIC.</v>
          </cell>
          <cell r="CH38" t="str">
            <v>LICENCIA MEDICA</v>
          </cell>
          <cell r="CI38" t="str">
            <v>LIC.</v>
          </cell>
          <cell r="CJ38" t="str">
            <v>LICENCIA MEDICA</v>
          </cell>
          <cell r="CK38" t="str">
            <v>LIC.</v>
          </cell>
          <cell r="CL38" t="str">
            <v>LICENCIA MEDICA</v>
          </cell>
          <cell r="CM38" t="str">
            <v>LIC.</v>
          </cell>
          <cell r="CN38" t="str">
            <v>LICENCIA MEDICA</v>
          </cell>
          <cell r="CO38" t="str">
            <v>LIC.</v>
          </cell>
          <cell r="CP38" t="str">
            <v>LICENCIA MEDICA</v>
          </cell>
          <cell r="CQ38" t="str">
            <v>LIC.</v>
          </cell>
          <cell r="CR38" t="str">
            <v>LICENCIA MEDICA</v>
          </cell>
        </row>
        <row r="39">
          <cell r="A39" t="str">
            <v>GRIFO 28</v>
          </cell>
          <cell r="B39" t="e">
            <v>#N/A</v>
          </cell>
          <cell r="BO39" t="str">
            <v>PER.</v>
          </cell>
          <cell r="BP39" t="str">
            <v>PERMISO ADMINISTRATIVO</v>
          </cell>
          <cell r="BQ39" t="str">
            <v>PER.</v>
          </cell>
          <cell r="BR39" t="str">
            <v>PERMISO ADMINISTRATIVO</v>
          </cell>
        </row>
        <row r="41">
          <cell r="A41" t="str">
            <v>S-30</v>
          </cell>
          <cell r="B41" t="str">
            <v>S-30 / SUBOFICIAL GATICA NAVARRETE ROBERTO FELIPE</v>
          </cell>
          <cell r="BG41" t="str">
            <v>1P</v>
          </cell>
          <cell r="BH41" t="str">
            <v>ARIETE C40-B</v>
          </cell>
          <cell r="BI41" t="str">
            <v>2P</v>
          </cell>
          <cell r="BJ41" t="str">
            <v>ARIETE NOCTURNO</v>
          </cell>
          <cell r="BK41" t="str">
            <v>F</v>
          </cell>
          <cell r="BL41" t="str">
            <v>SALIENTE DE SERVICIO</v>
          </cell>
          <cell r="BM41" t="str">
            <v>1T</v>
          </cell>
          <cell r="BN41" t="str">
            <v>MONEDA</v>
          </cell>
          <cell r="BO41" t="str">
            <v>2T</v>
          </cell>
          <cell r="BP41" t="str">
            <v>METRO</v>
          </cell>
          <cell r="BQ41" t="str">
            <v>1T</v>
          </cell>
          <cell r="BR41" t="str">
            <v>BAQUEDANO</v>
          </cell>
          <cell r="BS41" t="str">
            <v>1P</v>
          </cell>
          <cell r="BT41" t="str">
            <v>ARIETE 12</v>
          </cell>
          <cell r="BU41" t="str">
            <v>2P</v>
          </cell>
          <cell r="BV41" t="str">
            <v>LEGUA EMERGENCIA</v>
          </cell>
          <cell r="BW41" t="str">
            <v>F</v>
          </cell>
          <cell r="BX41" t="str">
            <v>SALIENTE LEGUA EMERCENGIA</v>
          </cell>
          <cell r="BY41" t="str">
            <v>1T</v>
          </cell>
          <cell r="BZ41" t="str">
            <v>MONEDA</v>
          </cell>
          <cell r="CA41" t="str">
            <v>1P</v>
          </cell>
          <cell r="CB41" t="str">
            <v>METRO</v>
          </cell>
        </row>
        <row r="42">
          <cell r="A42" t="str">
            <v>S-31</v>
          </cell>
          <cell r="B42" t="str">
            <v>S-31 / SUBOFICIAL AGUILA ESCOBAR GUILERMO EULOGIO</v>
          </cell>
          <cell r="BG42" t="str">
            <v>1P</v>
          </cell>
          <cell r="BH42" t="str">
            <v>ARIETE 12</v>
          </cell>
          <cell r="BI42" t="str">
            <v>2P</v>
          </cell>
          <cell r="BJ42" t="str">
            <v>DOMICILIO EX. S.E.</v>
          </cell>
          <cell r="BK42" t="str">
            <v>F</v>
          </cell>
          <cell r="BL42" t="str">
            <v>S. DE SERVICIO EX. S.E.</v>
          </cell>
          <cell r="BM42" t="str">
            <v>1T</v>
          </cell>
          <cell r="BN42" t="str">
            <v xml:space="preserve">CONSTITUCIÓN </v>
          </cell>
          <cell r="BO42" t="str">
            <v>2T</v>
          </cell>
          <cell r="BP42" t="str">
            <v>BAQUEDANO</v>
          </cell>
          <cell r="BQ42" t="str">
            <v>1P</v>
          </cell>
          <cell r="BR42" t="str">
            <v>LEGUA EMERGENCIA</v>
          </cell>
          <cell r="BS42" t="str">
            <v>1P</v>
          </cell>
          <cell r="BT42" t="str">
            <v>ARIETE 12</v>
          </cell>
          <cell r="BU42" t="str">
            <v>2P</v>
          </cell>
          <cell r="BV42" t="str">
            <v>ARIETE NOCTURNO</v>
          </cell>
          <cell r="BW42" t="str">
            <v>F</v>
          </cell>
          <cell r="BX42" t="str">
            <v>SALIENTE ARIETE NOCTURNO</v>
          </cell>
          <cell r="BY42" t="str">
            <v>1P</v>
          </cell>
          <cell r="BZ42" t="str">
            <v>ARIETE 11</v>
          </cell>
          <cell r="CA42" t="str">
            <v>1P</v>
          </cell>
          <cell r="CB42" t="str">
            <v>COMISION</v>
          </cell>
          <cell r="CC42" t="str">
            <v>1P</v>
          </cell>
          <cell r="CD42" t="str">
            <v>COMISION</v>
          </cell>
          <cell r="CE42" t="str">
            <v>1P</v>
          </cell>
          <cell r="CF42" t="str">
            <v>COMISION</v>
          </cell>
        </row>
        <row r="43">
          <cell r="A43" t="str">
            <v>S-32</v>
          </cell>
          <cell r="B43" t="str">
            <v>S-32 / SUBTENIENTE MELLADO RIDEAU SEBASTIAN MOISES</v>
          </cell>
          <cell r="BG43" t="str">
            <v>1P</v>
          </cell>
          <cell r="BH43" t="str">
            <v>ARIETE 11</v>
          </cell>
          <cell r="BI43" t="str">
            <v>2P</v>
          </cell>
          <cell r="BJ43" t="str">
            <v>LEGUA EMERGENCIA</v>
          </cell>
          <cell r="BK43" t="str">
            <v>F</v>
          </cell>
          <cell r="BL43" t="str">
            <v>S. DE SERVICIO LEGUA</v>
          </cell>
          <cell r="BM43" t="str">
            <v>F</v>
          </cell>
          <cell r="BN43" t="str">
            <v>FRANCO POR LABOR</v>
          </cell>
          <cell r="BO43" t="str">
            <v>1P</v>
          </cell>
          <cell r="BP43" t="str">
            <v>ARIETE 12</v>
          </cell>
          <cell r="BQ43" t="str">
            <v>1T</v>
          </cell>
          <cell r="BR43" t="str">
            <v>DOMICILIO EX SE</v>
          </cell>
          <cell r="BS43" t="str">
            <v>1P</v>
          </cell>
          <cell r="BT43" t="str">
            <v>ARIETE 21</v>
          </cell>
          <cell r="BU43" t="str">
            <v>3T</v>
          </cell>
          <cell r="BV43" t="str">
            <v>DOMICILIO EX SE</v>
          </cell>
          <cell r="BW43" t="str">
            <v>F</v>
          </cell>
          <cell r="BX43" t="str">
            <v>SALIENTE DOM EX SE</v>
          </cell>
          <cell r="BY43" t="str">
            <v>1P</v>
          </cell>
          <cell r="BZ43" t="str">
            <v>ARIETE 11</v>
          </cell>
          <cell r="CA43" t="str">
            <v>1P</v>
          </cell>
          <cell r="CB43" t="str">
            <v>COMISION</v>
          </cell>
          <cell r="CC43" t="str">
            <v>1P</v>
          </cell>
          <cell r="CD43" t="str">
            <v>COMISION</v>
          </cell>
          <cell r="CE43" t="str">
            <v>1P</v>
          </cell>
          <cell r="CF43" t="str">
            <v>COMISION</v>
          </cell>
        </row>
        <row r="44">
          <cell r="A44" t="str">
            <v>S-33</v>
          </cell>
          <cell r="B44" t="str">
            <v>S-33 / SUBOFICIAL AYANCAN MONTECINOS RAUL ( C )</v>
          </cell>
          <cell r="BG44" t="str">
            <v>2P</v>
          </cell>
          <cell r="BH44" t="str">
            <v>DOMICILIO EX. S.E.</v>
          </cell>
          <cell r="BI44" t="str">
            <v>F</v>
          </cell>
          <cell r="BJ44" t="str">
            <v>SALIENTE DE NOCHE</v>
          </cell>
          <cell r="BK44" t="str">
            <v>PER.</v>
          </cell>
          <cell r="BL44" t="str">
            <v>PERMISO ESPECIAL DIGCAR</v>
          </cell>
          <cell r="BM44" t="str">
            <v>PER.</v>
          </cell>
          <cell r="BN44" t="str">
            <v>PERMISO DIGCAR</v>
          </cell>
          <cell r="BO44" t="str">
            <v>PER.</v>
          </cell>
          <cell r="BP44" t="str">
            <v>PERMISO DIGCAR</v>
          </cell>
          <cell r="BQ44" t="str">
            <v>1P</v>
          </cell>
          <cell r="BR44" t="str">
            <v>ARIETE 21</v>
          </cell>
          <cell r="BS44" t="str">
            <v>2P</v>
          </cell>
          <cell r="BT44" t="str">
            <v>ARIETE NOCTURNO</v>
          </cell>
          <cell r="BU44" t="str">
            <v>F</v>
          </cell>
          <cell r="BV44" t="str">
            <v>SALIENTE DE SERVICIO NOCTURNO</v>
          </cell>
          <cell r="BW44" t="str">
            <v>2T</v>
          </cell>
          <cell r="BX44" t="str">
            <v>CIUDADANIA</v>
          </cell>
          <cell r="BY44" t="str">
            <v>1P</v>
          </cell>
          <cell r="BZ44" t="str">
            <v>ARIETE 16</v>
          </cell>
          <cell r="CA44" t="str">
            <v>1P</v>
          </cell>
          <cell r="CB44" t="str">
            <v>LEGUA EMERGENCIA</v>
          </cell>
        </row>
        <row r="45">
          <cell r="A45" t="str">
            <v>S-34</v>
          </cell>
          <cell r="B45" t="str">
            <v>S-34 / SGTO 2DO. MORALES LEVIO MARCO ANTONIO</v>
          </cell>
          <cell r="BG45" t="str">
            <v>2P</v>
          </cell>
          <cell r="BH45" t="str">
            <v>LEGUA EMERGENCIA</v>
          </cell>
          <cell r="BI45" t="str">
            <v>F</v>
          </cell>
          <cell r="BJ45" t="str">
            <v>SALIENTE DE NOCHE</v>
          </cell>
          <cell r="BK45" t="str">
            <v>2T</v>
          </cell>
          <cell r="BL45" t="str">
            <v>CONSTITUCION</v>
          </cell>
          <cell r="BM45" t="str">
            <v>2T</v>
          </cell>
          <cell r="BN45" t="str">
            <v xml:space="preserve"> BAQUEDANO</v>
          </cell>
          <cell r="BO45" t="str">
            <v>1T</v>
          </cell>
          <cell r="BP45" t="str">
            <v>PLAZA BAQUEDANO</v>
          </cell>
          <cell r="BQ45" t="str">
            <v>1P</v>
          </cell>
          <cell r="BR45" t="str">
            <v>ARIETE 16</v>
          </cell>
          <cell r="BS45" t="str">
            <v>2P</v>
          </cell>
          <cell r="BT45" t="str">
            <v>DOMICILIO EX SE</v>
          </cell>
          <cell r="BU45" t="str">
            <v>F</v>
          </cell>
          <cell r="BV45" t="str">
            <v>SALIENTE DE SERVICIO EX SE</v>
          </cell>
          <cell r="BW45" t="str">
            <v>PER.</v>
          </cell>
          <cell r="BX45" t="str">
            <v>PERMISO ESPECIAL DIGCAR</v>
          </cell>
          <cell r="BY45" t="str">
            <v>PER.</v>
          </cell>
          <cell r="BZ45" t="str">
            <v>PERMISO ESPECIAL DIGCAR</v>
          </cell>
          <cell r="CA45" t="str">
            <v>PER.</v>
          </cell>
          <cell r="CB45" t="str">
            <v>PERMISO ESPECIAL DIGCAR</v>
          </cell>
        </row>
        <row r="46">
          <cell r="A46" t="str">
            <v>S-35</v>
          </cell>
          <cell r="B46" t="str">
            <v>S-35 / S.O.M. BRAVO BRAVO ALEX  GONZALO</v>
          </cell>
          <cell r="BG46" t="str">
            <v>2P</v>
          </cell>
          <cell r="BH46" t="str">
            <v>ARIETE NOCTURNO</v>
          </cell>
          <cell r="BI46" t="str">
            <v>F</v>
          </cell>
          <cell r="BJ46" t="str">
            <v>SALIENTE DE NOCHE</v>
          </cell>
          <cell r="BK46" t="str">
            <v>2T</v>
          </cell>
          <cell r="BL46" t="str">
            <v>MONEDA</v>
          </cell>
          <cell r="BM46" t="str">
            <v>2T</v>
          </cell>
          <cell r="BN46" t="str">
            <v>DOMICILIO EX.SE.</v>
          </cell>
          <cell r="BO46" t="str">
            <v>1P</v>
          </cell>
          <cell r="BP46" t="str">
            <v>LEGUA EMERGENCIA</v>
          </cell>
          <cell r="BQ46" t="str">
            <v>1P</v>
          </cell>
          <cell r="BR46" t="str">
            <v>ARIETE 12</v>
          </cell>
          <cell r="BS46" t="str">
            <v>2P</v>
          </cell>
          <cell r="BT46" t="str">
            <v>LEGUA EMERGENCIA</v>
          </cell>
          <cell r="BU46" t="str">
            <v>F</v>
          </cell>
          <cell r="BV46" t="str">
            <v>SALIENTE DE SERVICIO LEGUA</v>
          </cell>
          <cell r="BW46" t="str">
            <v>2T</v>
          </cell>
          <cell r="BX46" t="str">
            <v>CONSTITUCION</v>
          </cell>
          <cell r="BY46" t="str">
            <v>1T</v>
          </cell>
          <cell r="BZ46" t="str">
            <v>BAQUEDANO</v>
          </cell>
          <cell r="CA46" t="str">
            <v>1T</v>
          </cell>
          <cell r="CB46" t="str">
            <v>BAQUEDANO</v>
          </cell>
        </row>
        <row r="47">
          <cell r="A47" t="str">
            <v>S-36</v>
          </cell>
          <cell r="B47" t="str">
            <v>S-36 / SUBTENIENTE SEPULVEDA BUSTOS ALVARO SEBASTIAN</v>
          </cell>
          <cell r="BG47" t="str">
            <v>1P</v>
          </cell>
          <cell r="BH47" t="str">
            <v>ARIETE 21</v>
          </cell>
          <cell r="BI47" t="str">
            <v>1P</v>
          </cell>
          <cell r="BJ47" t="str">
            <v>ARIETE 20</v>
          </cell>
          <cell r="BK47" t="str">
            <v>2P</v>
          </cell>
          <cell r="BL47" t="str">
            <v>ARIETE NOCTURNO</v>
          </cell>
          <cell r="BM47" t="str">
            <v>F</v>
          </cell>
          <cell r="BN47" t="str">
            <v xml:space="preserve">SALIENTE SERV. </v>
          </cell>
          <cell r="BO47" t="str">
            <v>2T</v>
          </cell>
          <cell r="BP47" t="str">
            <v>CIUDADANIA</v>
          </cell>
          <cell r="BQ47" t="str">
            <v>2T</v>
          </cell>
          <cell r="BR47" t="str">
            <v>BAQUEDANO</v>
          </cell>
          <cell r="BS47" t="str">
            <v>1P</v>
          </cell>
          <cell r="BT47" t="str">
            <v>DOMICILIO EX SE</v>
          </cell>
          <cell r="BU47" t="str">
            <v>1P</v>
          </cell>
          <cell r="BV47" t="str">
            <v>ARIETE 22</v>
          </cell>
          <cell r="BW47" t="str">
            <v>3T</v>
          </cell>
          <cell r="BX47" t="str">
            <v>LEGUA EMERGENCIA</v>
          </cell>
          <cell r="BY47" t="str">
            <v>F</v>
          </cell>
          <cell r="BZ47" t="str">
            <v>SALIENTE LEGUA EMERGENCIA</v>
          </cell>
          <cell r="CA47" t="str">
            <v>2T</v>
          </cell>
          <cell r="CB47" t="str">
            <v>CIUDADANIA</v>
          </cell>
        </row>
        <row r="48">
          <cell r="A48" t="str">
            <v>S-37</v>
          </cell>
          <cell r="B48" t="str">
            <v>S-37 / SUBTENIENTE MARTINEZ ACUÑA MATIAS VALENTIN</v>
          </cell>
          <cell r="BG48" t="str">
            <v>1P</v>
          </cell>
          <cell r="BH48" t="str">
            <v>ARIETE 11</v>
          </cell>
          <cell r="BI48" t="str">
            <v>1P</v>
          </cell>
          <cell r="BJ48" t="str">
            <v>ARIETE 20</v>
          </cell>
          <cell r="BK48" t="str">
            <v>3T</v>
          </cell>
          <cell r="BL48" t="str">
            <v>DOMICILIO EX. S.E.</v>
          </cell>
          <cell r="BM48" t="str">
            <v>F</v>
          </cell>
          <cell r="BN48" t="str">
            <v xml:space="preserve">SALIENTE SERV. EX SE </v>
          </cell>
          <cell r="BO48" t="str">
            <v>2T</v>
          </cell>
          <cell r="BP48" t="str">
            <v>CONSTITUCION</v>
          </cell>
          <cell r="BQ48" t="str">
            <v>2T</v>
          </cell>
          <cell r="BR48" t="str">
            <v>DOMICILIO EX SE</v>
          </cell>
          <cell r="BS48" t="str">
            <v>1P</v>
          </cell>
          <cell r="BT48" t="str">
            <v>ARIETE 16</v>
          </cell>
          <cell r="BU48" t="str">
            <v>1P</v>
          </cell>
          <cell r="BV48" t="str">
            <v>ARIETE 15</v>
          </cell>
          <cell r="BW48" t="str">
            <v>2P</v>
          </cell>
          <cell r="BX48" t="str">
            <v>ARIETE NOCTURNO</v>
          </cell>
          <cell r="BY48" t="str">
            <v>F</v>
          </cell>
          <cell r="BZ48" t="str">
            <v>SALIENTE ARIETE NOCTURNO</v>
          </cell>
          <cell r="CA48" t="str">
            <v>2T</v>
          </cell>
          <cell r="CB48" t="str">
            <v>MONEDA</v>
          </cell>
        </row>
        <row r="49">
          <cell r="A49" t="str">
            <v>S-38</v>
          </cell>
          <cell r="B49" t="str">
            <v>S-38 / SGTO 1RO. BAHAMONDE SEPULVEDA LUIS GONZALO ( C )</v>
          </cell>
          <cell r="BG49" t="str">
            <v>PER.</v>
          </cell>
          <cell r="BH49" t="str">
            <v>PERMISO DIGCAR</v>
          </cell>
          <cell r="BI49" t="str">
            <v>1P</v>
          </cell>
          <cell r="BJ49" t="str">
            <v>PLAZA BAQUEDANO</v>
          </cell>
          <cell r="BK49" t="str">
            <v>2P</v>
          </cell>
          <cell r="BL49" t="str">
            <v>LEGUA EMERGENCIA</v>
          </cell>
          <cell r="BM49" t="str">
            <v>F</v>
          </cell>
          <cell r="BN49" t="str">
            <v>SALIENTE DE SERVICIO LEGUA</v>
          </cell>
          <cell r="BO49" t="str">
            <v>2T</v>
          </cell>
          <cell r="BP49" t="str">
            <v>MONEDA</v>
          </cell>
          <cell r="BQ49" t="str">
            <v>1P</v>
          </cell>
          <cell r="BR49" t="str">
            <v>ARIETE 11</v>
          </cell>
          <cell r="BS49" t="str">
            <v>1T</v>
          </cell>
          <cell r="BT49" t="str">
            <v>BAQUEDANO</v>
          </cell>
          <cell r="BU49" t="str">
            <v>1P</v>
          </cell>
          <cell r="BV49" t="str">
            <v>ARIETE C40-A</v>
          </cell>
          <cell r="BW49" t="str">
            <v>3T</v>
          </cell>
          <cell r="BX49" t="str">
            <v>DOMICILIO EX SE</v>
          </cell>
          <cell r="BY49" t="str">
            <v>F</v>
          </cell>
          <cell r="BZ49" t="str">
            <v>SALIENTE DOMICILIO EX SE</v>
          </cell>
          <cell r="CA49" t="str">
            <v>2T</v>
          </cell>
          <cell r="CB49" t="str">
            <v>CONSTUCION</v>
          </cell>
        </row>
        <row r="50">
          <cell r="A50" t="str">
            <v>S-39</v>
          </cell>
          <cell r="B50" t="str">
            <v xml:space="preserve">S-39 / SUBOFICIAL HENRIQUEZ JARAMILLO FIDEL </v>
          </cell>
          <cell r="BG50" t="str">
            <v>2T</v>
          </cell>
          <cell r="BH50" t="str">
            <v>CIUDADANIA</v>
          </cell>
          <cell r="BI50" t="str">
            <v>1P</v>
          </cell>
          <cell r="BJ50" t="str">
            <v>ESCUADRON C40-B</v>
          </cell>
          <cell r="BK50" t="str">
            <v>1T</v>
          </cell>
          <cell r="BL50" t="str">
            <v>PLAZA BAQUEDANO</v>
          </cell>
          <cell r="BM50" t="str">
            <v>1P</v>
          </cell>
          <cell r="BN50" t="str">
            <v>ARIETE 17</v>
          </cell>
          <cell r="BO50" t="str">
            <v>2P</v>
          </cell>
          <cell r="BP50" t="str">
            <v>LEGUA EMERGENCIA</v>
          </cell>
          <cell r="BQ50" t="str">
            <v>F</v>
          </cell>
          <cell r="BR50" t="str">
            <v>SALIENTE SERVICIO LEGUA</v>
          </cell>
          <cell r="BS50" t="str">
            <v>2T</v>
          </cell>
          <cell r="BT50" t="str">
            <v>MONEDA</v>
          </cell>
          <cell r="BU50" t="str">
            <v>2T</v>
          </cell>
          <cell r="BV50" t="str">
            <v>DOMICILIO EX SE</v>
          </cell>
          <cell r="BW50" t="str">
            <v>1T</v>
          </cell>
          <cell r="BX50" t="str">
            <v>LEGUA EMERGENCIA</v>
          </cell>
          <cell r="BY50" t="str">
            <v>1P</v>
          </cell>
          <cell r="BZ50" t="str">
            <v>DOMICILIO EX SE</v>
          </cell>
          <cell r="CA50" t="str">
            <v>2P</v>
          </cell>
          <cell r="CB50" t="str">
            <v>DOMICILIO EX SE</v>
          </cell>
        </row>
        <row r="51">
          <cell r="A51" t="str">
            <v>S-40</v>
          </cell>
          <cell r="B51" t="str">
            <v>S-40 / SGTO 1RO. VILLAGRA AREVALO SERGIO HUMBERTO ( C )</v>
          </cell>
          <cell r="BG51" t="str">
            <v>2T</v>
          </cell>
          <cell r="BH51" t="str">
            <v>CONSTITUCION</v>
          </cell>
          <cell r="BI51" t="str">
            <v>1P</v>
          </cell>
          <cell r="BJ51" t="str">
            <v>ESCUADRON C40-B</v>
          </cell>
          <cell r="BK51" t="str">
            <v>1T</v>
          </cell>
          <cell r="BL51" t="str">
            <v>DOMICILIO EX. S.E.</v>
          </cell>
          <cell r="BM51" t="str">
            <v>1P</v>
          </cell>
          <cell r="BN51" t="str">
            <v>ARIETE 16</v>
          </cell>
          <cell r="BO51" t="str">
            <v>2P</v>
          </cell>
          <cell r="BP51" t="str">
            <v>DOMICILIO EX.SE</v>
          </cell>
          <cell r="BQ51" t="str">
            <v>F</v>
          </cell>
          <cell r="BR51" t="str">
            <v xml:space="preserve">SALIENTE SERVICIO DOM. EX SE </v>
          </cell>
          <cell r="BS51" t="str">
            <v>2T</v>
          </cell>
          <cell r="BT51" t="str">
            <v>CONSTITUCION</v>
          </cell>
          <cell r="BU51" t="str">
            <v>2T</v>
          </cell>
          <cell r="BV51" t="str">
            <v>BAQUEDANO</v>
          </cell>
          <cell r="BW51" t="str">
            <v>1T</v>
          </cell>
          <cell r="BX51" t="str">
            <v>DOMICILIO EX SE</v>
          </cell>
          <cell r="BY51" t="str">
            <v>1T</v>
          </cell>
          <cell r="BZ51" t="str">
            <v>CIUDADANIA</v>
          </cell>
          <cell r="CA51" t="str">
            <v>2P</v>
          </cell>
          <cell r="CB51" t="str">
            <v>LEGUA EMERGENCIA</v>
          </cell>
        </row>
        <row r="52">
          <cell r="A52" t="str">
            <v>S-41</v>
          </cell>
          <cell r="B52" t="str">
            <v>S-41 / SGTO 2DO. RIQUELME PARADA CARLOS ROBERTO ( C )</v>
          </cell>
          <cell r="BG52" t="str">
            <v>2T</v>
          </cell>
          <cell r="BH52" t="str">
            <v>MONEDA</v>
          </cell>
          <cell r="BI52" t="str">
            <v>1P</v>
          </cell>
          <cell r="BJ52" t="str">
            <v>ESCUADRON C40-B</v>
          </cell>
          <cell r="BK52" t="str">
            <v>1P</v>
          </cell>
          <cell r="BL52" t="str">
            <v>LEGUA EMERGENCIA</v>
          </cell>
          <cell r="BM52" t="str">
            <v>1T</v>
          </cell>
          <cell r="BN52" t="str">
            <v>LEGUA</v>
          </cell>
          <cell r="BO52" t="str">
            <v>2P</v>
          </cell>
          <cell r="BP52" t="str">
            <v>ARIETE NOCTURNO</v>
          </cell>
          <cell r="BQ52" t="str">
            <v>F</v>
          </cell>
          <cell r="BR52" t="str">
            <v>SALIENTE SERVICIO A. NOCTURNO</v>
          </cell>
          <cell r="BS52" t="str">
            <v>2T</v>
          </cell>
          <cell r="BT52" t="str">
            <v>CIUDADANIA</v>
          </cell>
          <cell r="BU52" t="str">
            <v>1T</v>
          </cell>
          <cell r="BV52" t="str">
            <v>DOMICILIO EX SE</v>
          </cell>
          <cell r="BW52" t="str">
            <v>1T</v>
          </cell>
          <cell r="BX52" t="str">
            <v>BAQUEDANO</v>
          </cell>
          <cell r="BY52" t="str">
            <v>1P</v>
          </cell>
          <cell r="BZ52" t="str">
            <v>ARIETE 20</v>
          </cell>
          <cell r="CA52" t="str">
            <v>2P</v>
          </cell>
          <cell r="CB52" t="str">
            <v>ARIETE NOCTURNO</v>
          </cell>
        </row>
        <row r="53">
          <cell r="A53" t="str">
            <v>S-42</v>
          </cell>
          <cell r="B53" t="str">
            <v>S-42 / SGTO 1RO. ARRATIA CONTRERAS  CARLOS ALBERTO</v>
          </cell>
          <cell r="BG53" t="str">
            <v>F</v>
          </cell>
          <cell r="BH53" t="str">
            <v>SALIENTE DE NOCHE</v>
          </cell>
          <cell r="BI53" t="str">
            <v>1T</v>
          </cell>
          <cell r="BJ53" t="str">
            <v>CONSTITUCION</v>
          </cell>
          <cell r="BK53" t="str">
            <v>1P</v>
          </cell>
          <cell r="BL53" t="str">
            <v>ARIETE 16</v>
          </cell>
          <cell r="BM53" t="str">
            <v>2T</v>
          </cell>
          <cell r="BN53" t="str">
            <v>LEGUA</v>
          </cell>
          <cell r="BO53" t="str">
            <v>1P</v>
          </cell>
          <cell r="BP53" t="str">
            <v>ARIETE 16</v>
          </cell>
          <cell r="BQ53" t="str">
            <v>2P</v>
          </cell>
          <cell r="BR53" t="str">
            <v>ARIETE NOCTURNO</v>
          </cell>
          <cell r="BS53" t="str">
            <v>F</v>
          </cell>
          <cell r="BT53" t="str">
            <v>SALIENTE DE SERVICIO NOCTURNO</v>
          </cell>
          <cell r="BU53" t="str">
            <v>1T</v>
          </cell>
          <cell r="BV53" t="str">
            <v>MONEDA</v>
          </cell>
          <cell r="BW53" t="str">
            <v>2T</v>
          </cell>
          <cell r="BX53" t="str">
            <v>DOMICILIO EX SE</v>
          </cell>
          <cell r="BY53" t="str">
            <v>1P</v>
          </cell>
          <cell r="BZ53" t="str">
            <v>LEGUA EMERGENCIA</v>
          </cell>
          <cell r="CA53" t="str">
            <v>1P</v>
          </cell>
          <cell r="CB53" t="str">
            <v>ARIETE 15</v>
          </cell>
        </row>
        <row r="54">
          <cell r="A54" t="str">
            <v>S-43</v>
          </cell>
          <cell r="B54" t="str">
            <v>S-43 / SUBTENIENTE TOLEDO SALVATIERRA EDUARDO ALEXANDER</v>
          </cell>
          <cell r="BG54" t="str">
            <v>F</v>
          </cell>
          <cell r="BH54" t="str">
            <v>SALIENTE DE NOCHE</v>
          </cell>
          <cell r="BI54" t="str">
            <v>1T</v>
          </cell>
          <cell r="BJ54" t="str">
            <v>CIUDADANIA</v>
          </cell>
          <cell r="BK54" t="str">
            <v>2T</v>
          </cell>
          <cell r="BL54" t="str">
            <v>PLAZA BAQUEDANO</v>
          </cell>
          <cell r="BM54" t="str">
            <v>1T</v>
          </cell>
          <cell r="BN54" t="str">
            <v>DOMICILIO EX. SE.</v>
          </cell>
          <cell r="BO54" t="str">
            <v>1P</v>
          </cell>
          <cell r="BP54" t="str">
            <v>ARIETE 11</v>
          </cell>
          <cell r="BQ54" t="str">
            <v>2P</v>
          </cell>
          <cell r="BR54" t="str">
            <v>LEGUA EMERGENCIA</v>
          </cell>
          <cell r="BS54" t="str">
            <v>F</v>
          </cell>
          <cell r="BT54" t="str">
            <v>SALIENTE DE SERVICIO LEGUA</v>
          </cell>
          <cell r="BU54" t="str">
            <v>1T</v>
          </cell>
          <cell r="BV54" t="str">
            <v>CIUDADANIA</v>
          </cell>
          <cell r="BW54" t="str">
            <v>2T</v>
          </cell>
          <cell r="BX54" t="str">
            <v>BAQUEDANO</v>
          </cell>
          <cell r="BY54" t="str">
            <v>1T</v>
          </cell>
          <cell r="BZ54" t="str">
            <v>CONSTITUCION</v>
          </cell>
          <cell r="CA54" t="str">
            <v>1P</v>
          </cell>
          <cell r="CB54" t="str">
            <v>DOMICILIO EX SE</v>
          </cell>
        </row>
        <row r="55">
          <cell r="A55" t="str">
            <v>S-44</v>
          </cell>
          <cell r="B55" t="str">
            <v>S-44 / SUBOFICIAL ARAVENA ARAYA GEORGE ALEXIS</v>
          </cell>
          <cell r="BG55" t="str">
            <v>F</v>
          </cell>
          <cell r="BH55" t="str">
            <v>SALIENTE DE NOCHE</v>
          </cell>
          <cell r="BI55" t="str">
            <v>1T</v>
          </cell>
          <cell r="BJ55" t="str">
            <v>MONEDA</v>
          </cell>
          <cell r="BK55" t="str">
            <v>2T</v>
          </cell>
          <cell r="BL55" t="str">
            <v>DOMICILIO EX. S.E.</v>
          </cell>
          <cell r="BM55" t="str">
            <v>1T</v>
          </cell>
          <cell r="BN55" t="str">
            <v>BAQUEDANO</v>
          </cell>
          <cell r="BO55" t="str">
            <v>1P</v>
          </cell>
          <cell r="BP55" t="str">
            <v>ARIETE 20</v>
          </cell>
          <cell r="BQ55" t="str">
            <v>3T</v>
          </cell>
          <cell r="BR55" t="str">
            <v>DOMICILIO EX SE</v>
          </cell>
          <cell r="BS55" t="str">
            <v>F</v>
          </cell>
          <cell r="BT55" t="str">
            <v>SALIENTE DE SERVICIO EX DOM SE</v>
          </cell>
          <cell r="BU55" t="str">
            <v>1T</v>
          </cell>
          <cell r="BV55" t="str">
            <v>CONSTITUCION</v>
          </cell>
          <cell r="BW55" t="str">
            <v>2T</v>
          </cell>
          <cell r="BX55" t="str">
            <v>LEGUA EMERGENCIA</v>
          </cell>
          <cell r="BY55" t="str">
            <v>1P</v>
          </cell>
          <cell r="BZ55" t="str">
            <v>METRO</v>
          </cell>
          <cell r="CA55" t="str">
            <v>1P</v>
          </cell>
          <cell r="CB55" t="str">
            <v>ARIETE 16</v>
          </cell>
        </row>
        <row r="56">
          <cell r="A56" t="str">
            <v>S-45</v>
          </cell>
          <cell r="B56" t="str">
            <v>S-45 / SGTO 2DO. BUSTOS QUEZADA  RODRIGO  ( c )</v>
          </cell>
          <cell r="BG56" t="str">
            <v>1P</v>
          </cell>
          <cell r="BH56" t="str">
            <v>PLAZA BAQUEDANO</v>
          </cell>
          <cell r="BI56" t="str">
            <v>1P</v>
          </cell>
          <cell r="BJ56" t="str">
            <v>ESCUADRON 16</v>
          </cell>
          <cell r="BK56" t="str">
            <v>1P</v>
          </cell>
          <cell r="BL56" t="str">
            <v>ARIETE 11</v>
          </cell>
          <cell r="BM56" t="str">
            <v>3T</v>
          </cell>
          <cell r="BN56" t="str">
            <v>DOMICILIO EX.SE.</v>
          </cell>
          <cell r="BO56" t="str">
            <v>F</v>
          </cell>
          <cell r="BP56" t="str">
            <v>SALIENTE DOMICILIO EX. S.E</v>
          </cell>
          <cell r="BQ56" t="str">
            <v>PER.</v>
          </cell>
          <cell r="BR56" t="str">
            <v>PERMISO ESPECIAL DIGCAR</v>
          </cell>
          <cell r="BS56" t="str">
            <v>PER.</v>
          </cell>
          <cell r="BT56" t="str">
            <v>PERMISO ESPECIAL DIGCAR</v>
          </cell>
          <cell r="BU56" t="str">
            <v>PER.</v>
          </cell>
          <cell r="BV56" t="str">
            <v>PERMISO ESPECIAL DIGCAR</v>
          </cell>
          <cell r="BW56" t="str">
            <v>1P</v>
          </cell>
          <cell r="BX56" t="str">
            <v>ARIETE 22</v>
          </cell>
          <cell r="BY56" t="str">
            <v>2P</v>
          </cell>
          <cell r="BZ56" t="str">
            <v>LEGUA EMERGENCIA</v>
          </cell>
          <cell r="CA56" t="str">
            <v>F</v>
          </cell>
          <cell r="CB56" t="str">
            <v>SALIENTE LEGUA EMERGENCIA</v>
          </cell>
        </row>
        <row r="57">
          <cell r="A57" t="str">
            <v>S-46</v>
          </cell>
          <cell r="B57" t="str">
            <v>S-46 / SGTO 1RO. SILVA BARRIA FRANCISCO</v>
          </cell>
          <cell r="BG57" t="str">
            <v>1P</v>
          </cell>
          <cell r="BH57" t="str">
            <v>LEGUA EMERGENCIA</v>
          </cell>
          <cell r="BI57" t="str">
            <v>1P</v>
          </cell>
          <cell r="BJ57" t="str">
            <v>ESCUADRON 16</v>
          </cell>
          <cell r="BK57" t="str">
            <v>1P</v>
          </cell>
          <cell r="BL57" t="str">
            <v>ARIETE 21</v>
          </cell>
          <cell r="BM57" t="str">
            <v>2P</v>
          </cell>
          <cell r="BN57" t="str">
            <v>ARIETE NOCTURNO</v>
          </cell>
          <cell r="BO57" t="str">
            <v>F</v>
          </cell>
          <cell r="BP57" t="str">
            <v>SALIENTE SERVICIO NOCTURNO</v>
          </cell>
          <cell r="BQ57" t="str">
            <v>1T</v>
          </cell>
          <cell r="BR57" t="str">
            <v>MONEDA</v>
          </cell>
          <cell r="BS57" t="str">
            <v>2T</v>
          </cell>
          <cell r="BT57" t="str">
            <v>BAQUEDANO</v>
          </cell>
          <cell r="BU57" t="str">
            <v>1P</v>
          </cell>
          <cell r="BV57" t="str">
            <v>ARIETE 15</v>
          </cell>
          <cell r="BW57" t="str">
            <v>1P</v>
          </cell>
          <cell r="BX57" t="str">
            <v>ARIETE C40-A</v>
          </cell>
          <cell r="BY57" t="str">
            <v>2P</v>
          </cell>
          <cell r="BZ57" t="str">
            <v>DOMICILIO EX SE</v>
          </cell>
          <cell r="CA57" t="str">
            <v>F</v>
          </cell>
          <cell r="CB57" t="str">
            <v>SALIENTE DOMICILIO EX SE</v>
          </cell>
        </row>
        <row r="58">
          <cell r="A58" t="str">
            <v>S-47</v>
          </cell>
          <cell r="B58" t="str">
            <v xml:space="preserve">S-47 / SUBTENIENTE PEREZ BERRIOS MARCELO </v>
          </cell>
          <cell r="BG58" t="str">
            <v>1P</v>
          </cell>
          <cell r="BH58" t="str">
            <v>DOMICILIO EX. S.E.</v>
          </cell>
          <cell r="BI58" t="str">
            <v>1P</v>
          </cell>
          <cell r="BJ58" t="str">
            <v>ESCUADRON 16</v>
          </cell>
          <cell r="BK58" t="str">
            <v>1P</v>
          </cell>
          <cell r="BL58" t="str">
            <v>ARIETE 11</v>
          </cell>
          <cell r="BM58" t="str">
            <v>3T</v>
          </cell>
          <cell r="BN58" t="str">
            <v>LEGUA</v>
          </cell>
          <cell r="BO58" t="str">
            <v>F</v>
          </cell>
          <cell r="BP58" t="str">
            <v>SALIENTE LEGUA EMERGENCIA</v>
          </cell>
          <cell r="BQ58" t="str">
            <v>1T</v>
          </cell>
          <cell r="BR58" t="str">
            <v>CIUDADANIA</v>
          </cell>
          <cell r="BS58" t="str">
            <v>1P</v>
          </cell>
          <cell r="BT58" t="str">
            <v xml:space="preserve">METRO </v>
          </cell>
          <cell r="BU58" t="str">
            <v>1T</v>
          </cell>
          <cell r="BV58" t="str">
            <v>BAQUEDANO</v>
          </cell>
          <cell r="BW58" t="str">
            <v>1P</v>
          </cell>
          <cell r="BX58" t="str">
            <v>ARIETE 15</v>
          </cell>
          <cell r="BY58" t="str">
            <v>2P</v>
          </cell>
          <cell r="BZ58" t="str">
            <v>ARIETE NOCTURNO</v>
          </cell>
          <cell r="CA58" t="str">
            <v>F</v>
          </cell>
          <cell r="CB58" t="str">
            <v>SALIENTE ARIETE NOCTURNO</v>
          </cell>
        </row>
        <row r="59">
          <cell r="A59" t="str">
            <v>S-48</v>
          </cell>
          <cell r="B59" t="str">
            <v xml:space="preserve">S-48 / SUBTENIENTE SALAZAR CARVAJAL CARLOS </v>
          </cell>
          <cell r="BG59" t="str">
            <v>1P</v>
          </cell>
          <cell r="BH59" t="str">
            <v>ARIETE 15</v>
          </cell>
          <cell r="BI59" t="str">
            <v>1P</v>
          </cell>
          <cell r="BJ59" t="str">
            <v>LEGUA EMERGENCIA</v>
          </cell>
          <cell r="BK59" t="str">
            <v>2T</v>
          </cell>
          <cell r="BL59" t="str">
            <v>CIUDADANIA</v>
          </cell>
          <cell r="BM59" t="str">
            <v>1T</v>
          </cell>
          <cell r="BN59" t="str">
            <v>CIUDADANIA</v>
          </cell>
          <cell r="BO59" t="str">
            <v>1P</v>
          </cell>
          <cell r="BP59" t="str">
            <v>EX.SE.</v>
          </cell>
          <cell r="BQ59" t="str">
            <v>1P</v>
          </cell>
          <cell r="BR59" t="str">
            <v>METRO</v>
          </cell>
          <cell r="BS59" t="str">
            <v>1P</v>
          </cell>
          <cell r="BT59" t="str">
            <v>LEGUA EMERGENCIA</v>
          </cell>
          <cell r="BU59" t="str">
            <v>F</v>
          </cell>
          <cell r="BV59" t="str">
            <v>FRANCO</v>
          </cell>
          <cell r="BW59" t="str">
            <v>F</v>
          </cell>
          <cell r="BX59" t="str">
            <v>FRANCO</v>
          </cell>
          <cell r="BY59" t="str">
            <v>2T</v>
          </cell>
          <cell r="BZ59" t="str">
            <v>BAQUEDANO</v>
          </cell>
          <cell r="CA59" t="str">
            <v>2T</v>
          </cell>
          <cell r="CB59" t="str">
            <v>BAQUEDANO</v>
          </cell>
        </row>
        <row r="60">
          <cell r="A60" t="str">
            <v>S-49</v>
          </cell>
          <cell r="B60" t="str">
            <v>S-49 / SGTO 1RO. PORTILLA ARAYA LEONARDO MANUEL</v>
          </cell>
          <cell r="BG60" t="str">
            <v>1P</v>
          </cell>
          <cell r="BH60" t="str">
            <v>ARIETE 16</v>
          </cell>
          <cell r="BI60" t="str">
            <v>F</v>
          </cell>
          <cell r="BJ60" t="str">
            <v>FRANCO</v>
          </cell>
          <cell r="BK60" t="str">
            <v>F</v>
          </cell>
          <cell r="BL60" t="str">
            <v>FRANCO</v>
          </cell>
          <cell r="BM60" t="str">
            <v>1P</v>
          </cell>
          <cell r="BN60" t="str">
            <v>ARIETE C40-C</v>
          </cell>
          <cell r="BO60" t="str">
            <v>1T</v>
          </cell>
          <cell r="BP60" t="str">
            <v>METRO</v>
          </cell>
          <cell r="BQ60" t="str">
            <v>1T</v>
          </cell>
          <cell r="BR60" t="str">
            <v>CONSTITUCION</v>
          </cell>
          <cell r="BS60" t="str">
            <v>1P</v>
          </cell>
          <cell r="BT60" t="str">
            <v>ARIETE C40-A</v>
          </cell>
          <cell r="BU60" t="str">
            <v>1P</v>
          </cell>
          <cell r="BV60" t="str">
            <v>ARIETE C40-A</v>
          </cell>
          <cell r="BW60" t="str">
            <v>2T</v>
          </cell>
          <cell r="BX60" t="str">
            <v>MONEDA</v>
          </cell>
          <cell r="BY60" t="str">
            <v>1P</v>
          </cell>
          <cell r="BZ60" t="str">
            <v>ARIETE C40-A</v>
          </cell>
          <cell r="CA60" t="str">
            <v>1P</v>
          </cell>
          <cell r="CB60" t="str">
            <v>ARIETE 12</v>
          </cell>
        </row>
        <row r="61">
          <cell r="A61" t="str">
            <v>S-EV</v>
          </cell>
          <cell r="B61" t="str">
            <v>S-EV / -</v>
          </cell>
        </row>
        <row r="62">
          <cell r="A62" t="str">
            <v>S-EV-2</v>
          </cell>
          <cell r="B62" t="str">
            <v>S-EV-2 / -</v>
          </cell>
        </row>
        <row r="63">
          <cell r="A63" t="str">
            <v>S-30-B</v>
          </cell>
          <cell r="B63" t="str">
            <v>S-30-B / -</v>
          </cell>
        </row>
        <row r="64">
          <cell r="A64" t="str">
            <v>S-31-B</v>
          </cell>
          <cell r="B64" t="str">
            <v>S-31-B / -</v>
          </cell>
        </row>
        <row r="65">
          <cell r="A65" t="str">
            <v>S-32-B</v>
          </cell>
          <cell r="B65" t="str">
            <v>S-32-B / -</v>
          </cell>
        </row>
        <row r="66">
          <cell r="A66" t="str">
            <v>S-33-B</v>
          </cell>
          <cell r="B66" t="str">
            <v>S-33-B / -</v>
          </cell>
        </row>
        <row r="67">
          <cell r="A67" t="str">
            <v>S-34-B</v>
          </cell>
          <cell r="B67" t="str">
            <v>S-34-B / -</v>
          </cell>
        </row>
        <row r="68">
          <cell r="A68" t="str">
            <v>S-35-B</v>
          </cell>
          <cell r="B68" t="str">
            <v>S-35-B / -</v>
          </cell>
        </row>
        <row r="69">
          <cell r="A69" t="str">
            <v>S-36-B</v>
          </cell>
          <cell r="B69" t="str">
            <v>S-36-B / -</v>
          </cell>
        </row>
        <row r="70">
          <cell r="A70" t="str">
            <v>S-37-B</v>
          </cell>
          <cell r="B70" t="str">
            <v>S-37-B / -</v>
          </cell>
        </row>
        <row r="71">
          <cell r="A71" t="str">
            <v>S-38-B</v>
          </cell>
          <cell r="B71" t="str">
            <v>S-38-B / -</v>
          </cell>
        </row>
        <row r="72">
          <cell r="A72" t="str">
            <v>S-39-B</v>
          </cell>
          <cell r="B72" t="str">
            <v>S-39-B / -</v>
          </cell>
        </row>
        <row r="73">
          <cell r="A73" t="str">
            <v>S-40-B</v>
          </cell>
          <cell r="B73" t="str">
            <v>S-40-B / -</v>
          </cell>
        </row>
        <row r="74">
          <cell r="A74" t="str">
            <v>S-41-B</v>
          </cell>
          <cell r="B74" t="str">
            <v>S-41-B / -</v>
          </cell>
        </row>
        <row r="75">
          <cell r="A75" t="str">
            <v>S-42-B</v>
          </cell>
          <cell r="B75" t="str">
            <v>S-42-B / -</v>
          </cell>
        </row>
        <row r="76">
          <cell r="A76" t="str">
            <v>S-43-B</v>
          </cell>
          <cell r="B76" t="str">
            <v>S-43-B / -</v>
          </cell>
        </row>
        <row r="77">
          <cell r="A77" t="str">
            <v>S-44-B</v>
          </cell>
          <cell r="B77" t="str">
            <v>S-44-B / -</v>
          </cell>
        </row>
        <row r="78">
          <cell r="A78" t="str">
            <v>S-45-B</v>
          </cell>
          <cell r="B78" t="str">
            <v>S-45-B / -</v>
          </cell>
        </row>
        <row r="79">
          <cell r="A79" t="str">
            <v>S-46-B</v>
          </cell>
          <cell r="B79" t="str">
            <v>S-46-B / -</v>
          </cell>
        </row>
        <row r="80">
          <cell r="A80" t="str">
            <v>S-47-B</v>
          </cell>
          <cell r="B80" t="str">
            <v>S-47-B / -</v>
          </cell>
        </row>
        <row r="81">
          <cell r="A81" t="str">
            <v>S-48-B</v>
          </cell>
          <cell r="B81" t="str">
            <v>S-48-B / -</v>
          </cell>
          <cell r="BI81" t="str">
            <v>1P</v>
          </cell>
          <cell r="BJ81" t="str">
            <v>DOMICILIO EX. S.E.</v>
          </cell>
        </row>
        <row r="82">
          <cell r="A82" t="str">
            <v>S-49-B</v>
          </cell>
          <cell r="B82" t="str">
            <v>S-49-B / -</v>
          </cell>
        </row>
        <row r="84">
          <cell r="A84" t="str">
            <v>PTL-11</v>
          </cell>
          <cell r="B84" t="str">
            <v>PTL-11 / S.O.M. SANZANA DIAZ JORGE  LA-042</v>
          </cell>
          <cell r="BS84" t="str">
            <v>1P</v>
          </cell>
          <cell r="BT84" t="str">
            <v>ARIETE 12</v>
          </cell>
          <cell r="BU84" t="str">
            <v>1P</v>
          </cell>
          <cell r="BV84" t="str">
            <v>ARIETE 15</v>
          </cell>
          <cell r="BW84" t="str">
            <v>1P</v>
          </cell>
          <cell r="BX84" t="str">
            <v>ARIETE 15</v>
          </cell>
          <cell r="BY84" t="str">
            <v>1P</v>
          </cell>
          <cell r="BZ84" t="str">
            <v>ARIETE 16</v>
          </cell>
          <cell r="CA84" t="str">
            <v>1p</v>
          </cell>
          <cell r="CB84" t="str">
            <v>ARIETE 16</v>
          </cell>
        </row>
        <row r="85">
          <cell r="A85" t="str">
            <v>PTL-12</v>
          </cell>
          <cell r="B85" t="str">
            <v xml:space="preserve">PTL-12 / - </v>
          </cell>
          <cell r="BG85" t="str">
            <v>1P</v>
          </cell>
          <cell r="BH85" t="str">
            <v>ARIETE C40-B</v>
          </cell>
          <cell r="BI85" t="str">
            <v>F</v>
          </cell>
          <cell r="BJ85" t="str">
            <v>FRANCO</v>
          </cell>
          <cell r="BK85" t="str">
            <v>F</v>
          </cell>
          <cell r="BL85" t="str">
            <v>FRANCO</v>
          </cell>
          <cell r="BM85" t="str">
            <v>F</v>
          </cell>
          <cell r="BN85" t="str">
            <v>FRANCO</v>
          </cell>
        </row>
        <row r="86">
          <cell r="A86" t="str">
            <v>PTL-13</v>
          </cell>
          <cell r="B86" t="str">
            <v>PTL-13 / SUBOFICIAL MUÑOZ BRAVO MARCELO ALEXIS LA-044</v>
          </cell>
          <cell r="BG86" t="str">
            <v>1P</v>
          </cell>
          <cell r="BH86" t="str">
            <v>ARIETE 15</v>
          </cell>
          <cell r="BI86" t="str">
            <v>F</v>
          </cell>
          <cell r="BJ86" t="str">
            <v>FRANCO</v>
          </cell>
          <cell r="BK86" t="str">
            <v>F</v>
          </cell>
          <cell r="BL86" t="str">
            <v>FRANCO</v>
          </cell>
          <cell r="BM86" t="str">
            <v>F</v>
          </cell>
          <cell r="BN86" t="str">
            <v>FRANCO</v>
          </cell>
          <cell r="BO86" t="str">
            <v>1P</v>
          </cell>
          <cell r="BP86" t="str">
            <v>ARIETE 12</v>
          </cell>
          <cell r="BQ86" t="str">
            <v>1P</v>
          </cell>
          <cell r="BR86" t="str">
            <v>ARIETE 12</v>
          </cell>
          <cell r="BS86" t="str">
            <v>2T</v>
          </cell>
          <cell r="BT86" t="str">
            <v>BAQUEDANO</v>
          </cell>
          <cell r="BU86" t="str">
            <v>F</v>
          </cell>
          <cell r="BV86" t="str">
            <v>FRANCO</v>
          </cell>
          <cell r="BW86" t="str">
            <v>F</v>
          </cell>
          <cell r="BX86" t="str">
            <v>FRANCO</v>
          </cell>
          <cell r="BY86" t="str">
            <v>1P</v>
          </cell>
          <cell r="BZ86" t="str">
            <v>ARIETE C40-A</v>
          </cell>
          <cell r="CA86" t="str">
            <v>1P</v>
          </cell>
          <cell r="CB86" t="str">
            <v>ARIETE 12</v>
          </cell>
        </row>
        <row r="87">
          <cell r="A87" t="str">
            <v>PTL-14</v>
          </cell>
          <cell r="B87" t="str">
            <v>PTL-14 / SUBOFICIAL JUANICOTENA TAPIA  MANUEL ( C ) LA-064</v>
          </cell>
          <cell r="BG87" t="str">
            <v>1P</v>
          </cell>
          <cell r="BH87" t="str">
            <v>ARIETE 16</v>
          </cell>
          <cell r="BI87" t="str">
            <v>2P</v>
          </cell>
          <cell r="BJ87" t="str">
            <v>ARIETE NOCTURNO</v>
          </cell>
          <cell r="BK87" t="str">
            <v>F</v>
          </cell>
          <cell r="BL87" t="str">
            <v>SALIENTE SERVICIO</v>
          </cell>
          <cell r="BM87" t="str">
            <v>1P</v>
          </cell>
          <cell r="BN87" t="str">
            <v>BAQUEDANO</v>
          </cell>
          <cell r="BO87" t="str">
            <v>1P</v>
          </cell>
          <cell r="BP87" t="str">
            <v>BAQUEDANO</v>
          </cell>
          <cell r="BQ87" t="str">
            <v>1P</v>
          </cell>
          <cell r="BR87" t="str">
            <v>ARIETE 16</v>
          </cell>
          <cell r="BS87" t="str">
            <v>2P</v>
          </cell>
          <cell r="BT87" t="str">
            <v>ARIETE NOCTURNO</v>
          </cell>
          <cell r="BU87" t="str">
            <v>F</v>
          </cell>
          <cell r="BV87" t="str">
            <v>SALIENTE ARIETE NOCTURNO</v>
          </cell>
          <cell r="BW87" t="str">
            <v>1P</v>
          </cell>
          <cell r="BX87" t="str">
            <v>ARIETE 22</v>
          </cell>
          <cell r="BY87" t="str">
            <v>1P</v>
          </cell>
          <cell r="BZ87" t="str">
            <v>BAQUEDANO</v>
          </cell>
          <cell r="CA87" t="str">
            <v>1P</v>
          </cell>
          <cell r="CB87" t="str">
            <v>ARIETE 15</v>
          </cell>
        </row>
        <row r="88">
          <cell r="A88" t="str">
            <v>PTL-15</v>
          </cell>
          <cell r="B88" t="str">
            <v xml:space="preserve">PTL-15 / - </v>
          </cell>
        </row>
        <row r="89">
          <cell r="A89" t="str">
            <v>PTL-16</v>
          </cell>
          <cell r="B89" t="str">
            <v>PTL-16 / SGTO 2DO. SAN MARTIN FIGUEROA OMAR ALEJANDRO  ( C ) LA-060</v>
          </cell>
          <cell r="BS89" t="str">
            <v>1P</v>
          </cell>
          <cell r="BT89" t="str">
            <v>ARIETE 16</v>
          </cell>
          <cell r="BU89" t="str">
            <v>1P</v>
          </cell>
          <cell r="BV89" t="str">
            <v>BAQUEDANO</v>
          </cell>
          <cell r="BW89" t="str">
            <v>2P</v>
          </cell>
          <cell r="BX89" t="str">
            <v>ARIETE NOCTURNO</v>
          </cell>
          <cell r="BY89" t="str">
            <v>F</v>
          </cell>
          <cell r="BZ89" t="str">
            <v>SALIENTE DE NOCHE</v>
          </cell>
          <cell r="CA89" t="str">
            <v>1P</v>
          </cell>
          <cell r="CB89" t="str">
            <v>BAQUEDANO</v>
          </cell>
        </row>
        <row r="90">
          <cell r="A90" t="str">
            <v>PTL-17</v>
          </cell>
          <cell r="B90" t="str">
            <v xml:space="preserve">PTL-17 / - </v>
          </cell>
          <cell r="BG90" t="str">
            <v>1P</v>
          </cell>
          <cell r="BH90" t="str">
            <v>ARIETE 12</v>
          </cell>
          <cell r="BI90" t="str">
            <v>1P</v>
          </cell>
          <cell r="BJ90" t="str">
            <v>ARIETE 20</v>
          </cell>
          <cell r="BK90" t="str">
            <v>1P</v>
          </cell>
          <cell r="BL90" t="str">
            <v>ARIETE 21</v>
          </cell>
          <cell r="BM90" t="str">
            <v>2P</v>
          </cell>
          <cell r="BN90" t="str">
            <v>ARIETE NOCTURNO</v>
          </cell>
          <cell r="BO90" t="str">
            <v>F</v>
          </cell>
          <cell r="BP90" t="str">
            <v>SALIENTE SERVICIO NOCTURNO</v>
          </cell>
          <cell r="BQ90" t="str">
            <v>1P</v>
          </cell>
          <cell r="BR90" t="str">
            <v>BAQUEDANO</v>
          </cell>
          <cell r="BS90" t="str">
            <v>1P</v>
          </cell>
          <cell r="BT90" t="str">
            <v>ARIETE C40-A</v>
          </cell>
        </row>
        <row r="91">
          <cell r="A91" t="str">
            <v>PTL-18</v>
          </cell>
          <cell r="B91" t="str">
            <v>PTL-18 / SGTO 1RO. RODRIGUEZ GAETE JOSE DIONISIO LA-061</v>
          </cell>
          <cell r="BG91" t="str">
            <v>2P</v>
          </cell>
          <cell r="BH91" t="str">
            <v>ARIETE NOCTURNO</v>
          </cell>
          <cell r="BI91" t="str">
            <v>F</v>
          </cell>
          <cell r="BJ91" t="str">
            <v>SALIENTE DE NOCHE</v>
          </cell>
          <cell r="BK91" t="str">
            <v>1P</v>
          </cell>
          <cell r="BL91" t="str">
            <v>PLAZA BAQUEDANO</v>
          </cell>
          <cell r="BM91" t="str">
            <v>1P</v>
          </cell>
          <cell r="BN91" t="str">
            <v>ARIETE C40-C</v>
          </cell>
          <cell r="BO91" t="str">
            <v>1P</v>
          </cell>
          <cell r="BP91" t="str">
            <v>ARIETE 20</v>
          </cell>
          <cell r="BQ91" t="str">
            <v>2P</v>
          </cell>
          <cell r="BR91" t="str">
            <v>ARIETE NOCTURNO</v>
          </cell>
          <cell r="BS91" t="str">
            <v>F</v>
          </cell>
          <cell r="BT91" t="str">
            <v>SALIENTE DE SERVICIO</v>
          </cell>
          <cell r="BU91" t="str">
            <v>1P</v>
          </cell>
          <cell r="BV91" t="str">
            <v>ARIETE C40-A</v>
          </cell>
          <cell r="BW91" t="str">
            <v>1P</v>
          </cell>
          <cell r="BX91" t="str">
            <v>ARIETE C40-A</v>
          </cell>
          <cell r="BY91" t="str">
            <v>1P</v>
          </cell>
          <cell r="BZ91" t="str">
            <v>ARIETE 11</v>
          </cell>
          <cell r="CA91" t="str">
            <v>1P</v>
          </cell>
          <cell r="CB91" t="str">
            <v>ARIETE 11</v>
          </cell>
          <cell r="CC91" t="str">
            <v>1P</v>
          </cell>
          <cell r="CD91" t="str">
            <v>ARIETE 11</v>
          </cell>
          <cell r="CE91" t="str">
            <v>1P</v>
          </cell>
          <cell r="CF91" t="str">
            <v>ARIETE 11</v>
          </cell>
        </row>
        <row r="92">
          <cell r="A92" t="str">
            <v>PTL-19</v>
          </cell>
          <cell r="B92" t="str">
            <v>PTL-19 / SGTO 2DO. MELLA MORALES MARCO ALEXIS LA-020</v>
          </cell>
          <cell r="BG92" t="str">
            <v>F</v>
          </cell>
          <cell r="BH92" t="str">
            <v>SALIENTE DE NOCHE</v>
          </cell>
          <cell r="BI92" t="str">
            <v>1P</v>
          </cell>
          <cell r="BJ92" t="str">
            <v>PLAZA BAQUEDANO</v>
          </cell>
          <cell r="BK92" t="str">
            <v>1P</v>
          </cell>
          <cell r="BL92" t="str">
            <v>ARIETE 16</v>
          </cell>
          <cell r="BM92" t="str">
            <v>1P</v>
          </cell>
          <cell r="BN92" t="str">
            <v>ARIETE 17</v>
          </cell>
          <cell r="BO92" t="str">
            <v>2P</v>
          </cell>
          <cell r="BP92" t="str">
            <v>ARIETE NOCTURNO</v>
          </cell>
          <cell r="BQ92" t="str">
            <v>F</v>
          </cell>
          <cell r="BR92" t="str">
            <v xml:space="preserve">SALIENTE SERVIVIO </v>
          </cell>
          <cell r="BS92" t="str">
            <v>1P</v>
          </cell>
          <cell r="BT92" t="str">
            <v>ARIETE 21</v>
          </cell>
          <cell r="BU92" t="str">
            <v>1P</v>
          </cell>
          <cell r="BV92" t="str">
            <v>ARIETE 22</v>
          </cell>
          <cell r="BW92" t="str">
            <v>1P</v>
          </cell>
          <cell r="BX92" t="str">
            <v>BAQUEDANO</v>
          </cell>
          <cell r="BY92" t="str">
            <v>2P</v>
          </cell>
          <cell r="BZ92" t="str">
            <v>ARIETE NOCTURNO</v>
          </cell>
          <cell r="CA92" t="str">
            <v>F</v>
          </cell>
          <cell r="CB92" t="str">
            <v>SALIENTE DE ARIETE NOCTURNO</v>
          </cell>
        </row>
        <row r="93">
          <cell r="A93" t="str">
            <v>PTL-20</v>
          </cell>
          <cell r="B93" t="str">
            <v>PTL-20 / SGTO 2DO. CAAMAÑO JARA RODRIGO ALEJANDRO ( C ) LA-065</v>
          </cell>
          <cell r="BG93" t="str">
            <v>1P</v>
          </cell>
          <cell r="BH93" t="str">
            <v>ARIETE 21</v>
          </cell>
          <cell r="BI93" t="str">
            <v>1P</v>
          </cell>
          <cell r="BJ93" t="str">
            <v>ESCUADRON 16</v>
          </cell>
          <cell r="BK93" t="str">
            <v>2P</v>
          </cell>
          <cell r="BL93" t="str">
            <v>ARIETE NOCTURNO</v>
          </cell>
          <cell r="BM93" t="str">
            <v>F</v>
          </cell>
          <cell r="BN93" t="str">
            <v>SALIENTE DE NOCHE</v>
          </cell>
          <cell r="BO93" t="str">
            <v>1P</v>
          </cell>
          <cell r="BP93" t="str">
            <v>ARIETE 11</v>
          </cell>
          <cell r="BQ93" t="str">
            <v>1P</v>
          </cell>
          <cell r="BR93" t="str">
            <v>ARIETE 21</v>
          </cell>
          <cell r="BU93" t="str">
            <v>2P</v>
          </cell>
          <cell r="BV93" t="str">
            <v>ARIETE NOCTURNO</v>
          </cell>
          <cell r="BW93" t="str">
            <v>F</v>
          </cell>
          <cell r="BX93" t="str">
            <v>SALIENTE ARIETE NOCTURNO</v>
          </cell>
          <cell r="BY93" t="str">
            <v>1P</v>
          </cell>
          <cell r="BZ93" t="str">
            <v>ARIETE 20</v>
          </cell>
          <cell r="CA93" t="str">
            <v>2P</v>
          </cell>
          <cell r="CB93" t="str">
            <v>ARIETE NOCTURNO</v>
          </cell>
        </row>
        <row r="94">
          <cell r="A94" t="str">
            <v>PTL-21</v>
          </cell>
          <cell r="B94" t="str">
            <v xml:space="preserve">PTL-21 / - </v>
          </cell>
          <cell r="BG94" t="str">
            <v>1P</v>
          </cell>
          <cell r="BH94" t="str">
            <v>ARIETE 11</v>
          </cell>
        </row>
        <row r="95">
          <cell r="A95" t="str">
            <v>PTL-22</v>
          </cell>
          <cell r="B95" t="str">
            <v xml:space="preserve">PTL-22 / - </v>
          </cell>
          <cell r="BI95" t="str">
            <v>1P</v>
          </cell>
          <cell r="BJ95" t="str">
            <v>ESCUADRON C40-B</v>
          </cell>
          <cell r="BK95" t="str">
            <v>1P</v>
          </cell>
          <cell r="BL95" t="str">
            <v>ARIETE 11</v>
          </cell>
          <cell r="BM95" t="str">
            <v>1P</v>
          </cell>
          <cell r="BN95" t="str">
            <v>ARIETE 16</v>
          </cell>
          <cell r="BO95" t="str">
            <v>1P</v>
          </cell>
          <cell r="BP95" t="str">
            <v>ARIETE 16</v>
          </cell>
          <cell r="BQ95" t="str">
            <v>1P</v>
          </cell>
          <cell r="BR95" t="str">
            <v>ARIETE 11</v>
          </cell>
        </row>
        <row r="96">
          <cell r="A96" t="str">
            <v>PTL-EV</v>
          </cell>
          <cell r="B96" t="str">
            <v>PTL-EV / SGTO 2DO. ORTIZ NOVA PATRICIO EDUARDO  ( C ) LA-062</v>
          </cell>
          <cell r="BG96" t="str">
            <v>AG.</v>
          </cell>
          <cell r="BH96" t="str">
            <v>COMISION ANTOFAGASTA</v>
          </cell>
          <cell r="BI96" t="str">
            <v>AG.</v>
          </cell>
          <cell r="BJ96" t="str">
            <v>COMISION ANTOFAGASTA</v>
          </cell>
          <cell r="BK96" t="str">
            <v>AG.</v>
          </cell>
          <cell r="BL96" t="str">
            <v>COMISION ANTOFAGASTA</v>
          </cell>
          <cell r="BM96" t="str">
            <v>AG.</v>
          </cell>
          <cell r="BN96" t="str">
            <v>COMISIÓN ANTOFAGASTA</v>
          </cell>
          <cell r="BO96" t="str">
            <v>AG.</v>
          </cell>
          <cell r="BP96" t="str">
            <v>COMISIÓN ANTOFAGASTA</v>
          </cell>
          <cell r="BQ96" t="str">
            <v>AG.</v>
          </cell>
          <cell r="BR96" t="str">
            <v>COMISIÓN ANTOFAGASTA</v>
          </cell>
          <cell r="BS96" t="str">
            <v>AG.</v>
          </cell>
          <cell r="BT96" t="str">
            <v>COMISIÓN ANTOFAGASTA</v>
          </cell>
          <cell r="BU96" t="str">
            <v>AG.</v>
          </cell>
          <cell r="BV96" t="str">
            <v>COMISIÓN ANTOFAGASTA</v>
          </cell>
          <cell r="BW96" t="str">
            <v>AG.</v>
          </cell>
          <cell r="BX96" t="str">
            <v>COMISIÓN ANTOFAGASTA</v>
          </cell>
          <cell r="BY96" t="str">
            <v>AG.</v>
          </cell>
          <cell r="BZ96" t="str">
            <v>COMISIÓN ANTOFAGASTA</v>
          </cell>
          <cell r="CA96" t="str">
            <v>AG.</v>
          </cell>
          <cell r="CB96" t="str">
            <v>COMISIÓN ANTOFAGASTA</v>
          </cell>
          <cell r="CC96" t="str">
            <v>AG.</v>
          </cell>
          <cell r="CD96" t="str">
            <v>COMISIÓN ANTOFAGASTA</v>
          </cell>
          <cell r="CE96" t="str">
            <v>AG.</v>
          </cell>
          <cell r="CF96" t="str">
            <v>COMISIÓN ANTOFAGASTA</v>
          </cell>
          <cell r="CG96" t="str">
            <v>AG.</v>
          </cell>
          <cell r="CH96" t="str">
            <v>COMISIÓN ANTOFAGASTA</v>
          </cell>
          <cell r="CI96" t="str">
            <v>AG.</v>
          </cell>
          <cell r="CJ96" t="str">
            <v>COMISIÓN ANTOFAGASTA</v>
          </cell>
          <cell r="CK96" t="str">
            <v>AG.</v>
          </cell>
          <cell r="CL96" t="str">
            <v>COMISIÓN ANTOFAGASTA</v>
          </cell>
          <cell r="CM96" t="str">
            <v>AG.</v>
          </cell>
          <cell r="CN96" t="str">
            <v>COMISIÓN ANTOFAGASTA</v>
          </cell>
          <cell r="CO96" t="str">
            <v>AG.</v>
          </cell>
          <cell r="CP96" t="str">
            <v>COMISIÓN ANTOFAGASTA</v>
          </cell>
          <cell r="CQ96" t="str">
            <v>AG.</v>
          </cell>
          <cell r="CR96" t="str">
            <v>COMISIÓN ANTOFAGASTA</v>
          </cell>
          <cell r="CS96" t="str">
            <v>AG.</v>
          </cell>
          <cell r="CT96" t="str">
            <v>COMISIÓN ANTOFAGASTA</v>
          </cell>
          <cell r="CU96" t="str">
            <v>AG.</v>
          </cell>
          <cell r="CV96" t="str">
            <v>COMISIÓN ANTOFAGASTA</v>
          </cell>
          <cell r="CW96" t="str">
            <v>AG.</v>
          </cell>
          <cell r="CX96" t="str">
            <v>COMISIÓN ANTOFAGASTA</v>
          </cell>
          <cell r="CY96" t="str">
            <v>AG.</v>
          </cell>
          <cell r="CZ96" t="str">
            <v>COMISIÓN ANTOFAGASTA</v>
          </cell>
          <cell r="DA96" t="str">
            <v>AG.</v>
          </cell>
          <cell r="DB96" t="str">
            <v>COMISIÓN ANTOFAGASTA</v>
          </cell>
          <cell r="DC96" t="str">
            <v>AG.</v>
          </cell>
          <cell r="DD96" t="str">
            <v>COMISIÓN ANTOFAGASTA</v>
          </cell>
        </row>
        <row r="97">
          <cell r="A97" t="str">
            <v>PTL-EV-2</v>
          </cell>
          <cell r="B97" t="str">
            <v xml:space="preserve">PTL-EV-2 / - </v>
          </cell>
          <cell r="BG97" t="str">
            <v>1P</v>
          </cell>
          <cell r="BH97" t="str">
            <v>PLAZA BAQUEDANO</v>
          </cell>
        </row>
      </sheetData>
      <sheetData sheetId="10" refreshError="1"/>
      <sheetData sheetId="11"/>
      <sheetData sheetId="12">
        <row r="3">
          <cell r="B3" t="str">
            <v>A/C</v>
          </cell>
          <cell r="C3" t="str">
            <v>CORONEL</v>
          </cell>
          <cell r="D3">
            <v>1</v>
          </cell>
          <cell r="E3" t="str">
            <v>PREFECTURA COP</v>
          </cell>
          <cell r="F3" t="str">
            <v>G1-E</v>
          </cell>
          <cell r="G3" t="str">
            <v>PTR-1</v>
          </cell>
          <cell r="H3" t="str">
            <v>PTR-1</v>
          </cell>
          <cell r="I3" t="str">
            <v>G1-E</v>
          </cell>
          <cell r="J3" t="str">
            <v>FERIADO</v>
          </cell>
          <cell r="K3" t="str">
            <v>FER.</v>
          </cell>
          <cell r="M3" t="str">
            <v>1G</v>
          </cell>
          <cell r="N3" t="str">
            <v>OPERATIVO</v>
          </cell>
          <cell r="O3" t="str">
            <v>JEFE/S-EV</v>
          </cell>
          <cell r="P3" t="str">
            <v>S-EV</v>
          </cell>
          <cell r="Q3" t="str">
            <v>PNS O/S</v>
          </cell>
          <cell r="R3" t="str">
            <v>O/S</v>
          </cell>
          <cell r="S3">
            <v>1</v>
          </cell>
          <cell r="T3" t="str">
            <v>G1-E</v>
          </cell>
          <cell r="U3">
            <v>0</v>
          </cell>
          <cell r="V3">
            <v>0</v>
          </cell>
          <cell r="W3">
            <v>1</v>
          </cell>
          <cell r="X3" t="str">
            <v>A/J</v>
          </cell>
          <cell r="AA3" t="str">
            <v>HOMBRE</v>
          </cell>
        </row>
        <row r="4">
          <cell r="B4" t="str">
            <v>AA-023</v>
          </cell>
          <cell r="C4" t="str">
            <v>TTE. CRL.</v>
          </cell>
          <cell r="D4">
            <v>2</v>
          </cell>
          <cell r="E4" t="str">
            <v>40° COMISARIA COP</v>
          </cell>
          <cell r="F4" t="str">
            <v>G2-E</v>
          </cell>
          <cell r="G4" t="str">
            <v>PTR-2</v>
          </cell>
          <cell r="H4" t="str">
            <v>PTR-2</v>
          </cell>
          <cell r="I4" t="str">
            <v>G2-E</v>
          </cell>
          <cell r="J4" t="str">
            <v>LICENCIA ACCIDENTE EN ACTO DE SERVICIO</v>
          </cell>
          <cell r="K4" t="str">
            <v>LIC.</v>
          </cell>
          <cell r="L4">
            <v>0.25</v>
          </cell>
          <cell r="M4" t="str">
            <v>1P</v>
          </cell>
          <cell r="N4" t="str">
            <v>OPERATIVO</v>
          </cell>
          <cell r="O4" t="str">
            <v>JEFE/S-EV-2</v>
          </cell>
          <cell r="P4" t="str">
            <v>S-EV-2</v>
          </cell>
          <cell r="Q4" t="str">
            <v>PNI O/S</v>
          </cell>
          <cell r="R4" t="str">
            <v>O/S</v>
          </cell>
          <cell r="S4">
            <v>1</v>
          </cell>
          <cell r="T4" t="str">
            <v>PTR-1</v>
          </cell>
          <cell r="U4">
            <v>0</v>
          </cell>
          <cell r="V4">
            <v>0</v>
          </cell>
          <cell r="W4">
            <v>2</v>
          </cell>
          <cell r="X4" t="str">
            <v>AA-1</v>
          </cell>
          <cell r="AA4" t="str">
            <v>MUJER</v>
          </cell>
        </row>
        <row r="5">
          <cell r="B5" t="str">
            <v>AA-054</v>
          </cell>
          <cell r="C5" t="str">
            <v xml:space="preserve">MAYOR </v>
          </cell>
          <cell r="D5">
            <v>3</v>
          </cell>
          <cell r="E5" t="str">
            <v>DENTRO ZONA</v>
          </cell>
          <cell r="F5" t="str">
            <v>G3-E</v>
          </cell>
          <cell r="G5" t="str">
            <v>PTR-3</v>
          </cell>
          <cell r="H5" t="str">
            <v>PTR-3</v>
          </cell>
          <cell r="I5" t="str">
            <v>G3-E</v>
          </cell>
          <cell r="J5" t="str">
            <v>LICENCIA ENFERMEDAD GRAVE HIJO MENOR DE UN AÑO</v>
          </cell>
          <cell r="K5" t="str">
            <v>LIC.</v>
          </cell>
          <cell r="L5">
            <v>0.26041666666666669</v>
          </cell>
          <cell r="M5" t="str">
            <v>1T</v>
          </cell>
          <cell r="N5" t="str">
            <v>OPERATIVO</v>
          </cell>
          <cell r="O5" t="str">
            <v>JEFE/PTL-11</v>
          </cell>
          <cell r="P5" t="str">
            <v>PTL-11</v>
          </cell>
          <cell r="Q5" t="str">
            <v>JUSTICIA</v>
          </cell>
          <cell r="R5" t="str">
            <v>JUSTICIA</v>
          </cell>
          <cell r="S5">
            <v>2</v>
          </cell>
          <cell r="T5" t="str">
            <v>G2-E</v>
          </cell>
          <cell r="U5">
            <v>1</v>
          </cell>
          <cell r="V5">
            <v>1</v>
          </cell>
          <cell r="W5">
            <v>3</v>
          </cell>
          <cell r="X5" t="str">
            <v>AA-2</v>
          </cell>
        </row>
        <row r="6">
          <cell r="B6" t="str">
            <v>AB-255</v>
          </cell>
          <cell r="C6" t="str">
            <v>CAPITÁN</v>
          </cell>
          <cell r="D6">
            <v>4</v>
          </cell>
          <cell r="E6" t="str">
            <v>FUERA ZONA</v>
          </cell>
          <cell r="F6" t="str">
            <v>G4-E</v>
          </cell>
          <cell r="G6" t="str">
            <v>PTR-4</v>
          </cell>
          <cell r="H6" t="str">
            <v>PTR-4</v>
          </cell>
          <cell r="I6" t="str">
            <v>G4-E</v>
          </cell>
          <cell r="J6" t="str">
            <v>LICENCIA ENFERMEDAD O ACCIDENTE COMÚN</v>
          </cell>
          <cell r="K6" t="str">
            <v>LIC.</v>
          </cell>
          <cell r="L6">
            <v>0.27083333333333331</v>
          </cell>
          <cell r="M6" t="str">
            <v>2G</v>
          </cell>
          <cell r="N6" t="str">
            <v>OPERATIVO</v>
          </cell>
          <cell r="O6" t="str">
            <v>JEFE/PTL-12</v>
          </cell>
          <cell r="P6" t="str">
            <v>PTL-12</v>
          </cell>
          <cell r="Q6" t="str">
            <v>SEC.</v>
          </cell>
          <cell r="R6" t="str">
            <v>SEC.</v>
          </cell>
          <cell r="S6">
            <v>3</v>
          </cell>
          <cell r="T6" t="str">
            <v>PTR-2</v>
          </cell>
          <cell r="U6">
            <v>1</v>
          </cell>
          <cell r="V6">
            <v>1</v>
          </cell>
          <cell r="W6">
            <v>4</v>
          </cell>
          <cell r="X6" t="str">
            <v>AGREGADOS</v>
          </cell>
        </row>
        <row r="7">
          <cell r="B7" t="str">
            <v>AB-272</v>
          </cell>
          <cell r="C7" t="str">
            <v>TENIENTE</v>
          </cell>
          <cell r="D7">
            <v>5</v>
          </cell>
          <cell r="F7" t="str">
            <v>C40</v>
          </cell>
          <cell r="G7" t="str">
            <v>PTR-5</v>
          </cell>
          <cell r="H7" t="str">
            <v>PTR-5</v>
          </cell>
          <cell r="I7" t="str">
            <v>C40</v>
          </cell>
          <cell r="J7" t="str">
            <v>LICENCIA ENFERMEDAD PROFESIONAL</v>
          </cell>
          <cell r="K7" t="str">
            <v>LIC.</v>
          </cell>
          <cell r="L7">
            <v>0.28125</v>
          </cell>
          <cell r="M7" t="str">
            <v>2P</v>
          </cell>
          <cell r="N7" t="str">
            <v>OPERATIVO</v>
          </cell>
          <cell r="O7" t="str">
            <v>JEFE/PTL-13</v>
          </cell>
          <cell r="P7" t="str">
            <v>PTL-13</v>
          </cell>
          <cell r="Q7" t="str">
            <v>A/L</v>
          </cell>
          <cell r="R7" t="str">
            <v>A/L</v>
          </cell>
          <cell r="S7">
            <v>4</v>
          </cell>
          <cell r="T7" t="str">
            <v>G3-E</v>
          </cell>
          <cell r="U7">
            <v>2</v>
          </cell>
          <cell r="V7">
            <v>2</v>
          </cell>
          <cell r="W7">
            <v>5</v>
          </cell>
          <cell r="X7" t="str">
            <v>APOYO REGIMEN INTERNO</v>
          </cell>
        </row>
        <row r="8">
          <cell r="B8" t="str">
            <v>AB-273</v>
          </cell>
          <cell r="C8" t="str">
            <v>SUBTENIENTE</v>
          </cell>
          <cell r="D8">
            <v>6</v>
          </cell>
          <cell r="F8" t="str">
            <v>JO-40</v>
          </cell>
          <cell r="G8" t="str">
            <v>PTR-6</v>
          </cell>
          <cell r="H8" t="str">
            <v>PTR-6</v>
          </cell>
          <cell r="I8" t="str">
            <v>JO-40</v>
          </cell>
          <cell r="J8" t="str">
            <v>LICENCIA MATERNAL POST NATAL</v>
          </cell>
          <cell r="K8" t="str">
            <v>LIC.</v>
          </cell>
          <cell r="L8">
            <v>0.29166666666666702</v>
          </cell>
          <cell r="M8" t="str">
            <v>2T</v>
          </cell>
          <cell r="N8" t="str">
            <v>OPERATIVO</v>
          </cell>
          <cell r="O8" t="str">
            <v>JEFE/PTL-14</v>
          </cell>
          <cell r="P8" t="str">
            <v>PTL-14</v>
          </cell>
          <cell r="Q8" t="str">
            <v>CPR</v>
          </cell>
          <cell r="R8" t="str">
            <v>CPR</v>
          </cell>
          <cell r="S8">
            <v>5</v>
          </cell>
          <cell r="T8" t="str">
            <v>PTR-3</v>
          </cell>
          <cell r="U8">
            <v>2</v>
          </cell>
          <cell r="V8">
            <v>2</v>
          </cell>
          <cell r="W8">
            <v>6</v>
          </cell>
          <cell r="X8" t="str">
            <v>ARCHIVERO</v>
          </cell>
        </row>
        <row r="9">
          <cell r="B9" t="str">
            <v>AB-347</v>
          </cell>
          <cell r="C9" t="str">
            <v>S.O.M.</v>
          </cell>
          <cell r="D9">
            <v>7</v>
          </cell>
          <cell r="F9" t="str">
            <v>C40-A</v>
          </cell>
          <cell r="G9" t="str">
            <v>PTR-7</v>
          </cell>
          <cell r="H9" t="str">
            <v>PTR-7</v>
          </cell>
          <cell r="I9" t="str">
            <v>C40-A</v>
          </cell>
          <cell r="J9" t="str">
            <v>LICENCIA MATERNAL PRE NATAL</v>
          </cell>
          <cell r="K9" t="str">
            <v>LIC.</v>
          </cell>
          <cell r="L9">
            <v>0.30208333333333298</v>
          </cell>
          <cell r="M9" t="str">
            <v>3T</v>
          </cell>
          <cell r="N9" t="str">
            <v>OPERATIVO</v>
          </cell>
          <cell r="O9" t="str">
            <v>JEFE/PTL-15</v>
          </cell>
          <cell r="P9" t="str">
            <v>PTL-15</v>
          </cell>
          <cell r="T9" t="str">
            <v>G4-E</v>
          </cell>
          <cell r="U9">
            <v>3</v>
          </cell>
          <cell r="V9">
            <v>3</v>
          </cell>
          <cell r="W9">
            <v>7</v>
          </cell>
          <cell r="X9" t="str">
            <v>ARMERO ARTIFICIERO</v>
          </cell>
        </row>
        <row r="10">
          <cell r="B10" t="str">
            <v>AB-364</v>
          </cell>
          <cell r="C10" t="str">
            <v>SUBOFICIAL</v>
          </cell>
          <cell r="D10">
            <v>8</v>
          </cell>
          <cell r="F10" t="str">
            <v>C40-B</v>
          </cell>
          <cell r="G10" t="str">
            <v>PTR-8</v>
          </cell>
          <cell r="H10" t="str">
            <v>PTR-8</v>
          </cell>
          <cell r="I10" t="str">
            <v>C40-B</v>
          </cell>
          <cell r="J10" t="str">
            <v>LICENCIA MÉDICA PREVENTIVA PARENTAL</v>
          </cell>
          <cell r="K10" t="str">
            <v>LIC.</v>
          </cell>
          <cell r="L10">
            <v>0.3125</v>
          </cell>
          <cell r="M10" t="str">
            <v>ADM.</v>
          </cell>
          <cell r="N10" t="str">
            <v>OPERATIVO</v>
          </cell>
          <cell r="O10" t="str">
            <v>JEFE/PTL-16</v>
          </cell>
          <cell r="P10" t="str">
            <v>PTL-16</v>
          </cell>
          <cell r="T10" t="str">
            <v>PTR-4</v>
          </cell>
          <cell r="U10">
            <v>3</v>
          </cell>
          <cell r="V10">
            <v>3</v>
          </cell>
          <cell r="W10">
            <v>8</v>
          </cell>
          <cell r="X10" t="str">
            <v>ASISTENTE SOCIAL</v>
          </cell>
        </row>
        <row r="11">
          <cell r="B11" t="str">
            <v>AB-365</v>
          </cell>
          <cell r="C11" t="str">
            <v>SGTO 1RO.</v>
          </cell>
          <cell r="D11">
            <v>9</v>
          </cell>
          <cell r="F11" t="str">
            <v>C40-C</v>
          </cell>
          <cell r="G11" t="str">
            <v>PTR-9</v>
          </cell>
          <cell r="H11" t="str">
            <v>PTR-9</v>
          </cell>
          <cell r="I11" t="str">
            <v>C40-C</v>
          </cell>
          <cell r="J11" t="str">
            <v>LICENCIA PATOLOGÍA DEL EMBARAZO</v>
          </cell>
          <cell r="K11" t="str">
            <v>LIC.</v>
          </cell>
          <cell r="L11">
            <v>0.32291666666666602</v>
          </cell>
          <cell r="M11" t="str">
            <v>AG.</v>
          </cell>
          <cell r="N11" t="str">
            <v>OPERATIVO</v>
          </cell>
          <cell r="O11" t="str">
            <v>JEFE/PTL-17</v>
          </cell>
          <cell r="P11" t="str">
            <v>PTL-17</v>
          </cell>
          <cell r="T11" t="str">
            <v>A/J</v>
          </cell>
          <cell r="U11">
            <v>4</v>
          </cell>
          <cell r="V11">
            <v>4</v>
          </cell>
          <cell r="W11">
            <v>9</v>
          </cell>
          <cell r="X11" t="str">
            <v>AYUDANTÍA</v>
          </cell>
        </row>
        <row r="12">
          <cell r="B12" t="str">
            <v>AB-366</v>
          </cell>
          <cell r="C12" t="str">
            <v>SGTO 2DO.</v>
          </cell>
          <cell r="D12">
            <v>10</v>
          </cell>
          <cell r="F12" t="str">
            <v>GRIFO 11</v>
          </cell>
          <cell r="G12" t="str">
            <v>PTR-G-11</v>
          </cell>
          <cell r="H12" t="str">
            <v>PTR-G-11</v>
          </cell>
          <cell r="I12" t="str">
            <v>GRIFO 11</v>
          </cell>
          <cell r="J12" t="str">
            <v>LICENCIA PRORROGA MEDICINA PREVENTIVA</v>
          </cell>
          <cell r="K12" t="str">
            <v>LIC.</v>
          </cell>
          <cell r="L12">
            <v>0.33333333333333298</v>
          </cell>
          <cell r="M12" t="str">
            <v>BAJA</v>
          </cell>
          <cell r="N12" t="str">
            <v>NO OPERATIVO</v>
          </cell>
          <cell r="O12" t="str">
            <v>JEFE/PTL-18</v>
          </cell>
          <cell r="P12" t="str">
            <v>PTL-18</v>
          </cell>
          <cell r="T12" t="str">
            <v>ARMERO ARTIFICIERO</v>
          </cell>
          <cell r="U12">
            <v>1</v>
          </cell>
          <cell r="W12">
            <v>10</v>
          </cell>
          <cell r="X12" t="str">
            <v>C40</v>
          </cell>
        </row>
        <row r="13">
          <cell r="B13" t="str">
            <v>AB-369</v>
          </cell>
          <cell r="C13" t="str">
            <v>CABO 1RO.</v>
          </cell>
          <cell r="D13">
            <v>11</v>
          </cell>
          <cell r="F13" t="str">
            <v>GRIFO 12</v>
          </cell>
          <cell r="G13" t="str">
            <v>PTR-G-12</v>
          </cell>
          <cell r="H13" t="str">
            <v>PTR-G-12</v>
          </cell>
          <cell r="I13" t="str">
            <v>GRIFO 12</v>
          </cell>
          <cell r="J13" t="str">
            <v>LICENCIA COVID-19</v>
          </cell>
          <cell r="K13" t="str">
            <v>LIC.</v>
          </cell>
          <cell r="L13">
            <v>0.34375</v>
          </cell>
          <cell r="M13" t="str">
            <v>CUR.</v>
          </cell>
          <cell r="N13" t="str">
            <v>OPERATIVO</v>
          </cell>
          <cell r="O13" t="str">
            <v>JEFE/PTL-19</v>
          </cell>
          <cell r="P13" t="str">
            <v>PTL-19</v>
          </cell>
          <cell r="T13" t="str">
            <v>O.P.U. PREFECTURA</v>
          </cell>
          <cell r="U13">
            <v>2</v>
          </cell>
          <cell r="W13">
            <v>11</v>
          </cell>
          <cell r="X13" t="str">
            <v>C40-A</v>
          </cell>
        </row>
        <row r="14">
          <cell r="B14" t="str">
            <v>AB-377</v>
          </cell>
          <cell r="C14" t="str">
            <v>CABO 2DO.</v>
          </cell>
          <cell r="D14">
            <v>12</v>
          </cell>
          <cell r="F14" t="str">
            <v>GRIFO 13</v>
          </cell>
          <cell r="G14" t="str">
            <v>PTR-G-13</v>
          </cell>
          <cell r="H14" t="str">
            <v>PTR-G-13</v>
          </cell>
          <cell r="I14" t="str">
            <v>GRIFO 13</v>
          </cell>
          <cell r="J14" t="str">
            <v>LICENCIA POSIBLE COVID-19</v>
          </cell>
          <cell r="K14" t="str">
            <v>LIC.</v>
          </cell>
          <cell r="L14">
            <v>0.35416666666666602</v>
          </cell>
          <cell r="M14" t="str">
            <v>F</v>
          </cell>
          <cell r="N14" t="str">
            <v>OPERATIVO</v>
          </cell>
          <cell r="O14" t="str">
            <v>JEFE/PTL-20</v>
          </cell>
          <cell r="P14" t="str">
            <v>PTL-20</v>
          </cell>
          <cell r="T14" t="str">
            <v>ASISTENTE SOCIAL</v>
          </cell>
          <cell r="U14">
            <v>3</v>
          </cell>
          <cell r="W14">
            <v>12</v>
          </cell>
          <cell r="X14" t="str">
            <v>C40-B</v>
          </cell>
        </row>
        <row r="15">
          <cell r="B15" t="str">
            <v>AG-045</v>
          </cell>
          <cell r="C15" t="str">
            <v>CARABINERO</v>
          </cell>
          <cell r="D15">
            <v>13</v>
          </cell>
          <cell r="F15" t="str">
            <v>GRIFO 14</v>
          </cell>
          <cell r="G15" t="str">
            <v>PTR-G-14</v>
          </cell>
          <cell r="H15" t="str">
            <v>PTR-G-14</v>
          </cell>
          <cell r="I15" t="str">
            <v>GRIFO 14</v>
          </cell>
          <cell r="J15" t="str">
            <v>PERMISO ADMINISTRATIVO</v>
          </cell>
          <cell r="K15" t="str">
            <v>PER.</v>
          </cell>
          <cell r="L15">
            <v>0.36458333333333298</v>
          </cell>
          <cell r="M15" t="str">
            <v>FER.</v>
          </cell>
          <cell r="N15" t="str">
            <v>NO OPERATIVO</v>
          </cell>
          <cell r="O15" t="str">
            <v>JEFE/PTL-21</v>
          </cell>
          <cell r="P15" t="str">
            <v>PTL-21</v>
          </cell>
          <cell r="T15" t="str">
            <v>C40</v>
          </cell>
          <cell r="U15">
            <v>4</v>
          </cell>
          <cell r="W15">
            <v>13</v>
          </cell>
          <cell r="X15" t="str">
            <v>C40-C</v>
          </cell>
        </row>
        <row r="16">
          <cell r="B16" t="str">
            <v>AP-107</v>
          </cell>
          <cell r="C16" t="str">
            <v>CPR</v>
          </cell>
          <cell r="D16">
            <v>14</v>
          </cell>
          <cell r="F16" t="str">
            <v>GRIFO 15</v>
          </cell>
          <cell r="G16" t="str">
            <v>PTR-G-15</v>
          </cell>
          <cell r="H16" t="str">
            <v>PTR-G-15</v>
          </cell>
          <cell r="I16" t="str">
            <v>GRIFO 15</v>
          </cell>
          <cell r="J16" t="str">
            <v>PERMISO DESCANSO REPARATORIO PERSONAL DE SALUD</v>
          </cell>
          <cell r="K16" t="str">
            <v>PER.</v>
          </cell>
          <cell r="L16">
            <v>0.375</v>
          </cell>
          <cell r="M16" t="str">
            <v>LIBERADO</v>
          </cell>
          <cell r="N16" t="str">
            <v>NO OPERATIVO</v>
          </cell>
          <cell r="O16" t="str">
            <v>JEFE/PTL-22</v>
          </cell>
          <cell r="P16" t="str">
            <v>PTL-22</v>
          </cell>
          <cell r="T16" t="str">
            <v>PTR-5</v>
          </cell>
          <cell r="U16">
            <v>4</v>
          </cell>
          <cell r="W16">
            <v>14</v>
          </cell>
          <cell r="X16" t="str">
            <v>CAPACITACIÓN Y REENTRENAMIENTO</v>
          </cell>
        </row>
        <row r="17">
          <cell r="B17" t="str">
            <v>AP-305</v>
          </cell>
          <cell r="F17" t="str">
            <v>GRIFO 16</v>
          </cell>
          <cell r="G17" t="str">
            <v>PTR-G-16</v>
          </cell>
          <cell r="H17" t="str">
            <v>PTR-G-16</v>
          </cell>
          <cell r="I17" t="str">
            <v>GRIFO 16</v>
          </cell>
          <cell r="J17" t="str">
            <v>PERMISO ENFERMEDAD GRAVE HIJO MENOR 18 AÑOS</v>
          </cell>
          <cell r="K17" t="str">
            <v>PER.</v>
          </cell>
          <cell r="L17">
            <v>0.38541666666666702</v>
          </cell>
          <cell r="M17" t="str">
            <v>LIC.</v>
          </cell>
          <cell r="N17" t="str">
            <v>NO OPERATIVO</v>
          </cell>
          <cell r="O17" t="str">
            <v>JEFE/PTL-EV</v>
          </cell>
          <cell r="P17" t="str">
            <v>PTL-EV</v>
          </cell>
          <cell r="T17" t="str">
            <v>JO-40</v>
          </cell>
          <cell r="U17">
            <v>0</v>
          </cell>
          <cell r="W17">
            <v>15</v>
          </cell>
          <cell r="X17" t="str">
            <v>CERTIFICACION DE ESCOPETA</v>
          </cell>
        </row>
        <row r="18">
          <cell r="B18" t="str">
            <v>B-382</v>
          </cell>
          <cell r="F18" t="str">
            <v>GRIFO 17</v>
          </cell>
          <cell r="G18" t="str">
            <v>PTR-G-17</v>
          </cell>
          <cell r="H18" t="str">
            <v>PTR-G-17</v>
          </cell>
          <cell r="I18" t="str">
            <v>GRIFO 17</v>
          </cell>
          <cell r="J18" t="str">
            <v>PERMISO ESPECIAL DIGCAR</v>
          </cell>
          <cell r="K18" t="str">
            <v>PER.</v>
          </cell>
          <cell r="L18">
            <v>0.39583333333333298</v>
          </cell>
          <cell r="M18" t="str">
            <v>PER.</v>
          </cell>
          <cell r="N18" t="str">
            <v>NO OPERATIVO</v>
          </cell>
          <cell r="O18" t="str">
            <v>JEFE/PTL-EV-2</v>
          </cell>
          <cell r="P18" t="str">
            <v>PTL-EV-2</v>
          </cell>
          <cell r="T18" t="str">
            <v>PTR-6</v>
          </cell>
          <cell r="U18">
            <v>0</v>
          </cell>
          <cell r="W18">
            <v>16</v>
          </cell>
          <cell r="X18" t="str">
            <v>COMANDO Y CONTROL</v>
          </cell>
        </row>
        <row r="19">
          <cell r="B19" t="str">
            <v>B-482</v>
          </cell>
          <cell r="F19" t="str">
            <v>GRIFO 18</v>
          </cell>
          <cell r="G19" t="str">
            <v>PTR-G-18</v>
          </cell>
          <cell r="H19" t="str">
            <v>PTR-G-18</v>
          </cell>
          <cell r="I19" t="str">
            <v>GRIFO 18</v>
          </cell>
          <cell r="J19" t="str">
            <v>PERMISO MUERTE HIJO PERIODO DE GESTACIÓN</v>
          </cell>
          <cell r="K19" t="str">
            <v>PER.</v>
          </cell>
          <cell r="L19">
            <v>0.40625</v>
          </cell>
          <cell r="M19" t="str">
            <v>RETIRO</v>
          </cell>
          <cell r="N19" t="str">
            <v>NO OPERATIVO</v>
          </cell>
          <cell r="O19" t="str">
            <v>S-EV</v>
          </cell>
          <cell r="P19" t="str">
            <v>S-EV</v>
          </cell>
          <cell r="T19" t="str">
            <v>C40-A</v>
          </cell>
          <cell r="U19">
            <v>1</v>
          </cell>
          <cell r="W19">
            <v>17</v>
          </cell>
          <cell r="X19" t="str">
            <v>CONDUCTOR DISPONIBLE</v>
          </cell>
        </row>
        <row r="20">
          <cell r="B20" t="str">
            <v>B-484</v>
          </cell>
          <cell r="F20" t="str">
            <v>GRIFO 19</v>
          </cell>
          <cell r="G20" t="str">
            <v>PTR-G-19</v>
          </cell>
          <cell r="H20" t="str">
            <v>PTR-G-19</v>
          </cell>
          <cell r="I20" t="str">
            <v>GRIFO 19</v>
          </cell>
          <cell r="J20" t="str">
            <v>PERMISO MUERTE MADRE O PADRE</v>
          </cell>
          <cell r="K20" t="str">
            <v>PER.</v>
          </cell>
          <cell r="L20">
            <v>0.41666666666666602</v>
          </cell>
          <cell r="M20" t="str">
            <v>TELETRABAJO</v>
          </cell>
          <cell r="N20" t="str">
            <v>OPERATIVO</v>
          </cell>
          <cell r="O20" t="str">
            <v>S-EV-2</v>
          </cell>
          <cell r="P20" t="str">
            <v>S-EV-2</v>
          </cell>
          <cell r="T20" t="str">
            <v>PTR-7</v>
          </cell>
          <cell r="U20">
            <v>1</v>
          </cell>
          <cell r="W20">
            <v>18</v>
          </cell>
          <cell r="X20" t="str">
            <v>DISPONIBLE CUARTEL</v>
          </cell>
        </row>
        <row r="21">
          <cell r="B21" t="str">
            <v>B-497</v>
          </cell>
          <cell r="F21" t="str">
            <v>GRIFO 20</v>
          </cell>
          <cell r="G21" t="str">
            <v>PTR-G-20</v>
          </cell>
          <cell r="H21" t="str">
            <v>PTR-G-20</v>
          </cell>
          <cell r="I21" t="str">
            <v>GRIFO 20</v>
          </cell>
          <cell r="J21" t="str">
            <v>PERMISO MUERTES DE HIJO O CÓNYUGE</v>
          </cell>
          <cell r="K21" t="str">
            <v>PER.</v>
          </cell>
          <cell r="L21">
            <v>0.42708333333333298</v>
          </cell>
          <cell r="O21" t="str">
            <v>PTL-11</v>
          </cell>
          <cell r="P21" t="str">
            <v>PTL-11</v>
          </cell>
          <cell r="T21" t="str">
            <v>C40-B</v>
          </cell>
          <cell r="U21">
            <v>2</v>
          </cell>
          <cell r="W21">
            <v>19</v>
          </cell>
          <cell r="X21" t="str">
            <v>ECONOMATO</v>
          </cell>
        </row>
        <row r="22">
          <cell r="B22" t="str">
            <v>B-498</v>
          </cell>
          <cell r="F22" t="str">
            <v>GRIFO 21</v>
          </cell>
          <cell r="G22" t="str">
            <v>PTR-G-21</v>
          </cell>
          <cell r="H22" t="str">
            <v>PTR-G-21</v>
          </cell>
          <cell r="I22" t="str">
            <v>GRIFO 21</v>
          </cell>
          <cell r="J22" t="str">
            <v>PERMISO NACIMIENTO HIJO</v>
          </cell>
          <cell r="K22" t="str">
            <v>PER.</v>
          </cell>
          <cell r="L22">
            <v>0.4375</v>
          </cell>
          <cell r="O22" t="str">
            <v>PTL-12</v>
          </cell>
          <cell r="P22" t="str">
            <v>PTL-12</v>
          </cell>
          <cell r="T22" t="str">
            <v>PTR-8</v>
          </cell>
          <cell r="U22">
            <v>2</v>
          </cell>
          <cell r="W22">
            <v>20</v>
          </cell>
          <cell r="X22" t="str">
            <v>ESC. COND.</v>
          </cell>
        </row>
        <row r="23">
          <cell r="B23" t="str">
            <v>B-499</v>
          </cell>
          <cell r="F23" t="str">
            <v>GRIFO 22</v>
          </cell>
          <cell r="G23" t="str">
            <v>PTR-G-22</v>
          </cell>
          <cell r="H23" t="str">
            <v>PTR-G-22</v>
          </cell>
          <cell r="I23" t="str">
            <v>GRIFO 22</v>
          </cell>
          <cell r="J23" t="str">
            <v>PERMISO POR MATRIMONIO</v>
          </cell>
          <cell r="K23" t="str">
            <v>PER.</v>
          </cell>
          <cell r="L23">
            <v>0.44791666666666602</v>
          </cell>
          <cell r="O23" t="str">
            <v>PTL-13</v>
          </cell>
          <cell r="P23" t="str">
            <v>PTL-13</v>
          </cell>
          <cell r="T23" t="str">
            <v>C40-C</v>
          </cell>
          <cell r="U23">
            <v>3</v>
          </cell>
          <cell r="W23">
            <v>21</v>
          </cell>
          <cell r="X23" t="str">
            <v>ESTAFETA PREF.</v>
          </cell>
        </row>
        <row r="24">
          <cell r="B24" t="str">
            <v>B-500</v>
          </cell>
          <cell r="F24" t="str">
            <v>GRIFO 23</v>
          </cell>
          <cell r="G24" t="str">
            <v>PTR-G-23</v>
          </cell>
          <cell r="H24" t="str">
            <v>PTR-G-23</v>
          </cell>
          <cell r="I24" t="str">
            <v>GRIFO 23</v>
          </cell>
          <cell r="J24" t="str">
            <v>LIBERADO DEL SERVICIO</v>
          </cell>
          <cell r="K24" t="str">
            <v>LIBERADO</v>
          </cell>
          <cell r="L24">
            <v>0.45833333333333298</v>
          </cell>
          <cell r="O24" t="str">
            <v>PTL-14</v>
          </cell>
          <cell r="P24" t="str">
            <v>PTL-14</v>
          </cell>
          <cell r="T24" t="str">
            <v>PTR-9</v>
          </cell>
          <cell r="U24">
            <v>3</v>
          </cell>
          <cell r="W24">
            <v>22</v>
          </cell>
          <cell r="X24" t="str">
            <v>FERIADO</v>
          </cell>
        </row>
        <row r="25">
          <cell r="B25" t="str">
            <v>B-504</v>
          </cell>
          <cell r="F25" t="str">
            <v>GRIFO 24</v>
          </cell>
          <cell r="G25" t="str">
            <v>PTR-G-24</v>
          </cell>
          <cell r="H25" t="str">
            <v>PTR-G-24</v>
          </cell>
          <cell r="I25" t="str">
            <v>GRIFO 24</v>
          </cell>
          <cell r="J25" t="str">
            <v>PROCESO RETIRO</v>
          </cell>
          <cell r="K25" t="str">
            <v>RETIRO</v>
          </cell>
          <cell r="L25">
            <v>0.46875</v>
          </cell>
          <cell r="O25" t="str">
            <v>PTL-15</v>
          </cell>
          <cell r="P25" t="str">
            <v>PTL-15</v>
          </cell>
          <cell r="T25" t="str">
            <v>GUARDIA CUARTEL 1</v>
          </cell>
          <cell r="U25">
            <v>4</v>
          </cell>
          <cell r="W25">
            <v>23</v>
          </cell>
          <cell r="X25" t="str">
            <v>FRANCOS</v>
          </cell>
        </row>
        <row r="26">
          <cell r="B26" t="str">
            <v>B-505</v>
          </cell>
          <cell r="F26" t="str">
            <v>GRIFO 25</v>
          </cell>
          <cell r="G26" t="str">
            <v>PTR-G-25</v>
          </cell>
          <cell r="H26" t="str">
            <v>PTR-G-25</v>
          </cell>
          <cell r="I26" t="str">
            <v>GRIFO 25</v>
          </cell>
          <cell r="J26" t="str">
            <v>TRAMITE DE BAJA</v>
          </cell>
          <cell r="K26" t="str">
            <v>BAJA</v>
          </cell>
          <cell r="L26">
            <v>0.47916666666666602</v>
          </cell>
          <cell r="O26" t="str">
            <v>PTL-16</v>
          </cell>
          <cell r="P26" t="str">
            <v>PTL-16</v>
          </cell>
          <cell r="T26" t="str">
            <v>GUARDIA CUARTEL 2</v>
          </cell>
          <cell r="U26">
            <v>0</v>
          </cell>
          <cell r="W26">
            <v>24</v>
          </cell>
          <cell r="X26" t="str">
            <v>G1-E</v>
          </cell>
        </row>
        <row r="27">
          <cell r="B27" t="str">
            <v>B-508</v>
          </cell>
          <cell r="F27" t="str">
            <v>GRIFO 26</v>
          </cell>
          <cell r="G27" t="str">
            <v>PTR-G-26</v>
          </cell>
          <cell r="H27" t="str">
            <v>PTR-G-26</v>
          </cell>
          <cell r="I27" t="str">
            <v>GRIFO 26</v>
          </cell>
          <cell r="J27" t="str">
            <v>FRANCOS</v>
          </cell>
          <cell r="K27" t="str">
            <v>F</v>
          </cell>
          <cell r="L27">
            <v>0.48958333333333298</v>
          </cell>
          <cell r="O27" t="str">
            <v>PTL-17</v>
          </cell>
          <cell r="P27" t="str">
            <v>PTL-17</v>
          </cell>
          <cell r="T27" t="str">
            <v>GUARDIA CUARTEL 3</v>
          </cell>
          <cell r="U27">
            <v>1</v>
          </cell>
          <cell r="W27">
            <v>25</v>
          </cell>
          <cell r="X27" t="str">
            <v>G2-E</v>
          </cell>
        </row>
        <row r="28">
          <cell r="B28" t="str">
            <v>B-512</v>
          </cell>
          <cell r="F28" t="str">
            <v>GRIFO 27</v>
          </cell>
          <cell r="G28" t="str">
            <v>PTR-G-27</v>
          </cell>
          <cell r="H28" t="str">
            <v>PTR-G-27</v>
          </cell>
          <cell r="I28" t="str">
            <v>GRIFO 27</v>
          </cell>
          <cell r="J28" t="str">
            <v>AGREGADOS</v>
          </cell>
          <cell r="K28" t="str">
            <v>AG.</v>
          </cell>
          <cell r="L28">
            <v>0.499999999999999</v>
          </cell>
          <cell r="O28" t="str">
            <v>PTL-18</v>
          </cell>
          <cell r="P28" t="str">
            <v>PTL-18</v>
          </cell>
          <cell r="T28" t="str">
            <v>GUARDIA CUARTEL 4</v>
          </cell>
          <cell r="U28">
            <v>2</v>
          </cell>
          <cell r="W28">
            <v>26</v>
          </cell>
          <cell r="X28" t="str">
            <v>G3-E</v>
          </cell>
        </row>
        <row r="29">
          <cell r="B29" t="str">
            <v>B-514</v>
          </cell>
          <cell r="F29" t="str">
            <v>GRIFO 28</v>
          </cell>
          <cell r="G29" t="str">
            <v>PTR-G-28</v>
          </cell>
          <cell r="H29" t="str">
            <v>PTR-G-28</v>
          </cell>
          <cell r="I29" t="str">
            <v>GRIFO 28</v>
          </cell>
          <cell r="L29">
            <v>0.51041666666666596</v>
          </cell>
          <cell r="O29" t="str">
            <v>PTL-19</v>
          </cell>
          <cell r="P29" t="str">
            <v>PTL-19</v>
          </cell>
          <cell r="T29" t="str">
            <v>INTERNO 1</v>
          </cell>
          <cell r="U29">
            <v>3</v>
          </cell>
          <cell r="W29">
            <v>27</v>
          </cell>
          <cell r="X29" t="str">
            <v>G4-E</v>
          </cell>
        </row>
        <row r="30">
          <cell r="B30" t="str">
            <v>B-644</v>
          </cell>
          <cell r="L30">
            <v>0.52083333333333304</v>
          </cell>
          <cell r="O30" t="str">
            <v>PTL-20</v>
          </cell>
          <cell r="P30" t="str">
            <v>PTL-20</v>
          </cell>
          <cell r="T30" t="str">
            <v>INTERNO 2</v>
          </cell>
          <cell r="U30">
            <v>4</v>
          </cell>
          <cell r="W30">
            <v>28</v>
          </cell>
          <cell r="X30" t="str">
            <v>GARZON</v>
          </cell>
        </row>
        <row r="31">
          <cell r="B31" t="str">
            <v>B-645</v>
          </cell>
          <cell r="L31">
            <v>0.531249999999999</v>
          </cell>
          <cell r="O31" t="str">
            <v>PTL-21</v>
          </cell>
          <cell r="P31" t="str">
            <v>PTL-21</v>
          </cell>
          <cell r="T31" t="str">
            <v>INTERNO 3</v>
          </cell>
          <cell r="U31">
            <v>0</v>
          </cell>
          <cell r="W31">
            <v>29</v>
          </cell>
          <cell r="X31" t="str">
            <v>GIMNASIO</v>
          </cell>
        </row>
        <row r="32">
          <cell r="B32" t="str">
            <v>B-646</v>
          </cell>
          <cell r="L32">
            <v>0.54166666666666596</v>
          </cell>
          <cell r="O32" t="str">
            <v>PTL-22</v>
          </cell>
          <cell r="P32" t="str">
            <v>PTL-22</v>
          </cell>
          <cell r="T32" t="str">
            <v>INTERNO 4</v>
          </cell>
          <cell r="U32">
            <v>1</v>
          </cell>
          <cell r="W32">
            <v>30</v>
          </cell>
          <cell r="X32" t="str">
            <v>GRIFO 11</v>
          </cell>
        </row>
        <row r="33">
          <cell r="B33" t="str">
            <v>B-647</v>
          </cell>
          <cell r="L33">
            <v>0.55208333333333304</v>
          </cell>
          <cell r="O33" t="str">
            <v>PTL-EV</v>
          </cell>
          <cell r="P33" t="str">
            <v>PTL-EV</v>
          </cell>
          <cell r="T33" t="str">
            <v>P.F. ROBERTO DEL RIO 1</v>
          </cell>
          <cell r="U33">
            <v>2</v>
          </cell>
          <cell r="W33">
            <v>31</v>
          </cell>
          <cell r="X33" t="str">
            <v>GRIFO 12</v>
          </cell>
        </row>
        <row r="34">
          <cell r="B34" t="str">
            <v>B-650</v>
          </cell>
          <cell r="L34">
            <v>0.562499999999999</v>
          </cell>
          <cell r="O34" t="str">
            <v>PTL-EV-2</v>
          </cell>
          <cell r="P34" t="str">
            <v>PTL-EV-2</v>
          </cell>
          <cell r="T34" t="str">
            <v>P.F. ROBERTO DEL RIO 2</v>
          </cell>
          <cell r="U34">
            <v>3</v>
          </cell>
          <cell r="W34">
            <v>32</v>
          </cell>
          <cell r="X34" t="str">
            <v>GRIFO 13</v>
          </cell>
        </row>
        <row r="35">
          <cell r="B35" t="str">
            <v>B-680</v>
          </cell>
          <cell r="L35">
            <v>0.57291666666666596</v>
          </cell>
          <cell r="O35" t="str">
            <v>JEFE/S-30</v>
          </cell>
          <cell r="P35" t="str">
            <v>S-30</v>
          </cell>
          <cell r="T35" t="str">
            <v>P.F. ROBERTO DEL RIO 3</v>
          </cell>
          <cell r="U35">
            <v>4</v>
          </cell>
          <cell r="W35">
            <v>33</v>
          </cell>
          <cell r="X35" t="str">
            <v>GRIFO 14</v>
          </cell>
        </row>
        <row r="36">
          <cell r="B36" t="str">
            <v>B-681</v>
          </cell>
          <cell r="L36">
            <v>0.58333333333333304</v>
          </cell>
          <cell r="O36" t="str">
            <v>JEFE/S-30-B</v>
          </cell>
          <cell r="P36" t="str">
            <v>S-30-B</v>
          </cell>
          <cell r="T36" t="str">
            <v>P.F. ROBERTO DEL RIO 4</v>
          </cell>
          <cell r="U36">
            <v>0</v>
          </cell>
          <cell r="W36">
            <v>34</v>
          </cell>
          <cell r="X36" t="str">
            <v>GRIFO 15</v>
          </cell>
        </row>
        <row r="37">
          <cell r="B37" t="str">
            <v>B-682</v>
          </cell>
          <cell r="L37">
            <v>0.593749999999999</v>
          </cell>
          <cell r="O37" t="str">
            <v>JEFE/S-31</v>
          </cell>
          <cell r="P37" t="str">
            <v>S-31</v>
          </cell>
          <cell r="T37" t="str">
            <v>PRACTICA DE TIRO</v>
          </cell>
          <cell r="U37">
            <v>1</v>
          </cell>
          <cell r="W37">
            <v>35</v>
          </cell>
          <cell r="X37" t="str">
            <v>GRIFO 16</v>
          </cell>
        </row>
        <row r="38">
          <cell r="B38" t="str">
            <v>B-683</v>
          </cell>
          <cell r="L38">
            <v>0.60416666666666596</v>
          </cell>
          <cell r="O38" t="str">
            <v>JEFE/S-31-B</v>
          </cell>
          <cell r="P38" t="str">
            <v>S-31-B</v>
          </cell>
          <cell r="T38" t="str">
            <v>CERTIFICACION DE ESCOPETA</v>
          </cell>
          <cell r="U38">
            <v>2</v>
          </cell>
          <cell r="W38">
            <v>36</v>
          </cell>
          <cell r="X38" t="str">
            <v>GRIFO 17</v>
          </cell>
        </row>
        <row r="39">
          <cell r="B39" t="str">
            <v>B-684</v>
          </cell>
          <cell r="L39">
            <v>0.61458333333333204</v>
          </cell>
          <cell r="O39" t="str">
            <v>JEFE/S-32</v>
          </cell>
          <cell r="P39" t="str">
            <v>S-32</v>
          </cell>
          <cell r="T39" t="str">
            <v>ESC. COND.</v>
          </cell>
          <cell r="U39">
            <v>3</v>
          </cell>
          <cell r="W39">
            <v>37</v>
          </cell>
          <cell r="X39" t="str">
            <v>GRIFO 18</v>
          </cell>
        </row>
        <row r="40">
          <cell r="B40" t="str">
            <v>B-685</v>
          </cell>
          <cell r="L40">
            <v>0.624999999999999</v>
          </cell>
          <cell r="O40" t="str">
            <v>JEFE/S-32-B</v>
          </cell>
          <cell r="P40" t="str">
            <v>S-32-B</v>
          </cell>
          <cell r="T40" t="str">
            <v>CONDUCTOR DISPONIBLE</v>
          </cell>
          <cell r="U40">
            <v>4</v>
          </cell>
          <cell r="W40">
            <v>38</v>
          </cell>
          <cell r="X40" t="str">
            <v>GRIFO 19</v>
          </cell>
        </row>
        <row r="41">
          <cell r="B41" t="str">
            <v>B-686</v>
          </cell>
          <cell r="L41">
            <v>0.63541666666666596</v>
          </cell>
          <cell r="O41" t="str">
            <v>JEFE/S-33</v>
          </cell>
          <cell r="P41" t="str">
            <v>S-33</v>
          </cell>
          <cell r="T41" t="str">
            <v>GRIFO 11</v>
          </cell>
          <cell r="U41">
            <v>0</v>
          </cell>
          <cell r="W41">
            <v>39</v>
          </cell>
          <cell r="X41" t="str">
            <v>GRIFO 20</v>
          </cell>
        </row>
        <row r="42">
          <cell r="B42" t="str">
            <v>B-687</v>
          </cell>
          <cell r="L42">
            <v>0.64583333333333204</v>
          </cell>
          <cell r="O42" t="str">
            <v>JEFE/S-33-B</v>
          </cell>
          <cell r="P42" t="str">
            <v>S-33-B</v>
          </cell>
          <cell r="T42" t="str">
            <v>PTR-G-11</v>
          </cell>
          <cell r="U42">
            <v>0</v>
          </cell>
          <cell r="W42">
            <v>40</v>
          </cell>
          <cell r="X42" t="str">
            <v>GRIFO 21</v>
          </cell>
        </row>
        <row r="43">
          <cell r="B43" t="str">
            <v>B-688</v>
          </cell>
          <cell r="L43">
            <v>0.656249999999999</v>
          </cell>
          <cell r="O43" t="str">
            <v>JEFE/S-34</v>
          </cell>
          <cell r="P43" t="str">
            <v>S-34</v>
          </cell>
          <cell r="T43" t="str">
            <v>GRIFO 12</v>
          </cell>
          <cell r="U43">
            <v>1</v>
          </cell>
          <cell r="W43">
            <v>41</v>
          </cell>
          <cell r="X43" t="str">
            <v>GRIFO 22</v>
          </cell>
        </row>
        <row r="44">
          <cell r="B44" t="str">
            <v>B-700</v>
          </cell>
          <cell r="L44">
            <v>0.66666666666666596</v>
          </cell>
          <cell r="O44" t="str">
            <v>JEFE/S-34-B</v>
          </cell>
          <cell r="P44" t="str">
            <v>S-34-B</v>
          </cell>
          <cell r="T44" t="str">
            <v>PTR-G-12</v>
          </cell>
          <cell r="U44">
            <v>1</v>
          </cell>
          <cell r="W44">
            <v>42</v>
          </cell>
          <cell r="X44" t="str">
            <v>GUARDIA CUARTEL 1</v>
          </cell>
        </row>
        <row r="45">
          <cell r="B45" t="str">
            <v>C-011</v>
          </cell>
          <cell r="L45">
            <v>0.67708333333333204</v>
          </cell>
          <cell r="O45" t="str">
            <v>JEFE/S-35</v>
          </cell>
          <cell r="P45" t="str">
            <v>S-35</v>
          </cell>
          <cell r="T45" t="str">
            <v>GRIFO 13</v>
          </cell>
          <cell r="U45">
            <v>2</v>
          </cell>
          <cell r="W45">
            <v>43</v>
          </cell>
          <cell r="X45" t="str">
            <v>GUARDIA CUARTEL 2</v>
          </cell>
        </row>
        <row r="46">
          <cell r="B46" t="str">
            <v>C-106</v>
          </cell>
          <cell r="L46">
            <v>0.687499999999999</v>
          </cell>
          <cell r="O46" t="str">
            <v>JEFE/S-35-B</v>
          </cell>
          <cell r="P46" t="str">
            <v>S-35-B</v>
          </cell>
          <cell r="T46" t="str">
            <v>PTR-G-13</v>
          </cell>
          <cell r="U46">
            <v>2</v>
          </cell>
          <cell r="W46">
            <v>44</v>
          </cell>
          <cell r="X46" t="str">
            <v>GUARDIA CUARTEL 3</v>
          </cell>
        </row>
        <row r="47">
          <cell r="B47" t="str">
            <v>HRKR-33</v>
          </cell>
          <cell r="L47">
            <v>0.69791666666666496</v>
          </cell>
          <cell r="O47" t="str">
            <v>JEFE/S-36</v>
          </cell>
          <cell r="P47" t="str">
            <v>S-36</v>
          </cell>
          <cell r="T47" t="str">
            <v>GRIFO 14</v>
          </cell>
          <cell r="U47">
            <v>3</v>
          </cell>
          <cell r="W47">
            <v>45</v>
          </cell>
          <cell r="X47" t="str">
            <v>GUARDIA CUARTEL 4</v>
          </cell>
        </row>
        <row r="48">
          <cell r="B48" t="str">
            <v>J-009</v>
          </cell>
          <cell r="L48">
            <v>0.70833333333333204</v>
          </cell>
          <cell r="O48" t="str">
            <v>JEFE/S-36-B</v>
          </cell>
          <cell r="P48" t="str">
            <v>S-36-B</v>
          </cell>
          <cell r="T48" t="str">
            <v>PTR-G-14</v>
          </cell>
          <cell r="U48">
            <v>3</v>
          </cell>
          <cell r="W48">
            <v>46</v>
          </cell>
          <cell r="X48" t="str">
            <v>INTERNO 1</v>
          </cell>
        </row>
        <row r="49">
          <cell r="B49" t="str">
            <v>J-010</v>
          </cell>
          <cell r="L49">
            <v>0.718749999999999</v>
          </cell>
          <cell r="O49" t="str">
            <v>JEFE/S-37</v>
          </cell>
          <cell r="P49" t="str">
            <v>S-37</v>
          </cell>
          <cell r="T49" t="str">
            <v>GRIFO 15</v>
          </cell>
          <cell r="U49">
            <v>4</v>
          </cell>
          <cell r="W49">
            <v>47</v>
          </cell>
          <cell r="X49" t="str">
            <v>INTERNO 2</v>
          </cell>
        </row>
        <row r="50">
          <cell r="B50" t="str">
            <v>J-020</v>
          </cell>
          <cell r="L50">
            <v>0.72916666666666496</v>
          </cell>
          <cell r="O50" t="str">
            <v>JEFE/S-37-B</v>
          </cell>
          <cell r="P50" t="str">
            <v>S-37-B</v>
          </cell>
          <cell r="T50" t="str">
            <v>PTR-G-15</v>
          </cell>
          <cell r="U50">
            <v>4</v>
          </cell>
          <cell r="W50">
            <v>48</v>
          </cell>
          <cell r="X50" t="str">
            <v>INTERNO 3</v>
          </cell>
        </row>
        <row r="51">
          <cell r="B51" t="str">
            <v>J-022</v>
          </cell>
          <cell r="L51">
            <v>0.73958333333333204</v>
          </cell>
          <cell r="O51" t="str">
            <v>JEFE/S-38</v>
          </cell>
          <cell r="P51" t="str">
            <v>S-38</v>
          </cell>
          <cell r="T51" t="str">
            <v>GRIFO 16</v>
          </cell>
          <cell r="U51">
            <v>0</v>
          </cell>
          <cell r="W51">
            <v>49</v>
          </cell>
          <cell r="X51" t="str">
            <v>INTERNO 4</v>
          </cell>
        </row>
        <row r="52">
          <cell r="B52" t="str">
            <v>J-027</v>
          </cell>
          <cell r="L52">
            <v>0.749999999999999</v>
          </cell>
          <cell r="O52" t="str">
            <v>JEFE/S-38-B</v>
          </cell>
          <cell r="P52" t="str">
            <v>S-38-B</v>
          </cell>
          <cell r="T52" t="str">
            <v>PTR-G-16</v>
          </cell>
          <cell r="U52">
            <v>0</v>
          </cell>
          <cell r="W52">
            <v>50</v>
          </cell>
          <cell r="X52" t="str">
            <v>INVENTARIO</v>
          </cell>
        </row>
        <row r="53">
          <cell r="B53" t="str">
            <v>J-030</v>
          </cell>
          <cell r="L53">
            <v>0.76041666666666496</v>
          </cell>
          <cell r="O53" t="str">
            <v>JEFE/S-39</v>
          </cell>
          <cell r="P53" t="str">
            <v>S-39</v>
          </cell>
          <cell r="T53" t="str">
            <v>GRIFO 17</v>
          </cell>
          <cell r="U53">
            <v>1</v>
          </cell>
          <cell r="W53">
            <v>51</v>
          </cell>
          <cell r="X53" t="str">
            <v>JEFE/OF. REQUERIMIENTOS</v>
          </cell>
        </row>
        <row r="54">
          <cell r="B54" t="str">
            <v>J-032</v>
          </cell>
          <cell r="L54">
            <v>0.77083333333333204</v>
          </cell>
          <cell r="O54" t="str">
            <v>JEFE/S-39-B</v>
          </cell>
          <cell r="P54" t="str">
            <v>S-39-B</v>
          </cell>
          <cell r="T54" t="str">
            <v>PTR-G-17</v>
          </cell>
          <cell r="U54">
            <v>1</v>
          </cell>
          <cell r="W54">
            <v>52</v>
          </cell>
          <cell r="X54" t="str">
            <v>JEFE/PTL-11</v>
          </cell>
        </row>
        <row r="55">
          <cell r="B55" t="str">
            <v>J-033</v>
          </cell>
          <cell r="L55">
            <v>0.781249999999998</v>
          </cell>
          <cell r="O55" t="str">
            <v>JEFE/S-40</v>
          </cell>
          <cell r="P55" t="str">
            <v>S-40</v>
          </cell>
          <cell r="T55" t="str">
            <v>GRIFO 18</v>
          </cell>
          <cell r="U55">
            <v>2</v>
          </cell>
          <cell r="W55">
            <v>53</v>
          </cell>
          <cell r="X55" t="str">
            <v>JEFE/PTL-12</v>
          </cell>
        </row>
        <row r="56">
          <cell r="B56" t="str">
            <v>J-035</v>
          </cell>
          <cell r="L56">
            <v>0.79166666666666496</v>
          </cell>
          <cell r="O56" t="str">
            <v>JEFE/S-40-B</v>
          </cell>
          <cell r="P56" t="str">
            <v>S-40-B</v>
          </cell>
          <cell r="T56" t="str">
            <v>PTR-G-18</v>
          </cell>
          <cell r="U56">
            <v>2</v>
          </cell>
          <cell r="W56">
            <v>54</v>
          </cell>
          <cell r="X56" t="str">
            <v>JEFE/PTL-13</v>
          </cell>
        </row>
        <row r="57">
          <cell r="B57" t="str">
            <v>J-1189</v>
          </cell>
          <cell r="L57">
            <v>0.80208333333333204</v>
          </cell>
          <cell r="O57" t="str">
            <v>JEFE/S-41</v>
          </cell>
          <cell r="P57" t="str">
            <v>S-41</v>
          </cell>
          <cell r="T57" t="str">
            <v>GRIFO 19</v>
          </cell>
          <cell r="U57">
            <v>3</v>
          </cell>
          <cell r="W57">
            <v>55</v>
          </cell>
          <cell r="X57" t="str">
            <v>JEFE/PTL-14</v>
          </cell>
        </row>
        <row r="58">
          <cell r="B58" t="str">
            <v>J-1226</v>
          </cell>
          <cell r="L58">
            <v>0.812499999999998</v>
          </cell>
          <cell r="O58" t="str">
            <v>JEFE/S-41-B</v>
          </cell>
          <cell r="P58" t="str">
            <v>S-41-B</v>
          </cell>
          <cell r="T58" t="str">
            <v>PTR-G-19</v>
          </cell>
          <cell r="U58">
            <v>3</v>
          </cell>
          <cell r="W58">
            <v>56</v>
          </cell>
          <cell r="X58" t="str">
            <v>JEFE/PTL-15</v>
          </cell>
        </row>
        <row r="59">
          <cell r="B59" t="str">
            <v>J-1227</v>
          </cell>
          <cell r="L59">
            <v>0.82291666666666496</v>
          </cell>
          <cell r="O59" t="str">
            <v>JEFE/S-42</v>
          </cell>
          <cell r="P59" t="str">
            <v>S-42</v>
          </cell>
          <cell r="T59" t="str">
            <v>GRIFO 20</v>
          </cell>
          <cell r="U59">
            <v>4</v>
          </cell>
          <cell r="W59">
            <v>57</v>
          </cell>
          <cell r="X59" t="str">
            <v>JEFE/PTL-16</v>
          </cell>
        </row>
        <row r="60">
          <cell r="B60" t="str">
            <v>J-1228</v>
          </cell>
          <cell r="L60">
            <v>0.83333333333333204</v>
          </cell>
          <cell r="O60" t="str">
            <v>JEFE/S-42-B</v>
          </cell>
          <cell r="P60" t="str">
            <v>S-42-B</v>
          </cell>
          <cell r="T60" t="str">
            <v>PTR-G-20</v>
          </cell>
          <cell r="U60">
            <v>4</v>
          </cell>
          <cell r="W60">
            <v>58</v>
          </cell>
          <cell r="X60" t="str">
            <v>JEFE/PTL-17</v>
          </cell>
        </row>
        <row r="61">
          <cell r="B61" t="str">
            <v>J-1229</v>
          </cell>
          <cell r="L61">
            <v>0.843749999999998</v>
          </cell>
          <cell r="O61" t="str">
            <v>JEFE/S-43</v>
          </cell>
          <cell r="P61" t="str">
            <v>S-43</v>
          </cell>
          <cell r="T61" t="str">
            <v>GRIFO 21</v>
          </cell>
          <cell r="U61">
            <v>0</v>
          </cell>
          <cell r="W61">
            <v>59</v>
          </cell>
          <cell r="X61" t="str">
            <v>JEFE/PTL-18</v>
          </cell>
        </row>
        <row r="62">
          <cell r="B62" t="str">
            <v>J-1230</v>
          </cell>
          <cell r="L62">
            <v>0.85416666666666496</v>
          </cell>
          <cell r="O62" t="str">
            <v>JEFE/S-43-B</v>
          </cell>
          <cell r="P62" t="str">
            <v>S-43-B</v>
          </cell>
          <cell r="T62" t="str">
            <v>PTR-G-21</v>
          </cell>
          <cell r="U62">
            <v>0</v>
          </cell>
          <cell r="W62">
            <v>60</v>
          </cell>
          <cell r="X62" t="str">
            <v>JEFE/PTL-19</v>
          </cell>
        </row>
        <row r="63">
          <cell r="B63" t="str">
            <v>LA-020</v>
          </cell>
          <cell r="L63">
            <v>0.86458333333333204</v>
          </cell>
          <cell r="O63" t="str">
            <v>JEFE/S-44</v>
          </cell>
          <cell r="P63" t="str">
            <v>S-44</v>
          </cell>
          <cell r="T63" t="str">
            <v>GRIFO 22</v>
          </cell>
          <cell r="U63">
            <v>1</v>
          </cell>
          <cell r="W63">
            <v>61</v>
          </cell>
          <cell r="X63" t="str">
            <v>JEFE/PTL-20</v>
          </cell>
        </row>
        <row r="64">
          <cell r="B64" t="str">
            <v>LA-042</v>
          </cell>
          <cell r="L64">
            <v>0.874999999999998</v>
          </cell>
          <cell r="O64" t="str">
            <v>JEFE/S-44-B</v>
          </cell>
          <cell r="P64" t="str">
            <v>S-44-B</v>
          </cell>
          <cell r="T64" t="str">
            <v>PTR-G-22</v>
          </cell>
          <cell r="U64">
            <v>1</v>
          </cell>
          <cell r="W64">
            <v>62</v>
          </cell>
          <cell r="X64" t="str">
            <v>JEFE/PTL-21</v>
          </cell>
        </row>
        <row r="65">
          <cell r="B65" t="str">
            <v>LA-044</v>
          </cell>
          <cell r="L65">
            <v>0.88541666666666496</v>
          </cell>
          <cell r="O65" t="str">
            <v>JEFE/S-45</v>
          </cell>
          <cell r="P65" t="str">
            <v>S-45</v>
          </cell>
          <cell r="T65" t="str">
            <v>SSOO 1</v>
          </cell>
          <cell r="U65">
            <v>2</v>
          </cell>
          <cell r="W65">
            <v>63</v>
          </cell>
          <cell r="X65" t="str">
            <v>JEFE/PTL-22</v>
          </cell>
        </row>
        <row r="66">
          <cell r="B66" t="str">
            <v>LA-059</v>
          </cell>
          <cell r="L66">
            <v>0.89583333333333104</v>
          </cell>
          <cell r="O66" t="str">
            <v>JEFE/S-45-B</v>
          </cell>
          <cell r="P66" t="str">
            <v>S-45-B</v>
          </cell>
          <cell r="T66" t="str">
            <v>PTR-SSOO 1</v>
          </cell>
          <cell r="U66">
            <v>2</v>
          </cell>
          <cell r="W66">
            <v>64</v>
          </cell>
          <cell r="X66" t="str">
            <v>JEFE/PTL-EV</v>
          </cell>
        </row>
        <row r="67">
          <cell r="B67" t="str">
            <v>LA-060</v>
          </cell>
          <cell r="L67">
            <v>0.906249999999998</v>
          </cell>
          <cell r="O67" t="str">
            <v>JEFE/S-46</v>
          </cell>
          <cell r="P67" t="str">
            <v>S-46</v>
          </cell>
          <cell r="T67" t="str">
            <v>SSOO 2</v>
          </cell>
          <cell r="U67">
            <v>3</v>
          </cell>
          <cell r="W67">
            <v>65</v>
          </cell>
          <cell r="X67" t="str">
            <v>JEFE/PTL-EV-2</v>
          </cell>
        </row>
        <row r="68">
          <cell r="B68" t="str">
            <v>LA-061</v>
          </cell>
          <cell r="L68">
            <v>0.91666666666666496</v>
          </cell>
          <cell r="O68" t="str">
            <v>JEFE/S-46-B</v>
          </cell>
          <cell r="P68" t="str">
            <v>S-46-B</v>
          </cell>
          <cell r="T68" t="str">
            <v>PTR-SSOO 2</v>
          </cell>
          <cell r="U68">
            <v>3</v>
          </cell>
          <cell r="W68">
            <v>66</v>
          </cell>
          <cell r="X68" t="str">
            <v>JEFE/S-30</v>
          </cell>
        </row>
        <row r="69">
          <cell r="B69" t="str">
            <v>LA-062</v>
          </cell>
          <cell r="L69">
            <v>0.92708333333333104</v>
          </cell>
          <cell r="O69" t="str">
            <v>JEFE/S-47</v>
          </cell>
          <cell r="P69" t="str">
            <v>S-47</v>
          </cell>
          <cell r="T69" t="str">
            <v>SSOO 3</v>
          </cell>
          <cell r="U69">
            <v>4</v>
          </cell>
          <cell r="W69">
            <v>67</v>
          </cell>
          <cell r="X69" t="str">
            <v>JEFE/S-30-B</v>
          </cell>
        </row>
        <row r="70">
          <cell r="B70" t="str">
            <v>LA-064</v>
          </cell>
          <cell r="L70">
            <v>0.937499999999998</v>
          </cell>
          <cell r="O70" t="str">
            <v>JEFE/S-47-B</v>
          </cell>
          <cell r="P70" t="str">
            <v>S-47-B</v>
          </cell>
          <cell r="T70" t="str">
            <v>PTR-SSOO 3</v>
          </cell>
          <cell r="U70">
            <v>4</v>
          </cell>
          <cell r="W70">
            <v>68</v>
          </cell>
          <cell r="X70" t="str">
            <v>JEFE/S-31</v>
          </cell>
        </row>
        <row r="71">
          <cell r="B71" t="str">
            <v>LA-065</v>
          </cell>
          <cell r="L71">
            <v>0.94791666666666496</v>
          </cell>
          <cell r="O71" t="str">
            <v>JEFE/S-48</v>
          </cell>
          <cell r="P71" t="str">
            <v>S-48</v>
          </cell>
          <cell r="T71" t="str">
            <v>SSOO 4</v>
          </cell>
          <cell r="U71">
            <v>0</v>
          </cell>
          <cell r="W71">
            <v>69</v>
          </cell>
          <cell r="X71" t="str">
            <v>JEFE/S-31-B</v>
          </cell>
        </row>
        <row r="72">
          <cell r="B72" t="str">
            <v>LA-066</v>
          </cell>
          <cell r="L72">
            <v>0.95833333333333104</v>
          </cell>
          <cell r="O72" t="str">
            <v>JEFE/S-48-B</v>
          </cell>
          <cell r="P72" t="str">
            <v>S-48-B</v>
          </cell>
          <cell r="T72" t="str">
            <v>PTR-SSOO 4</v>
          </cell>
          <cell r="U72">
            <v>0</v>
          </cell>
          <cell r="W72">
            <v>70</v>
          </cell>
          <cell r="X72" t="str">
            <v>JEFE/S-32</v>
          </cell>
        </row>
        <row r="73">
          <cell r="B73" t="str">
            <v>RP-2802</v>
          </cell>
          <cell r="L73">
            <v>0.968749999999998</v>
          </cell>
          <cell r="O73" t="str">
            <v>JEFE/S-49</v>
          </cell>
          <cell r="P73" t="str">
            <v>S-49</v>
          </cell>
          <cell r="T73" t="str">
            <v>SSOO 5</v>
          </cell>
          <cell r="U73">
            <v>1</v>
          </cell>
          <cell r="W73">
            <v>71</v>
          </cell>
          <cell r="X73" t="str">
            <v>JEFE/S-32-B</v>
          </cell>
        </row>
        <row r="74">
          <cell r="B74" t="str">
            <v>RP-3682</v>
          </cell>
          <cell r="L74">
            <v>0.97916666666666397</v>
          </cell>
          <cell r="O74" t="str">
            <v>JEFE/S-49-B</v>
          </cell>
          <cell r="P74" t="str">
            <v>S-49-B</v>
          </cell>
          <cell r="T74" t="str">
            <v>PTR-SSOO 5</v>
          </cell>
          <cell r="U74">
            <v>1</v>
          </cell>
          <cell r="W74">
            <v>72</v>
          </cell>
          <cell r="X74" t="str">
            <v>JEFE/S-33</v>
          </cell>
        </row>
        <row r="75">
          <cell r="B75" t="str">
            <v>S/VEH.</v>
          </cell>
          <cell r="L75">
            <v>0.98958333333333104</v>
          </cell>
          <cell r="O75" t="str">
            <v>S-30</v>
          </cell>
          <cell r="P75" t="str">
            <v>S-30</v>
          </cell>
          <cell r="T75" t="str">
            <v>SSOO 6</v>
          </cell>
          <cell r="U75">
            <v>2</v>
          </cell>
          <cell r="W75">
            <v>73</v>
          </cell>
          <cell r="X75" t="str">
            <v>JEFE/S-33-B</v>
          </cell>
        </row>
        <row r="76">
          <cell r="B76" t="str">
            <v>TPB-0057</v>
          </cell>
          <cell r="L76">
            <v>0.999999999999998</v>
          </cell>
          <cell r="O76" t="str">
            <v>S-30-B</v>
          </cell>
          <cell r="P76" t="str">
            <v>S-30-B</v>
          </cell>
          <cell r="T76" t="str">
            <v>PTR-SSOO 6</v>
          </cell>
          <cell r="U76">
            <v>2</v>
          </cell>
          <cell r="W76">
            <v>74</v>
          </cell>
          <cell r="X76" t="str">
            <v>JEFE/S-34</v>
          </cell>
        </row>
        <row r="77">
          <cell r="B77" t="str">
            <v>TPB-0266</v>
          </cell>
          <cell r="L77">
            <v>1.0104166666666601</v>
          </cell>
          <cell r="O77" t="str">
            <v>S-31</v>
          </cell>
          <cell r="P77" t="str">
            <v>S-31</v>
          </cell>
          <cell r="T77" t="str">
            <v>JEFE/S-30</v>
          </cell>
          <cell r="U77">
            <v>1</v>
          </cell>
          <cell r="W77">
            <v>75</v>
          </cell>
          <cell r="X77" t="str">
            <v>JEFE/S-34-B</v>
          </cell>
        </row>
        <row r="78">
          <cell r="B78" t="str">
            <v>TPB-0337</v>
          </cell>
          <cell r="L78">
            <v>1.0208333333333299</v>
          </cell>
          <cell r="O78" t="str">
            <v>S-31-B</v>
          </cell>
          <cell r="P78" t="str">
            <v>S-31-B</v>
          </cell>
          <cell r="T78" t="str">
            <v>S-30</v>
          </cell>
          <cell r="U78">
            <v>1</v>
          </cell>
          <cell r="W78">
            <v>76</v>
          </cell>
          <cell r="X78" t="str">
            <v>JEFE/S-35</v>
          </cell>
        </row>
        <row r="79">
          <cell r="B79" t="str">
            <v>TPB-0341</v>
          </cell>
          <cell r="L79">
            <v>1.03125</v>
          </cell>
          <cell r="O79" t="str">
            <v>S-32</v>
          </cell>
          <cell r="P79" t="str">
            <v>S-32</v>
          </cell>
          <cell r="T79" t="str">
            <v>JEFE/S-30-B</v>
          </cell>
          <cell r="U79">
            <v>2</v>
          </cell>
          <cell r="W79">
            <v>77</v>
          </cell>
          <cell r="X79" t="str">
            <v>JEFE/S-35-B</v>
          </cell>
        </row>
        <row r="80">
          <cell r="B80" t="str">
            <v>Z-3190</v>
          </cell>
          <cell r="L80">
            <v>1.0416666666666601</v>
          </cell>
          <cell r="O80" t="str">
            <v>S-32-B</v>
          </cell>
          <cell r="P80" t="str">
            <v>S-32-B</v>
          </cell>
          <cell r="T80" t="str">
            <v>S-30-B</v>
          </cell>
          <cell r="U80">
            <v>2</v>
          </cell>
          <cell r="W80">
            <v>78</v>
          </cell>
          <cell r="X80" t="str">
            <v>JEFE/S-36</v>
          </cell>
        </row>
        <row r="81">
          <cell r="B81" t="str">
            <v>Z-3410</v>
          </cell>
          <cell r="L81">
            <v>1.0520833333333299</v>
          </cell>
          <cell r="O81" t="str">
            <v>S-33</v>
          </cell>
          <cell r="P81" t="str">
            <v>S-33</v>
          </cell>
          <cell r="T81" t="str">
            <v>JEFE/S-31</v>
          </cell>
          <cell r="U81">
            <v>3</v>
          </cell>
          <cell r="W81">
            <v>79</v>
          </cell>
          <cell r="X81" t="str">
            <v>JEFE/S-36-B</v>
          </cell>
        </row>
        <row r="82">
          <cell r="B82" t="str">
            <v>Z-4112</v>
          </cell>
          <cell r="L82">
            <v>1.0625</v>
          </cell>
          <cell r="O82" t="str">
            <v>S-33-B</v>
          </cell>
          <cell r="P82" t="str">
            <v>S-33-B</v>
          </cell>
          <cell r="T82" t="str">
            <v>S-31</v>
          </cell>
          <cell r="U82">
            <v>3</v>
          </cell>
          <cell r="W82">
            <v>80</v>
          </cell>
          <cell r="X82" t="str">
            <v>JEFE/S-37</v>
          </cell>
        </row>
        <row r="83">
          <cell r="B83" t="str">
            <v>Z-4277</v>
          </cell>
          <cell r="L83">
            <v>1.0729166666666601</v>
          </cell>
          <cell r="O83" t="str">
            <v>S-34</v>
          </cell>
          <cell r="P83" t="str">
            <v>S-34</v>
          </cell>
          <cell r="T83" t="str">
            <v>JEFE/S-31-B</v>
          </cell>
          <cell r="U83">
            <v>4</v>
          </cell>
          <cell r="W83">
            <v>81</v>
          </cell>
          <cell r="X83" t="str">
            <v>JEFE/S-37-B</v>
          </cell>
        </row>
        <row r="84">
          <cell r="B84" t="str">
            <v>Z-5142</v>
          </cell>
          <cell r="L84">
            <v>1.0833333333333299</v>
          </cell>
          <cell r="O84" t="str">
            <v>S-34-B</v>
          </cell>
          <cell r="P84" t="str">
            <v>S-34-B</v>
          </cell>
          <cell r="T84" t="str">
            <v>S-31-B</v>
          </cell>
          <cell r="U84">
            <v>4</v>
          </cell>
          <cell r="W84">
            <v>82</v>
          </cell>
          <cell r="X84" t="str">
            <v>JEFE/S-38</v>
          </cell>
        </row>
        <row r="85">
          <cell r="B85" t="str">
            <v>Z-5143</v>
          </cell>
          <cell r="L85">
            <v>1.09375</v>
          </cell>
          <cell r="O85" t="str">
            <v>S-35</v>
          </cell>
          <cell r="P85" t="str">
            <v>S-35</v>
          </cell>
          <cell r="T85" t="str">
            <v>JEFE/S-32</v>
          </cell>
          <cell r="U85">
            <v>0</v>
          </cell>
          <cell r="W85">
            <v>83</v>
          </cell>
          <cell r="X85" t="str">
            <v>JEFE/S-38-B</v>
          </cell>
        </row>
        <row r="86">
          <cell r="B86" t="str">
            <v>Z-6953</v>
          </cell>
          <cell r="L86">
            <v>1.1041666666666601</v>
          </cell>
          <cell r="O86" t="str">
            <v>S-35-B</v>
          </cell>
          <cell r="P86" t="str">
            <v>S-35-B</v>
          </cell>
          <cell r="T86" t="str">
            <v>S-32</v>
          </cell>
          <cell r="U86">
            <v>0</v>
          </cell>
          <cell r="W86">
            <v>84</v>
          </cell>
          <cell r="X86" t="str">
            <v>JEFE/S-39</v>
          </cell>
        </row>
        <row r="87">
          <cell r="L87">
            <v>1.1145833333333299</v>
          </cell>
          <cell r="O87" t="str">
            <v>S-36</v>
          </cell>
          <cell r="P87" t="str">
            <v>S-36</v>
          </cell>
          <cell r="T87" t="str">
            <v>JEFE/S-32-B</v>
          </cell>
          <cell r="U87">
            <v>1</v>
          </cell>
          <cell r="W87">
            <v>85</v>
          </cell>
          <cell r="X87" t="str">
            <v>JEFE/S-39-B</v>
          </cell>
        </row>
        <row r="88">
          <cell r="L88">
            <v>1.125</v>
          </cell>
          <cell r="O88" t="str">
            <v>S-36-B</v>
          </cell>
          <cell r="P88" t="str">
            <v>S-36-B</v>
          </cell>
          <cell r="T88" t="str">
            <v>S-32-B</v>
          </cell>
          <cell r="U88">
            <v>1</v>
          </cell>
          <cell r="W88">
            <v>86</v>
          </cell>
          <cell r="X88" t="str">
            <v>JEFE/S-40</v>
          </cell>
        </row>
        <row r="89">
          <cell r="L89">
            <v>1.1354166666666601</v>
          </cell>
          <cell r="O89" t="str">
            <v>S-37</v>
          </cell>
          <cell r="P89" t="str">
            <v>S-37</v>
          </cell>
          <cell r="T89" t="str">
            <v>JEFE/S-33</v>
          </cell>
          <cell r="U89">
            <v>2</v>
          </cell>
          <cell r="W89">
            <v>87</v>
          </cell>
          <cell r="X89" t="str">
            <v>JEFE/S-40-B</v>
          </cell>
        </row>
        <row r="90">
          <cell r="L90">
            <v>1.1458333333333299</v>
          </cell>
          <cell r="O90" t="str">
            <v>S-37-B</v>
          </cell>
          <cell r="P90" t="str">
            <v>S-37-B</v>
          </cell>
          <cell r="T90" t="str">
            <v>S-33</v>
          </cell>
          <cell r="U90">
            <v>2</v>
          </cell>
          <cell r="W90">
            <v>88</v>
          </cell>
          <cell r="X90" t="str">
            <v>JEFE/S-41</v>
          </cell>
        </row>
        <row r="91">
          <cell r="L91">
            <v>1.15625</v>
          </cell>
          <cell r="O91" t="str">
            <v>S-38</v>
          </cell>
          <cell r="P91" t="str">
            <v>S-38</v>
          </cell>
          <cell r="T91" t="str">
            <v>JEFE/S-33-B</v>
          </cell>
          <cell r="U91">
            <v>3</v>
          </cell>
          <cell r="W91">
            <v>89</v>
          </cell>
          <cell r="X91" t="str">
            <v>JEFE/S-41-B</v>
          </cell>
        </row>
        <row r="92">
          <cell r="L92">
            <v>1.1666666666666601</v>
          </cell>
          <cell r="O92" t="str">
            <v>S-38-B</v>
          </cell>
          <cell r="P92" t="str">
            <v>S-38-B</v>
          </cell>
          <cell r="T92" t="str">
            <v>S-33-B</v>
          </cell>
          <cell r="U92">
            <v>3</v>
          </cell>
          <cell r="W92">
            <v>90</v>
          </cell>
          <cell r="X92" t="str">
            <v>JEFE/S-42</v>
          </cell>
        </row>
        <row r="93">
          <cell r="L93">
            <v>1.1770833333333299</v>
          </cell>
          <cell r="O93" t="str">
            <v>S-39</v>
          </cell>
          <cell r="P93" t="str">
            <v>S-39</v>
          </cell>
          <cell r="T93" t="str">
            <v>JEFE/S-34</v>
          </cell>
          <cell r="U93">
            <v>4</v>
          </cell>
          <cell r="W93">
            <v>91</v>
          </cell>
          <cell r="X93" t="str">
            <v>JEFE/S-42-B</v>
          </cell>
        </row>
        <row r="94">
          <cell r="L94">
            <v>1.1875</v>
          </cell>
          <cell r="O94" t="str">
            <v>S-39-B</v>
          </cell>
          <cell r="P94" t="str">
            <v>S-39-B</v>
          </cell>
          <cell r="T94" t="str">
            <v>S-34</v>
          </cell>
          <cell r="U94">
            <v>4</v>
          </cell>
          <cell r="W94">
            <v>92</v>
          </cell>
          <cell r="X94" t="str">
            <v>JEFE/S-43</v>
          </cell>
        </row>
        <row r="95">
          <cell r="L95">
            <v>1.1979166666666601</v>
          </cell>
          <cell r="O95" t="str">
            <v>S-40</v>
          </cell>
          <cell r="P95" t="str">
            <v>S-40</v>
          </cell>
          <cell r="T95" t="str">
            <v>JEFE/S-34-B</v>
          </cell>
          <cell r="U95">
            <v>0</v>
          </cell>
          <cell r="W95">
            <v>93</v>
          </cell>
          <cell r="X95" t="str">
            <v>JEFE/S-43-B</v>
          </cell>
        </row>
        <row r="96">
          <cell r="L96">
            <v>1.2083333333333299</v>
          </cell>
          <cell r="O96" t="str">
            <v>S-40-B</v>
          </cell>
          <cell r="P96" t="str">
            <v>S-40-B</v>
          </cell>
          <cell r="T96" t="str">
            <v>S-34-B</v>
          </cell>
          <cell r="U96">
            <v>0</v>
          </cell>
          <cell r="W96">
            <v>94</v>
          </cell>
          <cell r="X96" t="str">
            <v>JEFE/S-44</v>
          </cell>
        </row>
        <row r="97">
          <cell r="L97">
            <v>1.21875</v>
          </cell>
          <cell r="O97" t="str">
            <v>S-41</v>
          </cell>
          <cell r="P97" t="str">
            <v>S-41</v>
          </cell>
          <cell r="T97" t="str">
            <v>JEFE/S-35</v>
          </cell>
          <cell r="U97">
            <v>1</v>
          </cell>
          <cell r="W97">
            <v>95</v>
          </cell>
          <cell r="X97" t="str">
            <v>JEFE/S-44-B</v>
          </cell>
        </row>
        <row r="98">
          <cell r="L98">
            <v>1.2291666666666601</v>
          </cell>
          <cell r="O98" t="str">
            <v>S-41-B</v>
          </cell>
          <cell r="P98" t="str">
            <v>S-41-B</v>
          </cell>
          <cell r="T98" t="str">
            <v>S-35</v>
          </cell>
          <cell r="U98">
            <v>1</v>
          </cell>
          <cell r="W98">
            <v>96</v>
          </cell>
          <cell r="X98" t="str">
            <v>JEFE/S-45</v>
          </cell>
        </row>
        <row r="99">
          <cell r="L99">
            <v>1.2395833333333299</v>
          </cell>
          <cell r="O99" t="str">
            <v>S-42</v>
          </cell>
          <cell r="P99" t="str">
            <v>S-42</v>
          </cell>
          <cell r="T99" t="str">
            <v>JEFE/S-35-B</v>
          </cell>
          <cell r="U99">
            <v>2</v>
          </cell>
          <cell r="W99">
            <v>97</v>
          </cell>
          <cell r="X99" t="str">
            <v>JEFE/S-45-B</v>
          </cell>
        </row>
        <row r="100">
          <cell r="L100" t="str">
            <v>NORM.</v>
          </cell>
          <cell r="O100" t="str">
            <v>S-42-B</v>
          </cell>
          <cell r="P100" t="str">
            <v>S-42-B</v>
          </cell>
          <cell r="T100" t="str">
            <v>S-35-B</v>
          </cell>
          <cell r="U100">
            <v>2</v>
          </cell>
          <cell r="W100">
            <v>98</v>
          </cell>
          <cell r="X100" t="str">
            <v>JEFE/S-46</v>
          </cell>
        </row>
        <row r="101">
          <cell r="O101" t="str">
            <v>S-43</v>
          </cell>
          <cell r="P101" t="str">
            <v>S-43</v>
          </cell>
          <cell r="T101" t="str">
            <v>JEFE/S-36</v>
          </cell>
          <cell r="U101">
            <v>3</v>
          </cell>
          <cell r="W101">
            <v>99</v>
          </cell>
          <cell r="X101" t="str">
            <v>JEFE/S-46-B</v>
          </cell>
        </row>
        <row r="102">
          <cell r="O102" t="str">
            <v>S-43-B</v>
          </cell>
          <cell r="P102" t="str">
            <v>S-43-B</v>
          </cell>
          <cell r="T102" t="str">
            <v>S-36</v>
          </cell>
          <cell r="U102">
            <v>3</v>
          </cell>
          <cell r="W102">
            <v>100</v>
          </cell>
          <cell r="X102" t="str">
            <v>JEFE/S-47</v>
          </cell>
        </row>
        <row r="103">
          <cell r="O103" t="str">
            <v>S-44</v>
          </cell>
          <cell r="P103" t="str">
            <v>S-44</v>
          </cell>
          <cell r="T103" t="str">
            <v>JEFE/S-36-B</v>
          </cell>
          <cell r="U103">
            <v>4</v>
          </cell>
          <cell r="W103">
            <v>101</v>
          </cell>
          <cell r="X103" t="str">
            <v>JEFE/S-47-B</v>
          </cell>
        </row>
        <row r="104">
          <cell r="O104" t="str">
            <v>S-44-B</v>
          </cell>
          <cell r="P104" t="str">
            <v>S-44-B</v>
          </cell>
          <cell r="T104" t="str">
            <v>S-36-B</v>
          </cell>
          <cell r="U104">
            <v>4</v>
          </cell>
          <cell r="W104">
            <v>102</v>
          </cell>
          <cell r="X104" t="str">
            <v>JEFE/S-48</v>
          </cell>
        </row>
        <row r="105">
          <cell r="O105" t="str">
            <v>S-45</v>
          </cell>
          <cell r="P105" t="str">
            <v>S-45</v>
          </cell>
          <cell r="T105" t="str">
            <v>JEFE/S-37</v>
          </cell>
          <cell r="U105">
            <v>0</v>
          </cell>
          <cell r="W105">
            <v>103</v>
          </cell>
          <cell r="X105" t="str">
            <v>JEFE/S-48-B</v>
          </cell>
        </row>
        <row r="106">
          <cell r="O106" t="str">
            <v>S-45-B</v>
          </cell>
          <cell r="P106" t="str">
            <v>S-45-B</v>
          </cell>
          <cell r="T106" t="str">
            <v>S-37</v>
          </cell>
          <cell r="U106">
            <v>0</v>
          </cell>
          <cell r="W106">
            <v>104</v>
          </cell>
          <cell r="X106" t="str">
            <v>JEFE/S-49</v>
          </cell>
        </row>
        <row r="107">
          <cell r="O107" t="str">
            <v>S-46</v>
          </cell>
          <cell r="P107" t="str">
            <v>S-46</v>
          </cell>
          <cell r="T107" t="str">
            <v>JEFE/S-37-B</v>
          </cell>
          <cell r="U107">
            <v>1</v>
          </cell>
          <cell r="W107">
            <v>105</v>
          </cell>
          <cell r="X107" t="str">
            <v>JEFE/S-49-B</v>
          </cell>
        </row>
        <row r="108">
          <cell r="O108" t="str">
            <v>S-46-B</v>
          </cell>
          <cell r="P108" t="str">
            <v>S-46-B</v>
          </cell>
          <cell r="T108" t="str">
            <v>S-37-B</v>
          </cell>
          <cell r="U108">
            <v>1</v>
          </cell>
          <cell r="W108">
            <v>106</v>
          </cell>
          <cell r="X108" t="str">
            <v>JEFE/S-EV</v>
          </cell>
        </row>
        <row r="109">
          <cell r="O109" t="str">
            <v>S-47</v>
          </cell>
          <cell r="P109" t="str">
            <v>S-47</v>
          </cell>
          <cell r="T109" t="str">
            <v>JEFE/S-38</v>
          </cell>
          <cell r="U109">
            <v>2</v>
          </cell>
          <cell r="W109">
            <v>107</v>
          </cell>
          <cell r="X109" t="str">
            <v>JEFE/S-EV-2</v>
          </cell>
        </row>
        <row r="110">
          <cell r="O110" t="str">
            <v>S-47-B</v>
          </cell>
          <cell r="P110" t="str">
            <v>S-47-B</v>
          </cell>
          <cell r="T110" t="str">
            <v>S-38</v>
          </cell>
          <cell r="U110">
            <v>2</v>
          </cell>
          <cell r="W110">
            <v>108</v>
          </cell>
          <cell r="X110" t="str">
            <v>JO-40</v>
          </cell>
        </row>
        <row r="111">
          <cell r="O111" t="str">
            <v>S-48</v>
          </cell>
          <cell r="P111" t="str">
            <v>S-48</v>
          </cell>
          <cell r="T111" t="str">
            <v>JEFE/S-38-B</v>
          </cell>
          <cell r="U111">
            <v>3</v>
          </cell>
          <cell r="W111">
            <v>109</v>
          </cell>
          <cell r="X111" t="str">
            <v>LAVANDERÍA</v>
          </cell>
        </row>
        <row r="112">
          <cell r="O112" t="str">
            <v>S-48-B</v>
          </cell>
          <cell r="P112" t="str">
            <v>S-48-B</v>
          </cell>
          <cell r="T112" t="str">
            <v>S-38-B</v>
          </cell>
          <cell r="U112">
            <v>3</v>
          </cell>
          <cell r="W112">
            <v>110</v>
          </cell>
          <cell r="X112" t="str">
            <v>LIBERADO DEL SERVICIO</v>
          </cell>
        </row>
        <row r="113">
          <cell r="O113" t="str">
            <v>S-49</v>
          </cell>
          <cell r="P113" t="str">
            <v>S-49</v>
          </cell>
          <cell r="T113" t="str">
            <v>JEFE/S-39</v>
          </cell>
          <cell r="U113">
            <v>4</v>
          </cell>
          <cell r="W113">
            <v>111</v>
          </cell>
          <cell r="X113" t="str">
            <v>LICENCIA ACCIDENTE EN ACTO DE SERVICIO</v>
          </cell>
        </row>
        <row r="114">
          <cell r="O114" t="str">
            <v>S-49-B</v>
          </cell>
          <cell r="P114" t="str">
            <v>S-49-B</v>
          </cell>
          <cell r="T114" t="str">
            <v>S-39</v>
          </cell>
          <cell r="U114">
            <v>4</v>
          </cell>
          <cell r="W114">
            <v>112</v>
          </cell>
          <cell r="X114" t="str">
            <v>LICENCIA COVID-19</v>
          </cell>
        </row>
        <row r="115">
          <cell r="T115" t="str">
            <v>JEFE/S-39-B</v>
          </cell>
          <cell r="U115">
            <v>0</v>
          </cell>
          <cell r="W115">
            <v>113</v>
          </cell>
          <cell r="X115" t="str">
            <v>LICENCIA ENFERMEDAD GRAVE HIJO MENOR DE UN AÑO</v>
          </cell>
        </row>
        <row r="116">
          <cell r="T116" t="str">
            <v>S-39-B</v>
          </cell>
          <cell r="U116">
            <v>0</v>
          </cell>
          <cell r="W116">
            <v>114</v>
          </cell>
          <cell r="X116" t="str">
            <v>LICENCIA ENFERMEDAD O ACCIDENTE COMÚN</v>
          </cell>
        </row>
        <row r="117">
          <cell r="T117" t="str">
            <v>JEFE/S-40</v>
          </cell>
          <cell r="U117">
            <v>1</v>
          </cell>
          <cell r="W117">
            <v>115</v>
          </cell>
          <cell r="X117" t="str">
            <v>LICENCIA ENFERMEDAD PROFESIONAL</v>
          </cell>
        </row>
        <row r="118">
          <cell r="T118" t="str">
            <v>S-40</v>
          </cell>
          <cell r="U118">
            <v>1</v>
          </cell>
          <cell r="W118">
            <v>116</v>
          </cell>
          <cell r="X118" t="str">
            <v>LICENCIA MATERNAL POST NATAL</v>
          </cell>
        </row>
        <row r="119">
          <cell r="T119" t="str">
            <v>JEFE/S-40-B</v>
          </cell>
          <cell r="U119">
            <v>2</v>
          </cell>
          <cell r="W119">
            <v>117</v>
          </cell>
          <cell r="X119" t="str">
            <v>LICENCIA MATERNAL PRE NATAL</v>
          </cell>
        </row>
        <row r="120">
          <cell r="T120" t="str">
            <v>S-40-B</v>
          </cell>
          <cell r="U120">
            <v>2</v>
          </cell>
          <cell r="W120">
            <v>118</v>
          </cell>
          <cell r="X120" t="str">
            <v>LICENCIA MÉDICA PREVENTIVA PARENTAL</v>
          </cell>
        </row>
        <row r="121">
          <cell r="T121" t="str">
            <v>JEFE/S-41</v>
          </cell>
          <cell r="U121">
            <v>3</v>
          </cell>
          <cell r="W121">
            <v>119</v>
          </cell>
          <cell r="X121" t="str">
            <v>LICENCIA PATOLOGÍA DEL EMBARAZO</v>
          </cell>
        </row>
        <row r="122">
          <cell r="T122" t="str">
            <v>S-41</v>
          </cell>
          <cell r="U122">
            <v>3</v>
          </cell>
          <cell r="W122">
            <v>120</v>
          </cell>
          <cell r="X122" t="str">
            <v>LICENCIA POSIBLE COVID-19</v>
          </cell>
        </row>
        <row r="123">
          <cell r="T123" t="str">
            <v>JEFE/S-41-B</v>
          </cell>
          <cell r="U123">
            <v>4</v>
          </cell>
          <cell r="W123">
            <v>121</v>
          </cell>
          <cell r="X123" t="str">
            <v>LICENCIA PRORROGA MEDICINA PREVENTIVA</v>
          </cell>
        </row>
        <row r="124">
          <cell r="T124" t="str">
            <v>S-41-B</v>
          </cell>
          <cell r="U124">
            <v>4</v>
          </cell>
          <cell r="W124">
            <v>122</v>
          </cell>
          <cell r="X124" t="str">
            <v>MANTENCIÓN DE CUARTEL</v>
          </cell>
        </row>
        <row r="125">
          <cell r="T125" t="str">
            <v>JEFE/S-42</v>
          </cell>
          <cell r="U125">
            <v>0</v>
          </cell>
          <cell r="W125">
            <v>123</v>
          </cell>
          <cell r="X125" t="str">
            <v>MECANICO</v>
          </cell>
        </row>
        <row r="126">
          <cell r="T126" t="str">
            <v>S-42</v>
          </cell>
          <cell r="U126">
            <v>0</v>
          </cell>
          <cell r="W126">
            <v>124</v>
          </cell>
          <cell r="X126" t="str">
            <v>MOVILIZACIÓN</v>
          </cell>
        </row>
        <row r="127">
          <cell r="T127" t="str">
            <v>JEFE/S-42-B</v>
          </cell>
          <cell r="U127">
            <v>1</v>
          </cell>
          <cell r="W127">
            <v>125</v>
          </cell>
          <cell r="X127" t="str">
            <v>O.P.U. PREFECTURA</v>
          </cell>
        </row>
        <row r="128">
          <cell r="T128" t="str">
            <v>S-42-B</v>
          </cell>
          <cell r="U128">
            <v>1</v>
          </cell>
          <cell r="W128">
            <v>126</v>
          </cell>
          <cell r="X128" t="str">
            <v>OF. ADMINISTRATIVA</v>
          </cell>
        </row>
        <row r="129">
          <cell r="T129" t="str">
            <v>JEFE/S-43</v>
          </cell>
          <cell r="U129">
            <v>2</v>
          </cell>
          <cell r="W129">
            <v>127</v>
          </cell>
          <cell r="X129" t="str">
            <v>OF. ANÁLISIS TÁCTICO Y ESTADÍSTICAS</v>
          </cell>
        </row>
        <row r="130">
          <cell r="T130" t="str">
            <v>S-43</v>
          </cell>
          <cell r="U130">
            <v>2</v>
          </cell>
          <cell r="W130">
            <v>128</v>
          </cell>
          <cell r="X130" t="str">
            <v>OF. COMUNICACIONES Y AUDIOVISUALES</v>
          </cell>
        </row>
        <row r="131">
          <cell r="T131" t="str">
            <v>JEFE/S-43-B</v>
          </cell>
          <cell r="U131">
            <v>3</v>
          </cell>
          <cell r="W131">
            <v>129</v>
          </cell>
          <cell r="X131" t="str">
            <v>OF. DE ENLACE FINANCIERO</v>
          </cell>
        </row>
        <row r="132">
          <cell r="T132" t="str">
            <v>S-43-B</v>
          </cell>
          <cell r="U132">
            <v>3</v>
          </cell>
          <cell r="W132">
            <v>130</v>
          </cell>
          <cell r="X132" t="str">
            <v>OF. OPERACIONES</v>
          </cell>
        </row>
        <row r="133">
          <cell r="T133" t="str">
            <v>JEFE/S-44</v>
          </cell>
          <cell r="U133">
            <v>4</v>
          </cell>
          <cell r="W133">
            <v>131</v>
          </cell>
          <cell r="X133" t="str">
            <v>OF. PSICOLOGÍA 40° COMISARIA COP</v>
          </cell>
        </row>
        <row r="134">
          <cell r="T134" t="str">
            <v>S-44</v>
          </cell>
          <cell r="U134">
            <v>4</v>
          </cell>
          <cell r="W134">
            <v>132</v>
          </cell>
          <cell r="X134" t="str">
            <v>OF. PSICOLOGÍA PREF.</v>
          </cell>
        </row>
        <row r="135">
          <cell r="T135" t="str">
            <v>JEFE/S-44-B</v>
          </cell>
          <cell r="U135">
            <v>0</v>
          </cell>
          <cell r="W135">
            <v>133</v>
          </cell>
          <cell r="X135" t="str">
            <v>OF. REQUERIMIENTOS</v>
          </cell>
        </row>
        <row r="136">
          <cell r="T136" t="str">
            <v>S-44-B</v>
          </cell>
          <cell r="U136">
            <v>0</v>
          </cell>
          <cell r="W136">
            <v>134</v>
          </cell>
          <cell r="X136" t="str">
            <v>OF. RESERVADOS</v>
          </cell>
        </row>
        <row r="137">
          <cell r="T137" t="str">
            <v>JEFE/S-45</v>
          </cell>
          <cell r="U137">
            <v>1</v>
          </cell>
          <cell r="W137">
            <v>135</v>
          </cell>
          <cell r="X137" t="str">
            <v>P.F. ROBERTO DEL RIO 1</v>
          </cell>
        </row>
        <row r="138">
          <cell r="T138" t="str">
            <v>S-45</v>
          </cell>
          <cell r="U138">
            <v>1</v>
          </cell>
          <cell r="W138">
            <v>136</v>
          </cell>
          <cell r="X138" t="str">
            <v>P.F. ROBERTO DEL RIO 2</v>
          </cell>
        </row>
        <row r="139">
          <cell r="T139" t="str">
            <v>JEFE/S-45-B</v>
          </cell>
          <cell r="U139">
            <v>2</v>
          </cell>
          <cell r="W139">
            <v>137</v>
          </cell>
          <cell r="X139" t="str">
            <v>P.F. ROBERTO DEL RIO 3</v>
          </cell>
        </row>
        <row r="140">
          <cell r="T140" t="str">
            <v>S-45-B</v>
          </cell>
          <cell r="U140">
            <v>2</v>
          </cell>
          <cell r="W140">
            <v>138</v>
          </cell>
          <cell r="X140" t="str">
            <v>P.F. ROBERTO DEL RIO 4</v>
          </cell>
        </row>
        <row r="141">
          <cell r="T141" t="str">
            <v>JEFE/S-46</v>
          </cell>
          <cell r="U141">
            <v>3</v>
          </cell>
          <cell r="W141">
            <v>139</v>
          </cell>
          <cell r="X141" t="str">
            <v>PATRULLA AMUNICIONADORA</v>
          </cell>
        </row>
        <row r="142">
          <cell r="T142" t="str">
            <v>S-46</v>
          </cell>
          <cell r="U142">
            <v>3</v>
          </cell>
          <cell r="W142">
            <v>140</v>
          </cell>
          <cell r="X142" t="str">
            <v>PATRULLA DE RESCATE</v>
          </cell>
        </row>
        <row r="143">
          <cell r="T143" t="str">
            <v>JEFE/S-46-B</v>
          </cell>
          <cell r="U143">
            <v>4</v>
          </cell>
          <cell r="W143">
            <v>141</v>
          </cell>
          <cell r="X143" t="str">
            <v>PATRULLA DE RESCATE 1</v>
          </cell>
        </row>
        <row r="144">
          <cell r="T144" t="str">
            <v>S-46-B</v>
          </cell>
          <cell r="U144">
            <v>4</v>
          </cell>
          <cell r="W144">
            <v>142</v>
          </cell>
          <cell r="X144" t="str">
            <v>PATRULLA DE RESCATE 2</v>
          </cell>
        </row>
        <row r="145">
          <cell r="T145" t="str">
            <v>JEFE/S-47</v>
          </cell>
          <cell r="U145">
            <v>0</v>
          </cell>
          <cell r="W145">
            <v>143</v>
          </cell>
          <cell r="X145" t="str">
            <v>PATRULLA DE RESCATE 3</v>
          </cell>
        </row>
        <row r="146">
          <cell r="T146" t="str">
            <v>S-47</v>
          </cell>
          <cell r="U146">
            <v>0</v>
          </cell>
          <cell r="W146">
            <v>144</v>
          </cell>
          <cell r="X146" t="str">
            <v>PATRULLA PERIFONEO</v>
          </cell>
        </row>
        <row r="147">
          <cell r="T147" t="str">
            <v>JEFE/S-47-B</v>
          </cell>
          <cell r="U147">
            <v>1</v>
          </cell>
          <cell r="W147">
            <v>145</v>
          </cell>
          <cell r="X147" t="str">
            <v>PELUQUERÍA</v>
          </cell>
        </row>
        <row r="148">
          <cell r="T148" t="str">
            <v>S-47-B</v>
          </cell>
          <cell r="U148">
            <v>1</v>
          </cell>
          <cell r="W148">
            <v>146</v>
          </cell>
          <cell r="X148" t="str">
            <v>PERMISO ADMINISTRATIVO</v>
          </cell>
        </row>
        <row r="149">
          <cell r="T149" t="str">
            <v>JEFE/S-48</v>
          </cell>
          <cell r="U149">
            <v>2</v>
          </cell>
          <cell r="W149">
            <v>147</v>
          </cell>
          <cell r="X149" t="str">
            <v>PERMISO DESCANSO REPARATORIO PERSONAL DE SALUD</v>
          </cell>
        </row>
        <row r="150">
          <cell r="T150" t="str">
            <v>S-48</v>
          </cell>
          <cell r="U150">
            <v>2</v>
          </cell>
          <cell r="W150">
            <v>148</v>
          </cell>
          <cell r="X150" t="str">
            <v>PERMISO ENFERMEDAD GRAVE HIJO MENOR 18 AÑOS</v>
          </cell>
        </row>
        <row r="151">
          <cell r="T151" t="str">
            <v>JEFE/S-48-B</v>
          </cell>
          <cell r="U151">
            <v>3</v>
          </cell>
          <cell r="W151">
            <v>149</v>
          </cell>
          <cell r="X151" t="str">
            <v>PERMISO ESPECIAL DIGCAR</v>
          </cell>
        </row>
        <row r="152">
          <cell r="T152" t="str">
            <v>S-48-B</v>
          </cell>
          <cell r="U152">
            <v>3</v>
          </cell>
          <cell r="W152">
            <v>150</v>
          </cell>
          <cell r="X152" t="str">
            <v>PERMISO MUERTE HIJO PERIODO DE GESTACIÓN</v>
          </cell>
        </row>
        <row r="153">
          <cell r="T153" t="str">
            <v>JEFE/S-49</v>
          </cell>
          <cell r="U153">
            <v>4</v>
          </cell>
          <cell r="W153">
            <v>151</v>
          </cell>
          <cell r="X153" t="str">
            <v>PERMISO MUERTE MADRE O PADRE</v>
          </cell>
        </row>
        <row r="154">
          <cell r="T154" t="str">
            <v>S-49</v>
          </cell>
          <cell r="U154">
            <v>4</v>
          </cell>
          <cell r="W154">
            <v>152</v>
          </cell>
          <cell r="X154" t="str">
            <v>PERMISO MUERTES DE HIJO O CÓNYUGE</v>
          </cell>
        </row>
        <row r="155">
          <cell r="T155" t="str">
            <v>JEFE/S-49-B</v>
          </cell>
          <cell r="U155">
            <v>0</v>
          </cell>
          <cell r="W155">
            <v>153</v>
          </cell>
          <cell r="X155" t="str">
            <v>PERMISO NACIMIENTO HIJO</v>
          </cell>
        </row>
        <row r="156">
          <cell r="T156" t="str">
            <v>S-49-B</v>
          </cell>
          <cell r="U156">
            <v>0</v>
          </cell>
          <cell r="W156">
            <v>154</v>
          </cell>
          <cell r="X156" t="str">
            <v>PERMISO POR MATRIMONIO</v>
          </cell>
        </row>
        <row r="157">
          <cell r="T157" t="str">
            <v>JEFE/S-EV</v>
          </cell>
          <cell r="U157">
            <v>1</v>
          </cell>
          <cell r="W157">
            <v>155</v>
          </cell>
          <cell r="X157" t="str">
            <v>PERSONAL DISPONIBLE</v>
          </cell>
        </row>
        <row r="158">
          <cell r="T158" t="str">
            <v>S-EV</v>
          </cell>
          <cell r="U158">
            <v>1</v>
          </cell>
          <cell r="W158">
            <v>156</v>
          </cell>
          <cell r="X158" t="str">
            <v>PRACTICA DE TIRO</v>
          </cell>
        </row>
        <row r="159">
          <cell r="T159" t="str">
            <v>JEFE/S-EV-2</v>
          </cell>
          <cell r="U159">
            <v>2</v>
          </cell>
          <cell r="W159">
            <v>157</v>
          </cell>
          <cell r="X159" t="str">
            <v>PROCESO DE DESPACHO</v>
          </cell>
        </row>
        <row r="160">
          <cell r="T160" t="str">
            <v>S-EV-2</v>
          </cell>
          <cell r="U160">
            <v>2</v>
          </cell>
          <cell r="W160">
            <v>158</v>
          </cell>
          <cell r="X160" t="str">
            <v>PROCESO RETIRO</v>
          </cell>
        </row>
        <row r="161">
          <cell r="T161" t="str">
            <v>JEFE/PTL-11</v>
          </cell>
          <cell r="U161">
            <v>3</v>
          </cell>
          <cell r="W161">
            <v>159</v>
          </cell>
          <cell r="X161" t="str">
            <v>PROF. EDUCACIÓN FÍSICA</v>
          </cell>
        </row>
        <row r="162">
          <cell r="T162" t="str">
            <v>PTL-11</v>
          </cell>
          <cell r="U162">
            <v>3</v>
          </cell>
          <cell r="W162">
            <v>160</v>
          </cell>
          <cell r="X162" t="str">
            <v>PROSERVIPOL</v>
          </cell>
        </row>
        <row r="163">
          <cell r="T163" t="str">
            <v>JEFE/PTL-12</v>
          </cell>
          <cell r="U163">
            <v>4</v>
          </cell>
          <cell r="W163">
            <v>161</v>
          </cell>
          <cell r="X163" t="str">
            <v>PTI-1</v>
          </cell>
        </row>
        <row r="164">
          <cell r="T164" t="str">
            <v>PTL-12</v>
          </cell>
          <cell r="U164">
            <v>4</v>
          </cell>
          <cell r="W164">
            <v>162</v>
          </cell>
          <cell r="X164" t="str">
            <v>PTI-2</v>
          </cell>
        </row>
        <row r="165">
          <cell r="T165" t="str">
            <v>JEFE/PTL-13</v>
          </cell>
          <cell r="U165">
            <v>0</v>
          </cell>
          <cell r="W165">
            <v>163</v>
          </cell>
          <cell r="X165" t="str">
            <v>PTI-EV</v>
          </cell>
        </row>
        <row r="166">
          <cell r="T166" t="str">
            <v>PTL-13</v>
          </cell>
          <cell r="U166">
            <v>0</v>
          </cell>
          <cell r="W166">
            <v>164</v>
          </cell>
          <cell r="X166" t="str">
            <v>PTL-11</v>
          </cell>
        </row>
        <row r="167">
          <cell r="T167" t="str">
            <v>JEFE/PTL-14</v>
          </cell>
          <cell r="U167">
            <v>1</v>
          </cell>
          <cell r="W167">
            <v>165</v>
          </cell>
          <cell r="X167" t="str">
            <v>PTL-12</v>
          </cell>
        </row>
        <row r="168">
          <cell r="T168" t="str">
            <v>PTL-14</v>
          </cell>
          <cell r="U168">
            <v>1</v>
          </cell>
          <cell r="W168">
            <v>166</v>
          </cell>
          <cell r="X168" t="str">
            <v>PTL-13</v>
          </cell>
        </row>
        <row r="169">
          <cell r="T169" t="str">
            <v>JEFE/PTL-15</v>
          </cell>
          <cell r="U169">
            <v>2</v>
          </cell>
          <cell r="W169">
            <v>167</v>
          </cell>
          <cell r="X169" t="str">
            <v>PTL-14</v>
          </cell>
        </row>
        <row r="170">
          <cell r="T170" t="str">
            <v>PTL-15</v>
          </cell>
          <cell r="U170">
            <v>2</v>
          </cell>
          <cell r="W170">
            <v>168</v>
          </cell>
          <cell r="X170" t="str">
            <v>PTL-15</v>
          </cell>
        </row>
        <row r="171">
          <cell r="T171" t="str">
            <v>JEFE/PTL-16</v>
          </cell>
          <cell r="U171">
            <v>3</v>
          </cell>
          <cell r="W171">
            <v>169</v>
          </cell>
          <cell r="X171" t="str">
            <v>PTL-16</v>
          </cell>
        </row>
        <row r="172">
          <cell r="T172" t="str">
            <v>PTL-16</v>
          </cell>
          <cell r="U172">
            <v>3</v>
          </cell>
          <cell r="W172">
            <v>170</v>
          </cell>
          <cell r="X172" t="str">
            <v>PTL-17</v>
          </cell>
        </row>
        <row r="173">
          <cell r="T173" t="str">
            <v>JEFE/PTL-17</v>
          </cell>
          <cell r="U173">
            <v>4</v>
          </cell>
          <cell r="W173">
            <v>171</v>
          </cell>
          <cell r="X173" t="str">
            <v>PTL-18</v>
          </cell>
        </row>
        <row r="174">
          <cell r="T174" t="str">
            <v>PTL-17</v>
          </cell>
          <cell r="U174">
            <v>4</v>
          </cell>
          <cell r="W174">
            <v>172</v>
          </cell>
          <cell r="X174" t="str">
            <v>PTL-19</v>
          </cell>
        </row>
        <row r="175">
          <cell r="T175" t="str">
            <v>JEFE/PTL-18</v>
          </cell>
          <cell r="U175">
            <v>0</v>
          </cell>
          <cell r="W175">
            <v>173</v>
          </cell>
          <cell r="X175" t="str">
            <v>PTL-20</v>
          </cell>
        </row>
        <row r="176">
          <cell r="T176" t="str">
            <v>PTL-18</v>
          </cell>
          <cell r="U176">
            <v>0</v>
          </cell>
          <cell r="W176">
            <v>174</v>
          </cell>
          <cell r="X176" t="str">
            <v>PTL-21</v>
          </cell>
        </row>
        <row r="177">
          <cell r="T177" t="str">
            <v>JEFE/PTL-19</v>
          </cell>
          <cell r="U177">
            <v>1</v>
          </cell>
          <cell r="W177">
            <v>175</v>
          </cell>
          <cell r="X177" t="str">
            <v>PTL-22</v>
          </cell>
        </row>
        <row r="178">
          <cell r="T178" t="str">
            <v>PTL-19</v>
          </cell>
          <cell r="U178">
            <v>1</v>
          </cell>
          <cell r="W178">
            <v>176</v>
          </cell>
          <cell r="X178" t="str">
            <v>PTL-EV</v>
          </cell>
        </row>
        <row r="179">
          <cell r="T179" t="str">
            <v>JEFE/PTL-20</v>
          </cell>
          <cell r="U179">
            <v>2</v>
          </cell>
          <cell r="W179">
            <v>177</v>
          </cell>
          <cell r="X179" t="str">
            <v>PTL-EV-2</v>
          </cell>
        </row>
        <row r="180">
          <cell r="T180" t="str">
            <v>PTL-20</v>
          </cell>
          <cell r="U180">
            <v>2</v>
          </cell>
          <cell r="W180">
            <v>178</v>
          </cell>
          <cell r="X180" t="str">
            <v>PTR-1</v>
          </cell>
        </row>
        <row r="181">
          <cell r="T181" t="str">
            <v>JEFE/PTL-21</v>
          </cell>
          <cell r="U181">
            <v>3</v>
          </cell>
          <cell r="W181">
            <v>179</v>
          </cell>
          <cell r="X181" t="str">
            <v>PTR-2</v>
          </cell>
        </row>
        <row r="182">
          <cell r="T182" t="str">
            <v>PTL-21</v>
          </cell>
          <cell r="U182">
            <v>3</v>
          </cell>
          <cell r="W182">
            <v>180</v>
          </cell>
          <cell r="X182" t="str">
            <v>PTR-3</v>
          </cell>
        </row>
        <row r="183">
          <cell r="T183" t="str">
            <v>JEFE/PTL-22</v>
          </cell>
          <cell r="U183">
            <v>4</v>
          </cell>
          <cell r="W183">
            <v>181</v>
          </cell>
          <cell r="X183" t="str">
            <v>PTR-4</v>
          </cell>
        </row>
        <row r="184">
          <cell r="T184" t="str">
            <v>PTL-22</v>
          </cell>
          <cell r="U184">
            <v>4</v>
          </cell>
          <cell r="W184">
            <v>182</v>
          </cell>
          <cell r="X184" t="str">
            <v>PTR-5</v>
          </cell>
        </row>
        <row r="185">
          <cell r="T185" t="str">
            <v>JEFE/PTL-EV</v>
          </cell>
          <cell r="U185">
            <v>0</v>
          </cell>
          <cell r="W185">
            <v>183</v>
          </cell>
          <cell r="X185" t="str">
            <v>PTR-6</v>
          </cell>
        </row>
        <row r="186">
          <cell r="T186" t="str">
            <v>PTL-EV</v>
          </cell>
          <cell r="U186">
            <v>0</v>
          </cell>
          <cell r="W186">
            <v>184</v>
          </cell>
          <cell r="X186" t="str">
            <v>PTR-7</v>
          </cell>
        </row>
        <row r="187">
          <cell r="T187" t="str">
            <v>JEFE/PTL-EV-2</v>
          </cell>
          <cell r="U187">
            <v>1</v>
          </cell>
          <cell r="W187">
            <v>185</v>
          </cell>
          <cell r="X187" t="str">
            <v>PTR-8</v>
          </cell>
        </row>
        <row r="188">
          <cell r="T188" t="str">
            <v>PTL-EV-2</v>
          </cell>
          <cell r="U188">
            <v>1</v>
          </cell>
          <cell r="W188">
            <v>186</v>
          </cell>
          <cell r="X188" t="str">
            <v>PTR-9</v>
          </cell>
        </row>
        <row r="189">
          <cell r="T189" t="str">
            <v>PTI-1</v>
          </cell>
          <cell r="U189">
            <v>2</v>
          </cell>
          <cell r="W189">
            <v>187</v>
          </cell>
          <cell r="X189" t="str">
            <v>PTR-G-11</v>
          </cell>
        </row>
        <row r="190">
          <cell r="T190" t="str">
            <v>PTI-2</v>
          </cell>
          <cell r="U190">
            <v>3</v>
          </cell>
          <cell r="W190">
            <v>188</v>
          </cell>
          <cell r="X190" t="str">
            <v>PTR-G-12</v>
          </cell>
        </row>
        <row r="191">
          <cell r="T191" t="str">
            <v>PTI-EV</v>
          </cell>
          <cell r="U191">
            <v>4</v>
          </cell>
          <cell r="W191">
            <v>189</v>
          </cell>
          <cell r="X191" t="str">
            <v>PTR-G-13</v>
          </cell>
        </row>
        <row r="192">
          <cell r="T192" t="str">
            <v>MOVILIZACIÓN</v>
          </cell>
          <cell r="U192">
            <v>0</v>
          </cell>
          <cell r="W192">
            <v>190</v>
          </cell>
          <cell r="X192" t="str">
            <v>PTR-G-14</v>
          </cell>
        </row>
        <row r="193">
          <cell r="T193" t="str">
            <v>PATRULLA DE RESCATE</v>
          </cell>
          <cell r="U193">
            <v>1</v>
          </cell>
          <cell r="W193">
            <v>191</v>
          </cell>
          <cell r="X193" t="str">
            <v>PTR-G-15</v>
          </cell>
        </row>
        <row r="194">
          <cell r="T194" t="str">
            <v>PATRULLA PERIFONEO</v>
          </cell>
          <cell r="U194">
            <v>2</v>
          </cell>
          <cell r="W194">
            <v>192</v>
          </cell>
          <cell r="X194" t="str">
            <v>PTR-G-16</v>
          </cell>
        </row>
        <row r="195">
          <cell r="T195" t="str">
            <v>PATRULLA DE RESCATE 1</v>
          </cell>
          <cell r="U195">
            <v>3</v>
          </cell>
          <cell r="W195">
            <v>193</v>
          </cell>
          <cell r="X195" t="str">
            <v>PTR-G-17</v>
          </cell>
        </row>
        <row r="196">
          <cell r="T196" t="str">
            <v>PATRULLA DE RESCATE 2</v>
          </cell>
          <cell r="U196">
            <v>4</v>
          </cell>
          <cell r="W196">
            <v>194</v>
          </cell>
          <cell r="X196" t="str">
            <v>PTR-G-18</v>
          </cell>
        </row>
        <row r="197">
          <cell r="T197" t="str">
            <v>PATRULLA DE RESCATE 3</v>
          </cell>
          <cell r="U197">
            <v>0</v>
          </cell>
          <cell r="W197">
            <v>195</v>
          </cell>
          <cell r="X197" t="str">
            <v>PTR-G-19</v>
          </cell>
        </row>
        <row r="198">
          <cell r="T198" t="str">
            <v>AA-1</v>
          </cell>
          <cell r="U198">
            <v>1</v>
          </cell>
          <cell r="W198">
            <v>196</v>
          </cell>
          <cell r="X198" t="str">
            <v>PTR-G-20</v>
          </cell>
        </row>
        <row r="199">
          <cell r="T199" t="str">
            <v>AA-2</v>
          </cell>
          <cell r="U199">
            <v>2</v>
          </cell>
          <cell r="W199">
            <v>197</v>
          </cell>
          <cell r="X199" t="str">
            <v>PTR-G-21</v>
          </cell>
        </row>
        <row r="200">
          <cell r="T200" t="str">
            <v>OF. OPERACIONES</v>
          </cell>
          <cell r="U200">
            <v>3</v>
          </cell>
          <cell r="W200">
            <v>198</v>
          </cell>
          <cell r="X200" t="str">
            <v>PTR-G-22</v>
          </cell>
        </row>
        <row r="201">
          <cell r="T201" t="str">
            <v>PROSERVIPOL</v>
          </cell>
          <cell r="U201">
            <v>4</v>
          </cell>
          <cell r="W201">
            <v>199</v>
          </cell>
          <cell r="X201" t="str">
            <v>PTR-SSOO 1</v>
          </cell>
        </row>
        <row r="202">
          <cell r="T202" t="str">
            <v>REGIMEN INTERNO</v>
          </cell>
          <cell r="U202">
            <v>0</v>
          </cell>
          <cell r="W202">
            <v>200</v>
          </cell>
          <cell r="X202" t="str">
            <v>PTR-SSOO 2</v>
          </cell>
        </row>
        <row r="203">
          <cell r="T203" t="str">
            <v>APOYO REGIMEN INTERNO</v>
          </cell>
          <cell r="U203">
            <v>1</v>
          </cell>
          <cell r="W203">
            <v>201</v>
          </cell>
          <cell r="X203" t="str">
            <v>PTR-SSOO 3</v>
          </cell>
        </row>
        <row r="204">
          <cell r="T204" t="str">
            <v>MANTENCIÓN DE CUARTEL</v>
          </cell>
          <cell r="U204">
            <v>2</v>
          </cell>
          <cell r="W204">
            <v>202</v>
          </cell>
          <cell r="X204" t="str">
            <v>PTR-SSOO 4</v>
          </cell>
        </row>
        <row r="205">
          <cell r="T205" t="str">
            <v>GIMNASIO</v>
          </cell>
          <cell r="U205">
            <v>3</v>
          </cell>
          <cell r="W205">
            <v>203</v>
          </cell>
          <cell r="X205" t="str">
            <v>PTR-SSOO 5</v>
          </cell>
        </row>
        <row r="206">
          <cell r="T206" t="str">
            <v>S.O.M. ORDENES (OF. PARTES)</v>
          </cell>
          <cell r="U206">
            <v>4</v>
          </cell>
          <cell r="W206">
            <v>204</v>
          </cell>
          <cell r="X206" t="str">
            <v>PTR-SSOO 6</v>
          </cell>
        </row>
        <row r="207">
          <cell r="T207" t="str">
            <v>INVENTARIO</v>
          </cell>
          <cell r="U207">
            <v>0</v>
          </cell>
          <cell r="W207">
            <v>205</v>
          </cell>
          <cell r="X207" t="str">
            <v>RANCHO</v>
          </cell>
        </row>
        <row r="208">
          <cell r="T208" t="str">
            <v>OF. ADMINISTRATIVA</v>
          </cell>
          <cell r="U208">
            <v>1</v>
          </cell>
          <cell r="W208">
            <v>206</v>
          </cell>
          <cell r="X208" t="str">
            <v>REGIMEN INTERNO</v>
          </cell>
        </row>
        <row r="209">
          <cell r="T209" t="str">
            <v>SALA DE ARMAS (LL.SS.)</v>
          </cell>
          <cell r="U209">
            <v>2</v>
          </cell>
          <cell r="W209">
            <v>207</v>
          </cell>
          <cell r="X209" t="str">
            <v>S.O.M. ORDENES (OF. PARTES)</v>
          </cell>
        </row>
        <row r="210">
          <cell r="T210" t="str">
            <v>PATRULLA AMUNICIONADORA</v>
          </cell>
          <cell r="U210">
            <v>3</v>
          </cell>
          <cell r="W210">
            <v>208</v>
          </cell>
          <cell r="X210" t="str">
            <v>S-30</v>
          </cell>
        </row>
        <row r="211">
          <cell r="T211" t="str">
            <v>OF. COMUNICACIONES Y AUDIOVISUALES</v>
          </cell>
          <cell r="U211">
            <v>4</v>
          </cell>
          <cell r="W211">
            <v>209</v>
          </cell>
          <cell r="X211" t="str">
            <v>S-30-B</v>
          </cell>
        </row>
        <row r="212">
          <cell r="T212" t="str">
            <v>ECONOMATO</v>
          </cell>
          <cell r="U212">
            <v>0</v>
          </cell>
          <cell r="W212">
            <v>210</v>
          </cell>
          <cell r="X212" t="str">
            <v>S-31</v>
          </cell>
        </row>
        <row r="213">
          <cell r="T213" t="str">
            <v>SECCIÓN REJAS Y CORDELES</v>
          </cell>
          <cell r="U213">
            <v>1</v>
          </cell>
          <cell r="W213">
            <v>211</v>
          </cell>
          <cell r="X213" t="str">
            <v>S-31-B</v>
          </cell>
        </row>
        <row r="214">
          <cell r="T214" t="str">
            <v>PELUQUERÍA</v>
          </cell>
          <cell r="U214">
            <v>2</v>
          </cell>
          <cell r="W214">
            <v>212</v>
          </cell>
          <cell r="X214" t="str">
            <v>S-32</v>
          </cell>
        </row>
        <row r="215">
          <cell r="T215" t="str">
            <v>MECANICO</v>
          </cell>
          <cell r="U215">
            <v>3</v>
          </cell>
          <cell r="W215">
            <v>213</v>
          </cell>
          <cell r="X215" t="str">
            <v>S-32-B</v>
          </cell>
        </row>
        <row r="216">
          <cell r="T216" t="str">
            <v>RANCHO</v>
          </cell>
          <cell r="U216">
            <v>4</v>
          </cell>
          <cell r="W216">
            <v>214</v>
          </cell>
          <cell r="X216" t="str">
            <v>S-33</v>
          </cell>
        </row>
        <row r="217">
          <cell r="T217" t="str">
            <v>DISPONIBLE CUARTEL</v>
          </cell>
          <cell r="U217">
            <v>0</v>
          </cell>
          <cell r="W217">
            <v>215</v>
          </cell>
          <cell r="X217" t="str">
            <v>S-33-B</v>
          </cell>
        </row>
        <row r="218">
          <cell r="T218" t="str">
            <v>FERIADO</v>
          </cell>
          <cell r="U218">
            <v>1</v>
          </cell>
          <cell r="W218">
            <v>216</v>
          </cell>
          <cell r="X218" t="str">
            <v>S-34</v>
          </cell>
        </row>
        <row r="219">
          <cell r="T219" t="str">
            <v>LICENCIA ACCIDENTE EN ACTO DE SERVICIO</v>
          </cell>
          <cell r="U219">
            <v>2</v>
          </cell>
          <cell r="W219">
            <v>217</v>
          </cell>
          <cell r="X219" t="str">
            <v>S-34-B</v>
          </cell>
        </row>
        <row r="220">
          <cell r="T220" t="str">
            <v>LICENCIA ENFERMEDAD O ACCIDENTE COMÚN</v>
          </cell>
          <cell r="U220">
            <v>3</v>
          </cell>
          <cell r="W220">
            <v>218</v>
          </cell>
          <cell r="X220" t="str">
            <v>S-35</v>
          </cell>
        </row>
        <row r="221">
          <cell r="T221" t="str">
            <v>LICENCIA ENFERMEDAD PROFESIONAL</v>
          </cell>
          <cell r="U221">
            <v>4</v>
          </cell>
          <cell r="W221">
            <v>219</v>
          </cell>
          <cell r="X221" t="str">
            <v>S-35-B</v>
          </cell>
        </row>
        <row r="222">
          <cell r="T222" t="str">
            <v>LICENCIA MATERNAL PRE NATAL</v>
          </cell>
          <cell r="U222">
            <v>0</v>
          </cell>
          <cell r="W222">
            <v>220</v>
          </cell>
          <cell r="X222" t="str">
            <v>S-36</v>
          </cell>
        </row>
        <row r="223">
          <cell r="T223" t="str">
            <v>LICENCIA MATERNAL POST NATAL</v>
          </cell>
          <cell r="U223">
            <v>1</v>
          </cell>
          <cell r="W223">
            <v>221</v>
          </cell>
          <cell r="X223" t="str">
            <v>S-36-B</v>
          </cell>
        </row>
        <row r="224">
          <cell r="T224" t="str">
            <v>LICENCIA PATOLOGÍA DEL EMBARAZO</v>
          </cell>
          <cell r="U224">
            <v>2</v>
          </cell>
          <cell r="W224">
            <v>222</v>
          </cell>
          <cell r="X224" t="str">
            <v>S-37</v>
          </cell>
        </row>
        <row r="225">
          <cell r="T225" t="str">
            <v>LICENCIA ENFERMEDAD GRAVE HIJO MENOR DE UN AÑO</v>
          </cell>
          <cell r="U225">
            <v>3</v>
          </cell>
          <cell r="W225">
            <v>223</v>
          </cell>
          <cell r="X225" t="str">
            <v>S-37-B</v>
          </cell>
        </row>
        <row r="226">
          <cell r="T226" t="str">
            <v>LICENCIA MÉDICA PREVENTIVA PARENTAL</v>
          </cell>
          <cell r="U226">
            <v>4</v>
          </cell>
          <cell r="W226">
            <v>224</v>
          </cell>
          <cell r="X226" t="str">
            <v>S-38</v>
          </cell>
        </row>
        <row r="227">
          <cell r="T227" t="str">
            <v>LICENCIA PRORROGA MEDICINA PREVENTIVA</v>
          </cell>
          <cell r="U227">
            <v>0</v>
          </cell>
          <cell r="W227">
            <v>225</v>
          </cell>
          <cell r="X227" t="str">
            <v>S-38-B</v>
          </cell>
        </row>
        <row r="228">
          <cell r="T228" t="str">
            <v>LICENCIA COVID-19</v>
          </cell>
          <cell r="U228">
            <v>1</v>
          </cell>
          <cell r="W228">
            <v>226</v>
          </cell>
          <cell r="X228" t="str">
            <v>S-39</v>
          </cell>
        </row>
        <row r="229">
          <cell r="T229" t="str">
            <v>LICENCIA POSIBLE COVID-19</v>
          </cell>
          <cell r="U229">
            <v>2</v>
          </cell>
          <cell r="W229">
            <v>227</v>
          </cell>
          <cell r="X229" t="str">
            <v>S-39-B</v>
          </cell>
        </row>
        <row r="230">
          <cell r="T230" t="str">
            <v>PERMISO ADMINISTRATIVO</v>
          </cell>
          <cell r="U230">
            <v>3</v>
          </cell>
          <cell r="W230">
            <v>228</v>
          </cell>
          <cell r="X230" t="str">
            <v>S-40</v>
          </cell>
        </row>
        <row r="231">
          <cell r="T231" t="str">
            <v>PERMISO DESCANSO REPARATORIO PERSONAL DE SALUD</v>
          </cell>
          <cell r="U231">
            <v>4</v>
          </cell>
          <cell r="W231">
            <v>229</v>
          </cell>
          <cell r="X231" t="str">
            <v>S-40-B</v>
          </cell>
        </row>
        <row r="232">
          <cell r="T232" t="str">
            <v>PERMISO ENFERMEDAD GRAVE HIJO MENOR 18 AÑOS</v>
          </cell>
          <cell r="U232">
            <v>0</v>
          </cell>
          <cell r="W232">
            <v>230</v>
          </cell>
          <cell r="X232" t="str">
            <v>S-41</v>
          </cell>
        </row>
        <row r="233">
          <cell r="T233" t="str">
            <v>PERMISO ESPECIAL DIGCAR</v>
          </cell>
          <cell r="U233">
            <v>1</v>
          </cell>
          <cell r="W233">
            <v>231</v>
          </cell>
          <cell r="X233" t="str">
            <v>S-41-B</v>
          </cell>
        </row>
        <row r="234">
          <cell r="T234" t="str">
            <v>PERMISO MUERTE HIJO PERIODO DE GESTACIÓN</v>
          </cell>
          <cell r="U234">
            <v>2</v>
          </cell>
          <cell r="W234">
            <v>232</v>
          </cell>
          <cell r="X234" t="str">
            <v>S-42</v>
          </cell>
        </row>
        <row r="235">
          <cell r="T235" t="str">
            <v>PERMISO MUERTE MADRE O PADRE</v>
          </cell>
          <cell r="U235">
            <v>3</v>
          </cell>
          <cell r="W235">
            <v>233</v>
          </cell>
          <cell r="X235" t="str">
            <v>S-42-B</v>
          </cell>
        </row>
        <row r="236">
          <cell r="T236" t="str">
            <v>PERMISO MUERTES DE HIJO O CÓNYUGE</v>
          </cell>
          <cell r="U236">
            <v>4</v>
          </cell>
          <cell r="W236">
            <v>234</v>
          </cell>
          <cell r="X236" t="str">
            <v>S-43</v>
          </cell>
        </row>
        <row r="237">
          <cell r="T237" t="str">
            <v>PERMISO NACIMIENTO HIJO</v>
          </cell>
          <cell r="U237">
            <v>0</v>
          </cell>
          <cell r="W237">
            <v>235</v>
          </cell>
          <cell r="X237" t="str">
            <v>S-43-B</v>
          </cell>
        </row>
        <row r="238">
          <cell r="T238" t="str">
            <v>PERMISO POR MATRIMONIO</v>
          </cell>
          <cell r="U238">
            <v>1</v>
          </cell>
          <cell r="W238">
            <v>236</v>
          </cell>
          <cell r="X238" t="str">
            <v>S-44</v>
          </cell>
        </row>
        <row r="239">
          <cell r="T239" t="str">
            <v>ARCHIVERO</v>
          </cell>
          <cell r="U239">
            <v>2</v>
          </cell>
          <cell r="W239">
            <v>237</v>
          </cell>
          <cell r="X239" t="str">
            <v>S-44-B</v>
          </cell>
        </row>
        <row r="240">
          <cell r="T240" t="str">
            <v>AYUDANTÍA</v>
          </cell>
          <cell r="U240">
            <v>3</v>
          </cell>
          <cell r="W240">
            <v>238</v>
          </cell>
          <cell r="X240" t="str">
            <v>S-45</v>
          </cell>
        </row>
        <row r="241">
          <cell r="T241" t="str">
            <v>CAPACITACIÓN Y REENTRENAMIENTO</v>
          </cell>
          <cell r="U241">
            <v>4</v>
          </cell>
          <cell r="W241">
            <v>239</v>
          </cell>
          <cell r="X241" t="str">
            <v>S-45-B</v>
          </cell>
        </row>
        <row r="242">
          <cell r="T242" t="str">
            <v>COMANDO Y CONTROL</v>
          </cell>
          <cell r="U242">
            <v>0</v>
          </cell>
          <cell r="W242">
            <v>240</v>
          </cell>
          <cell r="X242" t="str">
            <v>S-46</v>
          </cell>
        </row>
        <row r="243">
          <cell r="T243" t="str">
            <v>ESTAFETA PREF.</v>
          </cell>
          <cell r="U243">
            <v>1</v>
          </cell>
          <cell r="W243">
            <v>241</v>
          </cell>
          <cell r="X243" t="str">
            <v>S-46-B</v>
          </cell>
        </row>
        <row r="244">
          <cell r="T244" t="str">
            <v>GARZON</v>
          </cell>
          <cell r="U244">
            <v>2</v>
          </cell>
          <cell r="W244">
            <v>242</v>
          </cell>
          <cell r="X244" t="str">
            <v>S-47</v>
          </cell>
        </row>
        <row r="245">
          <cell r="T245" t="str">
            <v>JEFE/OF. REQUERIMIENTOS</v>
          </cell>
          <cell r="U245">
            <v>3</v>
          </cell>
          <cell r="W245">
            <v>243</v>
          </cell>
          <cell r="X245" t="str">
            <v>S-47-B</v>
          </cell>
        </row>
        <row r="246">
          <cell r="T246" t="str">
            <v>OF. REQUERIMIENTOS</v>
          </cell>
          <cell r="U246">
            <v>4</v>
          </cell>
          <cell r="W246">
            <v>244</v>
          </cell>
          <cell r="X246" t="str">
            <v>S-48</v>
          </cell>
        </row>
        <row r="247">
          <cell r="T247" t="str">
            <v>LAVANDERÍA</v>
          </cell>
          <cell r="U247">
            <v>0</v>
          </cell>
          <cell r="W247">
            <v>245</v>
          </cell>
          <cell r="X247" t="str">
            <v>S-48-B</v>
          </cell>
        </row>
        <row r="248">
          <cell r="T248" t="str">
            <v>LIBERADO DEL SERVICIO</v>
          </cell>
          <cell r="U248">
            <v>1</v>
          </cell>
          <cell r="W248">
            <v>246</v>
          </cell>
          <cell r="X248" t="str">
            <v>S-49</v>
          </cell>
        </row>
        <row r="249">
          <cell r="T249" t="str">
            <v>OF. ANÁLISIS TÁCTICO Y ESTADÍSTICAS</v>
          </cell>
          <cell r="U249">
            <v>2</v>
          </cell>
          <cell r="W249">
            <v>247</v>
          </cell>
          <cell r="X249" t="str">
            <v>S-49-B</v>
          </cell>
        </row>
        <row r="250">
          <cell r="T250" t="str">
            <v>OF. DE ENLACE FINANCIERO</v>
          </cell>
          <cell r="U250">
            <v>3</v>
          </cell>
          <cell r="W250">
            <v>248</v>
          </cell>
          <cell r="X250" t="str">
            <v>SALA DE ARMAS (LL.SS.)</v>
          </cell>
        </row>
        <row r="251">
          <cell r="T251" t="str">
            <v>OF. PSICOLOGÍA 40° COMISARIA COP</v>
          </cell>
          <cell r="U251">
            <v>4</v>
          </cell>
          <cell r="W251">
            <v>249</v>
          </cell>
          <cell r="X251" t="str">
            <v>SECCIÓN OPERACIONES PREF.</v>
          </cell>
        </row>
        <row r="252">
          <cell r="T252" t="str">
            <v>OF. PSICOLOGÍA PREF.</v>
          </cell>
          <cell r="U252">
            <v>0</v>
          </cell>
          <cell r="W252">
            <v>250</v>
          </cell>
          <cell r="X252" t="str">
            <v>SECCIÓN REJAS Y CORDELES</v>
          </cell>
        </row>
        <row r="253">
          <cell r="T253" t="str">
            <v>OF. RESERVADOS</v>
          </cell>
          <cell r="U253">
            <v>1</v>
          </cell>
          <cell r="W253">
            <v>251</v>
          </cell>
          <cell r="X253" t="str">
            <v>S-EV</v>
          </cell>
        </row>
        <row r="254">
          <cell r="T254" t="str">
            <v>PROF. EDUCACIÓN FÍSICA</v>
          </cell>
          <cell r="U254">
            <v>2</v>
          </cell>
          <cell r="W254">
            <v>252</v>
          </cell>
          <cell r="X254" t="str">
            <v>S-EV-2</v>
          </cell>
        </row>
        <row r="255">
          <cell r="T255" t="str">
            <v>SECCIÓN OPERACIONES PREF.</v>
          </cell>
          <cell r="U255">
            <v>3</v>
          </cell>
          <cell r="W255">
            <v>253</v>
          </cell>
          <cell r="X255" t="str">
            <v>SSOO 1</v>
          </cell>
        </row>
        <row r="256">
          <cell r="T256" t="str">
            <v>TELEFONISTA</v>
          </cell>
          <cell r="U256">
            <v>4</v>
          </cell>
          <cell r="W256">
            <v>254</v>
          </cell>
          <cell r="X256" t="str">
            <v>SSOO 2</v>
          </cell>
        </row>
        <row r="257">
          <cell r="T257" t="str">
            <v>TRABAJO CUARTEL</v>
          </cell>
          <cell r="U257">
            <v>0</v>
          </cell>
          <cell r="W257">
            <v>255</v>
          </cell>
          <cell r="X257" t="str">
            <v>SSOO 3</v>
          </cell>
        </row>
        <row r="258">
          <cell r="T258" t="str">
            <v>AGREGADOS</v>
          </cell>
          <cell r="U258">
            <v>1</v>
          </cell>
          <cell r="W258">
            <v>256</v>
          </cell>
          <cell r="X258" t="str">
            <v>SSOO 4</v>
          </cell>
        </row>
        <row r="259">
          <cell r="T259" t="str">
            <v>PROCESO DE DESPACHO</v>
          </cell>
          <cell r="U259">
            <v>2</v>
          </cell>
          <cell r="W259">
            <v>257</v>
          </cell>
          <cell r="X259" t="str">
            <v>SSOO 5</v>
          </cell>
        </row>
        <row r="260">
          <cell r="T260" t="str">
            <v>PROCESO RETIRO</v>
          </cell>
          <cell r="U260">
            <v>3</v>
          </cell>
          <cell r="W260">
            <v>258</v>
          </cell>
          <cell r="X260" t="str">
            <v>SSOO 6</v>
          </cell>
        </row>
        <row r="261">
          <cell r="T261" t="str">
            <v>TRAMITE DE BAJA</v>
          </cell>
          <cell r="U261">
            <v>4</v>
          </cell>
          <cell r="W261">
            <v>259</v>
          </cell>
          <cell r="X261" t="str">
            <v>TELEFONISTA</v>
          </cell>
        </row>
        <row r="262">
          <cell r="T262" t="str">
            <v>FRANCOS</v>
          </cell>
          <cell r="U262">
            <v>0</v>
          </cell>
          <cell r="W262">
            <v>260</v>
          </cell>
          <cell r="X262" t="str">
            <v>TRABAJO CUARTEL</v>
          </cell>
        </row>
        <row r="263">
          <cell r="T263" t="str">
            <v>PERSONAL DISPONIBLE</v>
          </cell>
          <cell r="U263">
            <v>1</v>
          </cell>
          <cell r="W263">
            <v>261</v>
          </cell>
          <cell r="X263" t="str">
            <v>TRAMITE DE BAJA</v>
          </cell>
        </row>
        <row r="264">
          <cell r="U264">
            <v>2</v>
          </cell>
          <cell r="W264">
            <v>262</v>
          </cell>
        </row>
        <row r="265">
          <cell r="U265">
            <v>3</v>
          </cell>
          <cell r="W265">
            <v>263</v>
          </cell>
        </row>
        <row r="266">
          <cell r="U266">
            <v>4</v>
          </cell>
          <cell r="W266">
            <v>264</v>
          </cell>
        </row>
      </sheetData>
      <sheetData sheetId="13" refreshError="1"/>
      <sheetData sheetId="14" refreshError="1"/>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PERACIONES" refreshedDate="45387.667827083336" createdVersion="8" refreshedVersion="8" minRefreshableVersion="3" recordCount="478" xr:uid="{00000000-000A-0000-FFFF-FFFF00000000}">
  <cacheSource type="worksheet">
    <worksheetSource name="BD_PRINCIPAL"/>
  </cacheSource>
  <cacheFields count="66">
    <cacheField name="C/F" numFmtId="0">
      <sharedItems/>
    </cacheField>
    <cacheField name="NOMBRE RESPALDO" numFmtId="0">
      <sharedItems/>
    </cacheField>
    <cacheField name="RUT" numFmtId="0">
      <sharedItems containsMixedTypes="1" containsNumber="1" containsInteger="1" minValue="69788726" maxValue="207444898"/>
    </cacheField>
    <cacheField name="DOTACIÓN" numFmtId="0">
      <sharedItems/>
    </cacheField>
    <cacheField name="DOTACIÓN ACTUAL" numFmtId="0">
      <sharedItems containsMixedTypes="1" containsNumber="1" containsInteger="1" minValue="1" maxValue="43" count="165">
        <s v="G1-E"/>
        <s v="PTR-G1"/>
        <s v="G2-E"/>
        <s v="PTR-G2"/>
        <s v="G3-E"/>
        <s v="PTR-G3"/>
        <s v="G4-E"/>
        <s v="PTR-G4"/>
        <s v="C40"/>
        <s v="PTR-C40"/>
        <s v="C40-A"/>
        <s v="PTR-C40-A"/>
        <s v="C40-B"/>
        <s v="PTR-C40-B"/>
        <s v="GUARDIA CUARTEL 1"/>
        <s v="GUARDIA CUARTEL 2"/>
        <s v="GUARDIA CUARTEL 3"/>
        <s v="GUARDIA CUARTEL 4"/>
        <s v="INTERNO 1"/>
        <s v="INTERNO 2"/>
        <s v="INTERNO 3"/>
        <s v="INTERNO 4"/>
        <s v="P.F. ROBERTO DEL RIO 1"/>
        <s v="P.F. ROBERTO DEL RIO 2"/>
        <s v="P.F. ROBERTO DEL RIO 3"/>
        <s v="P.F. ROBERTO DEL RIO 4"/>
        <s v="PRACTICA DE TIRO"/>
        <s v="CONDUCTOR DISPONIBLE"/>
        <s v="GRIFO 11"/>
        <s v="PTR-G-11"/>
        <s v="GRIFO 12"/>
        <s v="PTR-G-12"/>
        <s v="GRIFO 13"/>
        <s v="PTR-G-13"/>
        <s v="GRIFO 14"/>
        <s v="PTR-G-14"/>
        <s v="GRIFO 15"/>
        <s v="PTR-G-15"/>
        <s v="GRIFO 17"/>
        <s v="PTR-G-17"/>
        <s v="GRIFO 18"/>
        <s v="PTR-G-18"/>
        <s v="GRIFO 20"/>
        <s v="PTR-G-20"/>
        <s v="GRIFO 21"/>
        <s v="PTR-G-21"/>
        <s v="GRIFO 22"/>
        <s v="PTR-G-22"/>
        <s v="GRIFO 23"/>
        <s v="PTR-G-23"/>
        <s v="GRIFO 24"/>
        <s v="SSOO 5"/>
        <s v="JEFE/S-30"/>
        <s v="S-30"/>
        <s v="JEFE/S-31"/>
        <s v="S-31"/>
        <s v="JEFE/S-32"/>
        <s v="S-32"/>
        <s v="JEFE/S-33"/>
        <s v="S-33"/>
        <s v="JEFE/S-34"/>
        <s v="S-34"/>
        <s v="JEFE/S-35"/>
        <s v="S-35"/>
        <s v="JEFE/S-36"/>
        <s v="S-36"/>
        <s v="JEFE/S-37"/>
        <s v="S-37"/>
        <s v="JEFE/S-38"/>
        <s v="S-38"/>
        <s v="JEFE/S-39"/>
        <s v="S-39"/>
        <s v="JEFE/S-40"/>
        <s v="S-40"/>
        <s v="JEFE/S-41"/>
        <s v="S-41"/>
        <s v="JEFE/S-42"/>
        <s v="S-42"/>
        <s v="JEFE/S-43"/>
        <s v="S-43"/>
        <s v="JEFE/S-44"/>
        <s v="S-44"/>
        <s v="JEFE/S-45"/>
        <s v="S-45"/>
        <s v="JEFE/S-46"/>
        <s v="S-46"/>
        <s v="JEFE/S-47"/>
        <s v="S-47"/>
        <s v="JEFE/S-48"/>
        <s v="S-48"/>
        <s v="JEFE/S-49"/>
        <s v="S-49"/>
        <s v="JEFE/S-EV-4"/>
        <s v="S-EV-4"/>
        <s v="JEFE/S-EV-5"/>
        <s v="S-EV-5"/>
        <s v="JEFE/S-EV-6"/>
        <s v="S-EV-6"/>
        <s v="JEFE/PTL-12"/>
        <s v="PTL-12"/>
        <s v="JEFE/PTL-13"/>
        <s v="PTL-13"/>
        <s v="JEFE/PTL-14"/>
        <s v="PTL-14"/>
        <s v="JEFE/PTL-15"/>
        <s v="JEFE/PTL-16"/>
        <s v="PTL-16"/>
        <s v="JEFE/PTL-17"/>
        <s v="PTL-17"/>
        <s v="JEFE/PTL-18"/>
        <s v="PTL-18"/>
        <s v="JEFE/PTL-21"/>
        <s v="PTL-21"/>
        <s v="JEFE/PTL-22"/>
        <s v="PTL-22"/>
        <s v="JEFE/PTL-23"/>
        <s v="PTL-23"/>
        <s v="PTI-1"/>
        <s v="PTI-2"/>
        <s v="MOVILIZACIÓN"/>
        <s v="PATRULLA DE RESCATE"/>
        <s v="PATRULLA DE RESCATE 1"/>
        <s v="PATRULLA DE RESCATE 2"/>
        <s v="OF. OPERACIONES"/>
        <s v="PROSERVIPOL"/>
        <s v="REGIMEN INTERNO"/>
        <s v="PERSONAL DISPONIBLE"/>
        <s v="FRANCOS"/>
        <s v="MANTENCIÓN DE CUARTEL"/>
        <s v="OF. PARTES"/>
        <s v="INVENTARIO"/>
        <s v="OF. ADMINISTRATIVA"/>
        <s v="SALA DE ARMAS"/>
        <s v="PATRULLA AMUNICIONADORA"/>
        <s v="ECONOMATO"/>
        <s v="RANCHO"/>
        <s v="SECCIÓN REJAS Y CORDELES 1"/>
        <s v="SECCIÓN REJAS Y CORDELES 2"/>
        <s v="SECCIÓN REJAS Y CORDELES 3"/>
        <s v="FERIADO"/>
        <s v="LICENCIA MEDICA PENDIENTE"/>
        <s v="LICENCIA ACCIDENTE EN ACTO DE SERVICIO"/>
        <s v="LICENCIA ENFERMEDAD O ACCIDENTE COMÚN"/>
        <s v="LICENCIA ENFERMEDAD PROFESIONAL"/>
        <s v="LICENCIA MATERNAL POST NATAL"/>
        <s v="LICENCIA PATOLOGÍA DEL EMBARAZO"/>
        <s v="PERMISO ADMINISTRATIVO"/>
        <s v="COMANDO Y CONTROL"/>
        <s v="OF. REQUERIMIENTOS"/>
        <s v="OF. ORDENES JUDICIALES"/>
        <s v="PROCESO RETIRO"/>
        <s v="AGREGADOS"/>
        <s v="MECANICO"/>
        <s v="O.P.U. PREFECTURA"/>
        <s v="GARZON"/>
        <s v="PELUQUERÍA"/>
        <s v="ARCHIVERO"/>
        <s v="LAVANDERÍA"/>
        <s v="OF. DE ENLACE FINANCIERO"/>
        <s v="OF. PSICOLOGÍA PREF."/>
        <s v="PROF. EDUCACIÓN FÍSICA"/>
        <s v="TELEFONISTA"/>
        <s v="ASISTENTE SOCIAL"/>
        <n v="1" u="1"/>
        <n v="43" u="1"/>
      </sharedItems>
    </cacheField>
    <cacheField name="APELLIDOS Y NOMBRES" numFmtId="0">
      <sharedItems/>
    </cacheField>
    <cacheField name="GRADO" numFmtId="49">
      <sharedItems containsBlank="1" count="17">
        <s v="CORONEL"/>
        <s v="SGTO 2DO."/>
        <s v="TTE. CRL."/>
        <s v="SGTO 1RO."/>
        <s v="CABO 1RO."/>
        <s v="CABO 2DO."/>
        <s v="SUBOFICIAL"/>
        <s v="MAYOR"/>
        <s v="CAPITÁN"/>
        <s v="CARABINERO"/>
        <s v="TENIENTE"/>
        <s v="S.O.M."/>
        <s v="CPR"/>
        <s v="CIVIL GRADO EQUIVALENTE"/>
        <m u="1"/>
        <s v="SUBTENIENTE" u="1"/>
        <s v="MAYOR " u="1"/>
      </sharedItems>
    </cacheField>
    <cacheField name="GENERO" numFmtId="49">
      <sharedItems containsBlank="1" count="4">
        <s v="HOMBRE"/>
        <s v="MUJER"/>
        <m u="1"/>
        <s v="B" u="1"/>
      </sharedItems>
    </cacheField>
    <cacheField name="REPARTICIÓN" numFmtId="49">
      <sharedItems containsBlank="1" count="5">
        <s v="PREFECTURA COP"/>
        <s v="40° COMISARIA COP"/>
        <s v="DENTRO ZONA"/>
        <s v="FUERA ZONA"/>
        <m u="1"/>
      </sharedItems>
    </cacheField>
    <cacheField name="ESC." numFmtId="49">
      <sharedItems containsBlank="1" count="8">
        <s v="PNS O/S"/>
        <s v="PNI O/S"/>
        <s v="SEC."/>
        <s v="A/L"/>
        <s v="CPR"/>
        <s v="CIVIL GRADO EQUIVALENTE"/>
        <m u="1"/>
        <s v="JUSTICIA" u="1"/>
      </sharedItems>
    </cacheField>
    <cacheField name="SEMEP" numFmtId="0">
      <sharedItems/>
    </cacheField>
    <cacheField name="TURNO" numFmtId="0">
      <sharedItems containsMixedTypes="1" containsNumber="1" containsInteger="1" minValue="0" maxValue="0" count="16">
        <s v="F"/>
        <s v="1P"/>
        <s v="SN"/>
        <s v="1G"/>
        <s v="2G"/>
        <s v="2P"/>
        <s v="ADM."/>
        <s v="1T"/>
        <s v="3T"/>
        <s v="2T"/>
        <s v="FER."/>
        <s v="LIC."/>
        <s v="PER."/>
        <s v="RETIRO"/>
        <s v="AG."/>
        <n v="0" u="1"/>
      </sharedItems>
    </cacheField>
    <cacheField name="SERVICIO" numFmtId="0">
      <sharedItems/>
    </cacheField>
    <cacheField name="Columna1" numFmtId="0">
      <sharedItems containsBlank="1"/>
    </cacheField>
    <cacheField name="FORMULA TURNO" numFmtId="0">
      <sharedItems containsNonDate="0" containsString="0" containsBlank="1"/>
    </cacheField>
    <cacheField name="FORMULA SERVICIO" numFmtId="0">
      <sharedItems containsNonDate="0" containsString="0" containsBlank="1"/>
    </cacheField>
    <cacheField name="ENCUADRE. ESC." numFmtId="0">
      <sharedItems/>
    </cacheField>
    <cacheField name="F. NAC." numFmtId="0">
      <sharedItems containsDate="1" containsMixedTypes="1" minDate="1975-07-29T00:00:00" maxDate="2024-04-07T00:00:00"/>
    </cacheField>
    <cacheField name="OBSERVACIÓN DISTRIBUCIÓN" numFmtId="49">
      <sharedItems containsBlank="1"/>
    </cacheField>
    <cacheField name="OBSERVACIÓN 2" numFmtId="49">
      <sharedItems containsBlank="1" containsMixedTypes="1" containsNumber="1" containsInteger="1" minValue="45312" maxValue="45312"/>
    </cacheField>
    <cacheField name="DESDE" numFmtId="0">
      <sharedItems containsDate="1" containsBlank="1" containsMixedTypes="1" minDate="2023-12-21T00:00:00" maxDate="2024-04-07T00:00:00"/>
    </cacheField>
    <cacheField name="HASTA" numFmtId="0">
      <sharedItems containsDate="1" containsBlank="1" containsMixedTypes="1" minDate="2024-04-05T00:00:00" maxDate="2025-03-28T00:00:00"/>
    </cacheField>
    <cacheField name="CALCULO DIAS" numFmtId="0">
      <sharedItems containsMixedTypes="1" containsNumber="1" containsInteger="1" minValue="2" maxValue="366"/>
    </cacheField>
    <cacheField name="ORDEN1" numFmtId="0">
      <sharedItems containsSemiMixedTypes="0" containsString="0" containsNumber="1" containsInteger="1" minValue="1" maxValue="6"/>
    </cacheField>
    <cacheField name="ORDEN2" numFmtId="0">
      <sharedItems containsSemiMixedTypes="0" containsString="0" containsNumber="1" containsInteger="1" minValue="1" maxValue="341"/>
    </cacheField>
    <cacheField name="ORDEN3" numFmtId="0">
      <sharedItems containsSemiMixedTypes="0" containsString="0" containsNumber="1" containsInteger="1" minValue="1" maxValue="15"/>
    </cacheField>
    <cacheField name="ORDEN4" numFmtId="0">
      <sharedItems containsSemiMixedTypes="0" containsString="0" containsNumber="1" containsInteger="1" minValue="0" maxValue="0"/>
    </cacheField>
    <cacheField name="1" numFmtId="0">
      <sharedItems/>
    </cacheField>
    <cacheField name="2" numFmtId="0">
      <sharedItems/>
    </cacheField>
    <cacheField name="3" numFmtId="0">
      <sharedItems/>
    </cacheField>
    <cacheField name="4" numFmtId="0">
      <sharedItems/>
    </cacheField>
    <cacheField name="5" numFmtId="0">
      <sharedItems/>
    </cacheField>
    <cacheField name="6" numFmtId="0">
      <sharedItems/>
    </cacheField>
    <cacheField name="7" numFmtId="0">
      <sharedItems containsNonDate="0" containsString="0" containsBlank="1"/>
    </cacheField>
    <cacheField name="8" numFmtId="0">
      <sharedItems containsNonDate="0" containsString="0" containsBlank="1"/>
    </cacheField>
    <cacheField name="9" numFmtId="0">
      <sharedItems containsNonDate="0" containsString="0" containsBlank="1"/>
    </cacheField>
    <cacheField name="10" numFmtId="0">
      <sharedItems containsNonDate="0" containsString="0" containsBlank="1"/>
    </cacheField>
    <cacheField name="11" numFmtId="0">
      <sharedItems containsNonDate="0" containsString="0" containsBlank="1"/>
    </cacheField>
    <cacheField name="12" numFmtId="0">
      <sharedItems containsNonDate="0" containsString="0" containsBlank="1"/>
    </cacheField>
    <cacheField name="13" numFmtId="0">
      <sharedItems containsNonDate="0" containsString="0" containsBlank="1"/>
    </cacheField>
    <cacheField name="14" numFmtId="0">
      <sharedItems containsNonDate="0" containsString="0" containsBlank="1"/>
    </cacheField>
    <cacheField name="15" numFmtId="0">
      <sharedItems containsNonDate="0" containsString="0" containsBlank="1"/>
    </cacheField>
    <cacheField name="16" numFmtId="0">
      <sharedItems containsNonDate="0" containsString="0" containsBlank="1"/>
    </cacheField>
    <cacheField name="17" numFmtId="0">
      <sharedItems containsNonDate="0" containsString="0" containsBlank="1"/>
    </cacheField>
    <cacheField name="18" numFmtId="0">
      <sharedItems containsNonDate="0" containsString="0" containsBlank="1"/>
    </cacheField>
    <cacheField name="19" numFmtId="0">
      <sharedItems containsNonDate="0" containsString="0" containsBlank="1"/>
    </cacheField>
    <cacheField name="20" numFmtId="0">
      <sharedItems containsNonDate="0" containsString="0" containsBlank="1"/>
    </cacheField>
    <cacheField name="21" numFmtId="0">
      <sharedItems containsNonDate="0" containsString="0" containsBlank="1"/>
    </cacheField>
    <cacheField name="22" numFmtId="0">
      <sharedItems containsNonDate="0" containsString="0" containsBlank="1"/>
    </cacheField>
    <cacheField name="23" numFmtId="0">
      <sharedItems containsNonDate="0" containsString="0" containsBlank="1"/>
    </cacheField>
    <cacheField name="24" numFmtId="0">
      <sharedItems containsNonDate="0" containsString="0" containsBlank="1"/>
    </cacheField>
    <cacheField name="25" numFmtId="0">
      <sharedItems containsNonDate="0" containsString="0" containsBlank="1"/>
    </cacheField>
    <cacheField name="26" numFmtId="0">
      <sharedItems containsNonDate="0" containsString="0" containsBlank="1"/>
    </cacheField>
    <cacheField name="27" numFmtId="0">
      <sharedItems containsNonDate="0" containsString="0" containsBlank="1"/>
    </cacheField>
    <cacheField name="28" numFmtId="0">
      <sharedItems containsNonDate="0" containsString="0" containsBlank="1"/>
    </cacheField>
    <cacheField name="29" numFmtId="0">
      <sharedItems containsNonDate="0" containsString="0" containsBlank="1"/>
    </cacheField>
    <cacheField name="30" numFmtId="0">
      <sharedItems containsNonDate="0" containsString="0" containsBlank="1"/>
    </cacheField>
    <cacheField name="31" numFmtId="0">
      <sharedItems containsNonDate="0" containsString="0" containsBlank="1"/>
    </cacheField>
    <cacheField name="32" numFmtId="0">
      <sharedItems containsNonDate="0" containsString="0" containsBlank="1"/>
    </cacheField>
    <cacheField name="33" numFmtId="0">
      <sharedItems containsNonDate="0" containsString="0" containsBlank="1"/>
    </cacheField>
    <cacheField name="34" numFmtId="0">
      <sharedItems containsNonDate="0" containsString="0" containsBlank="1"/>
    </cacheField>
    <cacheField name="35" numFmtId="0">
      <sharedItems containsNonDate="0" containsString="0" containsBlank="1"/>
    </cacheField>
    <cacheField name="36" numFmtId="0">
      <sharedItems containsNonDate="0" containsString="0" containsBlank="1"/>
    </cacheField>
    <cacheField name="37" numFmtId="0">
      <sharedItems containsNonDate="0" containsString="0" containsBlank="1"/>
    </cacheField>
    <cacheField name="CER. PISTOLA" numFmtId="0">
      <sharedItems containsDate="1" containsBlank="1" containsMixedTypes="1" minDate="2020-09-17T00:00:00" maxDate="2024-04-06T00:00:00"/>
    </cacheField>
    <cacheField name="CER. ESCOPETA"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8">
  <r>
    <s v="951454S"/>
    <s v="BASCUR VILLAGRAN GERARDO ANTONIO"/>
    <s v="14.514.232-6"/>
    <s v="G1-E"/>
    <x v="0"/>
    <s v="BASCUR VILLAGRAN GERARDO ANTONIO"/>
    <x v="0"/>
    <x v="0"/>
    <x v="0"/>
    <x v="0"/>
    <s v=""/>
    <x v="0"/>
    <s v="PREFECTO"/>
    <m/>
    <m/>
    <m/>
    <s v="O/S"/>
    <d v="2024-04-06T00:00:00"/>
    <m/>
    <m/>
    <m/>
    <m/>
    <s v=""/>
    <n v="1"/>
    <n v="1"/>
    <n v="1"/>
    <n v="0"/>
    <s v="1P"/>
    <s v="1P"/>
    <s v="1P"/>
    <s v="1P"/>
    <s v="1P"/>
    <s v="F"/>
    <m/>
    <m/>
    <m/>
    <m/>
    <m/>
    <m/>
    <m/>
    <m/>
    <m/>
    <m/>
    <m/>
    <m/>
    <m/>
    <m/>
    <m/>
    <m/>
    <m/>
    <m/>
    <m/>
    <m/>
    <m/>
    <m/>
    <m/>
    <m/>
    <m/>
    <m/>
    <m/>
    <m/>
    <m/>
    <m/>
    <m/>
    <d v="2023-11-07T00:00:00"/>
    <m/>
  </r>
  <r>
    <s v="960889-C"/>
    <s v="PADILLA MEDINA CLAUDIO ALEXIS"/>
    <n v="140710814"/>
    <s v="PTR-G1"/>
    <x v="1"/>
    <s v="PADILLA MEDINA CLAUDIO ALEXIS  ( P-T-S) "/>
    <x v="1"/>
    <x v="0"/>
    <x v="1"/>
    <x v="1"/>
    <s v="( P-T-S) "/>
    <x v="0"/>
    <s v="PTR-G1"/>
    <m/>
    <m/>
    <m/>
    <s v="O/S"/>
    <d v="1980-06-11T00:00:00"/>
    <m/>
    <s v="LISTO"/>
    <m/>
    <m/>
    <s v=""/>
    <n v="1"/>
    <n v="2"/>
    <n v="10"/>
    <n v="0"/>
    <s v="1P"/>
    <s v="1P"/>
    <s v="1P"/>
    <s v="1P"/>
    <s v="1P"/>
    <s v="F"/>
    <m/>
    <m/>
    <m/>
    <m/>
    <m/>
    <m/>
    <m/>
    <m/>
    <m/>
    <m/>
    <m/>
    <m/>
    <m/>
    <m/>
    <m/>
    <m/>
    <m/>
    <m/>
    <m/>
    <m/>
    <m/>
    <m/>
    <m/>
    <m/>
    <m/>
    <m/>
    <m/>
    <m/>
    <m/>
    <m/>
    <m/>
    <d v="2023-11-21T00:00:00"/>
    <m/>
  </r>
  <r>
    <s v="971384-Y"/>
    <s v="REYES OLIVARES FELIPE EDUARDO"/>
    <n v="155983736"/>
    <s v="PTR-G1"/>
    <x v="1"/>
    <s v="REYES OLIVARES FELIPE EDUARDO"/>
    <x v="1"/>
    <x v="0"/>
    <x v="1"/>
    <x v="1"/>
    <s v=""/>
    <x v="0"/>
    <s v="PTR-G1"/>
    <m/>
    <m/>
    <m/>
    <s v="O/S"/>
    <d v="1980-06-11T00:00:00"/>
    <m/>
    <s v="LISTO"/>
    <m/>
    <m/>
    <s v=""/>
    <n v="1"/>
    <n v="2"/>
    <n v="10"/>
    <n v="0"/>
    <s v="1P"/>
    <s v="1P"/>
    <s v="1P"/>
    <s v="1P"/>
    <s v="1P"/>
    <s v="F"/>
    <m/>
    <m/>
    <m/>
    <m/>
    <m/>
    <m/>
    <m/>
    <m/>
    <m/>
    <m/>
    <m/>
    <m/>
    <m/>
    <m/>
    <m/>
    <m/>
    <m/>
    <m/>
    <m/>
    <m/>
    <m/>
    <m/>
    <m/>
    <m/>
    <m/>
    <m/>
    <m/>
    <m/>
    <m/>
    <m/>
    <m/>
    <d v="2023-11-21T00:00:00"/>
    <m/>
  </r>
  <r>
    <s v="977309K"/>
    <s v="SOTO ESCOBAR MILTON PABLO"/>
    <n v="166051002"/>
    <s v="PTR-G1"/>
    <x v="1"/>
    <s v="SOTO ESCOBAR MILTON PABLO"/>
    <x v="1"/>
    <x v="0"/>
    <x v="1"/>
    <x v="1"/>
    <s v=""/>
    <x v="0"/>
    <s v="PTR-G1"/>
    <m/>
    <m/>
    <m/>
    <s v="O/S"/>
    <d v="2024-04-06T00:00:00"/>
    <m/>
    <s v="LISTO"/>
    <m/>
    <m/>
    <s v=""/>
    <n v="1"/>
    <n v="2"/>
    <n v="10"/>
    <n v="0"/>
    <s v="1P"/>
    <s v="1P"/>
    <s v="1P"/>
    <s v="1P"/>
    <s v="1P"/>
    <s v="F"/>
    <m/>
    <m/>
    <m/>
    <m/>
    <m/>
    <m/>
    <m/>
    <m/>
    <m/>
    <m/>
    <m/>
    <m/>
    <m/>
    <m/>
    <m/>
    <m/>
    <m/>
    <m/>
    <m/>
    <m/>
    <m/>
    <m/>
    <m/>
    <m/>
    <m/>
    <m/>
    <m/>
    <m/>
    <m/>
    <m/>
    <m/>
    <d v="2023-06-05T00:00:00"/>
    <m/>
  </r>
  <r>
    <s v="957316V"/>
    <s v="MATUS TORRES CRISTIAN GABRIEL GASTON"/>
    <n v="138416100"/>
    <s v="G2-E"/>
    <x v="2"/>
    <s v="MATUS TORRES CRISTIAN GABRIEL GASTON"/>
    <x v="2"/>
    <x v="0"/>
    <x v="0"/>
    <x v="0"/>
    <s v=""/>
    <x v="0"/>
    <s v="SUBPREF. SERV. 1"/>
    <m/>
    <m/>
    <m/>
    <s v="O/S"/>
    <d v="1980-02-07T00:00:00"/>
    <m/>
    <m/>
    <m/>
    <m/>
    <s v=""/>
    <n v="1"/>
    <n v="3"/>
    <n v="2"/>
    <n v="0"/>
    <s v="1P"/>
    <s v="1P"/>
    <s v="1P"/>
    <s v="1P"/>
    <s v="1P"/>
    <s v="F"/>
    <m/>
    <m/>
    <m/>
    <m/>
    <m/>
    <m/>
    <m/>
    <m/>
    <m/>
    <m/>
    <m/>
    <m/>
    <m/>
    <m/>
    <m/>
    <m/>
    <m/>
    <m/>
    <m/>
    <m/>
    <m/>
    <m/>
    <m/>
    <m/>
    <m/>
    <m/>
    <m/>
    <m/>
    <m/>
    <m/>
    <m/>
    <m/>
    <m/>
  </r>
  <r>
    <s v="960322A"/>
    <s v="FARIAS LIZANA OSCAR DAVID"/>
    <n v="153474931"/>
    <s v="PTR-G2"/>
    <x v="3"/>
    <s v="FARIAS LIZANA OSCAR DAVID              (T - L - S)"/>
    <x v="3"/>
    <x v="0"/>
    <x v="1"/>
    <x v="1"/>
    <s v="(T - L - S)"/>
    <x v="0"/>
    <s v="PTR-G2"/>
    <m/>
    <m/>
    <m/>
    <s v="O/S"/>
    <d v="2024-04-06T00:00:00"/>
    <m/>
    <s v="LISTO"/>
    <m/>
    <m/>
    <s v=""/>
    <n v="1"/>
    <n v="4"/>
    <n v="9"/>
    <n v="0"/>
    <s v="1P"/>
    <s v="1P"/>
    <s v="1P"/>
    <s v="1P"/>
    <s v="1P"/>
    <s v="F"/>
    <m/>
    <m/>
    <m/>
    <m/>
    <m/>
    <m/>
    <m/>
    <m/>
    <m/>
    <m/>
    <m/>
    <m/>
    <m/>
    <m/>
    <m/>
    <m/>
    <m/>
    <m/>
    <m/>
    <m/>
    <m/>
    <m/>
    <m/>
    <m/>
    <m/>
    <m/>
    <m/>
    <m/>
    <m/>
    <m/>
    <m/>
    <d v="2023-05-12T00:00:00"/>
    <m/>
  </r>
  <r>
    <s v="983440Z"/>
    <s v="ZELADA MORALES CRISTOPHER ANDRE"/>
    <n v="173290527"/>
    <s v="PTR-G2"/>
    <x v="3"/>
    <s v="ZELADA MORALES CRISTOPHER ANDRE"/>
    <x v="1"/>
    <x v="0"/>
    <x v="1"/>
    <x v="1"/>
    <s v=""/>
    <x v="0"/>
    <s v="PTR-G2"/>
    <m/>
    <m/>
    <m/>
    <s v="O/S"/>
    <d v="2024-04-06T00:00:00"/>
    <m/>
    <s v="LISTO"/>
    <m/>
    <m/>
    <s v=""/>
    <n v="1"/>
    <n v="4"/>
    <n v="10"/>
    <n v="0"/>
    <s v="FER."/>
    <s v="FER."/>
    <s v="FER."/>
    <s v="1P"/>
    <s v="1P"/>
    <s v="F"/>
    <m/>
    <m/>
    <m/>
    <m/>
    <m/>
    <m/>
    <m/>
    <m/>
    <m/>
    <m/>
    <m/>
    <m/>
    <m/>
    <m/>
    <m/>
    <m/>
    <m/>
    <m/>
    <m/>
    <m/>
    <m/>
    <m/>
    <m/>
    <m/>
    <m/>
    <m/>
    <m/>
    <m/>
    <m/>
    <m/>
    <m/>
    <d v="2023-05-17T00:00:00"/>
    <m/>
  </r>
  <r>
    <s v="007109B"/>
    <s v="TOLOZA ROJAS CRISTIAN ALEJANDRO"/>
    <s v="18677928-2"/>
    <s v="S-32"/>
    <x v="3"/>
    <s v="TOLOZA ROJAS CRISTIAN ALEJANDRO      (T-J-S)    "/>
    <x v="4"/>
    <x v="0"/>
    <x v="1"/>
    <x v="1"/>
    <s v="(T-J-S)    "/>
    <x v="0"/>
    <s v="PTR-G2"/>
    <m/>
    <m/>
    <m/>
    <s v="O/S"/>
    <d v="2024-04-06T00:00:00"/>
    <m/>
    <s v="LISTO"/>
    <m/>
    <m/>
    <s v=""/>
    <n v="1"/>
    <n v="4"/>
    <n v="11"/>
    <n v="0"/>
    <s v="1P"/>
    <s v="1P"/>
    <s v="1P"/>
    <s v="1P"/>
    <s v="1P"/>
    <s v="F"/>
    <m/>
    <m/>
    <m/>
    <m/>
    <m/>
    <m/>
    <m/>
    <m/>
    <m/>
    <m/>
    <m/>
    <m/>
    <m/>
    <m/>
    <m/>
    <m/>
    <m/>
    <m/>
    <m/>
    <m/>
    <m/>
    <m/>
    <m/>
    <m/>
    <m/>
    <m/>
    <m/>
    <m/>
    <m/>
    <m/>
    <m/>
    <d v="2023-10-03T00:00:00"/>
    <m/>
  </r>
  <r>
    <s v="961734U"/>
    <s v="NORAMBUENA CONEJEROS CRISTIAN HERNAN"/>
    <s v="15648597-7"/>
    <s v="G3-E"/>
    <x v="4"/>
    <s v="NORAMBUENA CONEJEROS CRISTIAN HERNAN"/>
    <x v="2"/>
    <x v="0"/>
    <x v="0"/>
    <x v="0"/>
    <s v=""/>
    <x v="0"/>
    <s v="SUBPREF. SERV. 2"/>
    <m/>
    <m/>
    <m/>
    <s v="O/S"/>
    <d v="1984-02-10T00:00:00"/>
    <m/>
    <s v="LISTO"/>
    <m/>
    <m/>
    <s v=""/>
    <n v="1"/>
    <n v="5"/>
    <n v="2"/>
    <n v="0"/>
    <s v="1P"/>
    <s v="1P"/>
    <s v="1P"/>
    <s v="1P"/>
    <s v="1P"/>
    <s v="F"/>
    <m/>
    <m/>
    <m/>
    <m/>
    <m/>
    <m/>
    <m/>
    <m/>
    <m/>
    <m/>
    <m/>
    <m/>
    <m/>
    <m/>
    <m/>
    <m/>
    <m/>
    <m/>
    <m/>
    <m/>
    <m/>
    <m/>
    <m/>
    <m/>
    <m/>
    <m/>
    <m/>
    <m/>
    <m/>
    <m/>
    <m/>
    <m/>
    <m/>
  </r>
  <r>
    <s v="959460L"/>
    <s v="RIQUELME PARADA CARLOS ROBERTO"/>
    <n v="136988352"/>
    <s v="PTR-G3"/>
    <x v="5"/>
    <s v="RIQUELME PARADA CARLOS ROBERTO            ( T)"/>
    <x v="3"/>
    <x v="0"/>
    <x v="1"/>
    <x v="1"/>
    <s v="( T)"/>
    <x v="0"/>
    <s v="PTR-G3"/>
    <m/>
    <m/>
    <m/>
    <s v="O/S"/>
    <d v="2024-04-06T00:00:00"/>
    <m/>
    <s v="LISTO"/>
    <m/>
    <m/>
    <s v=""/>
    <n v="1"/>
    <n v="6"/>
    <n v="9"/>
    <n v="0"/>
    <s v="1P"/>
    <s v="1P"/>
    <s v="1P"/>
    <s v="1P"/>
    <s v="1P"/>
    <s v="F"/>
    <m/>
    <m/>
    <m/>
    <m/>
    <m/>
    <m/>
    <m/>
    <m/>
    <m/>
    <m/>
    <m/>
    <m/>
    <m/>
    <m/>
    <m/>
    <m/>
    <m/>
    <m/>
    <m/>
    <m/>
    <m/>
    <m/>
    <m/>
    <m/>
    <m/>
    <m/>
    <m/>
    <m/>
    <m/>
    <m/>
    <m/>
    <d v="2023-06-07T00:00:00"/>
    <m/>
  </r>
  <r>
    <s v="993038P"/>
    <s v="CACERES GOMEZ CAMILA"/>
    <s v="17984754K"/>
    <s v="PTR-G3"/>
    <x v="5"/>
    <s v="CACERES GOMEZ CAMILA ISABEL"/>
    <x v="4"/>
    <x v="1"/>
    <x v="1"/>
    <x v="1"/>
    <s v=""/>
    <x v="0"/>
    <s v="PTR-G3"/>
    <m/>
    <m/>
    <m/>
    <s v="O/S"/>
    <d v="2024-04-06T00:00:00"/>
    <m/>
    <s v="LISTO"/>
    <m/>
    <m/>
    <s v=""/>
    <n v="1"/>
    <n v="6"/>
    <n v="11"/>
    <n v="0"/>
    <s v="1P"/>
    <s v="1P"/>
    <s v="1P"/>
    <s v="1P"/>
    <s v="1P"/>
    <s v="F"/>
    <m/>
    <m/>
    <m/>
    <m/>
    <m/>
    <m/>
    <m/>
    <m/>
    <m/>
    <m/>
    <m/>
    <m/>
    <m/>
    <m/>
    <m/>
    <m/>
    <m/>
    <m/>
    <m/>
    <m/>
    <m/>
    <m/>
    <m/>
    <m/>
    <m/>
    <m/>
    <m/>
    <m/>
    <m/>
    <m/>
    <m/>
    <d v="2023-06-06T00:00:00"/>
    <m/>
  </r>
  <r>
    <s v="018939U"/>
    <s v="IRRIBARRA CONCHA RAMON ALFONSO"/>
    <n v="200774515"/>
    <s v="PTR-G3"/>
    <x v="5"/>
    <s v="IRRIBARRA CONCHA RAMON ALFONSO (IFEX)"/>
    <x v="5"/>
    <x v="0"/>
    <x v="1"/>
    <x v="1"/>
    <s v="(IFEX)"/>
    <x v="0"/>
    <s v="PTR-G3"/>
    <m/>
    <m/>
    <m/>
    <s v="O/S"/>
    <d v="2024-04-06T00:00:00"/>
    <m/>
    <s v="LISTO"/>
    <m/>
    <m/>
    <s v=""/>
    <n v="1"/>
    <n v="6"/>
    <n v="12"/>
    <n v="0"/>
    <s v="1P"/>
    <s v="1P"/>
    <s v="1P"/>
    <s v="1P"/>
    <s v="1P"/>
    <s v="F"/>
    <m/>
    <m/>
    <m/>
    <m/>
    <m/>
    <m/>
    <m/>
    <m/>
    <m/>
    <m/>
    <m/>
    <m/>
    <m/>
    <m/>
    <m/>
    <m/>
    <m/>
    <m/>
    <m/>
    <m/>
    <m/>
    <m/>
    <m/>
    <m/>
    <m/>
    <m/>
    <m/>
    <m/>
    <m/>
    <m/>
    <m/>
    <d v="2023-04-27T00:00:00"/>
    <m/>
  </r>
  <r>
    <s v="962595K"/>
    <s v="FEBRE SANTIS FRANCISCO JAVIER"/>
    <n v="136703277"/>
    <s v="G4-E"/>
    <x v="6"/>
    <s v="FEBRE SANTIS FRANCISCO JAVIER"/>
    <x v="2"/>
    <x v="0"/>
    <x v="0"/>
    <x v="0"/>
    <s v=""/>
    <x v="1"/>
    <s v="SUBPREF. ADM."/>
    <m/>
    <m/>
    <m/>
    <s v="O/S"/>
    <d v="2024-04-06T00:00:00"/>
    <m/>
    <m/>
    <m/>
    <m/>
    <s v=""/>
    <n v="1"/>
    <n v="7"/>
    <n v="2"/>
    <n v="0"/>
    <s v="1P"/>
    <s v="1P"/>
    <s v="1P"/>
    <s v="1P"/>
    <s v="1P"/>
    <s v="1P"/>
    <m/>
    <m/>
    <m/>
    <m/>
    <m/>
    <m/>
    <m/>
    <m/>
    <m/>
    <m/>
    <m/>
    <m/>
    <m/>
    <m/>
    <m/>
    <m/>
    <m/>
    <m/>
    <m/>
    <m/>
    <m/>
    <m/>
    <m/>
    <m/>
    <m/>
    <m/>
    <m/>
    <m/>
    <m/>
    <m/>
    <m/>
    <d v="2023-07-31T00:00:00"/>
    <m/>
  </r>
  <r>
    <s v="958638R"/>
    <s v="DIAZ SILVA GABRIEL OSMIN"/>
    <n v="145820472"/>
    <s v="PTR-G4"/>
    <x v="7"/>
    <s v="DIAZ SILVA GABRIEL OSMIN (L - P - T)"/>
    <x v="6"/>
    <x v="0"/>
    <x v="1"/>
    <x v="1"/>
    <s v="(L - P - T)"/>
    <x v="1"/>
    <s v="PTR-G4"/>
    <m/>
    <m/>
    <m/>
    <s v="O/S"/>
    <d v="2024-04-06T00:00:00"/>
    <m/>
    <s v="LISTO"/>
    <m/>
    <m/>
    <s v=""/>
    <n v="1"/>
    <n v="8"/>
    <n v="8"/>
    <n v="0"/>
    <s v="1P"/>
    <s v="1P"/>
    <s v="1P"/>
    <s v="1P"/>
    <s v="1P"/>
    <s v="1P"/>
    <m/>
    <m/>
    <m/>
    <m/>
    <m/>
    <m/>
    <m/>
    <m/>
    <m/>
    <m/>
    <m/>
    <m/>
    <m/>
    <m/>
    <m/>
    <m/>
    <m/>
    <m/>
    <m/>
    <m/>
    <m/>
    <m/>
    <m/>
    <m/>
    <m/>
    <m/>
    <m/>
    <m/>
    <m/>
    <m/>
    <m/>
    <d v="2023-07-31T00:00:00"/>
    <m/>
  </r>
  <r>
    <s v="996535H"/>
    <s v="SEPULVEDA ABURTO FIDEL ALEXIS"/>
    <n v="187269822"/>
    <s v="PTR-G4"/>
    <x v="7"/>
    <s v="SEPULVEDA ABURTO FIDEL ALEXIS (L - P - S - T)"/>
    <x v="4"/>
    <x v="0"/>
    <x v="1"/>
    <x v="1"/>
    <s v="(L - P - S - T)"/>
    <x v="1"/>
    <s v="PTR-G4"/>
    <m/>
    <m/>
    <m/>
    <s v="O/S"/>
    <d v="2024-04-06T00:00:00"/>
    <m/>
    <s v="LISTO"/>
    <m/>
    <m/>
    <s v=""/>
    <n v="1"/>
    <n v="8"/>
    <n v="11"/>
    <n v="0"/>
    <s v="1P"/>
    <s v="1P"/>
    <s v="1P"/>
    <s v="1P"/>
    <s v="1P"/>
    <s v="1P"/>
    <m/>
    <m/>
    <m/>
    <m/>
    <m/>
    <m/>
    <m/>
    <m/>
    <m/>
    <m/>
    <m/>
    <m/>
    <m/>
    <m/>
    <m/>
    <m/>
    <m/>
    <m/>
    <m/>
    <m/>
    <m/>
    <m/>
    <m/>
    <m/>
    <m/>
    <m/>
    <m/>
    <m/>
    <m/>
    <m/>
    <m/>
    <d v="2023-07-31T00:00:00"/>
    <m/>
  </r>
  <r>
    <s v="963479F"/>
    <s v="NAZAR OSSA JOAQUIN PAULO"/>
    <s v="15972008-K"/>
    <s v="C40"/>
    <x v="8"/>
    <s v="NAZAR OSSA JOAQUIN PAULO"/>
    <x v="7"/>
    <x v="0"/>
    <x v="1"/>
    <x v="0"/>
    <s v=""/>
    <x v="1"/>
    <s v="COMISARIO"/>
    <m/>
    <m/>
    <m/>
    <s v="O/S"/>
    <s v="00-00-00"/>
    <m/>
    <m/>
    <m/>
    <m/>
    <s v=""/>
    <n v="1"/>
    <n v="13"/>
    <n v="3"/>
    <n v="0"/>
    <s v="1P"/>
    <s v="1P"/>
    <s v="1P"/>
    <s v="1P"/>
    <s v="1P"/>
    <s v="1P"/>
    <m/>
    <m/>
    <m/>
    <m/>
    <m/>
    <m/>
    <m/>
    <m/>
    <m/>
    <m/>
    <m/>
    <m/>
    <m/>
    <m/>
    <m/>
    <m/>
    <m/>
    <m/>
    <m/>
    <m/>
    <m/>
    <m/>
    <m/>
    <m/>
    <m/>
    <m/>
    <m/>
    <m/>
    <m/>
    <m/>
    <m/>
    <m/>
    <m/>
  </r>
  <r>
    <s v="951119S"/>
    <s v="ROJAS RETAMAL JUAN FERNANDO"/>
    <n v="127357498"/>
    <s v="PTR-C40"/>
    <x v="9"/>
    <s v="ROJAS RETAMAL JUAN FERNANDO"/>
    <x v="6"/>
    <x v="0"/>
    <x v="1"/>
    <x v="1"/>
    <s v=""/>
    <x v="1"/>
    <s v="PTR-C40"/>
    <m/>
    <m/>
    <m/>
    <s v="O/S"/>
    <d v="2024-04-06T00:00:00"/>
    <m/>
    <s v="LISTO"/>
    <m/>
    <m/>
    <s v=""/>
    <n v="1"/>
    <n v="14"/>
    <n v="8"/>
    <n v="0"/>
    <s v="1P"/>
    <s v="1P"/>
    <s v="1P"/>
    <s v="1P"/>
    <s v="1P"/>
    <s v="1P"/>
    <m/>
    <m/>
    <m/>
    <m/>
    <m/>
    <m/>
    <m/>
    <m/>
    <m/>
    <m/>
    <m/>
    <m/>
    <m/>
    <m/>
    <m/>
    <m/>
    <m/>
    <m/>
    <m/>
    <m/>
    <m/>
    <m/>
    <m/>
    <m/>
    <m/>
    <m/>
    <m/>
    <m/>
    <m/>
    <m/>
    <m/>
    <d v="2023-07-10T00:00:00"/>
    <m/>
  </r>
  <r>
    <s v="965957Y"/>
    <s v="GUZMAN SILVA FELIX ALBERTO"/>
    <n v="139081935"/>
    <s v="PTR-C40"/>
    <x v="9"/>
    <s v="QUINTANILLA ROJAS RAUL ENRIQUE             (L)"/>
    <x v="1"/>
    <x v="0"/>
    <x v="1"/>
    <x v="1"/>
    <s v="(L)"/>
    <x v="1"/>
    <s v="PTR-C40"/>
    <m/>
    <m/>
    <m/>
    <s v="O/S"/>
    <d v="2024-04-06T00:00:00"/>
    <m/>
    <s v="LISTO"/>
    <m/>
    <m/>
    <s v=""/>
    <n v="1"/>
    <n v="14"/>
    <n v="10"/>
    <n v="0"/>
    <s v="1P"/>
    <s v="1P"/>
    <s v="1P"/>
    <s v="1P"/>
    <s v="1P"/>
    <s v="1P"/>
    <m/>
    <m/>
    <m/>
    <m/>
    <m/>
    <m/>
    <m/>
    <m/>
    <m/>
    <m/>
    <m/>
    <m/>
    <m/>
    <m/>
    <m/>
    <m/>
    <m/>
    <m/>
    <m/>
    <m/>
    <m/>
    <m/>
    <m/>
    <m/>
    <m/>
    <m/>
    <m/>
    <m/>
    <m/>
    <m/>
    <m/>
    <d v="2023-09-20T00:00:00"/>
    <m/>
  </r>
  <r>
    <s v="018518W"/>
    <s v="GUAJARDO TORRES BASTIAN ANDRES"/>
    <n v="202259502"/>
    <s v="PTR-C40"/>
    <x v="9"/>
    <s v="GUAJARDO TORRES BASTIAN ANDRES (IFEX)"/>
    <x v="5"/>
    <x v="0"/>
    <x v="1"/>
    <x v="1"/>
    <s v="(IFEX)"/>
    <x v="1"/>
    <s v="PTR-C40"/>
    <m/>
    <m/>
    <m/>
    <s v="O/S"/>
    <d v="2024-04-06T00:00:00"/>
    <m/>
    <s v="LISTO"/>
    <m/>
    <m/>
    <s v=""/>
    <n v="1"/>
    <n v="14"/>
    <n v="12"/>
    <n v="0"/>
    <s v="1P"/>
    <s v="1P"/>
    <s v="1P"/>
    <s v="1P"/>
    <s v="1P"/>
    <s v="1P"/>
    <m/>
    <m/>
    <m/>
    <m/>
    <m/>
    <m/>
    <m/>
    <m/>
    <m/>
    <m/>
    <m/>
    <m/>
    <m/>
    <m/>
    <m/>
    <m/>
    <m/>
    <m/>
    <m/>
    <m/>
    <m/>
    <m/>
    <m/>
    <m/>
    <m/>
    <m/>
    <m/>
    <m/>
    <m/>
    <m/>
    <m/>
    <d v="2023-06-15T00:00:00"/>
    <m/>
  </r>
  <r>
    <s v="979733D"/>
    <s v="ANDERS CONTRERAS LEONARDO IGNACIO"/>
    <n v="152509936"/>
    <s v="C40-A"/>
    <x v="10"/>
    <s v="ANDERS CONTRERAS LEONARDO IGNACIO"/>
    <x v="8"/>
    <x v="0"/>
    <x v="1"/>
    <x v="0"/>
    <s v=""/>
    <x v="0"/>
    <s v="SUBCOM. SERV "/>
    <m/>
    <m/>
    <m/>
    <s v="O/S"/>
    <d v="2024-04-06T00:00:00"/>
    <m/>
    <m/>
    <m/>
    <m/>
    <s v=""/>
    <n v="1"/>
    <n v="17"/>
    <n v="4"/>
    <n v="0"/>
    <s v="1P"/>
    <s v="1P"/>
    <s v="1P"/>
    <s v="1P"/>
    <s v="1P"/>
    <s v="F"/>
    <m/>
    <m/>
    <m/>
    <m/>
    <m/>
    <m/>
    <m/>
    <m/>
    <m/>
    <m/>
    <m/>
    <m/>
    <m/>
    <m/>
    <m/>
    <m/>
    <m/>
    <m/>
    <m/>
    <m/>
    <m/>
    <m/>
    <m/>
    <m/>
    <m/>
    <m/>
    <m/>
    <m/>
    <m/>
    <m/>
    <m/>
    <d v="2023-08-29T00:00:00"/>
    <m/>
  </r>
  <r>
    <s v="983584E"/>
    <s v="VIDAL RIVAS PABLO ALEXIS"/>
    <s v="17726945K"/>
    <s v="PTR-C40-A"/>
    <x v="11"/>
    <s v="VIDAL RIVAS PABLO ALEXIS (L - T -S)"/>
    <x v="1"/>
    <x v="0"/>
    <x v="1"/>
    <x v="1"/>
    <s v="(L - T -S)"/>
    <x v="0"/>
    <s v="PTR-C40-A"/>
    <m/>
    <m/>
    <m/>
    <s v="O/S"/>
    <d v="2024-04-06T00:00:00"/>
    <m/>
    <s v="LISTO"/>
    <m/>
    <m/>
    <s v=""/>
    <n v="1"/>
    <n v="18"/>
    <n v="10"/>
    <n v="0"/>
    <s v="1P"/>
    <s v="1P"/>
    <s v="1P"/>
    <s v="1P"/>
    <s v="1P"/>
    <s v="F"/>
    <m/>
    <m/>
    <m/>
    <m/>
    <m/>
    <m/>
    <m/>
    <m/>
    <m/>
    <m/>
    <m/>
    <m/>
    <m/>
    <m/>
    <m/>
    <m/>
    <m/>
    <m/>
    <m/>
    <m/>
    <m/>
    <m/>
    <m/>
    <m/>
    <m/>
    <m/>
    <m/>
    <m/>
    <m/>
    <m/>
    <m/>
    <d v="2023-09-08T00:00:00"/>
    <m/>
  </r>
  <r>
    <s v="989294Z"/>
    <s v="ARREDONDO MARTINEZ LORENZO ANDRES"/>
    <n v="178972790"/>
    <s v="PTR-C40-A"/>
    <x v="11"/>
    <s v="ARREDONDO MARTINEZ LORENZO ANDRES"/>
    <x v="4"/>
    <x v="0"/>
    <x v="1"/>
    <x v="1"/>
    <s v=""/>
    <x v="0"/>
    <s v="PTR-C40-A"/>
    <m/>
    <m/>
    <m/>
    <s v="O/S"/>
    <d v="2024-04-06T00:00:00"/>
    <m/>
    <m/>
    <m/>
    <m/>
    <s v=""/>
    <n v="1"/>
    <n v="18"/>
    <n v="11"/>
    <n v="0"/>
    <s v="PER."/>
    <s v="1P"/>
    <s v="1P"/>
    <s v="1P"/>
    <s v="1P"/>
    <s v="F"/>
    <m/>
    <m/>
    <m/>
    <m/>
    <m/>
    <m/>
    <m/>
    <m/>
    <m/>
    <m/>
    <m/>
    <m/>
    <m/>
    <m/>
    <m/>
    <m/>
    <m/>
    <m/>
    <m/>
    <m/>
    <m/>
    <m/>
    <m/>
    <m/>
    <m/>
    <m/>
    <m/>
    <m/>
    <m/>
    <m/>
    <m/>
    <d v="2023-04-11T00:00:00"/>
    <m/>
  </r>
  <r>
    <s v="979727F"/>
    <s v="ACEVEDO MORALES ANGELO FELIPE"/>
    <s v="17515339-K"/>
    <s v="C40-B"/>
    <x v="12"/>
    <s v="ACEVEDO MORALES ANGELO FELIPE"/>
    <x v="8"/>
    <x v="0"/>
    <x v="1"/>
    <x v="0"/>
    <s v=""/>
    <x v="0"/>
    <s v="SUBCOM.  ADM."/>
    <m/>
    <m/>
    <m/>
    <s v="O/S"/>
    <s v="00-00-0000"/>
    <m/>
    <m/>
    <m/>
    <m/>
    <s v=""/>
    <n v="1"/>
    <n v="19"/>
    <n v="4"/>
    <n v="0"/>
    <s v="1P"/>
    <s v="1P"/>
    <s v="1P"/>
    <s v="1P"/>
    <s v="1P"/>
    <s v="F"/>
    <m/>
    <m/>
    <m/>
    <m/>
    <m/>
    <m/>
    <m/>
    <m/>
    <m/>
    <m/>
    <m/>
    <m/>
    <m/>
    <m/>
    <m/>
    <m/>
    <m/>
    <m/>
    <m/>
    <m/>
    <m/>
    <m/>
    <m/>
    <m/>
    <m/>
    <m/>
    <m/>
    <m/>
    <m/>
    <m/>
    <m/>
    <m/>
    <m/>
  </r>
  <r>
    <s v="972998Z"/>
    <s v="ACEVEDO CALDERON FERNANDO"/>
    <n v="170657586"/>
    <s v="PTR-C40-B"/>
    <x v="13"/>
    <s v="ACEVEDO CALDERON FERNANDO        (L - T)"/>
    <x v="1"/>
    <x v="0"/>
    <x v="1"/>
    <x v="1"/>
    <s v="(L - T)"/>
    <x v="0"/>
    <s v="PTR-C40-B"/>
    <m/>
    <m/>
    <m/>
    <s v="O/S"/>
    <d v="2024-04-06T00:00:00"/>
    <m/>
    <s v="LISTO "/>
    <m/>
    <m/>
    <s v=""/>
    <n v="1"/>
    <n v="20"/>
    <n v="10"/>
    <n v="0"/>
    <s v="1P"/>
    <s v="1P"/>
    <s v="1P"/>
    <s v="1P"/>
    <s v="1P"/>
    <s v="F"/>
    <m/>
    <m/>
    <m/>
    <m/>
    <m/>
    <m/>
    <m/>
    <m/>
    <m/>
    <m/>
    <m/>
    <m/>
    <m/>
    <m/>
    <m/>
    <m/>
    <m/>
    <m/>
    <m/>
    <m/>
    <m/>
    <m/>
    <m/>
    <m/>
    <m/>
    <m/>
    <m/>
    <m/>
    <m/>
    <m/>
    <m/>
    <d v="2023-09-07T00:00:00"/>
    <m/>
  </r>
  <r>
    <s v="986317L"/>
    <s v="OJEDA VILLEGAS IVÁN ERNESTO"/>
    <n v="185225544"/>
    <s v="PTR-C40-B"/>
    <x v="13"/>
    <s v="OJEDA VILLEGAS IVÁN ERNESTO"/>
    <x v="4"/>
    <x v="0"/>
    <x v="1"/>
    <x v="1"/>
    <s v=""/>
    <x v="0"/>
    <s v="PTR-C40-B"/>
    <m/>
    <m/>
    <m/>
    <s v="O/S"/>
    <d v="1989-06-09T00:00:00"/>
    <m/>
    <s v="LISTO"/>
    <m/>
    <m/>
    <s v=""/>
    <n v="1"/>
    <n v="20"/>
    <n v="11"/>
    <n v="0"/>
    <s v="1P"/>
    <s v="1P"/>
    <s v="1P"/>
    <s v="1P"/>
    <s v="1P"/>
    <s v="F"/>
    <m/>
    <m/>
    <m/>
    <m/>
    <m/>
    <m/>
    <m/>
    <m/>
    <m/>
    <m/>
    <m/>
    <m/>
    <m/>
    <m/>
    <m/>
    <m/>
    <m/>
    <m/>
    <m/>
    <m/>
    <m/>
    <m/>
    <m/>
    <m/>
    <m/>
    <m/>
    <m/>
    <m/>
    <m/>
    <m/>
    <m/>
    <d v="2024-03-20T00:00:00"/>
    <m/>
  </r>
  <r>
    <s v="949701Q"/>
    <s v="REYES MUÑOZ OSCAR"/>
    <n v="118932137"/>
    <s v="GUARDIA CUARTEL 1"/>
    <x v="14"/>
    <s v="REYES MUÑOZ OSCAR"/>
    <x v="3"/>
    <x v="0"/>
    <x v="1"/>
    <x v="1"/>
    <s v=""/>
    <x v="0"/>
    <s v="GUARDIA"/>
    <m/>
    <m/>
    <m/>
    <s v="O/S"/>
    <d v="2024-04-06T00:00:00"/>
    <m/>
    <s v="LISTO"/>
    <m/>
    <m/>
    <s v=""/>
    <n v="1"/>
    <n v="23"/>
    <n v="9"/>
    <n v="0"/>
    <s v="SN"/>
    <s v="1G"/>
    <s v="2G"/>
    <s v="SN"/>
    <s v="1G"/>
    <s v="F"/>
    <m/>
    <m/>
    <m/>
    <m/>
    <m/>
    <m/>
    <m/>
    <m/>
    <m/>
    <m/>
    <m/>
    <m/>
    <m/>
    <m/>
    <m/>
    <m/>
    <m/>
    <m/>
    <m/>
    <m/>
    <m/>
    <m/>
    <m/>
    <m/>
    <m/>
    <m/>
    <m/>
    <m/>
    <m/>
    <m/>
    <m/>
    <d v="2023-07-13T00:00:00"/>
    <m/>
  </r>
  <r>
    <s v="018914K"/>
    <s v="GUTIERREZ CARRASCO YAMPIER ALEJANDRO"/>
    <n v="186912942"/>
    <s v="S-53"/>
    <x v="14"/>
    <s v="GUTIERREZ CARRASCO YAMPIER ALEJANDRO"/>
    <x v="5"/>
    <x v="0"/>
    <x v="1"/>
    <x v="1"/>
    <s v=""/>
    <x v="0"/>
    <s v="GUARDIA"/>
    <m/>
    <m/>
    <m/>
    <s v="O/S"/>
    <d v="2024-04-06T00:00:00"/>
    <m/>
    <s v="CERTIFICADO SERVICIOS LIVIANOS"/>
    <m/>
    <m/>
    <s v=""/>
    <n v="1"/>
    <n v="23"/>
    <n v="12"/>
    <n v="0"/>
    <s v="SN"/>
    <s v="1G"/>
    <s v="2G"/>
    <s v="SN"/>
    <s v="1G"/>
    <s v="F"/>
    <m/>
    <m/>
    <m/>
    <m/>
    <m/>
    <m/>
    <m/>
    <m/>
    <m/>
    <m/>
    <m/>
    <m/>
    <m/>
    <m/>
    <m/>
    <m/>
    <m/>
    <m/>
    <m/>
    <m/>
    <m/>
    <m/>
    <m/>
    <m/>
    <m/>
    <m/>
    <m/>
    <m/>
    <m/>
    <m/>
    <m/>
    <d v="2021-11-11T00:00:00"/>
    <m/>
  </r>
  <r>
    <s v="008761Q"/>
    <s v="JELDRES REYES EDUARD DANILO"/>
    <n v="174820937"/>
    <s v="GUARDIA CUARTEL 1"/>
    <x v="14"/>
    <s v="JELDRES REYES EDUARD DANILO"/>
    <x v="5"/>
    <x v="0"/>
    <x v="1"/>
    <x v="1"/>
    <s v=""/>
    <x v="0"/>
    <s v="GUARDIA"/>
    <m/>
    <m/>
    <m/>
    <s v="O/S"/>
    <d v="2024-04-06T00:00:00"/>
    <m/>
    <s v="LISTO"/>
    <m/>
    <m/>
    <s v=""/>
    <n v="1"/>
    <n v="23"/>
    <n v="12"/>
    <n v="0"/>
    <s v="SN"/>
    <s v="1G"/>
    <s v="2G"/>
    <s v="SN"/>
    <s v="1G"/>
    <s v="F"/>
    <m/>
    <m/>
    <m/>
    <m/>
    <m/>
    <m/>
    <m/>
    <m/>
    <m/>
    <m/>
    <m/>
    <m/>
    <m/>
    <m/>
    <m/>
    <m/>
    <m/>
    <m/>
    <m/>
    <m/>
    <m/>
    <m/>
    <m/>
    <m/>
    <m/>
    <m/>
    <m/>
    <m/>
    <m/>
    <m/>
    <m/>
    <d v="2023-07-21T00:00:00"/>
    <m/>
  </r>
  <r>
    <s v="979363J"/>
    <s v="PRADENA VILLARROEL JOSE EDUARDO"/>
    <n v="159277585"/>
    <s v="GUARDIA CUARTEL 1"/>
    <x v="14"/>
    <s v="PRADENA VILLARROEL JOSE EDUARDO"/>
    <x v="9"/>
    <x v="0"/>
    <x v="1"/>
    <x v="1"/>
    <s v=""/>
    <x v="0"/>
    <s v="GUARDIA"/>
    <m/>
    <m/>
    <m/>
    <s v="O/S"/>
    <d v="2024-04-06T00:00:00"/>
    <m/>
    <m/>
    <m/>
    <m/>
    <s v=""/>
    <n v="1"/>
    <n v="23"/>
    <n v="13"/>
    <n v="0"/>
    <s v="PER."/>
    <s v="1G"/>
    <s v="2G"/>
    <s v="SN"/>
    <s v="1G"/>
    <s v="F"/>
    <m/>
    <m/>
    <m/>
    <m/>
    <m/>
    <m/>
    <m/>
    <m/>
    <m/>
    <m/>
    <m/>
    <m/>
    <m/>
    <m/>
    <m/>
    <m/>
    <m/>
    <m/>
    <m/>
    <m/>
    <m/>
    <m/>
    <m/>
    <m/>
    <m/>
    <m/>
    <m/>
    <m/>
    <m/>
    <m/>
    <m/>
    <d v="2023-08-17T00:00:00"/>
    <m/>
  </r>
  <r>
    <s v="963647F"/>
    <s v="VERGARA BARRERA ROBINSON EDGARDO"/>
    <n v="152547706"/>
    <s v="S-38"/>
    <x v="15"/>
    <s v="VERGARA BARRERA ROBINSON EDGARDO"/>
    <x v="3"/>
    <x v="0"/>
    <x v="1"/>
    <x v="1"/>
    <s v=""/>
    <x v="2"/>
    <s v="GUARDIA"/>
    <m/>
    <m/>
    <m/>
    <s v="O/S"/>
    <d v="2024-04-06T00:00:00"/>
    <m/>
    <s v="LISTO"/>
    <m/>
    <m/>
    <s v=""/>
    <n v="1"/>
    <n v="24"/>
    <n v="9"/>
    <n v="0"/>
    <s v="2T"/>
    <s v="2T"/>
    <s v="2T"/>
    <s v="1P"/>
    <s v="2G"/>
    <s v="SN"/>
    <m/>
    <m/>
    <m/>
    <m/>
    <m/>
    <m/>
    <m/>
    <m/>
    <m/>
    <m/>
    <m/>
    <m/>
    <m/>
    <m/>
    <m/>
    <m/>
    <m/>
    <m/>
    <m/>
    <m/>
    <m/>
    <m/>
    <m/>
    <m/>
    <m/>
    <m/>
    <m/>
    <m/>
    <m/>
    <m/>
    <m/>
    <d v="2023-06-22T00:00:00"/>
    <m/>
  </r>
  <r>
    <s v="020115Q"/>
    <s v="GONZALEZ HUIRCAN VICTOR"/>
    <n v="193187080"/>
    <s v="GUARDIA CUARTEL 2"/>
    <x v="15"/>
    <s v="GONZALEZ HUIRCAN VICTOR"/>
    <x v="5"/>
    <x v="0"/>
    <x v="1"/>
    <x v="1"/>
    <s v=""/>
    <x v="2"/>
    <s v="GUARDIA"/>
    <m/>
    <m/>
    <m/>
    <s v="O/S"/>
    <d v="2024-04-06T00:00:00"/>
    <m/>
    <s v="LISTO      DOE 201203630 CITACION 8° JUZ. GARANTIA STGO. 09-04-2024 12:00 HRS /RESOLUCION EXENTA NRO. 143 AUT. ESTUDIO"/>
    <m/>
    <m/>
    <s v=""/>
    <n v="1"/>
    <n v="24"/>
    <n v="12"/>
    <n v="0"/>
    <s v="1T"/>
    <s v="2G"/>
    <s v="SN"/>
    <s v="1G"/>
    <s v="2G"/>
    <s v="SN"/>
    <m/>
    <m/>
    <m/>
    <m/>
    <m/>
    <m/>
    <m/>
    <m/>
    <m/>
    <m/>
    <m/>
    <m/>
    <m/>
    <m/>
    <m/>
    <m/>
    <m/>
    <m/>
    <m/>
    <m/>
    <m/>
    <m/>
    <m/>
    <m/>
    <m/>
    <m/>
    <m/>
    <m/>
    <m/>
    <m/>
    <m/>
    <d v="2023-08-30T00:00:00"/>
    <m/>
  </r>
  <r>
    <s v="020323Y"/>
    <s v="VILLENA GAJARDO ADRIAN PATRICIO"/>
    <n v="190728064"/>
    <s v="GUARDIA CUARTEL 2"/>
    <x v="15"/>
    <s v="VILLENA GAJARDO ADRIAN PATRICIO"/>
    <x v="5"/>
    <x v="0"/>
    <x v="1"/>
    <x v="1"/>
    <s v=""/>
    <x v="2"/>
    <s v="GUARDIA"/>
    <m/>
    <m/>
    <m/>
    <s v="O/S"/>
    <d v="2024-04-06T00:00:00"/>
    <m/>
    <s v="LISTO"/>
    <m/>
    <m/>
    <s v=""/>
    <n v="1"/>
    <n v="24"/>
    <n v="12"/>
    <n v="0"/>
    <s v="1G"/>
    <s v="2G"/>
    <s v="SN"/>
    <s v="1G"/>
    <s v="2G"/>
    <s v="SN"/>
    <m/>
    <m/>
    <m/>
    <m/>
    <m/>
    <m/>
    <m/>
    <m/>
    <m/>
    <m/>
    <m/>
    <m/>
    <m/>
    <m/>
    <m/>
    <m/>
    <m/>
    <m/>
    <m/>
    <m/>
    <m/>
    <m/>
    <m/>
    <m/>
    <m/>
    <m/>
    <m/>
    <m/>
    <m/>
    <m/>
    <m/>
    <d v="2023-09-25T00:00:00"/>
    <m/>
  </r>
  <r>
    <s v="017217P"/>
    <s v="ZAPATA PEREZ CRISTOPHER ANTONIO"/>
    <n v="201400953"/>
    <s v="S-30"/>
    <x v="15"/>
    <s v="ZAPATA PEREZ CRISTOPHER ANTONIO"/>
    <x v="9"/>
    <x v="0"/>
    <x v="1"/>
    <x v="1"/>
    <s v=""/>
    <x v="2"/>
    <s v="GUARDIA"/>
    <m/>
    <m/>
    <m/>
    <s v="O/S"/>
    <d v="2024-04-06T00:00:00"/>
    <s v="NOTIFICAR"/>
    <m/>
    <m/>
    <m/>
    <s v=""/>
    <n v="1"/>
    <n v="24"/>
    <n v="13"/>
    <n v="0"/>
    <s v="1G"/>
    <s v="1P"/>
    <s v="2P"/>
    <s v="1G"/>
    <s v="2G"/>
    <s v="SN"/>
    <m/>
    <m/>
    <m/>
    <m/>
    <m/>
    <m/>
    <m/>
    <m/>
    <m/>
    <m/>
    <m/>
    <m/>
    <m/>
    <m/>
    <m/>
    <m/>
    <m/>
    <m/>
    <m/>
    <m/>
    <m/>
    <m/>
    <m/>
    <m/>
    <m/>
    <m/>
    <m/>
    <m/>
    <m/>
    <m/>
    <m/>
    <d v="2023-04-25T00:00:00"/>
    <m/>
  </r>
  <r>
    <s v="962959F"/>
    <s v="CAYUPAN ANTIPIL CESAR ABRAHAM"/>
    <n v="133932798"/>
    <s v="GUARDIA CUARTEL 3"/>
    <x v="16"/>
    <s v="CAYUPAN ANTIPIL CESAR ABRAHAM"/>
    <x v="3"/>
    <x v="0"/>
    <x v="1"/>
    <x v="1"/>
    <s v=""/>
    <x v="3"/>
    <s v="GUARDIA"/>
    <m/>
    <m/>
    <m/>
    <s v="O/S"/>
    <d v="2024-04-06T00:00:00"/>
    <m/>
    <s v="LISTO"/>
    <m/>
    <m/>
    <s v=""/>
    <n v="1"/>
    <n v="25"/>
    <n v="9"/>
    <n v="0"/>
    <s v="2G"/>
    <s v="SN"/>
    <s v="1G"/>
    <s v="2G"/>
    <s v="SN"/>
    <s v="1G"/>
    <m/>
    <m/>
    <m/>
    <m/>
    <m/>
    <m/>
    <m/>
    <m/>
    <m/>
    <m/>
    <m/>
    <m/>
    <m/>
    <m/>
    <m/>
    <m/>
    <m/>
    <m/>
    <m/>
    <m/>
    <m/>
    <m/>
    <m/>
    <m/>
    <m/>
    <m/>
    <m/>
    <m/>
    <m/>
    <m/>
    <m/>
    <d v="2023-06-05T00:00:00"/>
    <m/>
  </r>
  <r>
    <s v="017276S"/>
    <s v="GRANDON PAVEZ KAREN MARLEN"/>
    <s v="189445547-7"/>
    <s v="GUARDIA CUARTEL 3"/>
    <x v="16"/>
    <s v="GRANDON PAVEZ KAREN MARLEN"/>
    <x v="5"/>
    <x v="1"/>
    <x v="1"/>
    <x v="1"/>
    <s v=""/>
    <x v="3"/>
    <s v="GUARDIA"/>
    <m/>
    <m/>
    <m/>
    <s v="O/S"/>
    <d v="2024-04-06T00:00:00"/>
    <m/>
    <s v="POR ORDEN DE CONDOR"/>
    <m/>
    <m/>
    <s v=""/>
    <n v="1"/>
    <n v="25"/>
    <n v="12"/>
    <n v="0"/>
    <s v="2G"/>
    <s v="SN"/>
    <s v="1G"/>
    <s v="2G"/>
    <s v="SN"/>
    <s v="1G"/>
    <m/>
    <m/>
    <m/>
    <m/>
    <m/>
    <m/>
    <m/>
    <m/>
    <m/>
    <m/>
    <m/>
    <m/>
    <m/>
    <m/>
    <m/>
    <m/>
    <m/>
    <m/>
    <m/>
    <m/>
    <m/>
    <m/>
    <m/>
    <m/>
    <m/>
    <m/>
    <m/>
    <m/>
    <m/>
    <m/>
    <m/>
    <d v="2023-05-19T00:00:00"/>
    <m/>
  </r>
  <r>
    <s v="018545Z"/>
    <s v="SANHUEZA MARIN VALENTINA ANTONIA"/>
    <n v="203549784"/>
    <s v="GUARDIA CUARTEL 3"/>
    <x v="16"/>
    <s v="SANHUEZA MARIN VALENTINA ANTONIA"/>
    <x v="5"/>
    <x v="1"/>
    <x v="1"/>
    <x v="1"/>
    <s v=""/>
    <x v="3"/>
    <s v="GUARDIA"/>
    <m/>
    <m/>
    <m/>
    <s v="O/S"/>
    <d v="2024-04-06T00:00:00"/>
    <m/>
    <s v="LISTO"/>
    <m/>
    <m/>
    <s v=""/>
    <n v="1"/>
    <n v="25"/>
    <n v="12"/>
    <n v="0"/>
    <s v="2G"/>
    <s v="SN"/>
    <s v="1G"/>
    <s v="2G"/>
    <s v="SN"/>
    <s v="1G"/>
    <m/>
    <m/>
    <m/>
    <m/>
    <m/>
    <m/>
    <m/>
    <m/>
    <m/>
    <m/>
    <m/>
    <m/>
    <m/>
    <m/>
    <m/>
    <m/>
    <m/>
    <m/>
    <m/>
    <m/>
    <m/>
    <m/>
    <m/>
    <m/>
    <m/>
    <m/>
    <m/>
    <m/>
    <m/>
    <m/>
    <m/>
    <d v="2023-05-05T00:00:00"/>
    <m/>
  </r>
  <r>
    <s v="018119W"/>
    <s v="VERGARA TAPIA FABIAN FERNANDO"/>
    <n v="192379261"/>
    <s v="GUARDIA CUARTEL 3"/>
    <x v="16"/>
    <s v="VERGARA TAPIA FABIAN FERNANDO"/>
    <x v="5"/>
    <x v="0"/>
    <x v="1"/>
    <x v="1"/>
    <s v=""/>
    <x v="3"/>
    <s v="GUARDIA"/>
    <m/>
    <m/>
    <m/>
    <s v="O/S"/>
    <d v="2024-04-06T00:00:00"/>
    <m/>
    <s v="TRABAJO LIVIANO "/>
    <m/>
    <m/>
    <s v=""/>
    <n v="1"/>
    <n v="25"/>
    <n v="12"/>
    <n v="0"/>
    <s v="2G"/>
    <s v="SN"/>
    <s v="1G"/>
    <s v="2G"/>
    <s v="SN"/>
    <s v="1G"/>
    <m/>
    <m/>
    <m/>
    <m/>
    <m/>
    <m/>
    <m/>
    <m/>
    <m/>
    <m/>
    <m/>
    <m/>
    <m/>
    <m/>
    <m/>
    <m/>
    <m/>
    <m/>
    <m/>
    <m/>
    <m/>
    <m/>
    <m/>
    <m/>
    <m/>
    <m/>
    <m/>
    <m/>
    <m/>
    <m/>
    <m/>
    <d v="2024-03-11T00:00:00"/>
    <m/>
  </r>
  <r>
    <s v="968289N"/>
    <s v="NEUMANN VIDAL CRISTIAN ALEJANDRO"/>
    <n v="153015651"/>
    <s v="GUARDIA CUARTEL 1"/>
    <x v="17"/>
    <s v="NEUMANN VIDAL CRISTIAN ALEJANDRO"/>
    <x v="1"/>
    <x v="0"/>
    <x v="1"/>
    <x v="1"/>
    <s v=""/>
    <x v="4"/>
    <s v=""/>
    <m/>
    <m/>
    <m/>
    <s v="O/S"/>
    <d v="2024-04-06T00:00:00"/>
    <m/>
    <s v="LISTO"/>
    <d v="2024-04-03T00:00:00"/>
    <d v="2024-04-05T00:00:00"/>
    <n v="3"/>
    <n v="1"/>
    <n v="26"/>
    <n v="10"/>
    <n v="0"/>
    <s v="SN"/>
    <s v="1G"/>
    <s v="2G"/>
    <s v="LIC."/>
    <s v="LIC."/>
    <s v="2G"/>
    <m/>
    <m/>
    <m/>
    <m/>
    <m/>
    <m/>
    <m/>
    <m/>
    <m/>
    <m/>
    <m/>
    <m/>
    <m/>
    <m/>
    <m/>
    <m/>
    <m/>
    <m/>
    <m/>
    <m/>
    <m/>
    <m/>
    <m/>
    <m/>
    <m/>
    <m/>
    <m/>
    <m/>
    <m/>
    <m/>
    <m/>
    <d v="2023-09-05T00:00:00"/>
    <m/>
  </r>
  <r>
    <s v="950908M"/>
    <s v="ROMERO VENEGAS SERGIO HERNAN"/>
    <n v="117799999"/>
    <s v="INTERNO 1"/>
    <x v="18"/>
    <s v="ROMERO VENEGAS SERGIO HERNAN"/>
    <x v="3"/>
    <x v="0"/>
    <x v="1"/>
    <x v="1"/>
    <s v=""/>
    <x v="0"/>
    <s v="INTERNO"/>
    <m/>
    <m/>
    <m/>
    <s v="O/S"/>
    <d v="2024-04-06T00:00:00"/>
    <m/>
    <s v="LISTO"/>
    <m/>
    <m/>
    <s v=""/>
    <n v="1"/>
    <n v="27"/>
    <n v="9"/>
    <n v="0"/>
    <s v="SN"/>
    <s v="F"/>
    <s v="1G"/>
    <s v="2G"/>
    <s v="SN"/>
    <s v="F"/>
    <m/>
    <m/>
    <m/>
    <m/>
    <m/>
    <m/>
    <m/>
    <m/>
    <m/>
    <m/>
    <m/>
    <m/>
    <m/>
    <m/>
    <m/>
    <m/>
    <m/>
    <m/>
    <m/>
    <m/>
    <m/>
    <m/>
    <m/>
    <m/>
    <m/>
    <m/>
    <m/>
    <m/>
    <m/>
    <m/>
    <m/>
    <d v="2023-09-01T00:00:00"/>
    <m/>
  </r>
  <r>
    <s v="018774E"/>
    <s v="RAÑILEO SAEZ ROMINA ANGELICA"/>
    <n v="151333508"/>
    <s v="INTERNO 1"/>
    <x v="18"/>
    <s v="RAÑILEO SAEZ ROMINA ANGELICA"/>
    <x v="5"/>
    <x v="1"/>
    <x v="1"/>
    <x v="1"/>
    <s v=""/>
    <x v="0"/>
    <s v="INTERNO"/>
    <m/>
    <m/>
    <m/>
    <s v="O/S"/>
    <d v="2024-04-06T00:00:00"/>
    <m/>
    <s v="LISTO"/>
    <m/>
    <m/>
    <s v=""/>
    <n v="1"/>
    <n v="27"/>
    <n v="12"/>
    <n v="0"/>
    <s v="SN"/>
    <s v="F"/>
    <s v="1G"/>
    <s v="2G"/>
    <s v="SN"/>
    <s v="F"/>
    <m/>
    <m/>
    <m/>
    <m/>
    <m/>
    <m/>
    <m/>
    <m/>
    <m/>
    <m/>
    <m/>
    <m/>
    <m/>
    <m/>
    <m/>
    <m/>
    <m/>
    <m/>
    <m/>
    <m/>
    <m/>
    <m/>
    <m/>
    <m/>
    <m/>
    <m/>
    <m/>
    <m/>
    <m/>
    <m/>
    <m/>
    <d v="2023-09-01T00:00:00"/>
    <m/>
  </r>
  <r>
    <s v="958353K"/>
    <s v="JARAMILLO VIDAL RUBEN PATRICIO"/>
    <n v="135236128"/>
    <s v="INTERNO 2"/>
    <x v="19"/>
    <s v="JARAMILLO VIDAL RUBEN PATRICIO"/>
    <x v="6"/>
    <x v="0"/>
    <x v="1"/>
    <x v="1"/>
    <s v=""/>
    <x v="3"/>
    <s v="INTERNO"/>
    <m/>
    <m/>
    <m/>
    <s v="O/S"/>
    <d v="2024-04-06T00:00:00"/>
    <m/>
    <s v="LISTO"/>
    <m/>
    <m/>
    <s v=""/>
    <n v="1"/>
    <n v="28"/>
    <n v="8"/>
    <n v="0"/>
    <s v="F"/>
    <s v="1G"/>
    <s v="2G"/>
    <s v="SN"/>
    <s v="F"/>
    <s v="1G"/>
    <m/>
    <m/>
    <m/>
    <m/>
    <m/>
    <m/>
    <m/>
    <m/>
    <m/>
    <m/>
    <m/>
    <m/>
    <m/>
    <m/>
    <m/>
    <m/>
    <m/>
    <m/>
    <m/>
    <m/>
    <m/>
    <m/>
    <m/>
    <m/>
    <m/>
    <m/>
    <m/>
    <m/>
    <m/>
    <m/>
    <m/>
    <d v="2023-06-16T00:00:00"/>
    <m/>
  </r>
  <r>
    <s v="000438H"/>
    <s v="CONTRERAS INOSTROZA FELIPE NEFTALI"/>
    <n v="173330219"/>
    <s v="INTERNO 2"/>
    <x v="19"/>
    <s v="CONTRERAS INOSTROZA FELIPE NEFTALI"/>
    <x v="4"/>
    <x v="0"/>
    <x v="1"/>
    <x v="1"/>
    <s v=""/>
    <x v="3"/>
    <s v="INTERNO"/>
    <m/>
    <m/>
    <m/>
    <s v="O/S"/>
    <d v="2024-04-06T00:00:00"/>
    <m/>
    <s v="LISTO"/>
    <m/>
    <m/>
    <s v=""/>
    <n v="1"/>
    <n v="28"/>
    <n v="11"/>
    <n v="0"/>
    <s v="F"/>
    <s v="1G"/>
    <s v="2G"/>
    <s v="SN"/>
    <s v="F"/>
    <s v="1G"/>
    <m/>
    <m/>
    <m/>
    <m/>
    <m/>
    <m/>
    <m/>
    <m/>
    <m/>
    <m/>
    <m/>
    <m/>
    <m/>
    <m/>
    <m/>
    <m/>
    <m/>
    <m/>
    <m/>
    <m/>
    <m/>
    <m/>
    <m/>
    <m/>
    <m/>
    <m/>
    <m/>
    <m/>
    <m/>
    <m/>
    <m/>
    <d v="2023-06-09T00:00:00"/>
    <m/>
  </r>
  <r>
    <s v="985237K"/>
    <s v="LIRA MUÑOZ OSCAR FABIAN"/>
    <n v="171662435"/>
    <s v="INTERNO 3"/>
    <x v="20"/>
    <s v="LIRA MUÑOZ OSCAR FABIAN"/>
    <x v="1"/>
    <x v="0"/>
    <x v="1"/>
    <x v="1"/>
    <s v=""/>
    <x v="4"/>
    <s v="INTERNO"/>
    <m/>
    <m/>
    <m/>
    <s v="O/S"/>
    <d v="2024-04-06T00:00:00"/>
    <m/>
    <s v="LISTO"/>
    <m/>
    <m/>
    <s v=""/>
    <n v="1"/>
    <n v="29"/>
    <n v="10"/>
    <n v="0"/>
    <s v="1G"/>
    <s v="2G"/>
    <s v="SN"/>
    <s v="F"/>
    <s v="1G"/>
    <s v="2G"/>
    <m/>
    <m/>
    <m/>
    <m/>
    <m/>
    <m/>
    <m/>
    <m/>
    <m/>
    <m/>
    <m/>
    <m/>
    <m/>
    <m/>
    <m/>
    <m/>
    <m/>
    <m/>
    <m/>
    <m/>
    <m/>
    <m/>
    <m/>
    <m/>
    <m/>
    <m/>
    <m/>
    <m/>
    <m/>
    <m/>
    <m/>
    <d v="2023-09-08T00:00:00"/>
    <m/>
  </r>
  <r>
    <s v="992840T"/>
    <s v="VARGAS MALDONADO MIGUEL ANGEL"/>
    <n v="169758999"/>
    <s v="INTERNO 3"/>
    <x v="20"/>
    <s v="VARGAS MALDONADO MIGUEL ANGEL"/>
    <x v="4"/>
    <x v="0"/>
    <x v="1"/>
    <x v="1"/>
    <s v=""/>
    <x v="4"/>
    <s v="INTERNO"/>
    <m/>
    <m/>
    <m/>
    <s v="O/S"/>
    <d v="2024-04-06T00:00:00"/>
    <m/>
    <s v="LISTO   DOE. 200808326 4° TRIBUNAL O.P. S. 18-03-24 A LAS 09:00 HRS."/>
    <m/>
    <m/>
    <s v=""/>
    <n v="1"/>
    <n v="29"/>
    <n v="11"/>
    <n v="0"/>
    <s v="1G"/>
    <s v="2G"/>
    <s v="SN"/>
    <s v="F"/>
    <s v="1G"/>
    <s v="2G"/>
    <m/>
    <m/>
    <m/>
    <m/>
    <m/>
    <m/>
    <m/>
    <m/>
    <m/>
    <m/>
    <m/>
    <m/>
    <m/>
    <m/>
    <m/>
    <m/>
    <m/>
    <m/>
    <m/>
    <m/>
    <m/>
    <m/>
    <m/>
    <m/>
    <m/>
    <m/>
    <m/>
    <m/>
    <m/>
    <m/>
    <m/>
    <d v="2023-09-08T00:00:00"/>
    <m/>
  </r>
  <r>
    <s v="972338A"/>
    <s v="PILQUIMAN MANQUI MIGUEL ANGEL"/>
    <n v="161870625"/>
    <s v="INTERNO 4"/>
    <x v="21"/>
    <s v="PILQUIMAN MANQUI MIGUEL ANGEL"/>
    <x v="1"/>
    <x v="0"/>
    <x v="1"/>
    <x v="1"/>
    <s v=""/>
    <x v="2"/>
    <s v="INTERNO"/>
    <m/>
    <m/>
    <m/>
    <s v="O/S"/>
    <d v="2024-04-06T00:00:00"/>
    <m/>
    <m/>
    <m/>
    <m/>
    <s v=""/>
    <n v="1"/>
    <n v="30"/>
    <n v="10"/>
    <n v="0"/>
    <s v="2G"/>
    <s v="SN"/>
    <s v="F"/>
    <s v="1G"/>
    <s v="2G"/>
    <s v="SN"/>
    <m/>
    <m/>
    <m/>
    <m/>
    <m/>
    <m/>
    <m/>
    <m/>
    <m/>
    <m/>
    <m/>
    <m/>
    <m/>
    <m/>
    <m/>
    <m/>
    <m/>
    <m/>
    <m/>
    <m/>
    <m/>
    <m/>
    <m/>
    <m/>
    <m/>
    <m/>
    <m/>
    <m/>
    <m/>
    <m/>
    <m/>
    <d v="2023-09-05T00:00:00"/>
    <m/>
  </r>
  <r>
    <s v="013592C"/>
    <s v="CARRASCO CACERES BRYAN HUGO"/>
    <n v="197236264"/>
    <s v="INTERNO 4"/>
    <x v="21"/>
    <s v="CARRASCO CACERES BRYAN HUGO (IFEX)"/>
    <x v="5"/>
    <x v="0"/>
    <x v="1"/>
    <x v="1"/>
    <s v="(IFEX)"/>
    <x v="2"/>
    <s v="INTERNO"/>
    <m/>
    <m/>
    <m/>
    <s v="O/S"/>
    <d v="2024-04-06T00:00:00"/>
    <m/>
    <m/>
    <m/>
    <m/>
    <s v=""/>
    <n v="1"/>
    <n v="30"/>
    <n v="12"/>
    <n v="0"/>
    <s v="2G"/>
    <s v="SN"/>
    <s v="F"/>
    <s v="1G"/>
    <s v="2G"/>
    <s v="SN"/>
    <m/>
    <m/>
    <m/>
    <m/>
    <m/>
    <m/>
    <m/>
    <m/>
    <m/>
    <m/>
    <m/>
    <m/>
    <m/>
    <m/>
    <m/>
    <m/>
    <m/>
    <m/>
    <m/>
    <m/>
    <m/>
    <m/>
    <m/>
    <m/>
    <m/>
    <m/>
    <m/>
    <m/>
    <m/>
    <m/>
    <m/>
    <d v="2023-06-16T00:00:00"/>
    <m/>
  </r>
  <r>
    <s v="978645L"/>
    <s v="GARCES ORELLANA DIEGO ANDRES"/>
    <n v="155131810"/>
    <s v="P.F. ROBERTO DEL RIO 1"/>
    <x v="22"/>
    <s v="GARCES ORELLANA DIEGO ANDRES"/>
    <x v="4"/>
    <x v="0"/>
    <x v="1"/>
    <x v="1"/>
    <s v=""/>
    <x v="1"/>
    <s v="R. RIO"/>
    <m/>
    <m/>
    <m/>
    <s v="O/S"/>
    <d v="2024-04-06T00:00:00"/>
    <m/>
    <s v="LISTO"/>
    <m/>
    <m/>
    <s v=""/>
    <n v="1"/>
    <n v="31"/>
    <n v="11"/>
    <n v="0"/>
    <s v="2T"/>
    <s v="1T"/>
    <s v="2P"/>
    <s v="SN"/>
    <s v="2T"/>
    <s v="1P"/>
    <m/>
    <m/>
    <m/>
    <m/>
    <m/>
    <m/>
    <m/>
    <m/>
    <m/>
    <m/>
    <m/>
    <m/>
    <m/>
    <m/>
    <m/>
    <m/>
    <m/>
    <m/>
    <m/>
    <m/>
    <m/>
    <m/>
    <m/>
    <m/>
    <m/>
    <m/>
    <m/>
    <m/>
    <m/>
    <m/>
    <m/>
    <d v="2023-04-20T00:00:00"/>
    <m/>
  </r>
  <r>
    <s v="017277T"/>
    <s v="GREZ BRAVO JUAN JESUS"/>
    <n v="197687878"/>
    <s v="P.F. ROBERTO DEL RIO 1"/>
    <x v="22"/>
    <s v="GREZ BRAVO JUAN JESUS"/>
    <x v="5"/>
    <x v="0"/>
    <x v="1"/>
    <x v="1"/>
    <s v=""/>
    <x v="1"/>
    <s v="R. RIO"/>
    <m/>
    <m/>
    <m/>
    <s v="O/S"/>
    <d v="2024-04-06T00:00:00"/>
    <m/>
    <s v="LISTO"/>
    <m/>
    <m/>
    <s v=""/>
    <n v="1"/>
    <n v="31"/>
    <n v="12"/>
    <n v="0"/>
    <s v="2T"/>
    <s v="1T"/>
    <s v="2P"/>
    <s v="SN"/>
    <s v="2T"/>
    <s v="1P"/>
    <m/>
    <m/>
    <m/>
    <m/>
    <m/>
    <m/>
    <m/>
    <m/>
    <m/>
    <m/>
    <m/>
    <m/>
    <m/>
    <m/>
    <m/>
    <m/>
    <m/>
    <m/>
    <m/>
    <m/>
    <m/>
    <m/>
    <m/>
    <m/>
    <m/>
    <m/>
    <m/>
    <m/>
    <m/>
    <m/>
    <m/>
    <d v="2023-04-20T00:00:00"/>
    <m/>
  </r>
  <r>
    <s v="978968Q"/>
    <s v="MELLA GUTIERREZ SEBASTIAN ANDRES"/>
    <s v="16694662K"/>
    <s v="P.F. ROBERTO DEL RIO 4"/>
    <x v="23"/>
    <s v="MELLA GUTIERREZ SEBASTIAN ANDRES"/>
    <x v="1"/>
    <x v="0"/>
    <x v="1"/>
    <x v="1"/>
    <s v=""/>
    <x v="5"/>
    <s v="R. RIO"/>
    <m/>
    <m/>
    <m/>
    <s v="O/S"/>
    <d v="2024-04-06T00:00:00"/>
    <m/>
    <m/>
    <m/>
    <m/>
    <s v=""/>
    <n v="1"/>
    <n v="32"/>
    <n v="10"/>
    <n v="0"/>
    <s v="1T"/>
    <s v="2P"/>
    <s v="SN"/>
    <s v="2T"/>
    <s v="1T"/>
    <s v="2P"/>
    <m/>
    <m/>
    <m/>
    <m/>
    <m/>
    <m/>
    <m/>
    <m/>
    <m/>
    <m/>
    <m/>
    <m/>
    <m/>
    <m/>
    <m/>
    <m/>
    <m/>
    <m/>
    <m/>
    <m/>
    <m/>
    <m/>
    <m/>
    <m/>
    <m/>
    <m/>
    <m/>
    <m/>
    <m/>
    <m/>
    <m/>
    <d v="2023-04-25T00:00:00"/>
    <m/>
  </r>
  <r>
    <s v="019209J"/>
    <s v="BARROS QUIJANO FABIAN ELIAS"/>
    <n v="202305873"/>
    <s v="P.F. ROBERTO DEL RIO 4"/>
    <x v="23"/>
    <s v="BARROS QUIJANO FABIAN ELIAS"/>
    <x v="5"/>
    <x v="0"/>
    <x v="1"/>
    <x v="1"/>
    <s v=""/>
    <x v="5"/>
    <s v="R. RIO"/>
    <m/>
    <m/>
    <m/>
    <s v="O/S"/>
    <d v="2024-04-06T00:00:00"/>
    <m/>
    <s v="LISTO"/>
    <m/>
    <m/>
    <s v=""/>
    <n v="1"/>
    <n v="32"/>
    <n v="12"/>
    <n v="0"/>
    <s v="LIC."/>
    <s v="2P"/>
    <s v="SN"/>
    <s v="2T"/>
    <s v="1T"/>
    <s v="2P"/>
    <m/>
    <m/>
    <m/>
    <m/>
    <m/>
    <m/>
    <m/>
    <m/>
    <m/>
    <m/>
    <m/>
    <m/>
    <m/>
    <m/>
    <m/>
    <m/>
    <m/>
    <m/>
    <m/>
    <m/>
    <m/>
    <m/>
    <m/>
    <m/>
    <m/>
    <m/>
    <m/>
    <m/>
    <m/>
    <m/>
    <m/>
    <d v="2023-08-14T00:00:00"/>
    <m/>
  </r>
  <r>
    <s v="976698G"/>
    <s v="REYES CORDOVA CARLOS HUMBERTO"/>
    <n v="158085941"/>
    <s v="P.F. ROBERTO DEL RIO 3"/>
    <x v="24"/>
    <s v="REYES CORDOVA CARLOS HUMBERTO"/>
    <x v="1"/>
    <x v="0"/>
    <x v="1"/>
    <x v="1"/>
    <s v=""/>
    <x v="2"/>
    <s v="R. RIO"/>
    <m/>
    <m/>
    <m/>
    <s v="O/S"/>
    <d v="2024-04-06T00:00:00"/>
    <m/>
    <s v="LISTO"/>
    <m/>
    <m/>
    <s v=""/>
    <n v="1"/>
    <n v="33"/>
    <n v="10"/>
    <n v="0"/>
    <s v="2P"/>
    <s v="SN"/>
    <s v="2T"/>
    <s v="1T"/>
    <s v="2P"/>
    <s v="SN"/>
    <m/>
    <m/>
    <m/>
    <m/>
    <m/>
    <m/>
    <m/>
    <m/>
    <m/>
    <m/>
    <m/>
    <m/>
    <m/>
    <m/>
    <m/>
    <m/>
    <m/>
    <m/>
    <m/>
    <m/>
    <m/>
    <m/>
    <m/>
    <m/>
    <m/>
    <m/>
    <m/>
    <m/>
    <m/>
    <m/>
    <m/>
    <d v="2023-04-13T00:00:00"/>
    <m/>
  </r>
  <r>
    <s v="020219G"/>
    <s v="GODOY BOBADILLA JUAN SEBASTIAN"/>
    <n v="203640811"/>
    <s v="P.F. ROBERTO DEL RIO 3"/>
    <x v="24"/>
    <s v="GODOY BOBADILLA JUAN SEBASTIAN"/>
    <x v="5"/>
    <x v="0"/>
    <x v="1"/>
    <x v="1"/>
    <s v=""/>
    <x v="2"/>
    <s v="R. RIO"/>
    <m/>
    <m/>
    <m/>
    <s v="O/S"/>
    <d v="2024-04-06T00:00:00"/>
    <m/>
    <s v="LISTO"/>
    <m/>
    <m/>
    <s v=""/>
    <n v="1"/>
    <n v="33"/>
    <n v="12"/>
    <n v="0"/>
    <s v="2P"/>
    <s v="SN"/>
    <s v="2T"/>
    <s v="1T"/>
    <s v="2P"/>
    <s v="SN"/>
    <m/>
    <m/>
    <m/>
    <m/>
    <m/>
    <m/>
    <m/>
    <m/>
    <m/>
    <m/>
    <m/>
    <m/>
    <m/>
    <m/>
    <m/>
    <m/>
    <m/>
    <m/>
    <m/>
    <m/>
    <m/>
    <m/>
    <m/>
    <m/>
    <m/>
    <m/>
    <m/>
    <m/>
    <m/>
    <m/>
    <m/>
    <d v="2023-08-16T00:00:00"/>
    <m/>
  </r>
  <r>
    <s v="989345B"/>
    <s v="PACHECO CIFUENTES HUMBERTO ARIEL"/>
    <s v="17851555-1"/>
    <s v="P.F. ROBERTO DEL RIO 2"/>
    <x v="25"/>
    <s v="PACHECO CIFUENTES HUMBERTO ARIEL"/>
    <x v="4"/>
    <x v="0"/>
    <x v="1"/>
    <x v="1"/>
    <s v=""/>
    <x v="0"/>
    <s v="R. RIO"/>
    <m/>
    <m/>
    <m/>
    <s v="O/S"/>
    <d v="1991-03-24T00:00:00"/>
    <m/>
    <m/>
    <m/>
    <m/>
    <s v=""/>
    <n v="1"/>
    <n v="34"/>
    <n v="11"/>
    <n v="0"/>
    <s v="SN"/>
    <s v="2T"/>
    <s v="1T"/>
    <s v="2P"/>
    <s v="SN"/>
    <s v="F"/>
    <m/>
    <m/>
    <m/>
    <m/>
    <m/>
    <m/>
    <m/>
    <m/>
    <m/>
    <m/>
    <m/>
    <m/>
    <m/>
    <m/>
    <m/>
    <m/>
    <m/>
    <m/>
    <m/>
    <m/>
    <m/>
    <m/>
    <m/>
    <m/>
    <m/>
    <m/>
    <m/>
    <m/>
    <m/>
    <m/>
    <m/>
    <d v="2024-03-11T00:00:00"/>
    <m/>
  </r>
  <r>
    <s v="985952Q"/>
    <s v="SEGURA TORRES MIGUEL ARIEL"/>
    <n v="167082599"/>
    <s v="P.F. ROBERTO DEL RIO 2"/>
    <x v="25"/>
    <s v="SEGURA TORRES MIGUEL ARIEL"/>
    <x v="5"/>
    <x v="0"/>
    <x v="1"/>
    <x v="1"/>
    <s v=""/>
    <x v="0"/>
    <s v="R. RIO"/>
    <m/>
    <m/>
    <m/>
    <s v="O/S"/>
    <d v="2024-04-06T00:00:00"/>
    <m/>
    <m/>
    <m/>
    <m/>
    <s v=""/>
    <n v="1"/>
    <n v="34"/>
    <n v="12"/>
    <n v="0"/>
    <s v="SN"/>
    <s v="2T"/>
    <s v="1T"/>
    <s v="2P"/>
    <s v="SN"/>
    <s v="F"/>
    <m/>
    <m/>
    <m/>
    <m/>
    <m/>
    <m/>
    <m/>
    <m/>
    <m/>
    <m/>
    <m/>
    <m/>
    <m/>
    <m/>
    <m/>
    <m/>
    <m/>
    <m/>
    <m/>
    <m/>
    <m/>
    <m/>
    <m/>
    <m/>
    <m/>
    <m/>
    <m/>
    <m/>
    <m/>
    <m/>
    <m/>
    <d v="2023-05-08T00:00:00"/>
    <m/>
  </r>
  <r>
    <s v="944236Y"/>
    <s v="SILVA LOYOLA JOSE ALFONSO"/>
    <n v="116952726"/>
    <s v="MANTENCIÓN DE CUARTEL"/>
    <x v="26"/>
    <s v="SILVA LOYOLA JOSE ALFONSO"/>
    <x v="3"/>
    <x v="0"/>
    <x v="1"/>
    <x v="1"/>
    <s v=""/>
    <x v="6"/>
    <s v="PRACTICA DE TIRO"/>
    <m/>
    <m/>
    <m/>
    <s v="O/S"/>
    <d v="2024-04-06T00:00:00"/>
    <s v="38° COM PRACTICA TIRO VIERNES  5 A LAS 08:30 HRS."/>
    <m/>
    <m/>
    <m/>
    <s v=""/>
    <n v="1"/>
    <n v="35"/>
    <n v="9"/>
    <n v="0"/>
    <s v="ADM."/>
    <s v="ADM."/>
    <s v="ADM."/>
    <s v="ADM."/>
    <s v="ADM."/>
    <s v="ADM."/>
    <m/>
    <m/>
    <m/>
    <m/>
    <m/>
    <m/>
    <m/>
    <m/>
    <m/>
    <m/>
    <m/>
    <m/>
    <m/>
    <m/>
    <m/>
    <m/>
    <m/>
    <m/>
    <m/>
    <m/>
    <m/>
    <m/>
    <m/>
    <m/>
    <m/>
    <m/>
    <m/>
    <m/>
    <m/>
    <m/>
    <m/>
    <d v="2024-04-05T00:00:00"/>
    <m/>
  </r>
  <r>
    <s v="017269B"/>
    <s v="FUENTES RODRIGUEZ DIEGO ALEXIS"/>
    <n v="197179724"/>
    <s v="OF. REQUERIMIENTOS"/>
    <x v="26"/>
    <s v="FUENTES RODRIGUEZ DIEGO ALEXIS"/>
    <x v="5"/>
    <x v="0"/>
    <x v="1"/>
    <x v="1"/>
    <s v=""/>
    <x v="6"/>
    <s v="PRACTICA DE TIRO"/>
    <m/>
    <m/>
    <m/>
    <s v="O/S"/>
    <d v="2024-04-06T00:00:00"/>
    <s v="38° COM PRACTICA D ETIRO VIERNES 05 DE ABRIL A LAS 08:30 HRS."/>
    <m/>
    <m/>
    <m/>
    <s v=""/>
    <n v="1"/>
    <n v="35"/>
    <n v="12"/>
    <n v="0"/>
    <s v="ADM."/>
    <s v="ADM."/>
    <s v="ADM."/>
    <s v="ADM."/>
    <s v="ADM."/>
    <s v="ADM."/>
    <m/>
    <m/>
    <m/>
    <m/>
    <m/>
    <m/>
    <m/>
    <m/>
    <m/>
    <m/>
    <m/>
    <m/>
    <m/>
    <m/>
    <m/>
    <m/>
    <m/>
    <m/>
    <m/>
    <m/>
    <m/>
    <m/>
    <m/>
    <m/>
    <m/>
    <m/>
    <m/>
    <m/>
    <m/>
    <m/>
    <m/>
    <d v="2024-04-05T00:00:00"/>
    <m/>
  </r>
  <r>
    <s v="011596E"/>
    <s v="ITURRA ISLA CRISTOBAL NICOLAS"/>
    <n v="188120318"/>
    <s v="OF. REQUERIMIENTOS"/>
    <x v="26"/>
    <s v="ITURRA ISLA CRISTOBAL NICOLAS"/>
    <x v="5"/>
    <x v="0"/>
    <x v="1"/>
    <x v="1"/>
    <s v=""/>
    <x v="6"/>
    <s v="PRACTICA DE TIRO"/>
    <m/>
    <m/>
    <m/>
    <s v="O/S"/>
    <d v="2024-04-06T00:00:00"/>
    <s v="38° COM PRACTICA D ETIRO VIERNES 05 DE ABRIL A LAS 10:30 HRS."/>
    <m/>
    <m/>
    <m/>
    <s v=""/>
    <n v="1"/>
    <n v="35"/>
    <n v="12"/>
    <n v="0"/>
    <s v="ADM."/>
    <s v="ADM."/>
    <s v="ADM."/>
    <s v="ADM."/>
    <s v="ADM."/>
    <s v="ADM."/>
    <m/>
    <m/>
    <m/>
    <m/>
    <m/>
    <m/>
    <m/>
    <m/>
    <m/>
    <m/>
    <m/>
    <m/>
    <m/>
    <m/>
    <m/>
    <m/>
    <m/>
    <m/>
    <m/>
    <m/>
    <m/>
    <m/>
    <m/>
    <m/>
    <m/>
    <m/>
    <m/>
    <m/>
    <m/>
    <m/>
    <m/>
    <d v="2024-04-05T00:00:00"/>
    <m/>
  </r>
  <r>
    <s v="950582W"/>
    <s v="CARRILLO CASTILLO OFRICINIO MAURICO"/>
    <n v="127355010"/>
    <s v="S-53"/>
    <x v="27"/>
    <s v="CARRILLO CASTILLO OFRICINIO MAURICO (L-T-P)"/>
    <x v="1"/>
    <x v="0"/>
    <x v="1"/>
    <x v="1"/>
    <s v="(L-T-P)"/>
    <x v="0"/>
    <s v="CONDUCTOR DISPONIBLE"/>
    <m/>
    <m/>
    <m/>
    <s v="O/S"/>
    <d v="2024-04-06T00:00:00"/>
    <m/>
    <s v="CITACION FZ ADM 09:00 HRS 08-04-2024 DOE 203828694"/>
    <m/>
    <m/>
    <s v=""/>
    <n v="1"/>
    <n v="38"/>
    <n v="10"/>
    <n v="0"/>
    <s v="FER."/>
    <s v="1P"/>
    <s v="1P"/>
    <s v="1P"/>
    <s v="1P"/>
    <s v="F"/>
    <m/>
    <m/>
    <m/>
    <m/>
    <m/>
    <m/>
    <m/>
    <m/>
    <m/>
    <m/>
    <m/>
    <m/>
    <m/>
    <m/>
    <m/>
    <m/>
    <m/>
    <m/>
    <m/>
    <m/>
    <m/>
    <m/>
    <m/>
    <m/>
    <m/>
    <m/>
    <m/>
    <m/>
    <m/>
    <m/>
    <m/>
    <d v="2023-04-10T00:00:00"/>
    <m/>
  </r>
  <r>
    <s v="995615Q"/>
    <s v="QUINTANILLA ROJAS RAUL ENRIQUE (L)"/>
    <n v="183356852"/>
    <s v="S-31"/>
    <x v="27"/>
    <s v="QUINTANILLA ROJAS RAUL ENRIQUE             (L)"/>
    <x v="4"/>
    <x v="0"/>
    <x v="1"/>
    <x v="1"/>
    <s v="(L)"/>
    <x v="1"/>
    <s v="CONDUCTOR DISPONIBLE"/>
    <m/>
    <m/>
    <m/>
    <s v="O/S"/>
    <d v="1993-09-25T00:00:00"/>
    <s v="NOTIFICAR"/>
    <s v="LISTO"/>
    <m/>
    <m/>
    <s v=""/>
    <n v="1"/>
    <n v="38"/>
    <n v="11"/>
    <n v="0"/>
    <s v="1T"/>
    <s v="1T"/>
    <s v="2P"/>
    <s v="SN"/>
    <s v="1T"/>
    <s v="1P"/>
    <m/>
    <m/>
    <m/>
    <m/>
    <m/>
    <m/>
    <m/>
    <m/>
    <m/>
    <m/>
    <m/>
    <m/>
    <m/>
    <m/>
    <m/>
    <m/>
    <m/>
    <m/>
    <m/>
    <m/>
    <m/>
    <m/>
    <m/>
    <m/>
    <m/>
    <m/>
    <m/>
    <m/>
    <m/>
    <m/>
    <m/>
    <d v="2024-03-13T00:00:00"/>
    <m/>
  </r>
  <r>
    <s v="981854-J"/>
    <s v="ELGUETA ARAVENA BORIS WALTER"/>
    <s v="17756047-2"/>
    <s v="GRIFO 11"/>
    <x v="28"/>
    <s v="ELGUETA ARAVENA BORIS WALTER"/>
    <x v="8"/>
    <x v="0"/>
    <x v="1"/>
    <x v="0"/>
    <s v=""/>
    <x v="1"/>
    <s v="JEFE APS"/>
    <m/>
    <m/>
    <m/>
    <s v="O/S"/>
    <s v="00-00-0000"/>
    <m/>
    <m/>
    <m/>
    <m/>
    <s v=""/>
    <n v="1"/>
    <n v="39"/>
    <n v="4"/>
    <n v="0"/>
    <s v="F"/>
    <s v="1P"/>
    <s v="1P"/>
    <s v="1P"/>
    <s v="1P"/>
    <s v="1P"/>
    <m/>
    <m/>
    <m/>
    <m/>
    <m/>
    <m/>
    <m/>
    <m/>
    <m/>
    <m/>
    <m/>
    <m/>
    <m/>
    <m/>
    <m/>
    <m/>
    <m/>
    <m/>
    <m/>
    <m/>
    <m/>
    <m/>
    <m/>
    <m/>
    <m/>
    <m/>
    <m/>
    <m/>
    <m/>
    <m/>
    <m/>
    <m/>
    <m/>
  </r>
  <r>
    <s v="988376H"/>
    <s v="RETAMAL CACERES WILLIAM ALEXIS"/>
    <n v="181110511"/>
    <s v="PTR-G-11"/>
    <x v="29"/>
    <s v="RETAMAL CACERES WILLIAM ALEXIS (IFEX)"/>
    <x v="4"/>
    <x v="0"/>
    <x v="1"/>
    <x v="1"/>
    <s v="(IFEX)"/>
    <x v="1"/>
    <s v="PTR-G-11"/>
    <m/>
    <m/>
    <m/>
    <s v="O/S"/>
    <d v="2024-04-06T00:00:00"/>
    <m/>
    <s v="LISTO"/>
    <m/>
    <m/>
    <s v=""/>
    <n v="1"/>
    <n v="40"/>
    <n v="11"/>
    <n v="0"/>
    <s v="F"/>
    <s v="1P"/>
    <s v="1P"/>
    <s v="1P"/>
    <s v="1P"/>
    <s v="1P"/>
    <m/>
    <m/>
    <m/>
    <m/>
    <m/>
    <m/>
    <m/>
    <m/>
    <m/>
    <m/>
    <m/>
    <m/>
    <m/>
    <m/>
    <m/>
    <m/>
    <m/>
    <m/>
    <m/>
    <m/>
    <m/>
    <m/>
    <m/>
    <m/>
    <m/>
    <m/>
    <m/>
    <m/>
    <m/>
    <m/>
    <m/>
    <d v="2023-05-22T00:00:00"/>
    <m/>
  </r>
  <r>
    <s v="973128Z"/>
    <s v="ZAPATA MARTINEZ JORGE ORLANDO"/>
    <s v="17323636-0"/>
    <s v="PTR-JO-40"/>
    <x v="29"/>
    <s v="ZAPATA MARTINEZ JORGE ORLANDO               (L-T-P)"/>
    <x v="4"/>
    <x v="0"/>
    <x v="1"/>
    <x v="1"/>
    <s v="(L-T-P)"/>
    <x v="1"/>
    <s v="PTR-G-11"/>
    <m/>
    <m/>
    <m/>
    <s v="O/S"/>
    <d v="2024-04-06T00:00:00"/>
    <m/>
    <s v="LISTO"/>
    <m/>
    <m/>
    <s v=""/>
    <n v="1"/>
    <n v="40"/>
    <n v="11"/>
    <n v="0"/>
    <s v="1P"/>
    <s v="1P"/>
    <s v="1P"/>
    <s v="1P"/>
    <s v="1P"/>
    <s v="1P"/>
    <m/>
    <m/>
    <m/>
    <m/>
    <m/>
    <m/>
    <m/>
    <m/>
    <m/>
    <m/>
    <m/>
    <m/>
    <m/>
    <m/>
    <m/>
    <m/>
    <m/>
    <m/>
    <m/>
    <m/>
    <m/>
    <m/>
    <m/>
    <m/>
    <m/>
    <m/>
    <m/>
    <m/>
    <m/>
    <m/>
    <m/>
    <d v="2023-05-15T00:00:00"/>
    <m/>
  </r>
  <r>
    <s v="982804J"/>
    <s v="SANCHEZ CASTRO VICTOR MANUEL"/>
    <s v="15608342-9"/>
    <s v="GRIFO 12"/>
    <x v="30"/>
    <s v="SANCHEZ CASTRO VICTOR MANUEL"/>
    <x v="8"/>
    <x v="0"/>
    <x v="1"/>
    <x v="0"/>
    <s v=""/>
    <x v="0"/>
    <s v="FRANCO"/>
    <m/>
    <m/>
    <m/>
    <s v="O/S"/>
    <d v="2024-04-06T00:00:00"/>
    <m/>
    <s v="LISTO"/>
    <m/>
    <m/>
    <s v=""/>
    <n v="1"/>
    <n v="41"/>
    <n v="4"/>
    <n v="0"/>
    <s v="1P"/>
    <s v="1P"/>
    <s v="1P"/>
    <s v="1P"/>
    <s v="1P"/>
    <s v="F"/>
    <m/>
    <m/>
    <m/>
    <m/>
    <m/>
    <m/>
    <m/>
    <m/>
    <m/>
    <m/>
    <m/>
    <m/>
    <m/>
    <m/>
    <m/>
    <m/>
    <m/>
    <m/>
    <m/>
    <m/>
    <m/>
    <m/>
    <m/>
    <m/>
    <m/>
    <m/>
    <m/>
    <m/>
    <m/>
    <m/>
    <m/>
    <d v="2023-05-25T00:00:00"/>
    <m/>
  </r>
  <r>
    <s v="983378E"/>
    <s v="MOYA ROJAS PATRICIO ANTONIO"/>
    <s v="16433810K"/>
    <s v="PTR-G-12"/>
    <x v="31"/>
    <s v="MOYA ROJAS PATRICIO ANTONIO (L - T)"/>
    <x v="1"/>
    <x v="0"/>
    <x v="1"/>
    <x v="1"/>
    <s v="(L - T)"/>
    <x v="0"/>
    <s v="PTR-G-12"/>
    <m/>
    <m/>
    <m/>
    <s v="O/S"/>
    <d v="2024-04-06T00:00:00"/>
    <m/>
    <s v="LISTO"/>
    <m/>
    <m/>
    <s v=""/>
    <n v="1"/>
    <n v="42"/>
    <n v="10"/>
    <n v="0"/>
    <s v="1P"/>
    <s v="1P"/>
    <s v="1P"/>
    <s v="1P"/>
    <s v="1P"/>
    <s v="F"/>
    <m/>
    <m/>
    <m/>
    <m/>
    <m/>
    <m/>
    <m/>
    <m/>
    <m/>
    <m/>
    <m/>
    <m/>
    <m/>
    <m/>
    <m/>
    <m/>
    <m/>
    <m/>
    <m/>
    <m/>
    <m/>
    <m/>
    <m/>
    <m/>
    <m/>
    <m/>
    <m/>
    <m/>
    <m/>
    <m/>
    <m/>
    <d v="2023-11-03T00:00:00"/>
    <m/>
  </r>
  <r>
    <s v="967207B"/>
    <s v="SERRANO ARRIAGADA MARJORIE ROXANA"/>
    <n v="157419250"/>
    <s v="PTR-G-12"/>
    <x v="31"/>
    <s v="SERRANO ARRIAGADA MARJORIE ROXANA"/>
    <x v="1"/>
    <x v="1"/>
    <x v="1"/>
    <x v="1"/>
    <s v=""/>
    <x v="0"/>
    <s v="PTR-G-12"/>
    <m/>
    <m/>
    <m/>
    <s v="O/S"/>
    <d v="2024-04-06T00:00:00"/>
    <m/>
    <s v="LISTO"/>
    <m/>
    <m/>
    <s v=""/>
    <n v="1"/>
    <n v="42"/>
    <n v="10"/>
    <n v="0"/>
    <s v="1P"/>
    <s v="1P"/>
    <s v="1P"/>
    <s v="1P"/>
    <s v="1P"/>
    <s v="F"/>
    <m/>
    <m/>
    <m/>
    <m/>
    <m/>
    <m/>
    <m/>
    <m/>
    <m/>
    <m/>
    <m/>
    <m/>
    <m/>
    <m/>
    <m/>
    <m/>
    <m/>
    <m/>
    <m/>
    <m/>
    <m/>
    <m/>
    <m/>
    <m/>
    <m/>
    <m/>
    <m/>
    <m/>
    <m/>
    <m/>
    <m/>
    <d v="2023-08-30T00:00:00"/>
    <m/>
  </r>
  <r>
    <s v="985779A"/>
    <s v="NAVARRO VELASQUEZ RODOLFO"/>
    <n v="164491331"/>
    <s v="GRIFO 13"/>
    <x v="32"/>
    <s v="NAVARRO VELASQUEZ RODOLFO"/>
    <x v="10"/>
    <x v="0"/>
    <x v="1"/>
    <x v="0"/>
    <s v=""/>
    <x v="1"/>
    <s v="BAQUEDANO"/>
    <m/>
    <m/>
    <m/>
    <s v="O/S"/>
    <d v="2024-04-06T00:00:00"/>
    <m/>
    <s v="CITACION JG STGO. 15-07-2024 A LAS 09:00 HORAS"/>
    <m/>
    <m/>
    <s v=""/>
    <n v="1"/>
    <n v="43"/>
    <n v="5"/>
    <n v="0"/>
    <s v="1T"/>
    <s v="1P"/>
    <s v="2P"/>
    <s v="SN"/>
    <s v="2T"/>
    <s v="1P"/>
    <m/>
    <m/>
    <m/>
    <m/>
    <m/>
    <m/>
    <m/>
    <m/>
    <m/>
    <m/>
    <m/>
    <m/>
    <m/>
    <m/>
    <m/>
    <m/>
    <m/>
    <m/>
    <m/>
    <m/>
    <m/>
    <m/>
    <m/>
    <m/>
    <m/>
    <m/>
    <m/>
    <m/>
    <m/>
    <m/>
    <m/>
    <d v="2023-07-26T00:00:00"/>
    <m/>
  </r>
  <r>
    <s v="963694X"/>
    <s v="LEON PEREZ GUIDO ARIEL"/>
    <n v="132821194"/>
    <s v="PTR-G-13"/>
    <x v="33"/>
    <s v="LEON PEREZ GUIDO ARIEL                     (L - P - T)"/>
    <x v="1"/>
    <x v="0"/>
    <x v="1"/>
    <x v="1"/>
    <s v="(L - P - T)"/>
    <x v="1"/>
    <s v="PTR-G-13"/>
    <m/>
    <m/>
    <m/>
    <s v="O/S"/>
    <d v="2024-04-06T00:00:00"/>
    <m/>
    <s v="LISTO"/>
    <m/>
    <m/>
    <s v=""/>
    <n v="1"/>
    <n v="44"/>
    <n v="10"/>
    <n v="0"/>
    <s v="1T"/>
    <s v="1P"/>
    <s v="2P"/>
    <s v="SN"/>
    <s v="2T"/>
    <s v="1P"/>
    <m/>
    <m/>
    <m/>
    <m/>
    <m/>
    <m/>
    <m/>
    <m/>
    <m/>
    <m/>
    <m/>
    <m/>
    <m/>
    <m/>
    <m/>
    <m/>
    <m/>
    <m/>
    <m/>
    <m/>
    <m/>
    <m/>
    <m/>
    <m/>
    <m/>
    <m/>
    <m/>
    <m/>
    <m/>
    <m/>
    <m/>
    <d v="2023-09-21T00:00:00"/>
    <m/>
  </r>
  <r>
    <s v="017343V"/>
    <s v="SILVA SILVA CAMILA ALEJANDRA"/>
    <n v="188184200"/>
    <s v="PTR-G-13"/>
    <x v="33"/>
    <s v="SILVA SILVA CAMILA ALEJANDRA"/>
    <x v="5"/>
    <x v="1"/>
    <x v="1"/>
    <x v="1"/>
    <s v=""/>
    <x v="1"/>
    <s v="PTR-G-13"/>
    <m/>
    <m/>
    <m/>
    <s v="O/S"/>
    <d v="2024-04-06T00:00:00"/>
    <m/>
    <s v="LISTO"/>
    <m/>
    <m/>
    <s v=""/>
    <n v="1"/>
    <n v="44"/>
    <n v="12"/>
    <n v="0"/>
    <s v="1T"/>
    <s v="1P"/>
    <s v="2P"/>
    <s v="SN"/>
    <s v="2T"/>
    <s v="1P"/>
    <m/>
    <m/>
    <m/>
    <m/>
    <m/>
    <m/>
    <m/>
    <m/>
    <m/>
    <m/>
    <m/>
    <m/>
    <m/>
    <m/>
    <m/>
    <m/>
    <m/>
    <m/>
    <m/>
    <m/>
    <m/>
    <m/>
    <m/>
    <m/>
    <m/>
    <m/>
    <m/>
    <m/>
    <m/>
    <m/>
    <m/>
    <d v="2024-03-15T00:00:00"/>
    <m/>
  </r>
  <r>
    <s v="987462P"/>
    <s v="ZULOAGA MUÑOZ SEBASTIAN ALEJANDRO"/>
    <n v="181085274"/>
    <s v="GRIFO 14"/>
    <x v="34"/>
    <s v="ZULOAGA MUÑOZ SEBASTIAN ALEJANDRO"/>
    <x v="10"/>
    <x v="0"/>
    <x v="1"/>
    <x v="0"/>
    <s v=""/>
    <x v="5"/>
    <s v="ARIETE NOCTURNO"/>
    <m/>
    <m/>
    <m/>
    <s v="O/S"/>
    <d v="1992-04-11T00:00:00"/>
    <m/>
    <s v="LISTO"/>
    <m/>
    <m/>
    <s v=""/>
    <n v="1"/>
    <n v="45"/>
    <n v="5"/>
    <n v="0"/>
    <s v="SN"/>
    <s v="2T"/>
    <s v="1T"/>
    <s v="1T"/>
    <s v="2T"/>
    <s v="2P"/>
    <m/>
    <m/>
    <m/>
    <m/>
    <m/>
    <m/>
    <m/>
    <m/>
    <m/>
    <m/>
    <m/>
    <m/>
    <m/>
    <m/>
    <m/>
    <m/>
    <m/>
    <m/>
    <m/>
    <m/>
    <m/>
    <m/>
    <m/>
    <m/>
    <m/>
    <m/>
    <m/>
    <m/>
    <m/>
    <m/>
    <m/>
    <m/>
    <m/>
  </r>
  <r>
    <s v="006967V"/>
    <s v="ARAVENA SALAZAR FRANCISCO JAVIER"/>
    <s v="18110998K"/>
    <s v="PTR-G-14"/>
    <x v="35"/>
    <s v="ARAVENA SALAZAR FRANCISCO JAVIER"/>
    <x v="4"/>
    <x v="0"/>
    <x v="1"/>
    <x v="1"/>
    <s v=""/>
    <x v="5"/>
    <s v="PTR-G-14"/>
    <m/>
    <m/>
    <m/>
    <s v="O/S"/>
    <d v="2024-04-06T00:00:00"/>
    <m/>
    <s v="LISTO"/>
    <m/>
    <m/>
    <s v=""/>
    <n v="1"/>
    <n v="46"/>
    <n v="11"/>
    <n v="0"/>
    <s v="SN"/>
    <s v="2T"/>
    <s v="1T"/>
    <s v="1T"/>
    <s v="2T"/>
    <s v="2P"/>
    <m/>
    <m/>
    <m/>
    <m/>
    <m/>
    <m/>
    <m/>
    <m/>
    <m/>
    <m/>
    <m/>
    <m/>
    <m/>
    <m/>
    <m/>
    <m/>
    <m/>
    <m/>
    <m/>
    <m/>
    <m/>
    <m/>
    <m/>
    <m/>
    <m/>
    <m/>
    <m/>
    <m/>
    <m/>
    <m/>
    <m/>
    <d v="2023-07-10T00:00:00"/>
    <m/>
  </r>
  <r>
    <s v="014047M"/>
    <s v="JIMENEZ ARRIAGADA FERNANDO ESTEBAN"/>
    <n v="181103523"/>
    <s v="S-43"/>
    <x v="35"/>
    <s v="JIMENEZ ARRIAGADA FERNANDO ESTEBAN (L -T- J- S)"/>
    <x v="5"/>
    <x v="0"/>
    <x v="1"/>
    <x v="1"/>
    <s v="(L -T- J- S)"/>
    <x v="5"/>
    <s v="PTR-G-14"/>
    <m/>
    <m/>
    <m/>
    <s v="O/S"/>
    <d v="2024-04-06T00:00:00"/>
    <m/>
    <m/>
    <m/>
    <m/>
    <s v=""/>
    <n v="1"/>
    <n v="46"/>
    <n v="12"/>
    <n v="0"/>
    <s v="1T"/>
    <s v="2T"/>
    <s v="2T"/>
    <s v="1T"/>
    <s v="2T"/>
    <s v="2P"/>
    <m/>
    <m/>
    <m/>
    <m/>
    <m/>
    <m/>
    <m/>
    <m/>
    <m/>
    <m/>
    <m/>
    <m/>
    <m/>
    <m/>
    <m/>
    <m/>
    <m/>
    <m/>
    <m/>
    <m/>
    <m/>
    <m/>
    <m/>
    <m/>
    <m/>
    <m/>
    <m/>
    <m/>
    <m/>
    <m/>
    <m/>
    <d v="2023-07-25T00:00:00"/>
    <m/>
  </r>
  <r>
    <s v="987544R"/>
    <s v="PALAVECINO LLANOS CAROLINA VIVIANA"/>
    <n v="167843905"/>
    <s v="GRIFO 15"/>
    <x v="36"/>
    <s v="PALAVECINO LLANOS CAROLINA VIVIANA"/>
    <x v="10"/>
    <x v="1"/>
    <x v="1"/>
    <x v="0"/>
    <s v=""/>
    <x v="2"/>
    <s v="SALIENTE DE SERVICIO"/>
    <m/>
    <m/>
    <m/>
    <s v="O/S"/>
    <d v="2024-04-06T00:00:00"/>
    <m/>
    <m/>
    <m/>
    <m/>
    <s v=""/>
    <n v="1"/>
    <n v="47"/>
    <n v="5"/>
    <n v="0"/>
    <s v="2T"/>
    <s v="1T"/>
    <s v="1T"/>
    <s v="1P"/>
    <s v="2P"/>
    <s v="SN"/>
    <m/>
    <m/>
    <m/>
    <m/>
    <m/>
    <m/>
    <m/>
    <m/>
    <m/>
    <m/>
    <m/>
    <m/>
    <m/>
    <m/>
    <m/>
    <m/>
    <m/>
    <m/>
    <m/>
    <m/>
    <m/>
    <m/>
    <m/>
    <m/>
    <m/>
    <m/>
    <m/>
    <m/>
    <m/>
    <m/>
    <m/>
    <d v="2023-09-04T00:00:00"/>
    <m/>
  </r>
  <r>
    <s v="963035M"/>
    <s v="TORRES ERIZA JOSE MANUEL"/>
    <s v="14024810K"/>
    <s v="PTR-G-15"/>
    <x v="37"/>
    <s v="TORRES ERIZA JOSE MANUEL    (L - T )"/>
    <x v="3"/>
    <x v="0"/>
    <x v="1"/>
    <x v="1"/>
    <s v="(L - T )"/>
    <x v="2"/>
    <s v="PTR-G-15"/>
    <m/>
    <m/>
    <m/>
    <s v="O/S"/>
    <d v="2024-04-06T00:00:00"/>
    <m/>
    <s v="LISTO "/>
    <m/>
    <m/>
    <s v=""/>
    <n v="1"/>
    <n v="48"/>
    <n v="9"/>
    <n v="0"/>
    <s v="2T"/>
    <s v="1T"/>
    <s v="1T"/>
    <s v="1P"/>
    <s v="2P"/>
    <s v="SN"/>
    <m/>
    <m/>
    <m/>
    <m/>
    <m/>
    <m/>
    <m/>
    <m/>
    <m/>
    <m/>
    <m/>
    <m/>
    <m/>
    <m/>
    <m/>
    <m/>
    <m/>
    <m/>
    <m/>
    <m/>
    <m/>
    <m/>
    <m/>
    <m/>
    <m/>
    <m/>
    <m/>
    <m/>
    <m/>
    <m/>
    <m/>
    <d v="2023-07-24T00:00:00"/>
    <m/>
  </r>
  <r>
    <s v="992586H"/>
    <s v="GALLEGUILLOS LOPEZ RAMON ALEJANDRO"/>
    <n v="182123269"/>
    <s v="PTR-G-15"/>
    <x v="37"/>
    <s v="GALLEGUILLO LOPEZ RAMON ALEJANDRO"/>
    <x v="4"/>
    <x v="0"/>
    <x v="1"/>
    <x v="1"/>
    <s v=""/>
    <x v="2"/>
    <s v="PTR-G-15"/>
    <m/>
    <m/>
    <m/>
    <s v="O/S"/>
    <d v="2024-04-06T00:00:00"/>
    <m/>
    <s v="LISTO"/>
    <m/>
    <m/>
    <s v=""/>
    <n v="1"/>
    <n v="48"/>
    <n v="11"/>
    <n v="0"/>
    <s v="2T"/>
    <s v="1T"/>
    <s v="1T"/>
    <s v="1P"/>
    <s v="2P"/>
    <s v="SN"/>
    <m/>
    <m/>
    <m/>
    <m/>
    <m/>
    <m/>
    <m/>
    <m/>
    <m/>
    <m/>
    <m/>
    <m/>
    <m/>
    <m/>
    <m/>
    <m/>
    <m/>
    <m/>
    <m/>
    <m/>
    <m/>
    <m/>
    <m/>
    <m/>
    <m/>
    <m/>
    <m/>
    <m/>
    <m/>
    <m/>
    <m/>
    <d v="2023-09-04T00:00:00"/>
    <m/>
  </r>
  <r>
    <s v="992175L"/>
    <s v="ESCOBAR PEREZ MATIAS"/>
    <n v="181639210"/>
    <s v="GRIFO 17"/>
    <x v="38"/>
    <s v="ESCOBAR PEREZ MATIAS"/>
    <x v="10"/>
    <x v="0"/>
    <x v="1"/>
    <x v="0"/>
    <s v=""/>
    <x v="7"/>
    <s v="APRESTO"/>
    <m/>
    <m/>
    <m/>
    <s v="O/S"/>
    <d v="2024-04-06T00:00:00"/>
    <m/>
    <s v="LISTO"/>
    <m/>
    <m/>
    <s v=""/>
    <n v="1"/>
    <n v="51"/>
    <n v="5"/>
    <n v="0"/>
    <s v="1P"/>
    <s v="1T"/>
    <s v="1P"/>
    <s v="2P"/>
    <s v="SN"/>
    <s v="1T"/>
    <m/>
    <m/>
    <m/>
    <m/>
    <m/>
    <m/>
    <m/>
    <m/>
    <m/>
    <m/>
    <m/>
    <m/>
    <m/>
    <m/>
    <m/>
    <m/>
    <m/>
    <m/>
    <m/>
    <m/>
    <m/>
    <m/>
    <m/>
    <m/>
    <m/>
    <m/>
    <m/>
    <m/>
    <m/>
    <m/>
    <m/>
    <d v="2023-10-02T00:00:00"/>
    <m/>
  </r>
  <r>
    <s v="995565N"/>
    <s v="CORTES MORAGA ENRIQUE IVAN"/>
    <n v="184298007"/>
    <s v="PTR-G-17"/>
    <x v="39"/>
    <s v="CORTES MORAGA ENRIQUE IVAN               (T-J)"/>
    <x v="4"/>
    <x v="0"/>
    <x v="1"/>
    <x v="1"/>
    <s v="(T-J)"/>
    <x v="7"/>
    <s v="PTR-G-17"/>
    <m/>
    <m/>
    <m/>
    <s v="O/S"/>
    <d v="2024-04-06T00:00:00"/>
    <m/>
    <s v="COND. GRIFO 17"/>
    <m/>
    <m/>
    <s v=""/>
    <n v="1"/>
    <n v="52"/>
    <n v="11"/>
    <n v="0"/>
    <s v="1P"/>
    <s v="1T"/>
    <s v="1P"/>
    <s v="2P"/>
    <s v="SN"/>
    <s v="1T"/>
    <m/>
    <m/>
    <m/>
    <m/>
    <m/>
    <m/>
    <m/>
    <m/>
    <m/>
    <m/>
    <m/>
    <m/>
    <m/>
    <m/>
    <m/>
    <m/>
    <m/>
    <m/>
    <m/>
    <m/>
    <m/>
    <m/>
    <m/>
    <m/>
    <m/>
    <m/>
    <m/>
    <m/>
    <m/>
    <m/>
    <m/>
    <d v="2023-10-23T00:00:00"/>
    <m/>
  </r>
  <r>
    <s v="002923M"/>
    <s v="MUÑOZ OVALLE CRISTIAN ANDRES"/>
    <s v="19066922K"/>
    <s v="PTR-G-17"/>
    <x v="39"/>
    <s v="MUÑOZ OVALLE CRISTIAN ANDRES"/>
    <x v="5"/>
    <x v="0"/>
    <x v="1"/>
    <x v="1"/>
    <s v=""/>
    <x v="7"/>
    <s v="PTR-G-17"/>
    <m/>
    <m/>
    <m/>
    <s v="O/S"/>
    <d v="2024-04-06T00:00:00"/>
    <m/>
    <s v="LISTO"/>
    <m/>
    <m/>
    <s v=""/>
    <n v="1"/>
    <n v="52"/>
    <n v="12"/>
    <n v="0"/>
    <s v="1P"/>
    <s v="1T"/>
    <s v="1P"/>
    <s v="2P"/>
    <s v="SN"/>
    <s v="1T"/>
    <m/>
    <m/>
    <m/>
    <m/>
    <m/>
    <m/>
    <m/>
    <m/>
    <m/>
    <m/>
    <m/>
    <m/>
    <m/>
    <m/>
    <m/>
    <m/>
    <m/>
    <m/>
    <m/>
    <m/>
    <m/>
    <m/>
    <m/>
    <m/>
    <m/>
    <m/>
    <m/>
    <m/>
    <m/>
    <m/>
    <m/>
    <d v="2023-09-08T00:00:00"/>
    <m/>
  </r>
  <r>
    <s v="992291R"/>
    <s v="SAENS SUAREZ GASPAR ALONSO"/>
    <n v="178589660"/>
    <s v="GRIFO 18"/>
    <x v="40"/>
    <s v="SAENS SUAREZ GASPAR ALONSO"/>
    <x v="10"/>
    <x v="0"/>
    <x v="1"/>
    <x v="0"/>
    <s v=""/>
    <x v="0"/>
    <s v="FRANCO"/>
    <m/>
    <m/>
    <m/>
    <s v="O/S"/>
    <d v="2024-04-06T00:00:00"/>
    <m/>
    <s v="CITACION FISCALIA ALTO HOSPICIO 08-04-2024 A LAS 09:00 MANTIENE PASAJES 07-04-2024 HASTA 10-04-2024"/>
    <m/>
    <m/>
    <s v=""/>
    <n v="1"/>
    <n v="53"/>
    <n v="5"/>
    <n v="0"/>
    <s v="1P"/>
    <s v="LIC."/>
    <s v="2T"/>
    <s v="1T"/>
    <s v="1P"/>
    <s v="F"/>
    <m/>
    <m/>
    <m/>
    <m/>
    <m/>
    <m/>
    <m/>
    <m/>
    <m/>
    <m/>
    <m/>
    <m/>
    <m/>
    <m/>
    <m/>
    <m/>
    <m/>
    <m/>
    <m/>
    <m/>
    <m/>
    <m/>
    <m/>
    <m/>
    <m/>
    <m/>
    <m/>
    <m/>
    <m/>
    <m/>
    <m/>
    <d v="2023-09-07T00:00:00"/>
    <m/>
  </r>
  <r>
    <s v="968432V"/>
    <s v="SANTANDER VILLASECA JUAN ANDRES"/>
    <n v="160045868"/>
    <s v="PTR-G-18"/>
    <x v="41"/>
    <s v="SANTANDER VILLASECA JUAN ANDRES (L - P - S)"/>
    <x v="3"/>
    <x v="0"/>
    <x v="1"/>
    <x v="1"/>
    <s v="(L - P - S)"/>
    <x v="0"/>
    <s v="PTR-G-18"/>
    <m/>
    <m/>
    <m/>
    <s v="O/S"/>
    <d v="2024-04-06T00:00:00"/>
    <m/>
    <s v="LISTO"/>
    <m/>
    <m/>
    <s v=""/>
    <n v="1"/>
    <n v="54"/>
    <n v="9"/>
    <n v="0"/>
    <s v="1P"/>
    <s v="2P"/>
    <s v="SN"/>
    <s v="1T"/>
    <s v="1P"/>
    <s v="F"/>
    <m/>
    <m/>
    <m/>
    <m/>
    <m/>
    <m/>
    <m/>
    <m/>
    <m/>
    <m/>
    <m/>
    <m/>
    <m/>
    <m/>
    <m/>
    <m/>
    <m/>
    <m/>
    <m/>
    <m/>
    <m/>
    <m/>
    <m/>
    <m/>
    <m/>
    <m/>
    <m/>
    <m/>
    <m/>
    <m/>
    <m/>
    <d v="2023-05-15T00:00:00"/>
    <m/>
  </r>
  <r>
    <s v="995120L"/>
    <s v="MANCILLA OPORTO JORGE ALBERTO"/>
    <n v="182392049"/>
    <s v="PTR-G-18"/>
    <x v="41"/>
    <s v="MANCILLA OPORTO JORGE ALBERTO"/>
    <x v="5"/>
    <x v="0"/>
    <x v="1"/>
    <x v="1"/>
    <s v=""/>
    <x v="0"/>
    <s v="PTR-G-18"/>
    <m/>
    <m/>
    <m/>
    <s v="O/S"/>
    <d v="2024-04-06T00:00:00"/>
    <m/>
    <s v="LISTO"/>
    <m/>
    <m/>
    <s v=""/>
    <n v="1"/>
    <n v="54"/>
    <n v="12"/>
    <n v="0"/>
    <s v="1P"/>
    <s v="2P"/>
    <s v="SN"/>
    <s v="1T"/>
    <s v="1P"/>
    <s v="F"/>
    <m/>
    <m/>
    <m/>
    <m/>
    <m/>
    <m/>
    <m/>
    <m/>
    <m/>
    <m/>
    <m/>
    <m/>
    <m/>
    <m/>
    <m/>
    <m/>
    <m/>
    <m/>
    <m/>
    <m/>
    <m/>
    <m/>
    <m/>
    <m/>
    <m/>
    <m/>
    <m/>
    <m/>
    <m/>
    <m/>
    <m/>
    <d v="2023-09-07T00:00:00"/>
    <m/>
  </r>
  <r>
    <s v="000684G"/>
    <s v="MORAGA RUIZ MARIO IGNACIO"/>
    <s v="18.856.866-1"/>
    <s v="JEFE/S-34"/>
    <x v="42"/>
    <s v="MORAGA RUIZ MARIO IGNACIO"/>
    <x v="10"/>
    <x v="0"/>
    <x v="1"/>
    <x v="0"/>
    <s v=""/>
    <x v="8"/>
    <s v="APS"/>
    <m/>
    <m/>
    <m/>
    <s v="O/S"/>
    <d v="2024-04-06T00:00:00"/>
    <m/>
    <m/>
    <m/>
    <m/>
    <s v=""/>
    <n v="1"/>
    <n v="57"/>
    <n v="5"/>
    <n v="0"/>
    <s v="SN"/>
    <s v="2T"/>
    <s v="1P"/>
    <s v="1T"/>
    <s v="1T"/>
    <s v="3T"/>
    <m/>
    <m/>
    <m/>
    <m/>
    <m/>
    <m/>
    <m/>
    <m/>
    <m/>
    <m/>
    <m/>
    <m/>
    <m/>
    <m/>
    <m/>
    <m/>
    <m/>
    <m/>
    <m/>
    <m/>
    <m/>
    <m/>
    <m/>
    <m/>
    <m/>
    <m/>
    <m/>
    <m/>
    <m/>
    <m/>
    <m/>
    <d v="2023-09-05T00:00:00"/>
    <m/>
  </r>
  <r>
    <s v="018499U"/>
    <s v="VILLAGRA RIVAS BENJAMIN ESTEBAN"/>
    <n v="203579306"/>
    <s v="S-45"/>
    <x v="43"/>
    <s v="VILLAGRA RIVAS BENJAMIN ESTEBAN           (L-J-S)"/>
    <x v="5"/>
    <x v="0"/>
    <x v="1"/>
    <x v="1"/>
    <s v="(L-J-S)"/>
    <x v="8"/>
    <s v="PTR-G-20"/>
    <m/>
    <m/>
    <m/>
    <s v="O/S"/>
    <d v="2024-04-06T00:00:00"/>
    <m/>
    <m/>
    <m/>
    <m/>
    <s v=""/>
    <n v="1"/>
    <n v="58"/>
    <n v="12"/>
    <n v="0"/>
    <s v="1P"/>
    <s v="1P"/>
    <s v="SN"/>
    <s v="1T"/>
    <s v="1T"/>
    <s v="3T"/>
    <m/>
    <m/>
    <m/>
    <m/>
    <m/>
    <m/>
    <m/>
    <m/>
    <m/>
    <m/>
    <m/>
    <m/>
    <m/>
    <m/>
    <m/>
    <m/>
    <m/>
    <m/>
    <m/>
    <m/>
    <m/>
    <m/>
    <m/>
    <m/>
    <m/>
    <m/>
    <m/>
    <m/>
    <m/>
    <m/>
    <m/>
    <d v="2024-04-04T00:00:00"/>
    <m/>
  </r>
  <r>
    <s v="000643N"/>
    <s v="HUERTA BOHUS PATRICIO ALEJANDRO"/>
    <s v="18.791.077-3"/>
    <s v="JEFE/S-36"/>
    <x v="44"/>
    <s v="HUERTA BOHUS PATRICIO ALEJANDRO"/>
    <x v="10"/>
    <x v="0"/>
    <x v="1"/>
    <x v="0"/>
    <s v=""/>
    <x v="0"/>
    <s v="FRANCO"/>
    <m/>
    <m/>
    <m/>
    <s v="O/S"/>
    <d v="1994-05-25T00:00:00"/>
    <m/>
    <m/>
    <m/>
    <m/>
    <s v=""/>
    <n v="1"/>
    <n v="59"/>
    <n v="5"/>
    <n v="0"/>
    <s v="2T"/>
    <s v="1T"/>
    <s v="2T"/>
    <s v="1P"/>
    <s v="1P"/>
    <s v="F"/>
    <m/>
    <m/>
    <m/>
    <m/>
    <m/>
    <m/>
    <m/>
    <m/>
    <m/>
    <m/>
    <m/>
    <m/>
    <m/>
    <m/>
    <m/>
    <m/>
    <m/>
    <m/>
    <m/>
    <m/>
    <m/>
    <m/>
    <m/>
    <m/>
    <m/>
    <m/>
    <m/>
    <m/>
    <m/>
    <m/>
    <m/>
    <m/>
    <m/>
  </r>
  <r>
    <s v="978541C"/>
    <s v="MOLINA VALDES JOSE DANIEL"/>
    <n v="170475356"/>
    <s v="PTR-G-14"/>
    <x v="45"/>
    <s v="MOLINA VALDES JOSE DANIEL (L - T - P)"/>
    <x v="4"/>
    <x v="0"/>
    <x v="1"/>
    <x v="1"/>
    <s v="(L - T - P)"/>
    <x v="0"/>
    <s v="PTR-G-21"/>
    <m/>
    <m/>
    <m/>
    <s v="O/S"/>
    <d v="2024-04-06T00:00:00"/>
    <m/>
    <s v="LISTO"/>
    <m/>
    <m/>
    <s v=""/>
    <n v="1"/>
    <n v="60"/>
    <n v="11"/>
    <n v="0"/>
    <s v="SN"/>
    <s v="2T"/>
    <s v="1T"/>
    <s v="2T"/>
    <s v="1P"/>
    <s v="F"/>
    <m/>
    <m/>
    <m/>
    <m/>
    <m/>
    <m/>
    <m/>
    <m/>
    <m/>
    <m/>
    <m/>
    <m/>
    <m/>
    <m/>
    <m/>
    <m/>
    <m/>
    <m/>
    <m/>
    <m/>
    <m/>
    <m/>
    <m/>
    <m/>
    <m/>
    <m/>
    <m/>
    <m/>
    <m/>
    <m/>
    <m/>
    <d v="2023-08-31T00:00:00"/>
    <m/>
  </r>
  <r>
    <s v="000657L"/>
    <s v="LEPIN SOLAR MAXIMILIANO ARTURO"/>
    <n v="177890774"/>
    <s v="JEFE/S-41"/>
    <x v="46"/>
    <s v="LEPIN SOLAR MAXIMILIANO ARTURO"/>
    <x v="10"/>
    <x v="0"/>
    <x v="1"/>
    <x v="0"/>
    <s v=""/>
    <x v="1"/>
    <s v="ARIETE 22"/>
    <m/>
    <m/>
    <m/>
    <s v="O/S"/>
    <d v="2024-04-06T00:00:00"/>
    <m/>
    <s v="LISTO   DOE 201203630 CITACION 8° JUZ GARANTIA STGO. 17-05-2024 11:00 HRS"/>
    <m/>
    <m/>
    <s v=""/>
    <n v="1"/>
    <n v="61"/>
    <n v="5"/>
    <n v="0"/>
    <s v="2P"/>
    <s v="SN"/>
    <s v="2T"/>
    <s v="2T"/>
    <s v="2T"/>
    <s v="1P"/>
    <m/>
    <m/>
    <m/>
    <m/>
    <m/>
    <m/>
    <m/>
    <m/>
    <m/>
    <m/>
    <m/>
    <m/>
    <m/>
    <m/>
    <m/>
    <m/>
    <m/>
    <m/>
    <m/>
    <m/>
    <m/>
    <m/>
    <m/>
    <m/>
    <m/>
    <m/>
    <m/>
    <m/>
    <m/>
    <m/>
    <m/>
    <d v="2023-07-27T00:00:00"/>
    <m/>
  </r>
  <r>
    <s v="961200J"/>
    <s v="ZAPATA CARTES FERNANDO ARTURO"/>
    <s v="13.845.945-4"/>
    <s v="PTR-G-16"/>
    <x v="47"/>
    <s v="ZAPATA CARTES FERNANDO ARTURO            (L - P - T)"/>
    <x v="1"/>
    <x v="0"/>
    <x v="1"/>
    <x v="1"/>
    <s v="(L - P - T)"/>
    <x v="1"/>
    <s v="PTR-G-22"/>
    <m/>
    <m/>
    <m/>
    <s v="O/S"/>
    <d v="2024-04-06T00:00:00"/>
    <m/>
    <s v="LISTO// CRICAR TODOS LOS _x000a_VIERNES A LAS 12:30 HRS              TPB-057"/>
    <m/>
    <m/>
    <s v=""/>
    <n v="1"/>
    <n v="62"/>
    <n v="10"/>
    <n v="0"/>
    <s v="2P"/>
    <s v="SN"/>
    <s v="2T"/>
    <s v="2T"/>
    <s v="2T"/>
    <s v="1P"/>
    <m/>
    <m/>
    <m/>
    <m/>
    <m/>
    <m/>
    <m/>
    <m/>
    <m/>
    <m/>
    <m/>
    <m/>
    <m/>
    <m/>
    <m/>
    <m/>
    <m/>
    <m/>
    <m/>
    <m/>
    <m/>
    <m/>
    <m/>
    <m/>
    <m/>
    <m/>
    <m/>
    <m/>
    <m/>
    <m/>
    <m/>
    <d v="2023-07-24T00:00:00"/>
    <m/>
  </r>
  <r>
    <s v="019868E"/>
    <s v="PARRA RIVAS ESTEBAN NICOLAS"/>
    <n v="192516021"/>
    <s v="PTR-G-16"/>
    <x v="47"/>
    <s v="PARRA RIVAS ESTEBAN NICOLAS (IFEX)"/>
    <x v="5"/>
    <x v="0"/>
    <x v="1"/>
    <x v="1"/>
    <s v="(IFEX)"/>
    <x v="1"/>
    <s v="PTR-G-22"/>
    <m/>
    <m/>
    <m/>
    <s v="O/S"/>
    <d v="2024-04-06T00:00:00"/>
    <m/>
    <s v="LISTO"/>
    <m/>
    <m/>
    <s v=""/>
    <n v="1"/>
    <n v="62"/>
    <n v="12"/>
    <n v="0"/>
    <s v="2P"/>
    <s v="SN"/>
    <s v="2T"/>
    <s v="2T"/>
    <s v="2T"/>
    <s v="1P"/>
    <m/>
    <m/>
    <m/>
    <m/>
    <m/>
    <m/>
    <m/>
    <m/>
    <m/>
    <m/>
    <m/>
    <m/>
    <m/>
    <m/>
    <m/>
    <m/>
    <m/>
    <m/>
    <m/>
    <m/>
    <m/>
    <m/>
    <m/>
    <m/>
    <m/>
    <m/>
    <m/>
    <m/>
    <m/>
    <m/>
    <m/>
    <d v="2023-06-09T00:00:00"/>
    <m/>
  </r>
  <r>
    <s v="008544F"/>
    <s v="SALAZAR CARVAJAL CARLOS"/>
    <n v="189489633"/>
    <s v="JEFE/S-44"/>
    <x v="48"/>
    <s v="SALAZAR CARVAJAL CARLOS"/>
    <x v="10"/>
    <x v="0"/>
    <x v="1"/>
    <x v="0"/>
    <s v=""/>
    <x v="1"/>
    <s v="ARIETE 23"/>
    <m/>
    <m/>
    <m/>
    <s v="O/S"/>
    <d v="2024-04-06T00:00:00"/>
    <m/>
    <s v="LISTO // DOE 201203630 JGO. GARANTIA STGO 15-03-2024 A LAS 09:00 HRS,Y 15-04-24 A LAS 11:00 HRS. JG. P. ALTO. "/>
    <m/>
    <m/>
    <s v=""/>
    <n v="1"/>
    <n v="63"/>
    <n v="5"/>
    <n v="0"/>
    <s v="2T"/>
    <s v="1T"/>
    <s v="1P"/>
    <s v="3T"/>
    <s v="SN"/>
    <s v="1P"/>
    <m/>
    <m/>
    <m/>
    <m/>
    <m/>
    <m/>
    <m/>
    <m/>
    <m/>
    <m/>
    <m/>
    <m/>
    <m/>
    <m/>
    <m/>
    <m/>
    <m/>
    <m/>
    <m/>
    <m/>
    <m/>
    <m/>
    <m/>
    <m/>
    <m/>
    <m/>
    <m/>
    <m/>
    <m/>
    <m/>
    <m/>
    <d v="2023-05-15T00:00:00"/>
    <m/>
  </r>
  <r>
    <s v="017602S"/>
    <s v="CASTRO BERRIOS CARLOS IGNACIO"/>
    <n v="199849573"/>
    <s v="S-30"/>
    <x v="49"/>
    <s v="CASTRO BERRIOS CARLOS IGNACIO      (L-T-S)"/>
    <x v="5"/>
    <x v="0"/>
    <x v="1"/>
    <x v="1"/>
    <s v="(L-T-S)"/>
    <x v="1"/>
    <s v="PTR-G-23"/>
    <m/>
    <m/>
    <m/>
    <s v="O/S"/>
    <d v="2024-04-06T00:00:00"/>
    <s v="NOTIFICAR"/>
    <s v="COND. EQUIPO. TRABAJO"/>
    <m/>
    <m/>
    <s v=""/>
    <n v="1"/>
    <n v="64"/>
    <n v="12"/>
    <n v="0"/>
    <s v="1T"/>
    <s v="2T"/>
    <s v="1P"/>
    <s v="3T"/>
    <s v="SN"/>
    <s v="1P"/>
    <m/>
    <m/>
    <m/>
    <m/>
    <m/>
    <m/>
    <m/>
    <m/>
    <m/>
    <m/>
    <m/>
    <m/>
    <m/>
    <m/>
    <m/>
    <m/>
    <m/>
    <m/>
    <m/>
    <m/>
    <m/>
    <m/>
    <m/>
    <m/>
    <m/>
    <m/>
    <m/>
    <m/>
    <m/>
    <m/>
    <m/>
    <d v="2023-08-04T00:00:00"/>
    <m/>
  </r>
  <r>
    <s v="008552F"/>
    <s v="SEPULVEDA BUSTOS ALVARO SEBASTIAN"/>
    <n v="195200130"/>
    <s v="JEFE/S-48"/>
    <x v="50"/>
    <s v="SEPULVEDA BUSTOS ALVARO SEBASTIAN"/>
    <x v="10"/>
    <x v="0"/>
    <x v="1"/>
    <x v="0"/>
    <s v=""/>
    <x v="0"/>
    <s v="FRANCO"/>
    <m/>
    <m/>
    <m/>
    <s v="O/S"/>
    <d v="2024-04-06T00:00:00"/>
    <s v="NOTIFICAR"/>
    <m/>
    <m/>
    <m/>
    <s v=""/>
    <n v="1"/>
    <n v="65"/>
    <n v="5"/>
    <n v="0"/>
    <s v="2T"/>
    <s v="3T"/>
    <s v="SN"/>
    <s v="2T"/>
    <s v="1T"/>
    <s v="F"/>
    <m/>
    <m/>
    <m/>
    <m/>
    <m/>
    <m/>
    <m/>
    <m/>
    <m/>
    <m/>
    <m/>
    <m/>
    <m/>
    <m/>
    <m/>
    <m/>
    <m/>
    <m/>
    <m/>
    <m/>
    <m/>
    <m/>
    <m/>
    <m/>
    <m/>
    <m/>
    <m/>
    <m/>
    <m/>
    <m/>
    <m/>
    <d v="2023-05-09T00:00:00"/>
    <m/>
  </r>
  <r>
    <s v="941852X"/>
    <s v="MUÑOZ CORTES JUAN JERVACIO"/>
    <n v="117484343"/>
    <s v="FISCALIZADOR"/>
    <x v="51"/>
    <s v="MUÑOZ CORTES JUAN JERVACIO"/>
    <x v="11"/>
    <x v="0"/>
    <x v="1"/>
    <x v="1"/>
    <s v=""/>
    <x v="0"/>
    <s v="FRANCO"/>
    <m/>
    <m/>
    <m/>
    <s v="O/S"/>
    <d v="2024-04-06T00:00:00"/>
    <m/>
    <m/>
    <m/>
    <m/>
    <s v=""/>
    <n v="1"/>
    <n v="87"/>
    <n v="7"/>
    <n v="0"/>
    <s v="2T"/>
    <s v="1T"/>
    <s v="2T"/>
    <s v="1T"/>
    <s v="2T"/>
    <s v="F"/>
    <m/>
    <m/>
    <m/>
    <m/>
    <m/>
    <m/>
    <m/>
    <m/>
    <m/>
    <m/>
    <m/>
    <m/>
    <m/>
    <m/>
    <m/>
    <m/>
    <m/>
    <m/>
    <m/>
    <m/>
    <m/>
    <m/>
    <m/>
    <m/>
    <m/>
    <m/>
    <m/>
    <m/>
    <m/>
    <m/>
    <m/>
    <d v="2023-09-01T00:00:00"/>
    <m/>
  </r>
  <r>
    <s v="992168V"/>
    <s v="DIAZ CARCAMO OLGA ELIZABETH"/>
    <n v="182900354"/>
    <s v="JEFE/S-30"/>
    <x v="52"/>
    <s v="DIAZ CARCAMO OLGA ELIZABETH"/>
    <x v="10"/>
    <x v="1"/>
    <x v="1"/>
    <x v="0"/>
    <s v=""/>
    <x v="1"/>
    <s v="BAQUEDANO"/>
    <m/>
    <m/>
    <m/>
    <s v="O/S"/>
    <s v="00-00-0000"/>
    <m/>
    <s v="CITACION 16.04.2024 09:00HRS"/>
    <m/>
    <m/>
    <s v=""/>
    <n v="1"/>
    <n v="99"/>
    <n v="5"/>
    <n v="0"/>
    <s v="1T"/>
    <s v="1P"/>
    <s v="1P"/>
    <s v="1P"/>
    <s v="2T"/>
    <s v="1P"/>
    <m/>
    <m/>
    <m/>
    <m/>
    <m/>
    <m/>
    <m/>
    <m/>
    <m/>
    <m/>
    <m/>
    <m/>
    <m/>
    <m/>
    <m/>
    <m/>
    <m/>
    <m/>
    <m/>
    <m/>
    <m/>
    <m/>
    <m/>
    <m/>
    <m/>
    <m/>
    <m/>
    <m/>
    <m/>
    <m/>
    <m/>
    <m/>
    <m/>
  </r>
  <r>
    <s v="951708R"/>
    <s v="JUANICOTENA TAPIA MANUEL"/>
    <n v="114859850"/>
    <s v="S-30"/>
    <x v="53"/>
    <s v="JUANICOTENA TAPIA MANUEL                          (T-P-LA)"/>
    <x v="6"/>
    <x v="0"/>
    <x v="1"/>
    <x v="1"/>
    <s v="(T-P-LA)"/>
    <x v="1"/>
    <s v="BAQUEDANO"/>
    <m/>
    <m/>
    <m/>
    <s v="O/S"/>
    <d v="2024-04-06T00:00:00"/>
    <s v="NOTIFICAR"/>
    <m/>
    <m/>
    <m/>
    <s v=""/>
    <n v="1"/>
    <n v="100"/>
    <n v="8"/>
    <n v="0"/>
    <s v="1T"/>
    <s v="1P"/>
    <s v="1P"/>
    <s v="F"/>
    <s v="2T"/>
    <s v="1P"/>
    <m/>
    <m/>
    <m/>
    <m/>
    <m/>
    <m/>
    <m/>
    <m/>
    <m/>
    <m/>
    <m/>
    <m/>
    <m/>
    <m/>
    <m/>
    <m/>
    <m/>
    <m/>
    <m/>
    <m/>
    <m/>
    <m/>
    <m/>
    <m/>
    <m/>
    <m/>
    <m/>
    <m/>
    <m/>
    <m/>
    <m/>
    <d v="2024-04-01T00:00:00"/>
    <m/>
  </r>
  <r>
    <s v="959075H"/>
    <s v="ARENAS PEÑA RUBEN"/>
    <n v="141829599"/>
    <s v="S-30"/>
    <x v="53"/>
    <s v="ARENAS PEÑA RUBEN ESTEBAN              (T)"/>
    <x v="3"/>
    <x v="0"/>
    <x v="1"/>
    <x v="1"/>
    <s v="(T)"/>
    <x v="1"/>
    <s v="BAQUEDANO"/>
    <m/>
    <m/>
    <m/>
    <s v="O/S"/>
    <d v="2024-04-06T00:00:00"/>
    <m/>
    <s v="LISTO"/>
    <m/>
    <m/>
    <s v=""/>
    <n v="1"/>
    <n v="100"/>
    <n v="9"/>
    <n v="0"/>
    <s v="1T"/>
    <s v="1P"/>
    <s v="1P"/>
    <s v="F"/>
    <s v="2T"/>
    <s v="1P"/>
    <m/>
    <m/>
    <m/>
    <m/>
    <m/>
    <m/>
    <m/>
    <m/>
    <m/>
    <m/>
    <m/>
    <m/>
    <m/>
    <m/>
    <m/>
    <m/>
    <m/>
    <m/>
    <m/>
    <m/>
    <m/>
    <m/>
    <m/>
    <m/>
    <m/>
    <m/>
    <m/>
    <m/>
    <m/>
    <m/>
    <m/>
    <d v="2023-05-31T00:00:00"/>
    <m/>
  </r>
  <r>
    <s v="971942X"/>
    <s v="SEPULVEDA SANHUEZA NELSON E."/>
    <s v="15591386K"/>
    <s v="S-30"/>
    <x v="53"/>
    <s v="SEPULVEDA SANHUEZA NELSON EDUARDO"/>
    <x v="1"/>
    <x v="0"/>
    <x v="1"/>
    <x v="1"/>
    <s v=""/>
    <x v="1"/>
    <s v="BAQUEDANO"/>
    <m/>
    <m/>
    <m/>
    <s v="O/S"/>
    <d v="2024-04-06T00:00:00"/>
    <m/>
    <s v="LISTO"/>
    <m/>
    <m/>
    <s v=""/>
    <n v="1"/>
    <n v="100"/>
    <n v="10"/>
    <n v="0"/>
    <s v="1T"/>
    <s v="1P"/>
    <s v="1P"/>
    <s v="F"/>
    <s v="2T"/>
    <s v="1P"/>
    <m/>
    <m/>
    <m/>
    <m/>
    <m/>
    <m/>
    <m/>
    <m/>
    <m/>
    <m/>
    <m/>
    <m/>
    <m/>
    <m/>
    <m/>
    <m/>
    <m/>
    <m/>
    <m/>
    <m/>
    <m/>
    <m/>
    <m/>
    <m/>
    <m/>
    <m/>
    <m/>
    <m/>
    <m/>
    <m/>
    <m/>
    <d v="2023-05-31T00:00:00"/>
    <m/>
  </r>
  <r>
    <s v="001132K"/>
    <s v="LEIVA LILLO CAMILO FERNANDO"/>
    <n v="177448958"/>
    <s v="S-30"/>
    <x v="53"/>
    <s v="LEIVA LILLO CAMILO FERNANDO"/>
    <x v="4"/>
    <x v="0"/>
    <x v="1"/>
    <x v="1"/>
    <s v=""/>
    <x v="1"/>
    <s v="BAQUEDANO"/>
    <m/>
    <m/>
    <m/>
    <s v="O/S"/>
    <d v="2024-04-06T00:00:00"/>
    <m/>
    <s v="LISTO"/>
    <m/>
    <m/>
    <s v=""/>
    <n v="1"/>
    <n v="100"/>
    <n v="11"/>
    <n v="0"/>
    <s v="1T"/>
    <s v="1P"/>
    <s v="1P"/>
    <s v="F"/>
    <s v="2T"/>
    <s v="1P"/>
    <m/>
    <m/>
    <m/>
    <m/>
    <m/>
    <m/>
    <m/>
    <m/>
    <m/>
    <m/>
    <m/>
    <m/>
    <m/>
    <m/>
    <m/>
    <m/>
    <m/>
    <m/>
    <m/>
    <m/>
    <m/>
    <m/>
    <m/>
    <m/>
    <m/>
    <m/>
    <m/>
    <m/>
    <m/>
    <m/>
    <m/>
    <d v="2023-07-06T00:00:00"/>
    <m/>
  </r>
  <r>
    <s v="982581A"/>
    <s v="PINTO IRARRAZABAL CAROLINA ANDREA"/>
    <n v="160076453"/>
    <s v="S-30"/>
    <x v="53"/>
    <s v="PINTO IRARRAZABAL CAROLINA ANDREA"/>
    <x v="4"/>
    <x v="1"/>
    <x v="1"/>
    <x v="1"/>
    <s v=""/>
    <x v="1"/>
    <s v="BAQUEDANO"/>
    <m/>
    <m/>
    <m/>
    <s v="O/S"/>
    <d v="2024-04-06T00:00:00"/>
    <s v="NOTIFICAR"/>
    <s v="LISTO"/>
    <m/>
    <m/>
    <s v=""/>
    <n v="1"/>
    <n v="100"/>
    <n v="11"/>
    <n v="0"/>
    <s v="1T"/>
    <s v="1P"/>
    <s v="1P"/>
    <s v="1T"/>
    <s v="F"/>
    <s v="1P"/>
    <m/>
    <m/>
    <m/>
    <m/>
    <m/>
    <m/>
    <m/>
    <m/>
    <m/>
    <m/>
    <m/>
    <m/>
    <m/>
    <m/>
    <m/>
    <m/>
    <m/>
    <m/>
    <m/>
    <m/>
    <m/>
    <m/>
    <m/>
    <m/>
    <m/>
    <m/>
    <m/>
    <m/>
    <m/>
    <m/>
    <m/>
    <d v="2023-08-29T00:00:00"/>
    <m/>
  </r>
  <r>
    <s v="018451T"/>
    <s v="MENDEZ URRA CRISTIAN FELIPE"/>
    <n v="200779290"/>
    <s v="S-30"/>
    <x v="53"/>
    <s v="MENDEZ URRA CRISTIAN FELIPE (IFEX)"/>
    <x v="5"/>
    <x v="0"/>
    <x v="1"/>
    <x v="1"/>
    <s v="(IFEX)"/>
    <x v="1"/>
    <s v="BAQUEDANO"/>
    <m/>
    <m/>
    <m/>
    <s v="O/S"/>
    <d v="2024-04-06T00:00:00"/>
    <m/>
    <s v="LISTO"/>
    <m/>
    <m/>
    <s v=""/>
    <n v="1"/>
    <n v="100"/>
    <n v="12"/>
    <n v="0"/>
    <s v="1T"/>
    <s v="1P"/>
    <s v="2P"/>
    <s v="SN"/>
    <s v="2T"/>
    <s v="1P"/>
    <m/>
    <m/>
    <m/>
    <m/>
    <m/>
    <m/>
    <m/>
    <m/>
    <m/>
    <m/>
    <m/>
    <m/>
    <m/>
    <m/>
    <m/>
    <m/>
    <m/>
    <m/>
    <m/>
    <m/>
    <m/>
    <m/>
    <m/>
    <m/>
    <m/>
    <m/>
    <m/>
    <m/>
    <m/>
    <m/>
    <m/>
    <d v="2024-03-13T00:00:00"/>
    <m/>
  </r>
  <r>
    <s v="956814Q"/>
    <s v="CORTES VARA MARCO EDGARDO"/>
    <n v="130777279"/>
    <s v="S-31"/>
    <x v="54"/>
    <s v="CORTES VARA MARCO EDGARDO              (T-J)"/>
    <x v="3"/>
    <x v="0"/>
    <x v="1"/>
    <x v="1"/>
    <s v="(T-J)"/>
    <x v="1"/>
    <s v="MONUMENTO"/>
    <m/>
    <m/>
    <m/>
    <s v="O/S"/>
    <d v="2024-04-06T00:00:00"/>
    <m/>
    <s v="LISTO"/>
    <m/>
    <m/>
    <s v=""/>
    <n v="1"/>
    <n v="103"/>
    <n v="9"/>
    <n v="0"/>
    <s v="1T"/>
    <s v="1P"/>
    <s v="2P"/>
    <s v="SN"/>
    <s v="2T"/>
    <s v="1P"/>
    <m/>
    <m/>
    <m/>
    <m/>
    <m/>
    <m/>
    <m/>
    <m/>
    <m/>
    <m/>
    <m/>
    <m/>
    <m/>
    <m/>
    <m/>
    <m/>
    <m/>
    <m/>
    <m/>
    <m/>
    <m/>
    <m/>
    <m/>
    <m/>
    <m/>
    <m/>
    <m/>
    <m/>
    <m/>
    <m/>
    <m/>
    <d v="2023-05-04T00:00:00"/>
    <m/>
  </r>
  <r>
    <s v="974868G"/>
    <s v="OLAVE SEPULVEDA FERNANDO ALEXANDER"/>
    <n v="156016446"/>
    <s v="S-31"/>
    <x v="55"/>
    <s v="OLAVE SEPULVEDA FERNANDO ALEXANDER"/>
    <x v="1"/>
    <x v="0"/>
    <x v="1"/>
    <x v="1"/>
    <s v=""/>
    <x v="1"/>
    <s v="MONUMENTO"/>
    <m/>
    <m/>
    <m/>
    <s v="O/S"/>
    <d v="2024-04-06T00:00:00"/>
    <m/>
    <s v="LISTO"/>
    <m/>
    <m/>
    <s v=""/>
    <n v="1"/>
    <n v="104"/>
    <n v="10"/>
    <n v="0"/>
    <s v="1T"/>
    <s v="1P"/>
    <s v="2P"/>
    <s v="SN"/>
    <s v="2T"/>
    <s v="1P"/>
    <m/>
    <m/>
    <m/>
    <m/>
    <m/>
    <m/>
    <m/>
    <m/>
    <m/>
    <m/>
    <m/>
    <m/>
    <m/>
    <m/>
    <m/>
    <m/>
    <m/>
    <m/>
    <m/>
    <m/>
    <m/>
    <m/>
    <m/>
    <m/>
    <m/>
    <m/>
    <m/>
    <m/>
    <m/>
    <m/>
    <m/>
    <d v="2023-05-04T00:00:00"/>
    <m/>
  </r>
  <r>
    <s v="989017N"/>
    <s v="SANTIBAÑEZ FLORES JOSE ANDRES"/>
    <n v="182885819"/>
    <s v="S-31"/>
    <x v="55"/>
    <s v="SANTIBAÑEZ FLORES JOSE ANDRES"/>
    <x v="4"/>
    <x v="0"/>
    <x v="1"/>
    <x v="1"/>
    <s v=""/>
    <x v="1"/>
    <s v="MONUMENTO"/>
    <m/>
    <m/>
    <m/>
    <s v="O/S"/>
    <d v="2024-04-06T00:00:00"/>
    <m/>
    <m/>
    <m/>
    <m/>
    <s v=""/>
    <n v="1"/>
    <n v="104"/>
    <n v="11"/>
    <n v="0"/>
    <s v="1T"/>
    <s v="1P"/>
    <s v="2P"/>
    <s v="SN"/>
    <s v="2T"/>
    <s v="1P"/>
    <m/>
    <m/>
    <m/>
    <m/>
    <m/>
    <m/>
    <m/>
    <m/>
    <m/>
    <m/>
    <m/>
    <m/>
    <m/>
    <m/>
    <m/>
    <m/>
    <m/>
    <m/>
    <m/>
    <m/>
    <m/>
    <m/>
    <m/>
    <m/>
    <m/>
    <m/>
    <m/>
    <m/>
    <m/>
    <m/>
    <m/>
    <d v="2024-04-01T00:00:00"/>
    <m/>
  </r>
  <r>
    <s v="992670G"/>
    <s v="TORRES BECERRA GONZALO ENRIQUE"/>
    <n v="182144835"/>
    <s v="S-31"/>
    <x v="55"/>
    <s v="TORRES BECERRA GONZALO ENRIQUE"/>
    <x v="4"/>
    <x v="0"/>
    <x v="1"/>
    <x v="1"/>
    <s v=""/>
    <x v="1"/>
    <s v="MONUMENTO"/>
    <m/>
    <m/>
    <m/>
    <s v="O/S"/>
    <d v="2024-04-06T00:00:00"/>
    <m/>
    <s v="PTR-G-19 TTE. DIAZ"/>
    <m/>
    <m/>
    <s v=""/>
    <n v="1"/>
    <n v="104"/>
    <n v="11"/>
    <n v="0"/>
    <s v="1T"/>
    <s v="1P"/>
    <s v="2P"/>
    <s v="SN"/>
    <s v="2T"/>
    <s v="1P"/>
    <m/>
    <m/>
    <m/>
    <m/>
    <m/>
    <m/>
    <m/>
    <m/>
    <m/>
    <m/>
    <m/>
    <m/>
    <m/>
    <m/>
    <m/>
    <m/>
    <m/>
    <m/>
    <m/>
    <m/>
    <m/>
    <m/>
    <m/>
    <m/>
    <m/>
    <m/>
    <m/>
    <m/>
    <m/>
    <m/>
    <m/>
    <d v="2023-07-11T00:00:00"/>
    <m/>
  </r>
  <r>
    <s v="010706F"/>
    <s v="DIAZ GARCIA RODRIGO ALEJANDRO"/>
    <n v="191986423"/>
    <s v="S-31"/>
    <x v="55"/>
    <s v="DIAZ GARCIA RODRIGO ALEJANDRO                    ( L-T-J-S)"/>
    <x v="5"/>
    <x v="0"/>
    <x v="1"/>
    <x v="1"/>
    <s v="( L-T-J-S)"/>
    <x v="1"/>
    <s v="MONUMENTO"/>
    <m/>
    <m/>
    <m/>
    <s v="O/S"/>
    <d v="2024-04-06T00:00:00"/>
    <m/>
    <s v="NOTIFICAR // DOE. 200814951 15-04-2024 11:00 HRS JG. P. ALTO_x000a_DOE 201203630 CITACION JUZ. GARANTIA PUENTE ALTO 15-04-2024 11:00 HRS"/>
    <m/>
    <m/>
    <s v=""/>
    <n v="1"/>
    <n v="104"/>
    <n v="12"/>
    <n v="0"/>
    <s v="1T"/>
    <s v="1P"/>
    <s v="2P"/>
    <s v="SN"/>
    <s v="2T"/>
    <s v="1P"/>
    <m/>
    <m/>
    <m/>
    <m/>
    <m/>
    <m/>
    <m/>
    <m/>
    <m/>
    <m/>
    <m/>
    <m/>
    <m/>
    <m/>
    <m/>
    <m/>
    <m/>
    <m/>
    <m/>
    <m/>
    <m/>
    <m/>
    <m/>
    <m/>
    <m/>
    <m/>
    <m/>
    <m/>
    <m/>
    <m/>
    <m/>
    <d v="2023-07-24T00:00:00"/>
    <m/>
  </r>
  <r>
    <s v="013920Q"/>
    <s v="MARTINEZ PEREZ ESCARLET JESUS"/>
    <n v="200549546"/>
    <s v="S-32"/>
    <x v="55"/>
    <s v="MARTINEZ PEREZ ESCARLET JESUS"/>
    <x v="5"/>
    <x v="1"/>
    <x v="1"/>
    <x v="1"/>
    <s v=""/>
    <x v="1"/>
    <s v="MONUMENTO"/>
    <m/>
    <m/>
    <m/>
    <s v="O/S"/>
    <d v="2024-04-06T00:00:00"/>
    <s v="NOTIFICAR"/>
    <s v="LISTO"/>
    <m/>
    <m/>
    <s v=""/>
    <n v="1"/>
    <n v="104"/>
    <n v="12"/>
    <n v="0"/>
    <s v="1P"/>
    <s v="1P"/>
    <s v="2P"/>
    <s v="SN"/>
    <s v="1P"/>
    <s v="1P"/>
    <m/>
    <m/>
    <m/>
    <m/>
    <m/>
    <m/>
    <m/>
    <m/>
    <m/>
    <m/>
    <m/>
    <m/>
    <m/>
    <m/>
    <m/>
    <m/>
    <m/>
    <m/>
    <m/>
    <m/>
    <m/>
    <m/>
    <m/>
    <m/>
    <m/>
    <m/>
    <m/>
    <m/>
    <m/>
    <m/>
    <m/>
    <d v="2023-09-21T00:00:00"/>
    <m/>
  </r>
  <r>
    <s v="013447J"/>
    <s v="MATUS MEDINA LUCAS LEONEL"/>
    <n v="197228865"/>
    <s v="S-31"/>
    <x v="55"/>
    <s v="MATUS MEDINA LUCAS LEONEL (IFEX)"/>
    <x v="5"/>
    <x v="0"/>
    <x v="1"/>
    <x v="1"/>
    <s v="(IFEX)"/>
    <x v="1"/>
    <s v="MONUMENTO"/>
    <m/>
    <m/>
    <m/>
    <s v="O/S"/>
    <d v="2024-04-06T00:00:00"/>
    <m/>
    <s v="LISTO"/>
    <m/>
    <m/>
    <s v=""/>
    <n v="1"/>
    <n v="104"/>
    <n v="12"/>
    <n v="0"/>
    <s v="1T"/>
    <s v="1P"/>
    <s v="2P"/>
    <s v="SN"/>
    <s v="2T"/>
    <s v="1P"/>
    <m/>
    <m/>
    <m/>
    <m/>
    <m/>
    <m/>
    <m/>
    <m/>
    <m/>
    <m/>
    <m/>
    <m/>
    <m/>
    <m/>
    <m/>
    <m/>
    <m/>
    <m/>
    <m/>
    <m/>
    <m/>
    <m/>
    <m/>
    <m/>
    <m/>
    <m/>
    <m/>
    <m/>
    <m/>
    <m/>
    <m/>
    <d v="2023-09-25T00:00:00"/>
    <m/>
  </r>
  <r>
    <s v="019037Q"/>
    <s v="PEÑA LAGOS RAMON OSVALDO"/>
    <n v="202278167"/>
    <s v="S-31"/>
    <x v="55"/>
    <s v="PEÑA LAGOS RAMON OSVALDO"/>
    <x v="5"/>
    <x v="0"/>
    <x v="1"/>
    <x v="1"/>
    <s v=""/>
    <x v="1"/>
    <s v="MONUMENTO"/>
    <m/>
    <m/>
    <m/>
    <s v="O/S"/>
    <d v="2024-04-06T00:00:00"/>
    <m/>
    <s v="LISTO  AUTORIZADO ESTUDIAR RESOLUCIONNRO 131 // DOE.193979908"/>
    <m/>
    <m/>
    <s v=""/>
    <n v="1"/>
    <n v="104"/>
    <n v="12"/>
    <n v="0"/>
    <s v="1T"/>
    <s v="1P"/>
    <s v="2P"/>
    <s v="SN"/>
    <s v="2T"/>
    <s v="1P"/>
    <m/>
    <m/>
    <m/>
    <m/>
    <m/>
    <m/>
    <m/>
    <m/>
    <m/>
    <m/>
    <m/>
    <m/>
    <m/>
    <m/>
    <m/>
    <m/>
    <m/>
    <m/>
    <m/>
    <m/>
    <m/>
    <m/>
    <m/>
    <m/>
    <m/>
    <m/>
    <m/>
    <m/>
    <m/>
    <m/>
    <m/>
    <d v="2023-06-13T00:00:00"/>
    <m/>
  </r>
  <r>
    <s v="977632W"/>
    <s v="CORTES GALLARDO JAVIER"/>
    <n v="159681750"/>
    <s v="S-32"/>
    <x v="56"/>
    <s v="CORTES GALLARDO JAVIER ALBERTO"/>
    <x v="1"/>
    <x v="0"/>
    <x v="1"/>
    <x v="1"/>
    <s v=""/>
    <x v="1"/>
    <s v="LEGUA"/>
    <m/>
    <m/>
    <m/>
    <s v="O/S"/>
    <d v="2024-04-06T00:00:00"/>
    <m/>
    <m/>
    <m/>
    <m/>
    <s v=""/>
    <n v="1"/>
    <n v="107"/>
    <n v="10"/>
    <n v="0"/>
    <s v="2T"/>
    <s v="1P"/>
    <s v="2P"/>
    <s v="SN"/>
    <s v="1P"/>
    <s v="1P"/>
    <m/>
    <m/>
    <m/>
    <m/>
    <m/>
    <m/>
    <m/>
    <m/>
    <m/>
    <m/>
    <m/>
    <m/>
    <m/>
    <m/>
    <m/>
    <m/>
    <m/>
    <m/>
    <m/>
    <m/>
    <m/>
    <m/>
    <m/>
    <m/>
    <m/>
    <m/>
    <m/>
    <m/>
    <m/>
    <m/>
    <m/>
    <d v="2024-04-01T00:00:00"/>
    <m/>
  </r>
  <r>
    <s v="997461Q"/>
    <s v="VALDES GARCIA MARCELO RICARDO"/>
    <n v="189778619"/>
    <s v="S-32"/>
    <x v="57"/>
    <s v="VALDES GARCIA MARCELO RICARDO           (T - L - S)"/>
    <x v="4"/>
    <x v="0"/>
    <x v="1"/>
    <x v="1"/>
    <s v="(T - L - S)"/>
    <x v="1"/>
    <s v="LEGUA"/>
    <m/>
    <m/>
    <m/>
    <s v="O/S"/>
    <d v="2024-04-06T00:00:00"/>
    <m/>
    <s v="LISTO"/>
    <m/>
    <m/>
    <s v=""/>
    <n v="1"/>
    <n v="108"/>
    <n v="11"/>
    <n v="0"/>
    <s v="1T"/>
    <s v="1P"/>
    <s v="2P"/>
    <s v="SN"/>
    <s v="1P"/>
    <s v="1P"/>
    <m/>
    <m/>
    <m/>
    <m/>
    <m/>
    <m/>
    <m/>
    <m/>
    <m/>
    <m/>
    <m/>
    <m/>
    <m/>
    <m/>
    <m/>
    <m/>
    <m/>
    <m/>
    <m/>
    <m/>
    <m/>
    <m/>
    <m/>
    <m/>
    <m/>
    <m/>
    <m/>
    <m/>
    <m/>
    <m/>
    <m/>
    <d v="2023-08-02T00:00:00"/>
    <m/>
  </r>
  <r>
    <s v="984899K"/>
    <s v="VIVANCO MUNDACA FRANCISCO"/>
    <n v="174510873"/>
    <s v="S-32"/>
    <x v="57"/>
    <s v="VIVANCO MUNDACA FRANCISCO (IFEX)"/>
    <x v="4"/>
    <x v="0"/>
    <x v="1"/>
    <x v="1"/>
    <s v="(IFEX)"/>
    <x v="1"/>
    <s v="LEGUA"/>
    <m/>
    <m/>
    <m/>
    <s v="O/S"/>
    <d v="2024-04-06T00:00:00"/>
    <m/>
    <s v="LISTO"/>
    <m/>
    <m/>
    <s v=""/>
    <n v="1"/>
    <n v="108"/>
    <n v="11"/>
    <n v="0"/>
    <s v="1T"/>
    <s v="1P"/>
    <s v="2P"/>
    <s v="SN"/>
    <s v="1P"/>
    <s v="1P"/>
    <m/>
    <m/>
    <m/>
    <m/>
    <m/>
    <m/>
    <m/>
    <m/>
    <m/>
    <m/>
    <m/>
    <m/>
    <m/>
    <m/>
    <m/>
    <m/>
    <m/>
    <m/>
    <m/>
    <m/>
    <m/>
    <m/>
    <m/>
    <m/>
    <m/>
    <m/>
    <m/>
    <m/>
    <m/>
    <m/>
    <m/>
    <d v="2023-07-20T00:00:00"/>
    <m/>
  </r>
  <r>
    <s v="013344S"/>
    <s v="ALVARADO REBOLLEDO MATIAS"/>
    <n v="197117508"/>
    <s v="S-32"/>
    <x v="57"/>
    <s v="ALVARADO REBOLLEDO MATIAS"/>
    <x v="5"/>
    <x v="0"/>
    <x v="1"/>
    <x v="1"/>
    <s v=""/>
    <x v="1"/>
    <s v="LEGUA"/>
    <m/>
    <m/>
    <m/>
    <s v="O/S"/>
    <d v="2024-04-06T00:00:00"/>
    <m/>
    <s v="LISTO"/>
    <m/>
    <m/>
    <s v=""/>
    <n v="1"/>
    <n v="108"/>
    <n v="12"/>
    <n v="0"/>
    <s v="1T"/>
    <s v="1P"/>
    <s v="2P"/>
    <s v="SN"/>
    <s v="1P"/>
    <s v="1P"/>
    <m/>
    <m/>
    <m/>
    <m/>
    <m/>
    <m/>
    <m/>
    <m/>
    <m/>
    <m/>
    <m/>
    <m/>
    <m/>
    <m/>
    <m/>
    <m/>
    <m/>
    <m/>
    <m/>
    <m/>
    <m/>
    <m/>
    <m/>
    <m/>
    <m/>
    <m/>
    <m/>
    <m/>
    <m/>
    <m/>
    <m/>
    <d v="2024-03-20T00:00:00"/>
    <m/>
  </r>
  <r>
    <s v="020312V"/>
    <s v="CABRERA PONCE ERICK CHRISTOPER ALEXANDER"/>
    <n v="201588707"/>
    <s v="S-32"/>
    <x v="57"/>
    <s v="CABRERA PONCE ERICK CHRISTOPER ALEXANDER (IFEX)"/>
    <x v="5"/>
    <x v="0"/>
    <x v="1"/>
    <x v="1"/>
    <s v="(IFEX)"/>
    <x v="1"/>
    <s v="LEGUA"/>
    <m/>
    <m/>
    <m/>
    <s v="O/S"/>
    <d v="2024-04-06T00:00:00"/>
    <m/>
    <s v="LISTO"/>
    <m/>
    <m/>
    <s v=""/>
    <n v="1"/>
    <n v="108"/>
    <n v="12"/>
    <n v="0"/>
    <s v="1T"/>
    <s v="1P"/>
    <s v="2P"/>
    <s v="SN"/>
    <s v="1P"/>
    <s v="1P"/>
    <m/>
    <m/>
    <m/>
    <m/>
    <m/>
    <m/>
    <m/>
    <m/>
    <m/>
    <m/>
    <m/>
    <m/>
    <m/>
    <m/>
    <m/>
    <m/>
    <m/>
    <m/>
    <m/>
    <m/>
    <m/>
    <m/>
    <m/>
    <m/>
    <m/>
    <m/>
    <m/>
    <m/>
    <m/>
    <m/>
    <m/>
    <d v="2024-03-14T00:00:00"/>
    <m/>
  </r>
  <r>
    <s v="018454W"/>
    <s v="GARCES MONSALVE DANITZA BELEN"/>
    <n v="199649027"/>
    <s v="S-32"/>
    <x v="57"/>
    <s v="GARCES MONSALVE DANITZA BELEN"/>
    <x v="5"/>
    <x v="1"/>
    <x v="1"/>
    <x v="1"/>
    <s v=""/>
    <x v="1"/>
    <s v="LEGUA"/>
    <m/>
    <m/>
    <m/>
    <s v="O/S"/>
    <d v="2024-04-06T00:00:00"/>
    <m/>
    <s v="LISTO"/>
    <m/>
    <m/>
    <s v=""/>
    <n v="1"/>
    <n v="108"/>
    <n v="12"/>
    <n v="0"/>
    <s v="1T"/>
    <s v="1P"/>
    <s v="2P"/>
    <s v="SN"/>
    <s v="1P"/>
    <s v="1P"/>
    <m/>
    <m/>
    <m/>
    <m/>
    <m/>
    <m/>
    <m/>
    <m/>
    <m/>
    <m/>
    <m/>
    <m/>
    <m/>
    <m/>
    <m/>
    <m/>
    <m/>
    <m/>
    <m/>
    <m/>
    <m/>
    <m/>
    <m/>
    <m/>
    <m/>
    <m/>
    <m/>
    <m/>
    <m/>
    <m/>
    <m/>
    <d v="2024-03-26T00:00:00"/>
    <m/>
  </r>
  <r>
    <s v="953013M"/>
    <s v="ROSALES CALDERON MARCO ANTONIO"/>
    <s v="12.995.287-3"/>
    <s v="JEFE/S-33"/>
    <x v="58"/>
    <s v="ROSALES CALDERON MARCO ANTONIO ( T )"/>
    <x v="6"/>
    <x v="0"/>
    <x v="1"/>
    <x v="1"/>
    <s v="( T )"/>
    <x v="8"/>
    <s v="APS"/>
    <m/>
    <m/>
    <m/>
    <s v="O/S"/>
    <d v="2024-04-06T00:00:00"/>
    <m/>
    <s v="LISTO"/>
    <m/>
    <m/>
    <s v=""/>
    <n v="1"/>
    <n v="111"/>
    <n v="8"/>
    <n v="0"/>
    <s v="SN"/>
    <s v="2T"/>
    <s v="1P"/>
    <s v="1T"/>
    <s v="2T"/>
    <s v="3T"/>
    <m/>
    <m/>
    <m/>
    <m/>
    <m/>
    <m/>
    <m/>
    <m/>
    <m/>
    <m/>
    <m/>
    <m/>
    <m/>
    <m/>
    <m/>
    <m/>
    <m/>
    <m/>
    <m/>
    <m/>
    <m/>
    <m/>
    <m/>
    <m/>
    <m/>
    <m/>
    <m/>
    <m/>
    <m/>
    <m/>
    <m/>
    <d v="2024-04-02T00:00:00"/>
    <m/>
  </r>
  <r>
    <s v="949710L"/>
    <s v="SILVA BARRIA FRANCISCO"/>
    <n v="145077583"/>
    <s v="S-33"/>
    <x v="59"/>
    <s v="SILVA BARRIA FRANCISCO"/>
    <x v="3"/>
    <x v="0"/>
    <x v="1"/>
    <x v="1"/>
    <s v=""/>
    <x v="8"/>
    <s v="APS"/>
    <m/>
    <m/>
    <m/>
    <s v="O/S"/>
    <d v="2024-04-06T00:00:00"/>
    <m/>
    <s v="LISTO"/>
    <m/>
    <m/>
    <s v=""/>
    <n v="1"/>
    <n v="112"/>
    <n v="9"/>
    <n v="0"/>
    <s v="SN"/>
    <s v="2T"/>
    <s v="1P"/>
    <s v="1T"/>
    <s v="2T"/>
    <s v="3T"/>
    <m/>
    <m/>
    <m/>
    <m/>
    <m/>
    <m/>
    <m/>
    <m/>
    <m/>
    <m/>
    <m/>
    <m/>
    <m/>
    <m/>
    <m/>
    <m/>
    <m/>
    <m/>
    <m/>
    <m/>
    <m/>
    <m/>
    <m/>
    <m/>
    <m/>
    <m/>
    <m/>
    <m/>
    <m/>
    <m/>
    <m/>
    <d v="2023-07-26T00:00:00"/>
    <m/>
  </r>
  <r>
    <s v="974640P"/>
    <s v="ALVAREZ MANRIQUEZ RUBEN FERNANDO"/>
    <n v="165633237"/>
    <s v="S-33"/>
    <x v="59"/>
    <s v="ALVAREZ MANRIQUEZ RUBEN FERNANDO (L - P)"/>
    <x v="1"/>
    <x v="0"/>
    <x v="1"/>
    <x v="1"/>
    <s v="(L - P)"/>
    <x v="8"/>
    <s v="APS"/>
    <m/>
    <m/>
    <m/>
    <s v="O/S"/>
    <d v="2024-04-06T00:00:00"/>
    <s v="TRASLADAR B-645 A LAS 09:00 HRS DPTO TIC"/>
    <m/>
    <m/>
    <m/>
    <s v=""/>
    <n v="1"/>
    <n v="112"/>
    <n v="10"/>
    <n v="0"/>
    <s v="1T"/>
    <s v="1T"/>
    <s v="1P"/>
    <s v="1T"/>
    <s v="1P"/>
    <s v="3T"/>
    <m/>
    <m/>
    <m/>
    <m/>
    <m/>
    <m/>
    <m/>
    <m/>
    <m/>
    <m/>
    <m/>
    <m/>
    <m/>
    <m/>
    <m/>
    <m/>
    <m/>
    <m/>
    <m/>
    <m/>
    <m/>
    <m/>
    <m/>
    <m/>
    <m/>
    <m/>
    <m/>
    <m/>
    <m/>
    <m/>
    <m/>
    <d v="2024-03-18T00:00:00"/>
    <m/>
  </r>
  <r>
    <s v="984132H"/>
    <s v="CARRASCO BARRIENTOS ESTEBAN ALEJANDRO"/>
    <s v="16526195K"/>
    <s v="S-33"/>
    <x v="59"/>
    <s v="CARRASCO BARRIENTOS ESTEBAN ALEJANDRO"/>
    <x v="1"/>
    <x v="0"/>
    <x v="1"/>
    <x v="1"/>
    <s v=""/>
    <x v="8"/>
    <s v="APS"/>
    <m/>
    <m/>
    <m/>
    <s v="O/S"/>
    <d v="2024-04-06T00:00:00"/>
    <m/>
    <s v="LISTO"/>
    <m/>
    <m/>
    <s v=""/>
    <n v="1"/>
    <n v="112"/>
    <n v="10"/>
    <n v="0"/>
    <s v="LIC."/>
    <s v="LIC."/>
    <s v="LIC."/>
    <s v="LIC."/>
    <s v="LIC."/>
    <s v="3T"/>
    <m/>
    <m/>
    <m/>
    <m/>
    <m/>
    <m/>
    <m/>
    <m/>
    <m/>
    <m/>
    <m/>
    <m/>
    <m/>
    <m/>
    <m/>
    <m/>
    <m/>
    <m/>
    <m/>
    <m/>
    <m/>
    <m/>
    <m/>
    <m/>
    <m/>
    <m/>
    <m/>
    <m/>
    <m/>
    <m/>
    <m/>
    <d v="2023-04-21T00:00:00"/>
    <m/>
  </r>
  <r>
    <s v="983432D"/>
    <s v="VALENZUELA SANDOVAL CESAR MAURICIO"/>
    <s v="17460997-7"/>
    <s v="S-33"/>
    <x v="59"/>
    <s v="VALENZUELA SANDOVAL CESAR MAURICIO   ( L ) "/>
    <x v="4"/>
    <x v="0"/>
    <x v="1"/>
    <x v="1"/>
    <s v="( L ) "/>
    <x v="8"/>
    <s v="APS"/>
    <m/>
    <m/>
    <m/>
    <s v="O/S"/>
    <d v="2024-04-06T00:00:00"/>
    <m/>
    <m/>
    <m/>
    <m/>
    <s v=""/>
    <n v="1"/>
    <n v="112"/>
    <n v="11"/>
    <n v="0"/>
    <s v="LIC."/>
    <s v="2T"/>
    <s v="1P"/>
    <s v="1T"/>
    <s v="2T"/>
    <s v="3T"/>
    <m/>
    <m/>
    <m/>
    <m/>
    <m/>
    <m/>
    <m/>
    <m/>
    <m/>
    <m/>
    <m/>
    <m/>
    <m/>
    <m/>
    <m/>
    <m/>
    <m/>
    <m/>
    <m/>
    <m/>
    <m/>
    <m/>
    <m/>
    <m/>
    <m/>
    <m/>
    <m/>
    <m/>
    <m/>
    <m/>
    <m/>
    <d v="2023-06-05T00:00:00"/>
    <m/>
  </r>
  <r>
    <s v="016937G"/>
    <s v="BURGOS STUARDO VICTOR DAVID"/>
    <s v="19287193K"/>
    <s v="S-33"/>
    <x v="59"/>
    <s v="BURGOS STUARDO VICTOR DAVID"/>
    <x v="5"/>
    <x v="0"/>
    <x v="1"/>
    <x v="1"/>
    <s v=""/>
    <x v="8"/>
    <s v="APS"/>
    <m/>
    <m/>
    <m/>
    <s v="O/S"/>
    <d v="2024-04-06T00:00:00"/>
    <m/>
    <s v="LISTO"/>
    <m/>
    <m/>
    <s v=""/>
    <n v="1"/>
    <n v="112"/>
    <n v="12"/>
    <n v="0"/>
    <s v="SN"/>
    <s v="2T"/>
    <s v="1P"/>
    <s v="1T"/>
    <s v="2T"/>
    <s v="3T"/>
    <m/>
    <m/>
    <m/>
    <m/>
    <m/>
    <m/>
    <m/>
    <m/>
    <m/>
    <m/>
    <m/>
    <m/>
    <m/>
    <m/>
    <m/>
    <m/>
    <m/>
    <m/>
    <m/>
    <m/>
    <m/>
    <m/>
    <m/>
    <m/>
    <m/>
    <m/>
    <m/>
    <m/>
    <m/>
    <m/>
    <m/>
    <d v="2023-08-18T00:00:00"/>
    <m/>
  </r>
  <r>
    <s v="018435K"/>
    <s v="PALMA PINTO SAVKA ANAIS ANGELICA"/>
    <n v="206279702"/>
    <s v="S-33"/>
    <x v="59"/>
    <s v="PALMA PINTO SAVKA ANAIS ANGELICA"/>
    <x v="5"/>
    <x v="1"/>
    <x v="1"/>
    <x v="1"/>
    <s v=""/>
    <x v="8"/>
    <s v="APS"/>
    <m/>
    <m/>
    <m/>
    <s v="O/S"/>
    <d v="2024-04-06T00:00:00"/>
    <m/>
    <s v="LISTO"/>
    <m/>
    <m/>
    <s v=""/>
    <n v="1"/>
    <n v="112"/>
    <n v="12"/>
    <n v="0"/>
    <s v="SN"/>
    <s v="2T"/>
    <s v="1P"/>
    <s v="1T"/>
    <s v="2T"/>
    <s v="3T"/>
    <m/>
    <m/>
    <m/>
    <m/>
    <m/>
    <m/>
    <m/>
    <m/>
    <m/>
    <m/>
    <m/>
    <m/>
    <m/>
    <m/>
    <m/>
    <m/>
    <m/>
    <m/>
    <m/>
    <m/>
    <m/>
    <m/>
    <m/>
    <m/>
    <m/>
    <m/>
    <m/>
    <m/>
    <m/>
    <m/>
    <m/>
    <d v="2023-05-17T00:00:00"/>
    <m/>
  </r>
  <r>
    <s v="018768Q"/>
    <s v="ZAMBRANO NOVOA KEVIN ANDRES"/>
    <n v="203846444"/>
    <s v="S-33"/>
    <x v="59"/>
    <s v="ZAMBRANO NOVOA KEVIN ANDRES"/>
    <x v="5"/>
    <x v="0"/>
    <x v="1"/>
    <x v="1"/>
    <s v=""/>
    <x v="8"/>
    <s v="APS"/>
    <m/>
    <m/>
    <m/>
    <s v="O/S"/>
    <d v="2024-04-06T00:00:00"/>
    <m/>
    <m/>
    <m/>
    <m/>
    <s v=""/>
    <n v="1"/>
    <n v="112"/>
    <n v="12"/>
    <n v="0"/>
    <s v="SN"/>
    <s v="2T"/>
    <s v="2T"/>
    <s v="1T"/>
    <s v="2T"/>
    <s v="3T"/>
    <m/>
    <m/>
    <m/>
    <m/>
    <m/>
    <m/>
    <m/>
    <m/>
    <m/>
    <m/>
    <m/>
    <m/>
    <m/>
    <m/>
    <m/>
    <m/>
    <m/>
    <m/>
    <m/>
    <m/>
    <m/>
    <m/>
    <m/>
    <m/>
    <m/>
    <m/>
    <m/>
    <m/>
    <m/>
    <m/>
    <m/>
    <d v="2024-03-25T00:00:00"/>
    <m/>
  </r>
  <r>
    <s v="967619F"/>
    <s v="HERNANDEZ CRUCES DIEGO ESTEBAN"/>
    <n v="140860530"/>
    <s v="S-34"/>
    <x v="60"/>
    <s v="HERNANDEZ CRUCES DIEGO ESTEBAN              (T - P- S)"/>
    <x v="1"/>
    <x v="0"/>
    <x v="1"/>
    <x v="1"/>
    <s v="(T - P- S)"/>
    <x v="5"/>
    <s v="MONUMENTO / BAQUEDANO"/>
    <m/>
    <m/>
    <m/>
    <s v="O/S"/>
    <d v="2024-04-06T00:00:00"/>
    <m/>
    <m/>
    <m/>
    <m/>
    <s v=""/>
    <n v="1"/>
    <n v="115"/>
    <n v="10"/>
    <n v="0"/>
    <s v="SN"/>
    <s v="2T"/>
    <s v="2T"/>
    <s v="1T"/>
    <s v="2T"/>
    <s v="2P"/>
    <m/>
    <m/>
    <m/>
    <m/>
    <m/>
    <m/>
    <m/>
    <m/>
    <m/>
    <m/>
    <m/>
    <m/>
    <m/>
    <m/>
    <m/>
    <m/>
    <m/>
    <m/>
    <m/>
    <m/>
    <m/>
    <m/>
    <m/>
    <m/>
    <m/>
    <m/>
    <m/>
    <m/>
    <m/>
    <m/>
    <m/>
    <d v="2023-11-14T00:00:00"/>
    <m/>
  </r>
  <r>
    <s v="967445Z"/>
    <s v="SEGOVIA ORTIZ FREDDY ARIEL"/>
    <n v="153342288"/>
    <s v="S-34"/>
    <x v="61"/>
    <s v="SEGOVIA ORTIZ FREDDY ARIEL"/>
    <x v="3"/>
    <x v="0"/>
    <x v="1"/>
    <x v="1"/>
    <s v=""/>
    <x v="5"/>
    <s v="MONUMENTO / BAQUEDANO"/>
    <m/>
    <m/>
    <m/>
    <s v="O/S"/>
    <d v="2024-04-06T00:00:00"/>
    <m/>
    <s v="LISTO"/>
    <m/>
    <m/>
    <s v=""/>
    <n v="1"/>
    <n v="116"/>
    <n v="9"/>
    <n v="0"/>
    <s v="LIC."/>
    <s v="LIC."/>
    <s v="LIC."/>
    <s v="LIC."/>
    <s v="LIC."/>
    <s v="2P"/>
    <m/>
    <m/>
    <m/>
    <m/>
    <m/>
    <m/>
    <m/>
    <m/>
    <m/>
    <m/>
    <m/>
    <m/>
    <m/>
    <m/>
    <m/>
    <m/>
    <m/>
    <m/>
    <m/>
    <m/>
    <m/>
    <m/>
    <m/>
    <m/>
    <m/>
    <m/>
    <m/>
    <m/>
    <m/>
    <m/>
    <m/>
    <d v="2023-05-08T00:00:00"/>
    <m/>
  </r>
  <r>
    <s v="986218Z"/>
    <s v="URRUTIA MONTOYA JUAN PABLO"/>
    <n v="164733440"/>
    <s v="S-34"/>
    <x v="61"/>
    <s v="URRUTIA MONTOYA JUAN PABLO"/>
    <x v="4"/>
    <x v="0"/>
    <x v="1"/>
    <x v="1"/>
    <s v=""/>
    <x v="5"/>
    <s v="MONUMENTO / BAQUEDANO"/>
    <m/>
    <m/>
    <m/>
    <s v="O/S"/>
    <d v="2024-04-06T00:00:00"/>
    <m/>
    <m/>
    <m/>
    <m/>
    <s v=""/>
    <n v="1"/>
    <n v="116"/>
    <n v="11"/>
    <n v="0"/>
    <s v="SN"/>
    <s v="2T"/>
    <s v="2T"/>
    <s v="1T"/>
    <s v="2T"/>
    <s v="2P"/>
    <m/>
    <m/>
    <m/>
    <m/>
    <m/>
    <m/>
    <m/>
    <m/>
    <m/>
    <m/>
    <m/>
    <m/>
    <m/>
    <m/>
    <m/>
    <m/>
    <m/>
    <m/>
    <m/>
    <m/>
    <m/>
    <m/>
    <m/>
    <m/>
    <m/>
    <m/>
    <m/>
    <m/>
    <m/>
    <m/>
    <m/>
    <d v="2023-06-08T00:00:00"/>
    <m/>
  </r>
  <r>
    <s v="018446W"/>
    <s v="VASQUEZ ESPINOZA CAMILO ANDRES"/>
    <n v="190369900"/>
    <s v="S-34"/>
    <x v="61"/>
    <s v="VASQUEZ ESPINOZA CAMILO ANDRES     (L)"/>
    <x v="5"/>
    <x v="0"/>
    <x v="1"/>
    <x v="1"/>
    <s v="(L)"/>
    <x v="5"/>
    <s v="MONUMENTO / BAQUEDANO"/>
    <m/>
    <m/>
    <m/>
    <s v="O/S"/>
    <d v="2024-04-06T00:00:00"/>
    <m/>
    <m/>
    <m/>
    <m/>
    <s v=""/>
    <n v="1"/>
    <n v="116"/>
    <n v="12"/>
    <n v="0"/>
    <s v="SN"/>
    <s v="2T"/>
    <s v="2T"/>
    <s v="1T"/>
    <s v="2T"/>
    <s v="2P"/>
    <m/>
    <m/>
    <m/>
    <m/>
    <m/>
    <m/>
    <m/>
    <m/>
    <m/>
    <m/>
    <m/>
    <m/>
    <m/>
    <m/>
    <m/>
    <m/>
    <m/>
    <m/>
    <m/>
    <m/>
    <m/>
    <m/>
    <m/>
    <m/>
    <m/>
    <m/>
    <m/>
    <m/>
    <m/>
    <m/>
    <m/>
    <d v="2024-04-02T00:00:00"/>
    <m/>
  </r>
  <r>
    <s v="018936R"/>
    <s v="ZAMBRANO GUZMAN DANIELA BELEN"/>
    <n v="193462626"/>
    <s v="S-34"/>
    <x v="61"/>
    <s v="ZAMBRANO GUZMAN DANIELA BELEN"/>
    <x v="5"/>
    <x v="1"/>
    <x v="1"/>
    <x v="1"/>
    <s v=""/>
    <x v="5"/>
    <s v="MONUMENTO / BAQUEDANO"/>
    <m/>
    <m/>
    <m/>
    <s v="O/S"/>
    <d v="2024-04-06T00:00:00"/>
    <m/>
    <m/>
    <m/>
    <m/>
    <s v=""/>
    <n v="1"/>
    <n v="116"/>
    <n v="12"/>
    <n v="0"/>
    <s v="SN"/>
    <s v="2T"/>
    <s v="2T"/>
    <s v="1T"/>
    <s v="2T"/>
    <s v="2P"/>
    <m/>
    <m/>
    <m/>
    <m/>
    <m/>
    <m/>
    <m/>
    <m/>
    <m/>
    <m/>
    <m/>
    <m/>
    <m/>
    <m/>
    <m/>
    <m/>
    <m/>
    <m/>
    <m/>
    <m/>
    <m/>
    <m/>
    <m/>
    <m/>
    <m/>
    <m/>
    <m/>
    <m/>
    <m/>
    <m/>
    <m/>
    <d v="2023-05-04T00:00:00"/>
    <m/>
  </r>
  <r>
    <s v="956579C"/>
    <s v="BRAVO VALDERRAMA OSCAR MAURICIO"/>
    <n v="133505385"/>
    <s v="JEFE/S-35"/>
    <x v="62"/>
    <s v="BRAVO VALDERRAMA OSCAR MAURICIO"/>
    <x v="6"/>
    <x v="0"/>
    <x v="1"/>
    <x v="1"/>
    <s v=""/>
    <x v="8"/>
    <s v="APS"/>
    <m/>
    <m/>
    <m/>
    <s v="O/S"/>
    <d v="2024-04-06T00:00:00"/>
    <m/>
    <m/>
    <m/>
    <m/>
    <s v=""/>
    <n v="1"/>
    <n v="119"/>
    <n v="8"/>
    <n v="0"/>
    <s v="SN"/>
    <s v="2T"/>
    <s v="1P"/>
    <s v="1T"/>
    <s v="2T"/>
    <s v="3T"/>
    <m/>
    <m/>
    <m/>
    <m/>
    <m/>
    <m/>
    <m/>
    <m/>
    <m/>
    <m/>
    <m/>
    <m/>
    <m/>
    <m/>
    <m/>
    <m/>
    <m/>
    <m/>
    <m/>
    <m/>
    <m/>
    <m/>
    <m/>
    <m/>
    <m/>
    <m/>
    <m/>
    <m/>
    <m/>
    <m/>
    <m/>
    <d v="2023-07-04T00:00:00"/>
    <m/>
  </r>
  <r>
    <s v="956028X"/>
    <s v="ARIAS MONROY JAIME"/>
    <n v="135799432"/>
    <s v="S-35"/>
    <x v="63"/>
    <s v="ARIAS MONROY JAIME"/>
    <x v="3"/>
    <x v="0"/>
    <x v="1"/>
    <x v="1"/>
    <s v=""/>
    <x v="8"/>
    <s v="APS"/>
    <m/>
    <m/>
    <m/>
    <s v="O/S"/>
    <d v="2024-04-06T00:00:00"/>
    <m/>
    <s v="LISTO"/>
    <m/>
    <m/>
    <s v=""/>
    <n v="1"/>
    <n v="120"/>
    <n v="9"/>
    <n v="0"/>
    <s v="SN"/>
    <s v="2T"/>
    <s v="1P"/>
    <s v="1T"/>
    <s v="2T"/>
    <s v="3T"/>
    <m/>
    <m/>
    <m/>
    <m/>
    <m/>
    <m/>
    <m/>
    <m/>
    <m/>
    <m/>
    <m/>
    <m/>
    <m/>
    <m/>
    <m/>
    <m/>
    <m/>
    <m/>
    <m/>
    <m/>
    <m/>
    <m/>
    <m/>
    <m/>
    <m/>
    <m/>
    <m/>
    <m/>
    <m/>
    <m/>
    <m/>
    <d v="2023-05-16T00:00:00"/>
    <m/>
  </r>
  <r>
    <s v="978461C"/>
    <s v="ALISTE TORRES FRANCSICO GEOVANNI"/>
    <s v="16.279.778-6"/>
    <s v="S-35"/>
    <x v="63"/>
    <s v="ALISTE TORRES FRANCSICO GIOVANNI             (T)"/>
    <x v="1"/>
    <x v="0"/>
    <x v="1"/>
    <x v="1"/>
    <s v="(T)"/>
    <x v="8"/>
    <s v="APS"/>
    <m/>
    <m/>
    <m/>
    <s v="O/S"/>
    <d v="2024-04-06T00:00:00"/>
    <m/>
    <s v="LISTO // JUICIO 16-04-2024 09:00 HRS DOE 202176726"/>
    <m/>
    <d v="2024-04-16T00:00:00"/>
    <s v=""/>
    <n v="1"/>
    <n v="120"/>
    <n v="10"/>
    <n v="0"/>
    <s v="SN"/>
    <s v="2T"/>
    <s v="1P"/>
    <s v="1T"/>
    <s v="2T"/>
    <s v="3T"/>
    <m/>
    <m/>
    <m/>
    <m/>
    <m/>
    <m/>
    <m/>
    <m/>
    <m/>
    <m/>
    <m/>
    <m/>
    <m/>
    <m/>
    <m/>
    <m/>
    <m/>
    <m/>
    <m/>
    <m/>
    <m/>
    <m/>
    <m/>
    <m/>
    <m/>
    <m/>
    <m/>
    <m/>
    <m/>
    <m/>
    <m/>
    <d v="2023-07-27T00:00:00"/>
    <m/>
  </r>
  <r>
    <s v="984968X"/>
    <s v="MONTIEL ULLOA CESAR"/>
    <n v="168719310"/>
    <s v="S-35"/>
    <x v="63"/>
    <s v="MONTIEL ULLOA CESAR"/>
    <x v="1"/>
    <x v="0"/>
    <x v="1"/>
    <x v="1"/>
    <s v=""/>
    <x v="8"/>
    <s v="APS"/>
    <m/>
    <m/>
    <m/>
    <s v="O/S"/>
    <d v="2024-04-06T00:00:00"/>
    <m/>
    <m/>
    <m/>
    <m/>
    <s v=""/>
    <n v="1"/>
    <n v="120"/>
    <n v="10"/>
    <n v="0"/>
    <s v="SN"/>
    <s v="2T"/>
    <s v="1P"/>
    <s v="1T"/>
    <s v="2T"/>
    <s v="3T"/>
    <m/>
    <m/>
    <m/>
    <m/>
    <m/>
    <m/>
    <m/>
    <m/>
    <m/>
    <m/>
    <m/>
    <m/>
    <m/>
    <m/>
    <m/>
    <m/>
    <m/>
    <m/>
    <m/>
    <m/>
    <m/>
    <m/>
    <m/>
    <m/>
    <m/>
    <m/>
    <m/>
    <m/>
    <m/>
    <m/>
    <m/>
    <d v="2023-07-10T00:00:00"/>
    <m/>
  </r>
  <r>
    <s v="976647C"/>
    <s v="FAUNDEZ HENRIQUEZ LUIS ALEJANDRO"/>
    <n v="162950126"/>
    <s v="S-35"/>
    <x v="63"/>
    <s v="FAUNDEZ HENRIQUEZ LUIS ALEJANDRO"/>
    <x v="4"/>
    <x v="0"/>
    <x v="1"/>
    <x v="1"/>
    <s v=""/>
    <x v="8"/>
    <s v="APS"/>
    <m/>
    <m/>
    <m/>
    <s v="O/S"/>
    <d v="2024-04-06T00:00:00"/>
    <m/>
    <m/>
    <m/>
    <m/>
    <s v=""/>
    <n v="1"/>
    <n v="120"/>
    <n v="11"/>
    <n v="0"/>
    <s v="SN"/>
    <s v="2T"/>
    <s v="1P"/>
    <s v="1T"/>
    <s v="2T"/>
    <s v="3T"/>
    <m/>
    <m/>
    <m/>
    <m/>
    <m/>
    <m/>
    <m/>
    <m/>
    <m/>
    <m/>
    <m/>
    <m/>
    <m/>
    <m/>
    <m/>
    <m/>
    <m/>
    <m/>
    <m/>
    <m/>
    <m/>
    <m/>
    <m/>
    <m/>
    <m/>
    <m/>
    <m/>
    <m/>
    <m/>
    <m/>
    <m/>
    <d v="2023-08-08T00:00:00"/>
    <m/>
  </r>
  <r>
    <s v="001191P"/>
    <s v="RIQUELME MONTECINOS MARCOS ARTURO"/>
    <s v="19.317.693-3"/>
    <s v="S-35"/>
    <x v="63"/>
    <s v="RIQUELME MONTECINOS MARCOS ARTURO   (L)"/>
    <x v="4"/>
    <x v="0"/>
    <x v="1"/>
    <x v="1"/>
    <s v="(L)"/>
    <x v="8"/>
    <s v="APS"/>
    <m/>
    <m/>
    <m/>
    <s v="O/S"/>
    <d v="2024-04-06T00:00:00"/>
    <m/>
    <m/>
    <m/>
    <m/>
    <s v=""/>
    <n v="1"/>
    <n v="120"/>
    <n v="11"/>
    <n v="0"/>
    <s v="SN"/>
    <s v="2T"/>
    <s v="2T"/>
    <s v="1T"/>
    <s v="2T"/>
    <s v="3T"/>
    <m/>
    <m/>
    <m/>
    <m/>
    <m/>
    <m/>
    <m/>
    <m/>
    <m/>
    <m/>
    <m/>
    <m/>
    <m/>
    <m/>
    <m/>
    <m/>
    <m/>
    <m/>
    <m/>
    <m/>
    <m/>
    <m/>
    <m/>
    <m/>
    <m/>
    <m/>
    <m/>
    <m/>
    <m/>
    <m/>
    <m/>
    <d v="2024-03-25T00:00:00"/>
    <m/>
  </r>
  <r>
    <s v="018748L"/>
    <s v="MUÑOZ ROJAS PEDRO BRAYAN ANDRES"/>
    <n v="198075655"/>
    <s v="S-35"/>
    <x v="63"/>
    <s v="MUÑOZ ROJAS PEDRO BRAYAN ANDRES"/>
    <x v="5"/>
    <x v="0"/>
    <x v="1"/>
    <x v="1"/>
    <s v=""/>
    <x v="8"/>
    <s v="APS"/>
    <m/>
    <m/>
    <m/>
    <s v="O/S"/>
    <d v="2024-04-06T00:00:00"/>
    <m/>
    <s v="LISTO"/>
    <m/>
    <m/>
    <s v=""/>
    <n v="1"/>
    <n v="120"/>
    <n v="12"/>
    <n v="0"/>
    <s v="SN"/>
    <s v="2T"/>
    <s v="2T"/>
    <s v="1T"/>
    <s v="2T"/>
    <s v="3T"/>
    <m/>
    <m/>
    <m/>
    <m/>
    <m/>
    <m/>
    <m/>
    <m/>
    <m/>
    <m/>
    <m/>
    <m/>
    <m/>
    <m/>
    <m/>
    <m/>
    <m/>
    <m/>
    <m/>
    <m/>
    <m/>
    <m/>
    <m/>
    <m/>
    <m/>
    <m/>
    <m/>
    <m/>
    <m/>
    <m/>
    <m/>
    <d v="2024-04-02T00:00:00"/>
    <m/>
  </r>
  <r>
    <s v="023026H"/>
    <s v="RODRIGUEZ MARDONES CRISTOBAL "/>
    <n v="201113806"/>
    <s v="S-35"/>
    <x v="63"/>
    <s v="RODRIGUEZ MARDONES CRISTOBAL "/>
    <x v="9"/>
    <x v="0"/>
    <x v="1"/>
    <x v="1"/>
    <s v=""/>
    <x v="8"/>
    <s v="APS"/>
    <m/>
    <m/>
    <m/>
    <s v="O/S"/>
    <d v="1999-04-10T00:00:00"/>
    <m/>
    <s v="LISTO"/>
    <m/>
    <m/>
    <s v=""/>
    <n v="1"/>
    <n v="120"/>
    <n v="13"/>
    <n v="0"/>
    <s v="SN"/>
    <s v="2T"/>
    <s v="2T"/>
    <s v="1T"/>
    <s v="2T"/>
    <s v="3T"/>
    <m/>
    <m/>
    <m/>
    <m/>
    <m/>
    <m/>
    <m/>
    <m/>
    <m/>
    <m/>
    <m/>
    <m/>
    <m/>
    <m/>
    <m/>
    <m/>
    <m/>
    <m/>
    <m/>
    <m/>
    <m/>
    <m/>
    <m/>
    <m/>
    <m/>
    <m/>
    <m/>
    <m/>
    <m/>
    <m/>
    <m/>
    <d v="2024-03-13T00:00:00"/>
    <m/>
  </r>
  <r>
    <s v="960026V"/>
    <s v="ZEPEDA SANTOS ALEX ALEJANDRO"/>
    <n v="133290923"/>
    <s v="JEFE/S-36"/>
    <x v="64"/>
    <s v="ZEPEDA SANTOS ALEX ALEJANDRO"/>
    <x v="3"/>
    <x v="0"/>
    <x v="1"/>
    <x v="1"/>
    <s v=""/>
    <x v="2"/>
    <s v="SALIENTE SERVICIO"/>
    <m/>
    <m/>
    <m/>
    <s v="O/S"/>
    <d v="2024-04-06T00:00:00"/>
    <m/>
    <s v="LISTO"/>
    <d v="2024-04-03T00:00:00"/>
    <m/>
    <s v=""/>
    <n v="1"/>
    <n v="123"/>
    <n v="9"/>
    <n v="0"/>
    <s v="2T"/>
    <s v="LIC."/>
    <s v="LIC."/>
    <s v="1P"/>
    <s v="3T"/>
    <s v="SN"/>
    <m/>
    <m/>
    <m/>
    <m/>
    <m/>
    <m/>
    <m/>
    <m/>
    <m/>
    <m/>
    <m/>
    <m/>
    <m/>
    <m/>
    <m/>
    <m/>
    <m/>
    <m/>
    <m/>
    <m/>
    <m/>
    <m/>
    <m/>
    <m/>
    <m/>
    <m/>
    <m/>
    <m/>
    <m/>
    <m/>
    <m/>
    <d v="2023-06-19T00:00:00"/>
    <m/>
  </r>
  <r>
    <s v="981873M"/>
    <s v="ESPINOZA TOLOZA JOSE VLADIMIR"/>
    <n v="164551520"/>
    <s v="S-36"/>
    <x v="65"/>
    <s v="ESPINOZA TOLOZA JOSE VLADIMIR          (L-T-S-J) "/>
    <x v="1"/>
    <x v="0"/>
    <x v="1"/>
    <x v="1"/>
    <s v="(L-T-S-J) "/>
    <x v="2"/>
    <s v="SALIENTE SERVICIO"/>
    <m/>
    <m/>
    <m/>
    <s v="O/S"/>
    <d v="2024-04-06T00:00:00"/>
    <m/>
    <s v="LISTO"/>
    <m/>
    <m/>
    <s v=""/>
    <n v="1"/>
    <n v="124"/>
    <n v="10"/>
    <n v="0"/>
    <s v="2T"/>
    <s v="1T"/>
    <s v="2T"/>
    <s v="1P"/>
    <s v="3T"/>
    <s v="SN"/>
    <m/>
    <m/>
    <m/>
    <m/>
    <m/>
    <m/>
    <m/>
    <m/>
    <m/>
    <m/>
    <m/>
    <m/>
    <m/>
    <m/>
    <m/>
    <m/>
    <m/>
    <m/>
    <m/>
    <m/>
    <m/>
    <m/>
    <m/>
    <m/>
    <m/>
    <m/>
    <m/>
    <m/>
    <m/>
    <m/>
    <m/>
    <d v="2024-03-19T00:00:00"/>
    <m/>
  </r>
  <r>
    <s v="972179B"/>
    <s v="SANHUEZA VARGAS JULIAN RODRIGO"/>
    <s v="10631149-8"/>
    <s v="S-36"/>
    <x v="65"/>
    <s v="SANHUEZA VARGAS JULIAN RODRIGO            (T-J-P)"/>
    <x v="1"/>
    <x v="0"/>
    <x v="1"/>
    <x v="1"/>
    <s v="(T-J-P)"/>
    <x v="2"/>
    <s v="SALIENTE SERVICIO"/>
    <m/>
    <m/>
    <m/>
    <s v="O/S"/>
    <d v="2024-04-06T00:00:00"/>
    <m/>
    <s v="LISTO"/>
    <m/>
    <m/>
    <s v=""/>
    <n v="1"/>
    <n v="124"/>
    <n v="10"/>
    <n v="0"/>
    <s v="2T"/>
    <s v="2T"/>
    <s v="2T"/>
    <s v="1P"/>
    <s v="3T"/>
    <s v="SN"/>
    <m/>
    <m/>
    <m/>
    <m/>
    <m/>
    <m/>
    <m/>
    <m/>
    <m/>
    <m/>
    <m/>
    <m/>
    <m/>
    <m/>
    <m/>
    <m/>
    <m/>
    <m/>
    <m/>
    <m/>
    <m/>
    <m/>
    <m/>
    <m/>
    <m/>
    <m/>
    <m/>
    <m/>
    <m/>
    <m/>
    <m/>
    <d v="2023-10-25T00:00:00"/>
    <m/>
  </r>
  <r>
    <s v="998121L"/>
    <s v="QUEZADA VERGARA GABRIEL ANTONIO"/>
    <n v="188752470"/>
    <s v="S-36"/>
    <x v="65"/>
    <s v="QUEZADA VERGARA GABRIEL ANTONIO"/>
    <x v="4"/>
    <x v="0"/>
    <x v="1"/>
    <x v="1"/>
    <s v=""/>
    <x v="2"/>
    <s v="SALIENTE SERVICIO"/>
    <m/>
    <m/>
    <m/>
    <s v="O/S"/>
    <d v="2024-04-06T00:00:00"/>
    <m/>
    <s v="LISTO"/>
    <m/>
    <m/>
    <s v=""/>
    <n v="1"/>
    <n v="124"/>
    <n v="11"/>
    <n v="0"/>
    <s v="2T"/>
    <s v="1P"/>
    <s v="2T"/>
    <s v="1P"/>
    <s v="3T"/>
    <s v="SN"/>
    <m/>
    <m/>
    <m/>
    <m/>
    <m/>
    <m/>
    <m/>
    <m/>
    <m/>
    <m/>
    <m/>
    <m/>
    <m/>
    <m/>
    <m/>
    <m/>
    <m/>
    <m/>
    <m/>
    <m/>
    <m/>
    <m/>
    <m/>
    <m/>
    <m/>
    <m/>
    <m/>
    <m/>
    <m/>
    <m/>
    <m/>
    <d v="2023-07-06T00:00:00"/>
    <m/>
  </r>
  <r>
    <s v="018478E"/>
    <s v="ORTIZ RIVAS ELIAS ANTONIO"/>
    <n v="203864248"/>
    <s v="S-36"/>
    <x v="65"/>
    <s v="ORTIZ RIVAS ELIAS ANTONIO"/>
    <x v="5"/>
    <x v="0"/>
    <x v="1"/>
    <x v="1"/>
    <s v=""/>
    <x v="2"/>
    <s v="SALIENTE SERVICIO"/>
    <m/>
    <m/>
    <m/>
    <s v="O/S"/>
    <d v="2024-04-06T00:00:00"/>
    <s v="NOTIFICAR"/>
    <s v="AUTORIZADO ESTUDIAR NRO 14 "/>
    <m/>
    <m/>
    <s v=""/>
    <n v="1"/>
    <n v="124"/>
    <n v="12"/>
    <n v="0"/>
    <s v="2T"/>
    <s v="1T"/>
    <s v="2T"/>
    <s v="1P"/>
    <s v="3T"/>
    <s v="SN"/>
    <m/>
    <m/>
    <m/>
    <m/>
    <m/>
    <m/>
    <m/>
    <m/>
    <m/>
    <m/>
    <m/>
    <m/>
    <m/>
    <m/>
    <m/>
    <m/>
    <m/>
    <m/>
    <m/>
    <m/>
    <m/>
    <m/>
    <m/>
    <m/>
    <m/>
    <m/>
    <m/>
    <m/>
    <m/>
    <m/>
    <m/>
    <d v="2023-05-11T00:00:00"/>
    <m/>
  </r>
  <r>
    <s v="018938T"/>
    <s v="PERALTA LEON JENNIFER CAMILA"/>
    <n v="200281276"/>
    <s v="S-36"/>
    <x v="65"/>
    <s v="PERALTA LEON JENNIFER CAMILA"/>
    <x v="5"/>
    <x v="1"/>
    <x v="1"/>
    <x v="1"/>
    <s v=""/>
    <x v="2"/>
    <s v="SALIENTE SERVICIO"/>
    <m/>
    <m/>
    <m/>
    <s v="O/S"/>
    <d v="2024-04-06T00:00:00"/>
    <m/>
    <m/>
    <m/>
    <m/>
    <s v=""/>
    <n v="1"/>
    <n v="124"/>
    <n v="12"/>
    <n v="0"/>
    <s v="2T"/>
    <s v="1P"/>
    <s v="2T"/>
    <s v="1P"/>
    <s v="3T"/>
    <s v="SN"/>
    <m/>
    <m/>
    <m/>
    <m/>
    <m/>
    <m/>
    <m/>
    <m/>
    <m/>
    <m/>
    <m/>
    <m/>
    <m/>
    <m/>
    <m/>
    <m/>
    <m/>
    <m/>
    <m/>
    <m/>
    <m/>
    <m/>
    <m/>
    <m/>
    <m/>
    <m/>
    <m/>
    <m/>
    <m/>
    <m/>
    <m/>
    <d v="2023-06-06T00:00:00"/>
    <m/>
  </r>
  <r>
    <s v="020162X"/>
    <s v="REYES CASTILLO IGNACIO ANDRES"/>
    <n v="205092404"/>
    <s v="S-36"/>
    <x v="65"/>
    <s v="REYES CASTILLO IGNACIO ANDRES"/>
    <x v="5"/>
    <x v="0"/>
    <x v="1"/>
    <x v="1"/>
    <s v=""/>
    <x v="2"/>
    <s v="SALIENTE SERVICIO"/>
    <m/>
    <m/>
    <m/>
    <s v="O/S"/>
    <d v="2024-04-06T00:00:00"/>
    <m/>
    <s v="LISTO"/>
    <m/>
    <m/>
    <s v=""/>
    <n v="1"/>
    <n v="124"/>
    <n v="12"/>
    <n v="0"/>
    <s v="2T"/>
    <s v="1P"/>
    <s v="2T"/>
    <s v="1P"/>
    <s v="3T"/>
    <s v="SN"/>
    <m/>
    <m/>
    <m/>
    <m/>
    <m/>
    <m/>
    <m/>
    <m/>
    <m/>
    <m/>
    <m/>
    <m/>
    <m/>
    <m/>
    <m/>
    <m/>
    <m/>
    <m/>
    <m/>
    <m/>
    <m/>
    <m/>
    <m/>
    <m/>
    <m/>
    <m/>
    <m/>
    <m/>
    <m/>
    <m/>
    <m/>
    <d v="2023-07-05T00:00:00"/>
    <m/>
  </r>
  <r>
    <s v="013836G"/>
    <s v="VALLADARES CASTILLO JUAN OSVALDO"/>
    <n v="198188263"/>
    <s v="S-36"/>
    <x v="65"/>
    <s v="VALLADARES CASTILLO JUAN OSVALDO"/>
    <x v="5"/>
    <x v="0"/>
    <x v="1"/>
    <x v="1"/>
    <s v=""/>
    <x v="2"/>
    <s v="SALIENTE SERVICIO"/>
    <m/>
    <m/>
    <m/>
    <s v="O/S"/>
    <d v="2024-04-06T00:00:00"/>
    <m/>
    <s v="LISTO"/>
    <m/>
    <m/>
    <s v=""/>
    <n v="1"/>
    <n v="124"/>
    <n v="12"/>
    <n v="0"/>
    <s v="2T"/>
    <s v="1P"/>
    <s v="2T"/>
    <s v="1P"/>
    <s v="3T"/>
    <s v="SN"/>
    <m/>
    <m/>
    <m/>
    <m/>
    <m/>
    <m/>
    <m/>
    <m/>
    <m/>
    <m/>
    <m/>
    <m/>
    <m/>
    <m/>
    <m/>
    <m/>
    <m/>
    <m/>
    <m/>
    <m/>
    <m/>
    <m/>
    <m/>
    <m/>
    <m/>
    <m/>
    <m/>
    <m/>
    <m/>
    <m/>
    <m/>
    <d v="2023-08-01T00:00:00"/>
    <m/>
  </r>
  <r>
    <s v="968406C"/>
    <s v="MORALES LEVIO MARCO ANTONIO"/>
    <n v="145763495"/>
    <s v="S-37"/>
    <x v="66"/>
    <s v="MORALES LEVIO MARCO ANTONIO"/>
    <x v="3"/>
    <x v="0"/>
    <x v="1"/>
    <x v="1"/>
    <s v=""/>
    <x v="2"/>
    <s v="SALIENTE SERVICIO"/>
    <m/>
    <m/>
    <m/>
    <s v="O/S"/>
    <d v="2024-04-06T00:00:00"/>
    <m/>
    <s v="LISTO"/>
    <m/>
    <m/>
    <s v=""/>
    <n v="1"/>
    <n v="127"/>
    <n v="9"/>
    <n v="0"/>
    <s v="2T"/>
    <s v="1P"/>
    <s v="1T"/>
    <s v="1P"/>
    <s v="2P"/>
    <s v="SN"/>
    <m/>
    <m/>
    <m/>
    <m/>
    <m/>
    <m/>
    <m/>
    <m/>
    <m/>
    <m/>
    <m/>
    <m/>
    <m/>
    <m/>
    <m/>
    <m/>
    <m/>
    <m/>
    <m/>
    <m/>
    <m/>
    <m/>
    <m/>
    <m/>
    <m/>
    <m/>
    <m/>
    <m/>
    <m/>
    <m/>
    <m/>
    <d v="2023-05-22T00:00:00"/>
    <m/>
  </r>
  <r>
    <s v="997523E"/>
    <s v="ELGUETA MARTINEZ ROBERTO ANDRES"/>
    <s v="18536474-7"/>
    <s v="S-37"/>
    <x v="67"/>
    <s v="ELGUETA MARTINEZ ROBERTO ANDRES"/>
    <x v="4"/>
    <x v="0"/>
    <x v="1"/>
    <x v="1"/>
    <s v=""/>
    <x v="2"/>
    <s v="SALIENTE SERVICIO"/>
    <m/>
    <m/>
    <m/>
    <s v="O/S"/>
    <d v="1993-11-02T00:00:00"/>
    <s v="CITACION J.G PTE. ALTO_x000a_ 14-05-24 A LAS 12:00"/>
    <s v="PERSONAL SERV. OS10"/>
    <m/>
    <m/>
    <s v=""/>
    <n v="1"/>
    <n v="128"/>
    <n v="11"/>
    <n v="0"/>
    <s v="2T"/>
    <s v="1T"/>
    <s v="1T"/>
    <s v="1P"/>
    <s v="2P"/>
    <s v="SN"/>
    <m/>
    <m/>
    <m/>
    <m/>
    <m/>
    <m/>
    <m/>
    <m/>
    <m/>
    <m/>
    <m/>
    <m/>
    <m/>
    <m/>
    <m/>
    <m/>
    <m/>
    <m/>
    <m/>
    <m/>
    <m/>
    <m/>
    <m/>
    <m/>
    <m/>
    <m/>
    <m/>
    <m/>
    <m/>
    <m/>
    <m/>
    <d v="2023-11-28T00:00:00"/>
    <m/>
  </r>
  <r>
    <s v="998324X"/>
    <s v="OVANDO GODOY SERGIO ERNALDO"/>
    <s v="18525333-3"/>
    <s v="S-37"/>
    <x v="67"/>
    <s v="OVANDO GODOY SERGIO ERNALDO"/>
    <x v="4"/>
    <x v="0"/>
    <x v="1"/>
    <x v="1"/>
    <s v=""/>
    <x v="2"/>
    <s v="SALIENTE SERVICIO"/>
    <m/>
    <m/>
    <m/>
    <s v="O/S"/>
    <s v="00-00-00"/>
    <m/>
    <s v="LISTO"/>
    <m/>
    <m/>
    <s v=""/>
    <n v="1"/>
    <n v="128"/>
    <n v="11"/>
    <n v="0"/>
    <s v="2T"/>
    <s v="1P"/>
    <s v="1T"/>
    <s v="1P"/>
    <s v="2P"/>
    <s v="SN"/>
    <m/>
    <m/>
    <m/>
    <m/>
    <m/>
    <m/>
    <m/>
    <m/>
    <m/>
    <m/>
    <m/>
    <m/>
    <m/>
    <m/>
    <m/>
    <m/>
    <m/>
    <m/>
    <m/>
    <m/>
    <m/>
    <m/>
    <m/>
    <m/>
    <m/>
    <m/>
    <m/>
    <m/>
    <m/>
    <m/>
    <m/>
    <m/>
    <m/>
  </r>
  <r>
    <s v="997427E"/>
    <s v="PAREJAS RIVAS JAIME EMILIO"/>
    <s v="17410418-2"/>
    <s v="S-37"/>
    <x v="67"/>
    <s v="PAREJAS RIVAS JAIME EMILIO"/>
    <x v="4"/>
    <x v="0"/>
    <x v="1"/>
    <x v="1"/>
    <s v=""/>
    <x v="2"/>
    <s v="SALIENTE SERVICIO"/>
    <m/>
    <m/>
    <m/>
    <s v="O/S"/>
    <d v="1989-11-30T00:00:00"/>
    <m/>
    <s v="LISTO"/>
    <m/>
    <m/>
    <s v=""/>
    <n v="1"/>
    <n v="128"/>
    <n v="11"/>
    <n v="0"/>
    <s v="2T"/>
    <s v="1P"/>
    <s v="1T"/>
    <s v="1P"/>
    <s v="2P"/>
    <s v="SN"/>
    <m/>
    <m/>
    <m/>
    <m/>
    <m/>
    <m/>
    <m/>
    <m/>
    <m/>
    <m/>
    <m/>
    <m/>
    <m/>
    <m/>
    <m/>
    <m/>
    <m/>
    <m/>
    <m/>
    <m/>
    <m/>
    <m/>
    <m/>
    <m/>
    <m/>
    <m/>
    <m/>
    <m/>
    <m/>
    <m/>
    <m/>
    <d v="2024-03-11T00:00:00"/>
    <m/>
  </r>
  <r>
    <s v="020107Z"/>
    <s v="BARRA DEL VALLE SEBASTIAN IGNACIO"/>
    <n v="195811784"/>
    <s v="S-37"/>
    <x v="67"/>
    <s v="BARRA DEL VALLE SEBASTIAN IGNACIO"/>
    <x v="5"/>
    <x v="0"/>
    <x v="1"/>
    <x v="1"/>
    <s v=""/>
    <x v="2"/>
    <s v="SALIENTE SERVICIO"/>
    <m/>
    <m/>
    <m/>
    <s v="O/S"/>
    <d v="2024-04-06T00:00:00"/>
    <m/>
    <s v="LISTO"/>
    <m/>
    <m/>
    <s v=""/>
    <n v="1"/>
    <n v="128"/>
    <n v="12"/>
    <n v="0"/>
    <s v="2T"/>
    <s v="1P"/>
    <s v="1T"/>
    <s v="1P"/>
    <s v="2P"/>
    <s v="SN"/>
    <m/>
    <m/>
    <m/>
    <m/>
    <m/>
    <m/>
    <m/>
    <m/>
    <m/>
    <m/>
    <m/>
    <m/>
    <m/>
    <m/>
    <m/>
    <m/>
    <m/>
    <m/>
    <m/>
    <m/>
    <m/>
    <m/>
    <m/>
    <m/>
    <m/>
    <m/>
    <m/>
    <m/>
    <m/>
    <m/>
    <m/>
    <d v="2023-08-14T00:00:00"/>
    <m/>
  </r>
  <r>
    <s v="018345G"/>
    <s v="CABELLO ESPINOZA GENESIS PALOMA"/>
    <n v="193178367"/>
    <s v="S-37"/>
    <x v="67"/>
    <s v="CABELLO ESPINOZA GENESIS PALOMA (IFEX)"/>
    <x v="5"/>
    <x v="1"/>
    <x v="1"/>
    <x v="1"/>
    <s v="(IFEX)"/>
    <x v="2"/>
    <s v="SALIENTE SERVICIO"/>
    <m/>
    <m/>
    <m/>
    <s v="O/S"/>
    <d v="2024-04-06T00:00:00"/>
    <s v="CITACION FISCALIA ADMINISTRATIVA VIERNES 05 A LAS 09::00 HORAS DOE 203839931"/>
    <s v="LISTO"/>
    <m/>
    <m/>
    <s v=""/>
    <n v="1"/>
    <n v="128"/>
    <n v="12"/>
    <n v="0"/>
    <s v="2T"/>
    <s v="1P"/>
    <s v="1T"/>
    <s v="1P"/>
    <s v="2P"/>
    <s v="SN"/>
    <m/>
    <m/>
    <m/>
    <m/>
    <m/>
    <m/>
    <m/>
    <m/>
    <m/>
    <m/>
    <m/>
    <m/>
    <m/>
    <m/>
    <m/>
    <m/>
    <m/>
    <m/>
    <m/>
    <m/>
    <m/>
    <m/>
    <m/>
    <m/>
    <m/>
    <m/>
    <m/>
    <m/>
    <m/>
    <m/>
    <m/>
    <d v="2023-06-22T00:00:00"/>
    <m/>
  </r>
  <r>
    <s v="018891M"/>
    <s v="REBOLLEDO TRUJILLO RAUL IGNACIO"/>
    <n v="205381724"/>
    <s v="S-37"/>
    <x v="67"/>
    <s v="REBOLLEDO TRUJILLO RAUL IGNACIO"/>
    <x v="5"/>
    <x v="0"/>
    <x v="1"/>
    <x v="1"/>
    <s v=""/>
    <x v="2"/>
    <s v="SALIENTE SERVICIO"/>
    <m/>
    <m/>
    <m/>
    <s v="O/S"/>
    <d v="2024-04-06T00:00:00"/>
    <m/>
    <s v="LISTO"/>
    <m/>
    <m/>
    <s v=""/>
    <n v="1"/>
    <n v="128"/>
    <n v="12"/>
    <n v="0"/>
    <s v="2T"/>
    <s v="1P"/>
    <s v="1T"/>
    <s v="1P"/>
    <s v="2P"/>
    <s v="SN"/>
    <m/>
    <m/>
    <m/>
    <m/>
    <m/>
    <m/>
    <m/>
    <m/>
    <m/>
    <m/>
    <m/>
    <m/>
    <m/>
    <m/>
    <m/>
    <m/>
    <m/>
    <m/>
    <m/>
    <m/>
    <m/>
    <m/>
    <m/>
    <m/>
    <m/>
    <m/>
    <m/>
    <m/>
    <m/>
    <m/>
    <m/>
    <d v="2023-04-21T00:00:00"/>
    <m/>
  </r>
  <r>
    <s v="008807G"/>
    <s v="SOTO BUSTAMANTE JONATHAN ALEXIS"/>
    <n v="182004448"/>
    <s v="S-37"/>
    <x v="67"/>
    <s v="SOTO BUSTAMANTE JONATHAN ALEXIS            (L-P)"/>
    <x v="5"/>
    <x v="0"/>
    <x v="1"/>
    <x v="1"/>
    <s v="(L-P)"/>
    <x v="2"/>
    <s v="SALIENTE SERVICIO"/>
    <m/>
    <m/>
    <m/>
    <s v="O/S"/>
    <d v="2024-04-06T00:00:00"/>
    <m/>
    <s v="LISTO"/>
    <m/>
    <m/>
    <s v=""/>
    <n v="1"/>
    <n v="128"/>
    <n v="12"/>
    <n v="0"/>
    <s v="2T"/>
    <s v="1P"/>
    <s v="1T"/>
    <s v="1P"/>
    <s v="2P"/>
    <s v="SN"/>
    <m/>
    <m/>
    <m/>
    <m/>
    <m/>
    <m/>
    <m/>
    <m/>
    <m/>
    <m/>
    <m/>
    <m/>
    <m/>
    <m/>
    <m/>
    <m/>
    <m/>
    <m/>
    <m/>
    <m/>
    <m/>
    <m/>
    <m/>
    <m/>
    <m/>
    <m/>
    <m/>
    <m/>
    <m/>
    <m/>
    <m/>
    <d v="2023-06-19T00:00:00"/>
    <m/>
  </r>
  <r>
    <s v="947606F"/>
    <s v="GATICA NAVARRETE ROBERTO FELIPE"/>
    <n v="128881220"/>
    <s v="JEFE/S-38"/>
    <x v="68"/>
    <s v="GATICA NAVARRETE ROBERTO FELIPE"/>
    <x v="6"/>
    <x v="0"/>
    <x v="1"/>
    <x v="1"/>
    <s v=""/>
    <x v="2"/>
    <s v="SALIENTE SERVICIO"/>
    <m/>
    <m/>
    <m/>
    <s v="O/S"/>
    <d v="2024-04-06T00:00:00"/>
    <m/>
    <m/>
    <m/>
    <m/>
    <s v=""/>
    <n v="1"/>
    <n v="131"/>
    <n v="8"/>
    <n v="0"/>
    <s v="2T"/>
    <s v="2T"/>
    <s v="1T"/>
    <s v="1P"/>
    <s v="3T"/>
    <s v="SN"/>
    <m/>
    <m/>
    <m/>
    <m/>
    <m/>
    <m/>
    <m/>
    <m/>
    <m/>
    <m/>
    <m/>
    <m/>
    <m/>
    <m/>
    <m/>
    <m/>
    <m/>
    <m/>
    <m/>
    <m/>
    <m/>
    <m/>
    <m/>
    <m/>
    <m/>
    <m/>
    <m/>
    <m/>
    <m/>
    <m/>
    <m/>
    <d v="2023-06-01T00:00:00"/>
    <m/>
  </r>
  <r>
    <s v="983273V"/>
    <s v="SALDIAS LAGOS PATRICIO ALEJANDRO"/>
    <n v="174591768"/>
    <s v="S-38"/>
    <x v="69"/>
    <s v="SALDIAS LAGOS PATRICIO ALEJANDRO   (T)"/>
    <x v="1"/>
    <x v="0"/>
    <x v="1"/>
    <x v="1"/>
    <s v="(T)"/>
    <x v="2"/>
    <s v="SALIENTE SERVICIO"/>
    <m/>
    <m/>
    <m/>
    <s v="O/S"/>
    <d v="2024-04-06T00:00:00"/>
    <m/>
    <m/>
    <m/>
    <m/>
    <s v=""/>
    <n v="1"/>
    <n v="132"/>
    <n v="10"/>
    <n v="0"/>
    <s v="1P"/>
    <s v="1P"/>
    <s v="1T"/>
    <s v="1P"/>
    <s v="3T"/>
    <s v="SN"/>
    <m/>
    <m/>
    <m/>
    <m/>
    <m/>
    <m/>
    <m/>
    <m/>
    <m/>
    <m/>
    <m/>
    <m/>
    <m/>
    <m/>
    <m/>
    <m/>
    <m/>
    <m/>
    <m/>
    <m/>
    <m/>
    <m/>
    <m/>
    <m/>
    <m/>
    <m/>
    <m/>
    <m/>
    <m/>
    <m/>
    <m/>
    <d v="2023-08-07T00:00:00"/>
    <m/>
  </r>
  <r>
    <s v="982105M"/>
    <s v="HERRERA HERNADEZ MARCO ERNESTO"/>
    <n v="170725743"/>
    <s v="S-38"/>
    <x v="69"/>
    <s v="HERRERA HERNADEZ MARCO ERNESTO"/>
    <x v="4"/>
    <x v="0"/>
    <x v="1"/>
    <x v="1"/>
    <s v=""/>
    <x v="2"/>
    <s v="SALIENTE SERVICIO"/>
    <m/>
    <m/>
    <m/>
    <s v="O/S"/>
    <d v="2024-04-06T00:00:00"/>
    <m/>
    <s v="LISTO"/>
    <m/>
    <m/>
    <s v=""/>
    <n v="1"/>
    <n v="132"/>
    <n v="11"/>
    <n v="0"/>
    <s v="2T"/>
    <s v="2T"/>
    <s v="2T"/>
    <s v="1P"/>
    <s v="3T"/>
    <s v="SN"/>
    <m/>
    <m/>
    <m/>
    <m/>
    <m/>
    <m/>
    <m/>
    <m/>
    <m/>
    <m/>
    <m/>
    <m/>
    <m/>
    <m/>
    <m/>
    <m/>
    <m/>
    <m/>
    <m/>
    <m/>
    <m/>
    <m/>
    <m/>
    <m/>
    <m/>
    <m/>
    <m/>
    <m/>
    <m/>
    <m/>
    <m/>
    <d v="2023-04-17T00:00:00"/>
    <m/>
  </r>
  <r>
    <s v="016653T"/>
    <s v="CORDERO ALBORNOZ ALAM MATIAS"/>
    <s v="19.993.956-4"/>
    <s v="S-38"/>
    <x v="69"/>
    <s v="CORDERO ALBORNOZ ALAN MATIAS"/>
    <x v="5"/>
    <x v="0"/>
    <x v="1"/>
    <x v="1"/>
    <s v=""/>
    <x v="2"/>
    <s v="SALIENTE SERVICIO"/>
    <m/>
    <m/>
    <m/>
    <s v="O/S"/>
    <d v="2024-04-06T00:00:00"/>
    <m/>
    <s v="LISTO"/>
    <m/>
    <m/>
    <s v=""/>
    <n v="1"/>
    <n v="132"/>
    <n v="12"/>
    <n v="0"/>
    <s v="2T"/>
    <s v="2T"/>
    <s v="1T"/>
    <s v="1P"/>
    <s v="3T"/>
    <s v="SN"/>
    <m/>
    <m/>
    <m/>
    <m/>
    <m/>
    <m/>
    <m/>
    <m/>
    <m/>
    <m/>
    <m/>
    <m/>
    <m/>
    <m/>
    <m/>
    <m/>
    <m/>
    <m/>
    <m/>
    <m/>
    <m/>
    <m/>
    <m/>
    <m/>
    <m/>
    <m/>
    <m/>
    <m/>
    <m/>
    <m/>
    <m/>
    <d v="2024-03-19T00:00:00"/>
    <m/>
  </r>
  <r>
    <s v="018421M"/>
    <s v="ESQUIVEL CANCINO JOSE SEBASTIAN"/>
    <n v="199873849"/>
    <s v="S-38"/>
    <x v="69"/>
    <s v="ESQUIVEL CANCINO JOSE SEBASTIAN (IFEX)"/>
    <x v="5"/>
    <x v="0"/>
    <x v="1"/>
    <x v="1"/>
    <s v="(IFEX)"/>
    <x v="2"/>
    <s v="SALIENTE SERVICIO"/>
    <m/>
    <m/>
    <m/>
    <s v="O/S"/>
    <d v="2024-04-06T00:00:00"/>
    <m/>
    <s v="LISTO"/>
    <m/>
    <m/>
    <s v=""/>
    <n v="1"/>
    <n v="132"/>
    <n v="12"/>
    <n v="0"/>
    <s v="2T"/>
    <s v="2T"/>
    <s v="2T"/>
    <s v="1P"/>
    <s v="3T"/>
    <s v="SN"/>
    <m/>
    <m/>
    <m/>
    <m/>
    <m/>
    <m/>
    <m/>
    <m/>
    <m/>
    <m/>
    <m/>
    <m/>
    <m/>
    <m/>
    <m/>
    <m/>
    <m/>
    <m/>
    <m/>
    <m/>
    <m/>
    <m/>
    <m/>
    <m/>
    <m/>
    <m/>
    <m/>
    <m/>
    <m/>
    <m/>
    <m/>
    <d v="2023-08-04T00:00:00"/>
    <m/>
  </r>
  <r>
    <s v="017106R"/>
    <s v="ESTRADA OCHOA MANUEL IGNACIO"/>
    <s v="20255296K"/>
    <s v="S-38"/>
    <x v="69"/>
    <s v="ESTRADA OCHOA MANUEL IGNACIO"/>
    <x v="5"/>
    <x v="0"/>
    <x v="1"/>
    <x v="1"/>
    <s v=""/>
    <x v="2"/>
    <s v="SALIENTE SERVICIO"/>
    <m/>
    <m/>
    <m/>
    <s v="O/S"/>
    <d v="2024-04-06T00:00:00"/>
    <m/>
    <s v="LISTO"/>
    <m/>
    <m/>
    <s v=""/>
    <n v="1"/>
    <n v="132"/>
    <n v="12"/>
    <n v="0"/>
    <s v="2T"/>
    <s v="2T"/>
    <s v="1T"/>
    <s v="1P"/>
    <s v="3T"/>
    <s v="SN"/>
    <m/>
    <m/>
    <m/>
    <m/>
    <m/>
    <m/>
    <m/>
    <m/>
    <m/>
    <m/>
    <m/>
    <m/>
    <m/>
    <m/>
    <m/>
    <m/>
    <m/>
    <m/>
    <m/>
    <m/>
    <m/>
    <m/>
    <m/>
    <m/>
    <m/>
    <m/>
    <m/>
    <m/>
    <m/>
    <m/>
    <m/>
    <d v="2023-04-12T00:00:00"/>
    <m/>
  </r>
  <r>
    <s v="018293V"/>
    <s v="GARRIDO BARRIA JAVIERA ALEJANDRA"/>
    <n v="189202997"/>
    <s v="S-38"/>
    <x v="69"/>
    <s v="GARRIDO BARRIA JAVIERA ALEJANDRA (IFEX)"/>
    <x v="5"/>
    <x v="1"/>
    <x v="1"/>
    <x v="1"/>
    <s v="(IFEX)"/>
    <x v="2"/>
    <s v="SALIENTE SERVICIO"/>
    <m/>
    <m/>
    <m/>
    <s v="O/S"/>
    <d v="2024-04-06T00:00:00"/>
    <m/>
    <s v="LISTO"/>
    <m/>
    <m/>
    <s v=""/>
    <n v="1"/>
    <n v="132"/>
    <n v="12"/>
    <n v="0"/>
    <s v="2T"/>
    <s v="2T"/>
    <s v="1T"/>
    <s v="1P"/>
    <s v="3T"/>
    <s v="SN"/>
    <m/>
    <m/>
    <m/>
    <m/>
    <m/>
    <m/>
    <m/>
    <m/>
    <m/>
    <m/>
    <m/>
    <m/>
    <m/>
    <m/>
    <m/>
    <m/>
    <m/>
    <m/>
    <m/>
    <m/>
    <m/>
    <m/>
    <m/>
    <m/>
    <m/>
    <m/>
    <m/>
    <m/>
    <m/>
    <m/>
    <m/>
    <d v="2023-08-10T00:00:00"/>
    <m/>
  </r>
  <r>
    <s v="965865U"/>
    <s v="JARA ELGUETA JUAN"/>
    <s v="15165360K"/>
    <s v="JEFE/S-39"/>
    <x v="70"/>
    <s v="JARA ELGUETA JUAN"/>
    <x v="3"/>
    <x v="0"/>
    <x v="1"/>
    <x v="1"/>
    <s v=""/>
    <x v="1"/>
    <s v="ARIETE 22"/>
    <m/>
    <m/>
    <m/>
    <s v="O/S"/>
    <d v="2024-04-06T00:00:00"/>
    <m/>
    <s v="LISTO"/>
    <m/>
    <m/>
    <s v=""/>
    <n v="1"/>
    <n v="135"/>
    <n v="9"/>
    <n v="0"/>
    <s v="3T"/>
    <s v="SN"/>
    <s v="2T"/>
    <s v="1P"/>
    <s v="1T"/>
    <s v="1P"/>
    <m/>
    <m/>
    <m/>
    <m/>
    <m/>
    <m/>
    <m/>
    <m/>
    <m/>
    <m/>
    <m/>
    <m/>
    <m/>
    <m/>
    <m/>
    <m/>
    <m/>
    <m/>
    <m/>
    <m/>
    <m/>
    <m/>
    <m/>
    <m/>
    <m/>
    <m/>
    <m/>
    <m/>
    <m/>
    <m/>
    <m/>
    <d v="2023-04-24T00:00:00"/>
    <m/>
  </r>
  <r>
    <s v="967003S"/>
    <s v="ZUÑIGA MONTECINO JUAN ANDRES"/>
    <n v="140211702"/>
    <s v="S-39"/>
    <x v="71"/>
    <s v="ZUÑIGA MONTECINO JUAN ANDRES"/>
    <x v="3"/>
    <x v="0"/>
    <x v="1"/>
    <x v="1"/>
    <s v=""/>
    <x v="1"/>
    <s v="ARIETE 22"/>
    <m/>
    <m/>
    <m/>
    <s v="O/S"/>
    <d v="2024-04-06T00:00:00"/>
    <m/>
    <m/>
    <m/>
    <m/>
    <s v=""/>
    <n v="1"/>
    <n v="136"/>
    <n v="9"/>
    <n v="0"/>
    <s v="ADM."/>
    <s v="PER."/>
    <s v="2T"/>
    <s v="1P"/>
    <s v="2T"/>
    <s v="1P"/>
    <m/>
    <m/>
    <m/>
    <m/>
    <m/>
    <m/>
    <m/>
    <m/>
    <m/>
    <m/>
    <m/>
    <m/>
    <m/>
    <m/>
    <m/>
    <m/>
    <m/>
    <m/>
    <m/>
    <m/>
    <m/>
    <m/>
    <m/>
    <m/>
    <m/>
    <m/>
    <m/>
    <m/>
    <m/>
    <m/>
    <m/>
    <d v="2023-07-28T00:00:00"/>
    <m/>
  </r>
  <r>
    <s v="971602B"/>
    <s v="RIOS MUÑOZ ARIEL MOISES"/>
    <n v="138365506"/>
    <s v="S-39"/>
    <x v="71"/>
    <s v="RIOS MUÑOZ ARIEL MOISES"/>
    <x v="1"/>
    <x v="0"/>
    <x v="1"/>
    <x v="1"/>
    <s v=""/>
    <x v="1"/>
    <s v="ARIETE 22"/>
    <m/>
    <m/>
    <m/>
    <s v="O/S"/>
    <d v="2024-04-06T00:00:00"/>
    <m/>
    <s v="LISTO"/>
    <m/>
    <m/>
    <s v=""/>
    <n v="1"/>
    <n v="136"/>
    <n v="10"/>
    <n v="0"/>
    <s v="LIC."/>
    <s v="LIC."/>
    <s v="LIC."/>
    <s v="LIC."/>
    <s v="LIC."/>
    <s v="1P"/>
    <m/>
    <m/>
    <m/>
    <m/>
    <m/>
    <m/>
    <m/>
    <m/>
    <m/>
    <m/>
    <m/>
    <m/>
    <m/>
    <m/>
    <m/>
    <m/>
    <m/>
    <m/>
    <m/>
    <m/>
    <m/>
    <m/>
    <m/>
    <m/>
    <m/>
    <m/>
    <m/>
    <m/>
    <m/>
    <m/>
    <m/>
    <d v="2023-08-07T00:00:00"/>
    <m/>
  </r>
  <r>
    <s v="986309D"/>
    <s v="MORA TORRES ECSMAYN ALBERTO"/>
    <n v="168110529"/>
    <s v="S-39"/>
    <x v="71"/>
    <s v="MORA TORRES JECSMAYN ALBERTO             ( T-LA )"/>
    <x v="4"/>
    <x v="0"/>
    <x v="1"/>
    <x v="1"/>
    <s v="( T-LA )"/>
    <x v="1"/>
    <s v="ARIETE 22"/>
    <m/>
    <m/>
    <m/>
    <s v="O/S"/>
    <d v="2024-04-06T00:00:00"/>
    <s v="CITADO A J2 10-04-24 A LAS 10:30 HRS"/>
    <m/>
    <m/>
    <m/>
    <s v=""/>
    <n v="1"/>
    <n v="136"/>
    <n v="11"/>
    <n v="0"/>
    <s v="1P"/>
    <s v="1P"/>
    <s v="1P"/>
    <s v="1P"/>
    <s v="2T"/>
    <s v="1P"/>
    <m/>
    <m/>
    <m/>
    <m/>
    <m/>
    <m/>
    <m/>
    <m/>
    <m/>
    <m/>
    <m/>
    <m/>
    <m/>
    <m/>
    <m/>
    <m/>
    <m/>
    <m/>
    <m/>
    <m/>
    <m/>
    <m/>
    <m/>
    <m/>
    <m/>
    <m/>
    <m/>
    <m/>
    <m/>
    <m/>
    <m/>
    <d v="2023-05-24T00:00:00"/>
    <m/>
  </r>
  <r>
    <s v="985259H"/>
    <s v="NAHUELPAN ANTIL ALEXIS JUAN"/>
    <s v="16980017-1"/>
    <s v="S-39"/>
    <x v="71"/>
    <s v="NAHUELPAN ANTIL ALEXIS JUAN"/>
    <x v="4"/>
    <x v="0"/>
    <x v="1"/>
    <x v="1"/>
    <s v=""/>
    <x v="1"/>
    <s v="ARIETE 22"/>
    <m/>
    <m/>
    <m/>
    <s v="O/S"/>
    <s v="00-00-00"/>
    <s v="CITADO T.J.O.P IQUIQUE 09-04-24 A LAS 11:00 HRS. / NOTIFICAR"/>
    <s v="LISTO"/>
    <m/>
    <m/>
    <s v=""/>
    <n v="1"/>
    <n v="136"/>
    <n v="11"/>
    <n v="0"/>
    <s v="3T"/>
    <s v="SN"/>
    <s v="2T"/>
    <s v="PER."/>
    <s v="2T"/>
    <s v="1P"/>
    <m/>
    <m/>
    <m/>
    <m/>
    <m/>
    <m/>
    <m/>
    <m/>
    <m/>
    <m/>
    <m/>
    <m/>
    <m/>
    <m/>
    <m/>
    <m/>
    <m/>
    <m/>
    <m/>
    <m/>
    <m/>
    <m/>
    <m/>
    <m/>
    <m/>
    <m/>
    <m/>
    <m/>
    <m/>
    <m/>
    <m/>
    <m/>
    <m/>
  </r>
  <r>
    <s v="995427C"/>
    <s v="VARGAS NEIRA HECTOR OSVALDO"/>
    <n v="167368840"/>
    <s v="S-39"/>
    <x v="71"/>
    <s v="VARGAS NEIRA HECTOR OSVALDO              (T)    "/>
    <x v="4"/>
    <x v="0"/>
    <x v="1"/>
    <x v="1"/>
    <s v="(T)    "/>
    <x v="1"/>
    <s v="ARIETE 22"/>
    <m/>
    <m/>
    <m/>
    <s v="O/S"/>
    <d v="2024-04-06T00:00:00"/>
    <m/>
    <s v="DOE. 202831455 // 5° TRIBUNAL DE JUCIO ORAL EN LO PENAL, PARA EL DIA 10.05.2024, A LAS 09:00 HORAS."/>
    <m/>
    <m/>
    <s v=""/>
    <n v="1"/>
    <n v="136"/>
    <n v="11"/>
    <n v="0"/>
    <s v="PER."/>
    <s v="PER."/>
    <s v="2T"/>
    <s v="1P"/>
    <s v="1T"/>
    <s v="1P"/>
    <m/>
    <m/>
    <m/>
    <m/>
    <m/>
    <m/>
    <m/>
    <m/>
    <m/>
    <m/>
    <m/>
    <m/>
    <m/>
    <m/>
    <m/>
    <m/>
    <m/>
    <m/>
    <m/>
    <m/>
    <m/>
    <m/>
    <m/>
    <m/>
    <m/>
    <m/>
    <m/>
    <m/>
    <m/>
    <m/>
    <m/>
    <d v="2023-07-25T00:00:00"/>
    <m/>
  </r>
  <r>
    <s v="018513R"/>
    <s v="CANDIA LEPEZ DANIEL ALEXANDER"/>
    <n v="205697225"/>
    <s v="S-39"/>
    <x v="71"/>
    <s v="CANDIA LEPEZ DANIEL ALEXANDER"/>
    <x v="5"/>
    <x v="0"/>
    <x v="1"/>
    <x v="1"/>
    <s v=""/>
    <x v="1"/>
    <s v="ARIETE 22"/>
    <m/>
    <m/>
    <m/>
    <s v="O/S"/>
    <d v="2024-04-06T00:00:00"/>
    <m/>
    <s v="LISTO"/>
    <m/>
    <m/>
    <s v=""/>
    <n v="1"/>
    <n v="136"/>
    <n v="12"/>
    <n v="0"/>
    <s v="3T"/>
    <s v="SN"/>
    <s v="2T"/>
    <s v="1P"/>
    <s v="2T"/>
    <s v="1P"/>
    <m/>
    <m/>
    <m/>
    <m/>
    <m/>
    <m/>
    <m/>
    <m/>
    <m/>
    <m/>
    <m/>
    <m/>
    <m/>
    <m/>
    <m/>
    <m/>
    <m/>
    <m/>
    <m/>
    <m/>
    <m/>
    <m/>
    <m/>
    <m/>
    <m/>
    <m/>
    <m/>
    <m/>
    <m/>
    <m/>
    <m/>
    <d v="2023-04-26T00:00:00"/>
    <m/>
  </r>
  <r>
    <s v="020084M"/>
    <s v="PAREDES HERRERA ROBERTO ARIEL"/>
    <n v="203735928"/>
    <s v="S-39"/>
    <x v="71"/>
    <s v="PAREDES HERRERA ROBERTO ARIEL"/>
    <x v="5"/>
    <x v="0"/>
    <x v="1"/>
    <x v="1"/>
    <s v=""/>
    <x v="1"/>
    <s v="ARIETE 22"/>
    <m/>
    <m/>
    <m/>
    <s v="O/S"/>
    <d v="2024-04-06T00:00:00"/>
    <m/>
    <s v="LISTO"/>
    <m/>
    <m/>
    <s v=""/>
    <n v="1"/>
    <n v="136"/>
    <n v="12"/>
    <n v="0"/>
    <s v="3T"/>
    <s v="SN"/>
    <s v="2T"/>
    <s v="1P"/>
    <s v="1T"/>
    <s v="1P"/>
    <m/>
    <m/>
    <m/>
    <m/>
    <m/>
    <m/>
    <m/>
    <m/>
    <m/>
    <m/>
    <m/>
    <m/>
    <m/>
    <m/>
    <m/>
    <m/>
    <m/>
    <m/>
    <m/>
    <m/>
    <m/>
    <m/>
    <m/>
    <m/>
    <m/>
    <m/>
    <m/>
    <m/>
    <m/>
    <m/>
    <m/>
    <d v="2023-04-18T00:00:00"/>
    <m/>
  </r>
  <r>
    <s v="019222W"/>
    <s v="PEÑA PEÑA RICARDO IGNACIO"/>
    <n v="185575721"/>
    <s v="S-39"/>
    <x v="71"/>
    <s v="PEÑA PEÑA RICARDO IGNACIO (IFEX)"/>
    <x v="5"/>
    <x v="0"/>
    <x v="1"/>
    <x v="1"/>
    <s v="(IFEX)"/>
    <x v="1"/>
    <s v="ARIETE 22"/>
    <m/>
    <m/>
    <m/>
    <s v="O/S"/>
    <d v="2024-04-06T00:00:00"/>
    <m/>
    <s v="LISTO"/>
    <m/>
    <m/>
    <s v=""/>
    <n v="1"/>
    <n v="136"/>
    <n v="12"/>
    <n v="0"/>
    <s v="3T"/>
    <s v="SN"/>
    <s v="2T"/>
    <s v="1P"/>
    <s v="1T"/>
    <s v="1P"/>
    <m/>
    <m/>
    <m/>
    <m/>
    <m/>
    <m/>
    <m/>
    <m/>
    <m/>
    <m/>
    <m/>
    <m/>
    <m/>
    <m/>
    <m/>
    <m/>
    <m/>
    <m/>
    <m/>
    <m/>
    <m/>
    <m/>
    <m/>
    <m/>
    <m/>
    <m/>
    <m/>
    <m/>
    <m/>
    <m/>
    <m/>
    <d v="2023-04-28T00:00:00"/>
    <m/>
  </r>
  <r>
    <s v="019126N"/>
    <s v="SANDOVAL CAMPOS LEONARDO JAVIER"/>
    <n v="194365527"/>
    <s v="S-39"/>
    <x v="71"/>
    <s v="SANDOVAL CAMPOS LEONARDO JAVIER ( IFEX )"/>
    <x v="5"/>
    <x v="0"/>
    <x v="1"/>
    <x v="1"/>
    <s v="( IFEX )"/>
    <x v="1"/>
    <s v="ARIETE 22"/>
    <m/>
    <m/>
    <m/>
    <s v="O/S"/>
    <d v="2024-04-06T00:00:00"/>
    <s v="NOTIFICAR"/>
    <s v="LISTO"/>
    <m/>
    <m/>
    <s v=""/>
    <n v="1"/>
    <n v="136"/>
    <n v="12"/>
    <n v="0"/>
    <s v="3T"/>
    <s v="SN"/>
    <s v="2T"/>
    <s v="1P"/>
    <s v="2T"/>
    <s v="1P"/>
    <m/>
    <m/>
    <m/>
    <m/>
    <m/>
    <m/>
    <m/>
    <m/>
    <m/>
    <m/>
    <m/>
    <m/>
    <m/>
    <m/>
    <m/>
    <m/>
    <m/>
    <m/>
    <m/>
    <m/>
    <m/>
    <m/>
    <m/>
    <m/>
    <m/>
    <m/>
    <m/>
    <m/>
    <m/>
    <m/>
    <m/>
    <d v="2023-04-25T00:00:00"/>
    <m/>
  </r>
  <r>
    <s v="021806K"/>
    <s v="FUENTES GONZALEZ VALENTINA ANDREA"/>
    <s v="18,877,931-K"/>
    <s v="S-39"/>
    <x v="71"/>
    <s v="FUENTES GONZALEZ VALENTINA ANDREA"/>
    <x v="9"/>
    <x v="1"/>
    <x v="1"/>
    <x v="1"/>
    <s v=""/>
    <x v="1"/>
    <s v="ARIETE 22"/>
    <m/>
    <m/>
    <m/>
    <s v="O/S"/>
    <d v="2024-04-06T00:00:00"/>
    <s v="NOTIFICAR"/>
    <s v="LISTO"/>
    <m/>
    <m/>
    <s v=""/>
    <n v="1"/>
    <n v="136"/>
    <n v="13"/>
    <n v="0"/>
    <s v="3T"/>
    <s v="SN"/>
    <s v="2T"/>
    <s v="1P"/>
    <s v="2T"/>
    <s v="1P"/>
    <m/>
    <m/>
    <m/>
    <m/>
    <m/>
    <m/>
    <m/>
    <m/>
    <m/>
    <m/>
    <m/>
    <m/>
    <m/>
    <m/>
    <m/>
    <m/>
    <m/>
    <m/>
    <m/>
    <m/>
    <m/>
    <m/>
    <m/>
    <m/>
    <m/>
    <m/>
    <m/>
    <m/>
    <m/>
    <m/>
    <m/>
    <d v="2023-07-17T00:00:00"/>
    <m/>
  </r>
  <r>
    <s v="957952T"/>
    <s v="VALENZUELA AGUILERA ENZO"/>
    <n v="125054404"/>
    <s v="JEFE/S-40"/>
    <x v="72"/>
    <s v="VALENZUELA AGUILERA ENZO ANTONIO"/>
    <x v="6"/>
    <x v="0"/>
    <x v="1"/>
    <x v="1"/>
    <s v=""/>
    <x v="1"/>
    <s v="ARIETE 22"/>
    <m/>
    <m/>
    <m/>
    <s v="O/S"/>
    <d v="2024-04-06T00:00:00"/>
    <m/>
    <s v="LISTO"/>
    <m/>
    <m/>
    <s v=""/>
    <n v="1"/>
    <n v="139"/>
    <n v="8"/>
    <n v="0"/>
    <s v="3T"/>
    <s v="SN"/>
    <s v="2T"/>
    <s v="2T"/>
    <s v="2T"/>
    <s v="1P"/>
    <m/>
    <m/>
    <m/>
    <m/>
    <m/>
    <m/>
    <m/>
    <m/>
    <m/>
    <m/>
    <m/>
    <m/>
    <m/>
    <m/>
    <m/>
    <m/>
    <m/>
    <m/>
    <m/>
    <m/>
    <m/>
    <m/>
    <m/>
    <m/>
    <m/>
    <m/>
    <m/>
    <m/>
    <m/>
    <m/>
    <m/>
    <d v="2023-04-27T00:00:00"/>
    <m/>
  </r>
  <r>
    <s v="945120Z"/>
    <s v="HENRIQUEZ TAPIA FERNANDO ANDRES"/>
    <n v="125957269"/>
    <s v="S-40"/>
    <x v="73"/>
    <s v="HENRIQUEZ TAPIA FERNANDO ANDRES"/>
    <x v="3"/>
    <x v="0"/>
    <x v="1"/>
    <x v="1"/>
    <s v=""/>
    <x v="1"/>
    <s v="ARIETE 22"/>
    <m/>
    <m/>
    <m/>
    <s v="O/S"/>
    <d v="2024-04-06T00:00:00"/>
    <m/>
    <s v="LISTO"/>
    <m/>
    <m/>
    <s v=""/>
    <n v="1"/>
    <n v="140"/>
    <n v="9"/>
    <n v="0"/>
    <s v="3T"/>
    <s v="SN"/>
    <s v="2T"/>
    <s v="2T"/>
    <s v="2T"/>
    <s v="1P"/>
    <m/>
    <m/>
    <m/>
    <m/>
    <m/>
    <m/>
    <m/>
    <m/>
    <m/>
    <m/>
    <m/>
    <m/>
    <m/>
    <m/>
    <m/>
    <m/>
    <m/>
    <m/>
    <m/>
    <m/>
    <m/>
    <m/>
    <m/>
    <m/>
    <m/>
    <m/>
    <m/>
    <m/>
    <m/>
    <m/>
    <m/>
    <d v="2023-05-23T00:00:00"/>
    <m/>
  </r>
  <r>
    <s v="984042J"/>
    <s v="MARCO ROCA RUBEN ELIAS"/>
    <s v="17.448.653-0"/>
    <s v="S-40"/>
    <x v="73"/>
    <s v="MARCOS ROCA RUBEN ELIAS"/>
    <x v="1"/>
    <x v="0"/>
    <x v="1"/>
    <x v="1"/>
    <s v=""/>
    <x v="1"/>
    <s v="ARIETE 22"/>
    <m/>
    <m/>
    <m/>
    <s v="O/S"/>
    <d v="2024-04-06T00:00:00"/>
    <m/>
    <s v="LISTO"/>
    <m/>
    <m/>
    <s v=""/>
    <n v="1"/>
    <n v="140"/>
    <n v="10"/>
    <n v="0"/>
    <s v="3T"/>
    <s v="SN"/>
    <s v="2T"/>
    <s v="2T"/>
    <s v="2T"/>
    <s v="1P"/>
    <m/>
    <m/>
    <m/>
    <m/>
    <m/>
    <m/>
    <m/>
    <m/>
    <m/>
    <m/>
    <m/>
    <m/>
    <m/>
    <m/>
    <m/>
    <m/>
    <m/>
    <m/>
    <m/>
    <m/>
    <m/>
    <m/>
    <m/>
    <m/>
    <m/>
    <m/>
    <m/>
    <m/>
    <m/>
    <m/>
    <m/>
    <d v="2023-06-16T00:00:00"/>
    <m/>
  </r>
  <r>
    <s v="960875D"/>
    <s v="MEDINA VILLEGAS CARLOS ALEJANDRO (P)"/>
    <n v="135788767"/>
    <s v="S-40"/>
    <x v="73"/>
    <s v="MEDINA VILLEGAS CARLOS ALEJANDRO       (P)"/>
    <x v="1"/>
    <x v="0"/>
    <x v="1"/>
    <x v="1"/>
    <s v="(P)"/>
    <x v="1"/>
    <s v="ARIETE 22"/>
    <m/>
    <m/>
    <m/>
    <s v="O/S"/>
    <d v="1979-06-27T00:00:00"/>
    <s v="NOTIFICAR"/>
    <s v="FRANCO 23-24"/>
    <m/>
    <m/>
    <s v=""/>
    <n v="1"/>
    <n v="140"/>
    <n v="10"/>
    <n v="0"/>
    <s v="3T"/>
    <s v="SN"/>
    <s v="2T"/>
    <s v="2T"/>
    <s v="2T"/>
    <s v="1P"/>
    <m/>
    <m/>
    <m/>
    <m/>
    <m/>
    <m/>
    <m/>
    <m/>
    <m/>
    <m/>
    <m/>
    <m/>
    <m/>
    <m/>
    <m/>
    <m/>
    <m/>
    <m/>
    <m/>
    <m/>
    <m/>
    <m/>
    <m/>
    <m/>
    <m/>
    <m/>
    <m/>
    <m/>
    <m/>
    <m/>
    <m/>
    <m/>
    <m/>
  </r>
  <r>
    <s v="015449W"/>
    <s v="CEBALLOS ORTEGA SANDRO ALEX"/>
    <s v="19070253-7"/>
    <s v="S-40"/>
    <x v="73"/>
    <s v="CEBALLOS ORTEGA SANDRO ALEX"/>
    <x v="5"/>
    <x v="0"/>
    <x v="1"/>
    <x v="1"/>
    <s v=""/>
    <x v="1"/>
    <s v="ARIETE 22"/>
    <m/>
    <m/>
    <m/>
    <s v="O/S"/>
    <d v="2024-04-06T00:00:00"/>
    <m/>
    <s v="LISTO"/>
    <m/>
    <m/>
    <s v=""/>
    <n v="1"/>
    <n v="140"/>
    <n v="12"/>
    <n v="0"/>
    <s v="3T"/>
    <s v="SN"/>
    <s v="2T"/>
    <s v="2T"/>
    <s v="2T"/>
    <s v="1P"/>
    <m/>
    <m/>
    <m/>
    <m/>
    <m/>
    <m/>
    <m/>
    <m/>
    <m/>
    <m/>
    <m/>
    <m/>
    <m/>
    <m/>
    <m/>
    <m/>
    <m/>
    <m/>
    <m/>
    <m/>
    <m/>
    <m/>
    <m/>
    <m/>
    <m/>
    <m/>
    <m/>
    <m/>
    <m/>
    <m/>
    <m/>
    <d v="2021-11-24T00:00:00"/>
    <m/>
  </r>
  <r>
    <s v="018888S"/>
    <s v="ROJAS SERON JORGE OSVALDO"/>
    <n v="202199976"/>
    <s v="S-40"/>
    <x v="73"/>
    <s v="ROJAS SERON JORGE ORLANDO"/>
    <x v="5"/>
    <x v="0"/>
    <x v="1"/>
    <x v="1"/>
    <s v=""/>
    <x v="1"/>
    <s v="ARIETE 22"/>
    <m/>
    <m/>
    <m/>
    <s v="O/S"/>
    <d v="2024-04-06T00:00:00"/>
    <m/>
    <s v="LISTO"/>
    <m/>
    <m/>
    <s v=""/>
    <n v="1"/>
    <n v="140"/>
    <n v="12"/>
    <n v="0"/>
    <s v="3T"/>
    <s v="SN"/>
    <s v="2T"/>
    <s v="1T"/>
    <s v="2T"/>
    <s v="1P"/>
    <m/>
    <m/>
    <m/>
    <m/>
    <m/>
    <m/>
    <m/>
    <m/>
    <m/>
    <m/>
    <m/>
    <m/>
    <m/>
    <m/>
    <m/>
    <m/>
    <m/>
    <m/>
    <m/>
    <m/>
    <m/>
    <m/>
    <m/>
    <m/>
    <m/>
    <m/>
    <m/>
    <m/>
    <m/>
    <m/>
    <m/>
    <d v="2023-04-24T00:00:00"/>
    <m/>
  </r>
  <r>
    <s v="019156U"/>
    <s v="RUIZ VIDAL IAN CARLOS FERNANDO"/>
    <n v="205170529"/>
    <s v="S-40"/>
    <x v="73"/>
    <s v="RUIZ VIDAL IAN CARLOS FERNANDO"/>
    <x v="5"/>
    <x v="0"/>
    <x v="1"/>
    <x v="1"/>
    <s v=""/>
    <x v="1"/>
    <s v="ARIETE 22"/>
    <m/>
    <m/>
    <m/>
    <s v="O/S"/>
    <d v="2024-04-06T00:00:00"/>
    <m/>
    <s v="LISTO"/>
    <m/>
    <m/>
    <s v=""/>
    <n v="1"/>
    <n v="140"/>
    <n v="12"/>
    <n v="0"/>
    <s v="3T"/>
    <s v="SN"/>
    <s v="2T"/>
    <s v="1T"/>
    <s v="2T"/>
    <s v="1P"/>
    <m/>
    <m/>
    <m/>
    <m/>
    <m/>
    <m/>
    <m/>
    <m/>
    <m/>
    <m/>
    <m/>
    <m/>
    <m/>
    <m/>
    <m/>
    <m/>
    <m/>
    <m/>
    <m/>
    <m/>
    <m/>
    <m/>
    <m/>
    <m/>
    <m/>
    <m/>
    <m/>
    <m/>
    <m/>
    <m/>
    <m/>
    <d v="2023-05-29T00:00:00"/>
    <m/>
  </r>
  <r>
    <s v="017042K"/>
    <s v="SABANDO VARELA CONSTANZA BELEN"/>
    <n v="201904641"/>
    <s v="S-40"/>
    <x v="73"/>
    <s v="SABANDO VARELA CONSTANZA BELEN (IFEX)"/>
    <x v="5"/>
    <x v="1"/>
    <x v="1"/>
    <x v="1"/>
    <s v="(IFEX)"/>
    <x v="1"/>
    <s v="ARIETE 22"/>
    <m/>
    <m/>
    <m/>
    <s v="O/S"/>
    <d v="2024-04-06T00:00:00"/>
    <m/>
    <s v="LISTO"/>
    <m/>
    <m/>
    <s v=""/>
    <n v="1"/>
    <n v="140"/>
    <n v="12"/>
    <n v="0"/>
    <s v="3T"/>
    <s v="SN"/>
    <s v="2T"/>
    <s v="1T"/>
    <s v="2T"/>
    <s v="1P"/>
    <m/>
    <m/>
    <m/>
    <m/>
    <m/>
    <m/>
    <m/>
    <m/>
    <m/>
    <m/>
    <m/>
    <m/>
    <m/>
    <m/>
    <m/>
    <m/>
    <m/>
    <m/>
    <m/>
    <m/>
    <m/>
    <m/>
    <m/>
    <m/>
    <m/>
    <m/>
    <m/>
    <m/>
    <m/>
    <m/>
    <m/>
    <d v="2023-04-28T00:00:00"/>
    <m/>
  </r>
  <r>
    <s v="952593P"/>
    <s v="HENRIQUEZ JARAMILLO FIDEL"/>
    <n v="145606039"/>
    <s v="JEFE/S-41"/>
    <x v="74"/>
    <s v="HENRIQUEZ JARAMILLO FIDEL"/>
    <x v="6"/>
    <x v="0"/>
    <x v="1"/>
    <x v="1"/>
    <s v=""/>
    <x v="1"/>
    <s v="ARIETE 23"/>
    <m/>
    <m/>
    <m/>
    <s v="O/S"/>
    <d v="2024-04-06T00:00:00"/>
    <m/>
    <s v="LISTO"/>
    <m/>
    <m/>
    <s v=""/>
    <n v="1"/>
    <n v="143"/>
    <n v="8"/>
    <n v="0"/>
    <s v="3T"/>
    <s v="SN"/>
    <s v="2T"/>
    <s v="2T"/>
    <s v="1T"/>
    <s v="1P"/>
    <m/>
    <m/>
    <m/>
    <m/>
    <m/>
    <m/>
    <m/>
    <m/>
    <m/>
    <m/>
    <m/>
    <m/>
    <m/>
    <m/>
    <m/>
    <m/>
    <m/>
    <m/>
    <m/>
    <m/>
    <m/>
    <m/>
    <m/>
    <m/>
    <m/>
    <m/>
    <m/>
    <m/>
    <m/>
    <m/>
    <m/>
    <d v="2023-06-02T00:00:00"/>
    <m/>
  </r>
  <r>
    <s v="978889A"/>
    <s v="YAÑEZ GAJARDO ROBERTO CARLOS"/>
    <n v="159832120"/>
    <s v="S-41"/>
    <x v="75"/>
    <s v="YAÑEZ GAJARDO ROBERTO CARLOS                   ( T )"/>
    <x v="1"/>
    <x v="0"/>
    <x v="1"/>
    <x v="1"/>
    <s v="( T )"/>
    <x v="1"/>
    <s v="ARIETE 23"/>
    <m/>
    <m/>
    <m/>
    <s v="O/S"/>
    <d v="2024-04-06T00:00:00"/>
    <m/>
    <s v="LISTO"/>
    <m/>
    <m/>
    <s v=""/>
    <n v="1"/>
    <n v="144"/>
    <n v="10"/>
    <n v="0"/>
    <s v="3T"/>
    <s v="SN"/>
    <s v="2T"/>
    <s v="2T"/>
    <s v="1T"/>
    <s v="1P"/>
    <m/>
    <m/>
    <m/>
    <m/>
    <m/>
    <m/>
    <m/>
    <m/>
    <m/>
    <m/>
    <m/>
    <m/>
    <m/>
    <m/>
    <m/>
    <m/>
    <m/>
    <m/>
    <m/>
    <m/>
    <m/>
    <m/>
    <m/>
    <m/>
    <m/>
    <m/>
    <m/>
    <m/>
    <m/>
    <m/>
    <m/>
    <d v="2023-05-23T00:00:00"/>
    <m/>
  </r>
  <r>
    <s v="985867K"/>
    <s v="BECERRA MENDEZ JORGUE IGNACIO"/>
    <n v="175140468"/>
    <s v="S-41"/>
    <x v="75"/>
    <s v="BECERRA MENDEZ JORGE IGNACIO"/>
    <x v="4"/>
    <x v="0"/>
    <x v="1"/>
    <x v="1"/>
    <s v=""/>
    <x v="1"/>
    <s v="ARIETE 23"/>
    <m/>
    <m/>
    <m/>
    <s v="O/S"/>
    <d v="2024-04-06T00:00:00"/>
    <m/>
    <s v="LISTO"/>
    <m/>
    <m/>
    <s v=""/>
    <n v="1"/>
    <n v="144"/>
    <n v="11"/>
    <n v="0"/>
    <s v="3T"/>
    <s v="SN"/>
    <s v="2T"/>
    <s v="2T"/>
    <s v="1T"/>
    <s v="1P"/>
    <m/>
    <m/>
    <m/>
    <m/>
    <m/>
    <m/>
    <m/>
    <m/>
    <m/>
    <m/>
    <m/>
    <m/>
    <m/>
    <m/>
    <m/>
    <m/>
    <m/>
    <m/>
    <m/>
    <m/>
    <m/>
    <m/>
    <m/>
    <m/>
    <m/>
    <m/>
    <m/>
    <m/>
    <m/>
    <m/>
    <m/>
    <d v="2023-09-08T00:00:00"/>
    <m/>
  </r>
  <r>
    <s v="020097J"/>
    <s v="BORQUEZ YAÑEZ JONATHAN ESTEBAN"/>
    <n v="192840449"/>
    <s v="S-41"/>
    <x v="75"/>
    <s v="BORQUEZ YAÑEZ JONATHAN ESTEBAN"/>
    <x v="5"/>
    <x v="0"/>
    <x v="1"/>
    <x v="1"/>
    <s v=""/>
    <x v="1"/>
    <s v="ARIETE 23"/>
    <m/>
    <m/>
    <m/>
    <s v="O/S"/>
    <d v="2024-04-06T00:00:00"/>
    <m/>
    <s v="LISTO"/>
    <m/>
    <m/>
    <s v=""/>
    <n v="1"/>
    <n v="144"/>
    <n v="12"/>
    <n v="0"/>
    <s v="FER."/>
    <s v="FER."/>
    <s v="FER."/>
    <s v="2T"/>
    <s v="1T"/>
    <s v="1P"/>
    <m/>
    <m/>
    <m/>
    <m/>
    <m/>
    <m/>
    <m/>
    <m/>
    <m/>
    <m/>
    <m/>
    <m/>
    <m/>
    <m/>
    <m/>
    <m/>
    <m/>
    <m/>
    <m/>
    <m/>
    <m/>
    <m/>
    <m/>
    <m/>
    <m/>
    <m/>
    <m/>
    <m/>
    <m/>
    <m/>
    <m/>
    <d v="2023-06-08T00:00:00"/>
    <m/>
  </r>
  <r>
    <s v="017628T"/>
    <s v="HUENUPI REBOLLEDO JUAN MOISES"/>
    <n v="197250631"/>
    <s v="S-41"/>
    <x v="75"/>
    <s v="HUENUPI REBOLLEDO JUAN MOISES"/>
    <x v="5"/>
    <x v="0"/>
    <x v="1"/>
    <x v="1"/>
    <s v=""/>
    <x v="1"/>
    <s v="ARIETE 23"/>
    <m/>
    <m/>
    <m/>
    <s v="O/S"/>
    <d v="2024-04-06T00:00:00"/>
    <m/>
    <s v="LISTO"/>
    <m/>
    <m/>
    <s v=""/>
    <n v="1"/>
    <n v="144"/>
    <n v="12"/>
    <n v="0"/>
    <s v="3T"/>
    <s v="SN"/>
    <s v="2T"/>
    <s v="2T"/>
    <s v="1T"/>
    <s v="1P"/>
    <m/>
    <m/>
    <m/>
    <m/>
    <m/>
    <m/>
    <m/>
    <m/>
    <m/>
    <m/>
    <m/>
    <m/>
    <m/>
    <m/>
    <m/>
    <m/>
    <m/>
    <m/>
    <m/>
    <m/>
    <m/>
    <m/>
    <m/>
    <m/>
    <m/>
    <m/>
    <m/>
    <m/>
    <m/>
    <m/>
    <m/>
    <d v="2023-04-28T00:00:00"/>
    <m/>
  </r>
  <r>
    <s v="018463X"/>
    <s v="MALTEZ GUZMAN CAROLAINE TAMARA"/>
    <n v="197633824"/>
    <s v="S-41"/>
    <x v="75"/>
    <s v="MALTEZ GUZMAN CAROLAINE TAMARA"/>
    <x v="5"/>
    <x v="1"/>
    <x v="1"/>
    <x v="1"/>
    <s v=""/>
    <x v="1"/>
    <s v="ARIETE 23"/>
    <m/>
    <m/>
    <m/>
    <s v="O/S"/>
    <d v="2024-04-06T00:00:00"/>
    <s v="NOTIFICAR"/>
    <s v="LISTO"/>
    <m/>
    <m/>
    <s v=""/>
    <n v="1"/>
    <n v="144"/>
    <n v="12"/>
    <n v="0"/>
    <s v="3T"/>
    <s v="SN"/>
    <s v="2T"/>
    <s v="1T"/>
    <s v="1T"/>
    <s v="1P"/>
    <m/>
    <m/>
    <m/>
    <m/>
    <m/>
    <m/>
    <m/>
    <m/>
    <m/>
    <m/>
    <m/>
    <m/>
    <m/>
    <m/>
    <m/>
    <m/>
    <m/>
    <m/>
    <m/>
    <m/>
    <m/>
    <m/>
    <m/>
    <m/>
    <m/>
    <m/>
    <m/>
    <m/>
    <m/>
    <m/>
    <m/>
    <d v="2023-08-08T00:00:00"/>
    <m/>
  </r>
  <r>
    <s v="017209G"/>
    <s v="VARGAS ROJAS VICENTE IGNACIO"/>
    <n v="198448788"/>
    <s v="S-41"/>
    <x v="75"/>
    <s v="VARGAS ROJAS VICENTE IGNACIO"/>
    <x v="5"/>
    <x v="0"/>
    <x v="1"/>
    <x v="1"/>
    <s v=""/>
    <x v="1"/>
    <s v="ARIETE 23"/>
    <m/>
    <m/>
    <m/>
    <s v="O/S"/>
    <d v="2024-04-06T00:00:00"/>
    <s v="NOTIFICAR"/>
    <s v="LISTO"/>
    <m/>
    <m/>
    <s v=""/>
    <n v="1"/>
    <n v="144"/>
    <n v="12"/>
    <n v="0"/>
    <s v="3T"/>
    <s v="SN"/>
    <s v="2T"/>
    <s v="1T"/>
    <s v="1T"/>
    <s v="1P"/>
    <m/>
    <m/>
    <m/>
    <m/>
    <m/>
    <m/>
    <m/>
    <m/>
    <m/>
    <m/>
    <m/>
    <m/>
    <m/>
    <m/>
    <m/>
    <m/>
    <m/>
    <m/>
    <m/>
    <m/>
    <m/>
    <m/>
    <m/>
    <m/>
    <m/>
    <m/>
    <m/>
    <m/>
    <m/>
    <m/>
    <m/>
    <d v="2024-03-21T00:00:00"/>
    <m/>
  </r>
  <r>
    <s v="957591J"/>
    <s v="VILLAGRA AREVALO SERGIO HUMBERTO"/>
    <n v="134920173"/>
    <s v="JEFE/S-42"/>
    <x v="76"/>
    <s v="VILLAGRA AREVALO SERGIO HUMBERTO      ( P )  "/>
    <x v="6"/>
    <x v="0"/>
    <x v="1"/>
    <x v="1"/>
    <s v="( P )  "/>
    <x v="7"/>
    <s v="MONEDA"/>
    <m/>
    <m/>
    <m/>
    <s v="O/S"/>
    <d v="2024-04-06T00:00:00"/>
    <m/>
    <m/>
    <m/>
    <m/>
    <s v=""/>
    <n v="1"/>
    <n v="147"/>
    <n v="8"/>
    <n v="0"/>
    <s v="1P"/>
    <s v="1T"/>
    <s v="1P"/>
    <s v="3T"/>
    <s v="SN"/>
    <s v="1T"/>
    <m/>
    <m/>
    <m/>
    <m/>
    <m/>
    <m/>
    <m/>
    <m/>
    <m/>
    <m/>
    <m/>
    <m/>
    <m/>
    <m/>
    <m/>
    <m/>
    <m/>
    <m/>
    <m/>
    <m/>
    <m/>
    <m/>
    <m/>
    <m/>
    <m/>
    <m/>
    <m/>
    <m/>
    <m/>
    <m/>
    <m/>
    <d v="2023-04-10T00:00:00"/>
    <m/>
  </r>
  <r>
    <s v="950464F"/>
    <s v="CALDERON CALDERON FRANCISCO"/>
    <n v="126412053"/>
    <s v="S-42"/>
    <x v="77"/>
    <s v="CALDERON CALDERON FRANCISCO"/>
    <x v="3"/>
    <x v="0"/>
    <x v="1"/>
    <x v="1"/>
    <s v=""/>
    <x v="7"/>
    <s v="MONEDA"/>
    <m/>
    <m/>
    <m/>
    <s v="O/S"/>
    <d v="2024-04-06T00:00:00"/>
    <m/>
    <m/>
    <m/>
    <m/>
    <s v=""/>
    <n v="1"/>
    <n v="148"/>
    <n v="9"/>
    <n v="0"/>
    <s v="1P"/>
    <s v="1T"/>
    <s v="1P"/>
    <s v="3T"/>
    <s v="SN"/>
    <s v="1T"/>
    <m/>
    <m/>
    <m/>
    <m/>
    <m/>
    <m/>
    <m/>
    <m/>
    <m/>
    <m/>
    <m/>
    <m/>
    <m/>
    <m/>
    <m/>
    <m/>
    <m/>
    <m/>
    <m/>
    <m/>
    <m/>
    <m/>
    <m/>
    <m/>
    <m/>
    <m/>
    <m/>
    <m/>
    <m/>
    <m/>
    <m/>
    <d v="2023-07-12T00:00:00"/>
    <m/>
  </r>
  <r>
    <s v="983595H"/>
    <s v="ALMARZA GONZALEZ JULIO JOHANS"/>
    <n v="160459107"/>
    <s v="S-42"/>
    <x v="77"/>
    <s v="ALMARZA GONZALEZ JULIO JOHANS"/>
    <x v="1"/>
    <x v="0"/>
    <x v="1"/>
    <x v="1"/>
    <s v=""/>
    <x v="7"/>
    <s v="MONEDA"/>
    <m/>
    <m/>
    <m/>
    <s v="O/S"/>
    <d v="2024-04-06T00:00:00"/>
    <m/>
    <m/>
    <m/>
    <m/>
    <s v=""/>
    <n v="1"/>
    <n v="148"/>
    <n v="10"/>
    <n v="0"/>
    <s v="1P"/>
    <s v="1T"/>
    <s v="1P"/>
    <s v="3T"/>
    <s v="SN"/>
    <s v="1T"/>
    <m/>
    <m/>
    <m/>
    <m/>
    <m/>
    <m/>
    <m/>
    <m/>
    <m/>
    <m/>
    <m/>
    <m/>
    <m/>
    <m/>
    <m/>
    <m/>
    <m/>
    <m/>
    <m/>
    <m/>
    <m/>
    <m/>
    <m/>
    <m/>
    <m/>
    <m/>
    <m/>
    <m/>
    <m/>
    <m/>
    <m/>
    <d v="2023-08-18T00:00:00"/>
    <m/>
  </r>
  <r>
    <s v="980487N"/>
    <s v="HUILIPAN MOLINA JOSE EMILIO"/>
    <n v="171773245"/>
    <s v="S-42"/>
    <x v="77"/>
    <s v="HUILIPAN MOLINA JOSE EMILIO"/>
    <x v="1"/>
    <x v="0"/>
    <x v="1"/>
    <x v="1"/>
    <s v=""/>
    <x v="7"/>
    <s v="MONEDA"/>
    <m/>
    <m/>
    <m/>
    <s v="O/S"/>
    <d v="2024-04-06T00:00:00"/>
    <m/>
    <m/>
    <m/>
    <m/>
    <s v=""/>
    <n v="1"/>
    <n v="148"/>
    <n v="10"/>
    <n v="0"/>
    <s v="1P"/>
    <s v="1T"/>
    <s v="1P"/>
    <s v="3T"/>
    <s v="SN"/>
    <s v="1T"/>
    <m/>
    <m/>
    <m/>
    <m/>
    <m/>
    <m/>
    <m/>
    <m/>
    <m/>
    <m/>
    <m/>
    <m/>
    <m/>
    <m/>
    <m/>
    <m/>
    <m/>
    <m/>
    <m/>
    <m/>
    <m/>
    <m/>
    <m/>
    <m/>
    <m/>
    <m/>
    <m/>
    <m/>
    <m/>
    <m/>
    <m/>
    <d v="2024-03-22T00:00:00"/>
    <m/>
  </r>
  <r>
    <s v="016807P"/>
    <s v="CURANAHUEL LEINLAF RUTH LUCIA"/>
    <n v="176954485"/>
    <s v="S-42"/>
    <x v="77"/>
    <s v="CURANAHUEL LEINLAF RUTH LUCIA (IFEX)"/>
    <x v="5"/>
    <x v="1"/>
    <x v="1"/>
    <x v="1"/>
    <s v="(IFEX)"/>
    <x v="7"/>
    <s v="MONEDA"/>
    <m/>
    <m/>
    <m/>
    <s v="O/S"/>
    <d v="2024-04-06T00:00:00"/>
    <s v="NOTIFICAR"/>
    <m/>
    <m/>
    <m/>
    <s v=""/>
    <n v="1"/>
    <n v="148"/>
    <n v="12"/>
    <n v="0"/>
    <s v="FER."/>
    <s v="LIC."/>
    <s v="1P"/>
    <s v="LIC."/>
    <s v="2T"/>
    <s v="1T"/>
    <m/>
    <m/>
    <m/>
    <m/>
    <m/>
    <m/>
    <m/>
    <m/>
    <m/>
    <m/>
    <m/>
    <m/>
    <m/>
    <m/>
    <m/>
    <m/>
    <m/>
    <m/>
    <m/>
    <m/>
    <m/>
    <m/>
    <m/>
    <m/>
    <m/>
    <m/>
    <m/>
    <m/>
    <m/>
    <m/>
    <m/>
    <d v="2023-05-31T00:00:00"/>
    <m/>
  </r>
  <r>
    <s v="020214T"/>
    <s v="HENRIQUEZ CISTERNA TOMAS ALBERTO"/>
    <n v="205414703"/>
    <s v="S-42"/>
    <x v="77"/>
    <s v="HENRIQUEZ CISTERNA TOMAS ALBERTO           (L)"/>
    <x v="5"/>
    <x v="0"/>
    <x v="1"/>
    <x v="1"/>
    <s v="(L)"/>
    <x v="7"/>
    <s v="MONEDA"/>
    <m/>
    <m/>
    <m/>
    <s v="O/S"/>
    <d v="2024-04-06T00:00:00"/>
    <m/>
    <s v="DOE. 202831455 //8° JUZGADO DE GARANTIA SANTIAGO, PARA EL DIA 02.07.2024, A LAS 11:00 HORAS."/>
    <m/>
    <m/>
    <s v=""/>
    <n v="1"/>
    <n v="148"/>
    <n v="12"/>
    <n v="0"/>
    <s v="3T"/>
    <s v="SN"/>
    <s v="2T"/>
    <s v="3T"/>
    <s v="SN"/>
    <s v="1T"/>
    <m/>
    <m/>
    <m/>
    <m/>
    <m/>
    <m/>
    <m/>
    <m/>
    <m/>
    <m/>
    <m/>
    <m/>
    <m/>
    <m/>
    <m/>
    <m/>
    <m/>
    <m/>
    <m/>
    <m/>
    <m/>
    <m/>
    <m/>
    <m/>
    <m/>
    <m/>
    <m/>
    <m/>
    <m/>
    <m/>
    <m/>
    <d v="2023-04-18T00:00:00"/>
    <m/>
  </r>
  <r>
    <s v="008094Y"/>
    <s v="MARCHANT SALDAÑA PEDRO ALFREDO"/>
    <n v="190248534"/>
    <s v="S-42"/>
    <x v="77"/>
    <s v="MARCHANT SALDAÑA PEDRO ALFREDO"/>
    <x v="5"/>
    <x v="0"/>
    <x v="1"/>
    <x v="1"/>
    <s v=""/>
    <x v="7"/>
    <s v="MONEDA"/>
    <m/>
    <m/>
    <m/>
    <s v="O/S"/>
    <d v="2024-04-06T00:00:00"/>
    <m/>
    <m/>
    <m/>
    <m/>
    <s v=""/>
    <n v="1"/>
    <n v="148"/>
    <n v="12"/>
    <n v="0"/>
    <s v="1P"/>
    <s v="1T"/>
    <s v="1P"/>
    <s v="3T"/>
    <s v="SN"/>
    <s v="1T"/>
    <m/>
    <m/>
    <m/>
    <m/>
    <m/>
    <m/>
    <m/>
    <m/>
    <m/>
    <m/>
    <m/>
    <m/>
    <m/>
    <m/>
    <m/>
    <m/>
    <m/>
    <m/>
    <m/>
    <m/>
    <m/>
    <m/>
    <m/>
    <m/>
    <m/>
    <m/>
    <m/>
    <m/>
    <m/>
    <m/>
    <m/>
    <d v="2023-04-25T00:00:00"/>
    <m/>
  </r>
  <r>
    <s v="018764C"/>
    <s v="ORELLANA YEVENES PABLO SEBASTIAN"/>
    <n v="205702962"/>
    <s v="S-42"/>
    <x v="77"/>
    <s v="ORELLANA YEVENES PABLO SEBASTIAN"/>
    <x v="5"/>
    <x v="0"/>
    <x v="1"/>
    <x v="1"/>
    <s v=""/>
    <x v="7"/>
    <s v="MONEDA"/>
    <m/>
    <m/>
    <m/>
    <s v="O/S"/>
    <d v="2024-04-06T00:00:00"/>
    <m/>
    <m/>
    <m/>
    <m/>
    <s v=""/>
    <n v="1"/>
    <n v="148"/>
    <n v="12"/>
    <n v="0"/>
    <s v="1P"/>
    <s v="1T"/>
    <s v="1P"/>
    <s v="3T"/>
    <s v="SN"/>
    <s v="1T"/>
    <m/>
    <m/>
    <m/>
    <m/>
    <m/>
    <m/>
    <m/>
    <m/>
    <m/>
    <m/>
    <m/>
    <m/>
    <m/>
    <m/>
    <m/>
    <m/>
    <m/>
    <m/>
    <m/>
    <m/>
    <m/>
    <m/>
    <m/>
    <m/>
    <m/>
    <m/>
    <m/>
    <m/>
    <m/>
    <m/>
    <m/>
    <d v="2023-05-26T00:00:00"/>
    <m/>
  </r>
  <r>
    <s v="016755Z"/>
    <s v="SALINAS CONCHA CARLOS ANTONIO"/>
    <n v="202696503"/>
    <s v="S-42"/>
    <x v="77"/>
    <s v="SALINAS CONCHA CARLOS ANTONIO"/>
    <x v="5"/>
    <x v="0"/>
    <x v="1"/>
    <x v="1"/>
    <s v=""/>
    <x v="7"/>
    <s v="MONEDA"/>
    <m/>
    <m/>
    <m/>
    <s v="O/S"/>
    <d v="2024-04-06T00:00:00"/>
    <m/>
    <m/>
    <m/>
    <m/>
    <s v=""/>
    <n v="1"/>
    <n v="148"/>
    <n v="12"/>
    <n v="0"/>
    <s v="1P"/>
    <s v="1T"/>
    <s v="1P"/>
    <s v="3T"/>
    <s v="SN"/>
    <s v="1T"/>
    <m/>
    <m/>
    <m/>
    <m/>
    <m/>
    <m/>
    <m/>
    <m/>
    <m/>
    <m/>
    <m/>
    <m/>
    <m/>
    <m/>
    <m/>
    <m/>
    <m/>
    <m/>
    <m/>
    <m/>
    <m/>
    <m/>
    <m/>
    <m/>
    <m/>
    <m/>
    <m/>
    <m/>
    <m/>
    <m/>
    <m/>
    <d v="2024-03-27T00:00:00"/>
    <m/>
  </r>
  <r>
    <s v="960315B"/>
    <s v="CIFUENTES NAVARRETE VICTOR"/>
    <s v="13342489K"/>
    <s v="S-43"/>
    <x v="78"/>
    <s v="CIFUENTES NAVARRETE VICTOR"/>
    <x v="3"/>
    <x v="0"/>
    <x v="1"/>
    <x v="1"/>
    <s v=""/>
    <x v="7"/>
    <s v="CONSTITUCION"/>
    <m/>
    <m/>
    <m/>
    <s v="O/S"/>
    <d v="2024-04-06T00:00:00"/>
    <s v="CITACION  T.J.O.P PTE. ALTO 16-04-2024 A LAS 09:00"/>
    <s v="LISTO"/>
    <m/>
    <m/>
    <s v=""/>
    <n v="1"/>
    <n v="151"/>
    <n v="9"/>
    <n v="0"/>
    <s v="1T"/>
    <s v="1T"/>
    <s v="1P"/>
    <s v="3T"/>
    <s v="SN"/>
    <s v="1T"/>
    <m/>
    <m/>
    <m/>
    <m/>
    <m/>
    <m/>
    <m/>
    <m/>
    <m/>
    <m/>
    <m/>
    <m/>
    <m/>
    <m/>
    <m/>
    <m/>
    <m/>
    <m/>
    <m/>
    <m/>
    <m/>
    <m/>
    <m/>
    <m/>
    <m/>
    <m/>
    <m/>
    <m/>
    <m/>
    <m/>
    <m/>
    <d v="2023-06-15T00:00:00"/>
    <m/>
  </r>
  <r>
    <s v="971766E"/>
    <s v="DIAZ CAAMAÑO JOSE LUIS"/>
    <n v="153746427"/>
    <s v="S-43"/>
    <x v="79"/>
    <s v="DIAZ CAAMAÑO JOSE LUIS (IFEX)"/>
    <x v="1"/>
    <x v="0"/>
    <x v="1"/>
    <x v="1"/>
    <s v="(IFEX)"/>
    <x v="7"/>
    <s v="CONSTITUCION"/>
    <m/>
    <m/>
    <m/>
    <s v="O/S"/>
    <d v="2024-04-06T00:00:00"/>
    <m/>
    <s v="LISTO"/>
    <m/>
    <m/>
    <s v=""/>
    <n v="1"/>
    <n v="152"/>
    <n v="10"/>
    <n v="0"/>
    <s v="2T"/>
    <s v="1T"/>
    <s v="1P"/>
    <s v="3T"/>
    <s v="SN"/>
    <s v="1T"/>
    <m/>
    <m/>
    <m/>
    <m/>
    <m/>
    <m/>
    <m/>
    <m/>
    <m/>
    <m/>
    <m/>
    <m/>
    <m/>
    <m/>
    <m/>
    <m/>
    <m/>
    <m/>
    <m/>
    <m/>
    <m/>
    <m/>
    <m/>
    <m/>
    <m/>
    <m/>
    <m/>
    <m/>
    <m/>
    <m/>
    <m/>
    <d v="2023-04-11T00:00:00"/>
    <m/>
  </r>
  <r>
    <s v="983841P"/>
    <s v="VALENZUELA SALAZAR PATRICIO SAMUEL"/>
    <n v="159882322"/>
    <s v="S-43"/>
    <x v="79"/>
    <s v="VALENZUELA SALAZAR PATRICIO SAMUEL (T)"/>
    <x v="1"/>
    <x v="0"/>
    <x v="1"/>
    <x v="1"/>
    <s v="(T)"/>
    <x v="7"/>
    <s v="CONSTITUCION"/>
    <m/>
    <m/>
    <m/>
    <s v="O/S"/>
    <d v="2024-04-06T00:00:00"/>
    <m/>
    <m/>
    <m/>
    <m/>
    <s v=""/>
    <n v="1"/>
    <n v="152"/>
    <n v="10"/>
    <n v="0"/>
    <s v="1T"/>
    <s v="1T"/>
    <s v="1P"/>
    <s v="3T"/>
    <s v="SN"/>
    <s v="1T"/>
    <m/>
    <m/>
    <m/>
    <m/>
    <m/>
    <m/>
    <m/>
    <m/>
    <m/>
    <m/>
    <m/>
    <m/>
    <m/>
    <m/>
    <m/>
    <m/>
    <m/>
    <m/>
    <m/>
    <m/>
    <m/>
    <m/>
    <m/>
    <m/>
    <m/>
    <m/>
    <m/>
    <m/>
    <m/>
    <m/>
    <m/>
    <d v="2024-03-27T00:00:00"/>
    <m/>
  </r>
  <r>
    <s v="003306C"/>
    <s v="YUBINI VARELA DANAIS YULIETHEMELINA"/>
    <n v="182303119"/>
    <s v="S-43"/>
    <x v="79"/>
    <s v="YUBINI VARELA DANAIS YULIETHEMELINA"/>
    <x v="4"/>
    <x v="1"/>
    <x v="1"/>
    <x v="1"/>
    <s v=""/>
    <x v="7"/>
    <s v="CONSTITUCION"/>
    <m/>
    <m/>
    <m/>
    <s v="O/S"/>
    <d v="2024-04-06T00:00:00"/>
    <m/>
    <s v="LISTO"/>
    <m/>
    <m/>
    <s v=""/>
    <n v="1"/>
    <n v="152"/>
    <n v="11"/>
    <n v="0"/>
    <s v="1T"/>
    <s v="1T"/>
    <s v="1P"/>
    <s v="3T"/>
    <s v="SN"/>
    <s v="1T"/>
    <m/>
    <m/>
    <m/>
    <m/>
    <m/>
    <m/>
    <m/>
    <m/>
    <m/>
    <m/>
    <m/>
    <m/>
    <m/>
    <m/>
    <m/>
    <m/>
    <m/>
    <m/>
    <m/>
    <m/>
    <m/>
    <m/>
    <m/>
    <m/>
    <m/>
    <m/>
    <m/>
    <m/>
    <m/>
    <m/>
    <m/>
    <d v="2023-07-11T00:00:00"/>
    <m/>
  </r>
  <r>
    <s v="013860U"/>
    <s v="ARIAS POLANCO LUIS MANUEL"/>
    <n v="198240702"/>
    <s v="S-43"/>
    <x v="79"/>
    <s v="ARIAS POLANCO LUIS MANUEL (IFEX)"/>
    <x v="5"/>
    <x v="0"/>
    <x v="1"/>
    <x v="1"/>
    <s v="(IFEX)"/>
    <x v="7"/>
    <s v="CONSTITUCION"/>
    <m/>
    <m/>
    <m/>
    <s v="O/S"/>
    <d v="2024-04-06T00:00:00"/>
    <m/>
    <s v="LISTO"/>
    <m/>
    <m/>
    <s v=""/>
    <n v="1"/>
    <n v="152"/>
    <n v="12"/>
    <n v="0"/>
    <s v="1T"/>
    <s v="1T"/>
    <s v="1P"/>
    <s v="3T"/>
    <s v="SN"/>
    <s v="1T"/>
    <m/>
    <m/>
    <m/>
    <m/>
    <m/>
    <m/>
    <m/>
    <m/>
    <m/>
    <m/>
    <m/>
    <m/>
    <m/>
    <m/>
    <m/>
    <m/>
    <m/>
    <m/>
    <m/>
    <m/>
    <m/>
    <m/>
    <m/>
    <m/>
    <m/>
    <m/>
    <m/>
    <m/>
    <m/>
    <m/>
    <m/>
    <d v="2024-03-22T00:00:00"/>
    <m/>
  </r>
  <r>
    <s v="018506T"/>
    <s v="BRAVO ADASME FRANCO ELIAS"/>
    <n v="193923305"/>
    <s v="S-43"/>
    <x v="79"/>
    <s v="BRAVO ADASME FRANCO ELIAS"/>
    <x v="5"/>
    <x v="0"/>
    <x v="1"/>
    <x v="1"/>
    <s v=""/>
    <x v="7"/>
    <s v="CONSTITUCION"/>
    <m/>
    <m/>
    <m/>
    <s v="O/S"/>
    <d v="2024-04-06T00:00:00"/>
    <m/>
    <s v="LISTO"/>
    <m/>
    <m/>
    <s v=""/>
    <n v="1"/>
    <n v="152"/>
    <n v="12"/>
    <n v="0"/>
    <s v="1T"/>
    <s v="1T"/>
    <s v="1P"/>
    <s v="3T"/>
    <s v="SN"/>
    <s v="1T"/>
    <m/>
    <m/>
    <m/>
    <m/>
    <m/>
    <m/>
    <m/>
    <m/>
    <m/>
    <m/>
    <m/>
    <m/>
    <m/>
    <m/>
    <m/>
    <m/>
    <m/>
    <m/>
    <m/>
    <m/>
    <m/>
    <m/>
    <m/>
    <m/>
    <m/>
    <m/>
    <m/>
    <m/>
    <m/>
    <m/>
    <m/>
    <d v="2023-06-14T00:00:00"/>
    <m/>
  </r>
  <r>
    <s v="020068C"/>
    <s v="CACERES PAEZ JAVIER IGNACIO"/>
    <n v="196654917"/>
    <s v="S-43"/>
    <x v="79"/>
    <s v="CACERES PAEZ JAVIER IGNACIO"/>
    <x v="5"/>
    <x v="0"/>
    <x v="1"/>
    <x v="1"/>
    <s v=""/>
    <x v="7"/>
    <s v="CONSTITUCION"/>
    <m/>
    <m/>
    <m/>
    <s v="O/S"/>
    <d v="2024-04-06T00:00:00"/>
    <m/>
    <s v="LISTO"/>
    <m/>
    <m/>
    <s v=""/>
    <n v="1"/>
    <n v="152"/>
    <n v="12"/>
    <n v="0"/>
    <s v="1T"/>
    <s v="1T"/>
    <s v="1P"/>
    <s v="3T"/>
    <s v="SN"/>
    <s v="1T"/>
    <m/>
    <m/>
    <m/>
    <m/>
    <m/>
    <m/>
    <m/>
    <m/>
    <m/>
    <m/>
    <m/>
    <m/>
    <m/>
    <m/>
    <m/>
    <m/>
    <m/>
    <m/>
    <m/>
    <m/>
    <m/>
    <m/>
    <m/>
    <m/>
    <m/>
    <m/>
    <m/>
    <m/>
    <m/>
    <m/>
    <m/>
    <d v="2023-08-08T00:00:00"/>
    <m/>
  </r>
  <r>
    <s v="020204A"/>
    <s v="VIDAL MONTENEGRO JUAN ERNESTO"/>
    <n v="186540859"/>
    <s v="S-43"/>
    <x v="79"/>
    <s v="VIDAL MONTENEGRO JUAN ERNESTO"/>
    <x v="5"/>
    <x v="0"/>
    <x v="1"/>
    <x v="1"/>
    <s v=""/>
    <x v="7"/>
    <s v="CONSTITUCION"/>
    <m/>
    <m/>
    <m/>
    <s v="O/S"/>
    <d v="2024-04-06T00:00:00"/>
    <m/>
    <s v="LISTO"/>
    <m/>
    <m/>
    <s v=""/>
    <n v="1"/>
    <n v="152"/>
    <n v="12"/>
    <n v="0"/>
    <s v="1T"/>
    <s v="1T"/>
    <s v="1P"/>
    <s v="3T"/>
    <s v="SN"/>
    <s v="1T"/>
    <m/>
    <m/>
    <m/>
    <m/>
    <m/>
    <m/>
    <m/>
    <m/>
    <m/>
    <m/>
    <m/>
    <m/>
    <m/>
    <m/>
    <m/>
    <m/>
    <m/>
    <m/>
    <m/>
    <m/>
    <m/>
    <m/>
    <m/>
    <m/>
    <m/>
    <m/>
    <m/>
    <m/>
    <m/>
    <m/>
    <m/>
    <d v="2024-03-15T00:00:00"/>
    <m/>
  </r>
  <r>
    <s v="952669J"/>
    <s v="ARAVENA ARAYA GEORGE ALEXIS"/>
    <n v="142559439"/>
    <s v="JEFE/S-44"/>
    <x v="80"/>
    <s v="ARAVENA ARAYA GEORGE ALEXIS"/>
    <x v="6"/>
    <x v="0"/>
    <x v="1"/>
    <x v="1"/>
    <s v=""/>
    <x v="7"/>
    <s v="CIUDADANIA"/>
    <m/>
    <m/>
    <m/>
    <s v="O/S"/>
    <d v="2024-04-06T00:00:00"/>
    <m/>
    <s v="LISTO"/>
    <m/>
    <m/>
    <s v=""/>
    <n v="1"/>
    <n v="155"/>
    <n v="8"/>
    <n v="0"/>
    <s v="2T"/>
    <s v="1T"/>
    <s v="1P"/>
    <s v="2P"/>
    <s v="SN"/>
    <s v="1T"/>
    <m/>
    <m/>
    <m/>
    <m/>
    <m/>
    <m/>
    <m/>
    <m/>
    <m/>
    <m/>
    <m/>
    <m/>
    <m/>
    <m/>
    <m/>
    <m/>
    <m/>
    <m/>
    <m/>
    <m/>
    <m/>
    <m/>
    <m/>
    <m/>
    <m/>
    <m/>
    <m/>
    <m/>
    <m/>
    <m/>
    <m/>
    <d v="2023-05-05T00:00:00"/>
    <m/>
  </r>
  <r>
    <s v="973713T"/>
    <s v="ROMERO QUEZADA VICTOR MANUEL"/>
    <s v="16289416-1"/>
    <s v="S-44"/>
    <x v="81"/>
    <s v="ROMERO QUEZADA VICTOR MANUEL           (T)"/>
    <x v="1"/>
    <x v="0"/>
    <x v="1"/>
    <x v="1"/>
    <s v="(T)"/>
    <x v="7"/>
    <s v="CIUDADANIA"/>
    <m/>
    <m/>
    <m/>
    <s v="O/S"/>
    <d v="2024-04-06T00:00:00"/>
    <m/>
    <s v="COND. EQUIPO. TRABAJO"/>
    <m/>
    <m/>
    <s v=""/>
    <n v="1"/>
    <n v="156"/>
    <n v="10"/>
    <n v="0"/>
    <s v="2T"/>
    <s v="1T"/>
    <s v="1P"/>
    <s v="PER."/>
    <s v="PER."/>
    <s v="1T"/>
    <m/>
    <m/>
    <m/>
    <m/>
    <m/>
    <m/>
    <m/>
    <m/>
    <m/>
    <m/>
    <m/>
    <m/>
    <m/>
    <m/>
    <m/>
    <m/>
    <m/>
    <m/>
    <m/>
    <m/>
    <m/>
    <m/>
    <m/>
    <m/>
    <m/>
    <m/>
    <m/>
    <m/>
    <m/>
    <m/>
    <m/>
    <d v="2023-04-11T00:00:00"/>
    <m/>
  </r>
  <r>
    <s v="994357U"/>
    <s v="BARRIGA PAVEZ ROBERT MOISES"/>
    <n v="185901262"/>
    <s v="S-44"/>
    <x v="81"/>
    <s v="BARRIGA PAVEZ ROBERT MOISES (IFEX)"/>
    <x v="4"/>
    <x v="0"/>
    <x v="1"/>
    <x v="1"/>
    <s v="(IFEX)"/>
    <x v="7"/>
    <s v="CIUDADANIA"/>
    <m/>
    <m/>
    <m/>
    <s v="O/S"/>
    <d v="2024-04-06T00:00:00"/>
    <s v="NOTIFICAR"/>
    <s v="LISTO"/>
    <m/>
    <m/>
    <s v=""/>
    <n v="1"/>
    <n v="156"/>
    <n v="11"/>
    <n v="0"/>
    <s v="2T"/>
    <s v="1T"/>
    <s v="LIC."/>
    <s v="2P"/>
    <s v="SN"/>
    <s v="1T"/>
    <m/>
    <m/>
    <m/>
    <m/>
    <m/>
    <m/>
    <m/>
    <m/>
    <m/>
    <m/>
    <m/>
    <m/>
    <m/>
    <m/>
    <m/>
    <m/>
    <m/>
    <m/>
    <m/>
    <m/>
    <m/>
    <m/>
    <m/>
    <m/>
    <m/>
    <m/>
    <m/>
    <m/>
    <m/>
    <m/>
    <m/>
    <d v="2023-04-17T00:00:00"/>
    <m/>
  </r>
  <r>
    <s v="019102X"/>
    <s v="CERPA OLIVO CARLOS ARIEL"/>
    <s v="20070486K"/>
    <s v="S-44"/>
    <x v="81"/>
    <s v="CERPA OLIVO CARLOS ARIEL"/>
    <x v="5"/>
    <x v="0"/>
    <x v="1"/>
    <x v="1"/>
    <s v=""/>
    <x v="7"/>
    <s v="CIUDADANIA"/>
    <m/>
    <m/>
    <m/>
    <s v="O/S"/>
    <d v="2024-04-06T00:00:00"/>
    <m/>
    <s v="CERT. TRABAJO LIVIANO DESDE EL 22-03-2024 X 60 DIAS"/>
    <d v="2024-03-22T00:00:00"/>
    <d v="2024-05-20T00:00:00"/>
    <n v="60"/>
    <n v="1"/>
    <n v="156"/>
    <n v="12"/>
    <n v="0"/>
    <s v="2T"/>
    <s v="1T"/>
    <s v="1P"/>
    <s v="2P"/>
    <s v="SN"/>
    <s v="1T"/>
    <m/>
    <m/>
    <m/>
    <m/>
    <m/>
    <m/>
    <m/>
    <m/>
    <m/>
    <m/>
    <m/>
    <m/>
    <m/>
    <m/>
    <m/>
    <m/>
    <m/>
    <m/>
    <m/>
    <m/>
    <m/>
    <m/>
    <m/>
    <m/>
    <m/>
    <m/>
    <m/>
    <m/>
    <m/>
    <m/>
    <m/>
    <d v="2023-05-04T00:00:00"/>
    <m/>
  </r>
  <r>
    <s v="009011V"/>
    <s v="ESTRADA PARRA DIEGO"/>
    <n v="187186498"/>
    <s v="S-44"/>
    <x v="81"/>
    <s v="ESTRADA PARRA DIEGO"/>
    <x v="5"/>
    <x v="0"/>
    <x v="1"/>
    <x v="1"/>
    <s v=""/>
    <x v="7"/>
    <s v="CIUDADANIA"/>
    <m/>
    <m/>
    <m/>
    <s v="O/S"/>
    <d v="2024-04-06T00:00:00"/>
    <m/>
    <s v="LISTO"/>
    <m/>
    <m/>
    <s v=""/>
    <n v="1"/>
    <n v="156"/>
    <n v="12"/>
    <n v="0"/>
    <s v="2T"/>
    <s v="1T"/>
    <s v="1P"/>
    <s v="2P"/>
    <s v="SN"/>
    <s v="1T"/>
    <m/>
    <m/>
    <m/>
    <m/>
    <m/>
    <m/>
    <m/>
    <m/>
    <m/>
    <m/>
    <m/>
    <m/>
    <m/>
    <m/>
    <m/>
    <m/>
    <m/>
    <m/>
    <m/>
    <m/>
    <m/>
    <m/>
    <m/>
    <m/>
    <m/>
    <m/>
    <m/>
    <m/>
    <m/>
    <m/>
    <m/>
    <d v="2023-04-13T00:00:00"/>
    <m/>
  </r>
  <r>
    <s v="018539T"/>
    <s v="GATICA VIDAL WILLIAMS BERNADO"/>
    <s v="20726637K"/>
    <s v="S-44"/>
    <x v="81"/>
    <s v="GATICA VIDAL WILLIAMS BERNADO"/>
    <x v="5"/>
    <x v="0"/>
    <x v="1"/>
    <x v="1"/>
    <s v=""/>
    <x v="7"/>
    <s v="CIUDADANIA"/>
    <m/>
    <m/>
    <m/>
    <s v="O/S"/>
    <d v="2024-04-06T00:00:00"/>
    <m/>
    <s v="LISTO"/>
    <m/>
    <m/>
    <s v=""/>
    <n v="1"/>
    <n v="156"/>
    <n v="12"/>
    <n v="0"/>
    <s v="2T"/>
    <s v="1T"/>
    <s v="1P"/>
    <s v="2P"/>
    <s v="SN"/>
    <s v="1T"/>
    <m/>
    <m/>
    <m/>
    <m/>
    <m/>
    <m/>
    <m/>
    <m/>
    <m/>
    <m/>
    <m/>
    <m/>
    <m/>
    <m/>
    <m/>
    <m/>
    <m/>
    <m/>
    <m/>
    <m/>
    <m/>
    <m/>
    <m/>
    <m/>
    <m/>
    <m/>
    <m/>
    <m/>
    <m/>
    <m/>
    <m/>
    <d v="2023-06-22T00:00:00"/>
    <m/>
  </r>
  <r>
    <s v="017292K"/>
    <s v="LEON VERGARA EVELYN MACARENA"/>
    <n v="186201353"/>
    <s v="S-44"/>
    <x v="81"/>
    <s v="LEON VERGARA EVELYN MACARENA"/>
    <x v="5"/>
    <x v="1"/>
    <x v="1"/>
    <x v="1"/>
    <s v=""/>
    <x v="7"/>
    <s v="CIUDADANIA"/>
    <m/>
    <m/>
    <m/>
    <s v="O/S"/>
    <d v="2024-04-06T00:00:00"/>
    <m/>
    <s v="LISTO"/>
    <m/>
    <m/>
    <s v=""/>
    <n v="1"/>
    <n v="156"/>
    <n v="12"/>
    <n v="0"/>
    <s v="2T"/>
    <s v="1T"/>
    <s v="1P"/>
    <s v="2P"/>
    <s v="SN"/>
    <s v="1T"/>
    <m/>
    <m/>
    <m/>
    <m/>
    <m/>
    <m/>
    <m/>
    <m/>
    <m/>
    <m/>
    <m/>
    <m/>
    <m/>
    <m/>
    <m/>
    <m/>
    <m/>
    <m/>
    <m/>
    <m/>
    <m/>
    <m/>
    <m/>
    <m/>
    <m/>
    <m/>
    <m/>
    <m/>
    <m/>
    <m/>
    <m/>
    <d v="2024-03-22T00:00:00"/>
    <m/>
  </r>
  <r>
    <s v="967703C"/>
    <s v="FERNANDEZ CASTILLO LEONARDO ENRIQUE"/>
    <s v="15194566K"/>
    <s v="S-45"/>
    <x v="82"/>
    <s v="FERNANDEZ CASTILLO LEONARDO ENRIQUE"/>
    <x v="3"/>
    <x v="0"/>
    <x v="1"/>
    <x v="1"/>
    <s v=""/>
    <x v="0"/>
    <s v="FRANCO"/>
    <m/>
    <m/>
    <m/>
    <s v="O/S"/>
    <d v="2024-04-06T00:00:00"/>
    <m/>
    <m/>
    <m/>
    <m/>
    <s v=""/>
    <n v="1"/>
    <n v="159"/>
    <n v="9"/>
    <n v="0"/>
    <s v="1P"/>
    <s v="3T"/>
    <s v="SN"/>
    <s v="1T"/>
    <s v="1P"/>
    <s v="F"/>
    <m/>
    <m/>
    <m/>
    <m/>
    <m/>
    <m/>
    <m/>
    <m/>
    <m/>
    <m/>
    <m/>
    <m/>
    <m/>
    <m/>
    <m/>
    <m/>
    <m/>
    <m/>
    <m/>
    <m/>
    <m/>
    <m/>
    <m/>
    <m/>
    <m/>
    <m/>
    <m/>
    <m/>
    <m/>
    <m/>
    <m/>
    <d v="2023-06-14T00:00:00"/>
    <m/>
  </r>
  <r>
    <s v="966137K"/>
    <s v="BUSTOS QUEZADA RODRIGO"/>
    <n v="151724426"/>
    <s v="S-45"/>
    <x v="83"/>
    <s v="BUSTOS QUEZADA RODRIGO                         ( P-T-L )"/>
    <x v="1"/>
    <x v="0"/>
    <x v="1"/>
    <x v="1"/>
    <s v="( P-T-L )"/>
    <x v="0"/>
    <s v="FRANCO"/>
    <m/>
    <m/>
    <m/>
    <s v="O/S"/>
    <d v="2024-04-06T00:00:00"/>
    <m/>
    <m/>
    <m/>
    <m/>
    <s v=""/>
    <n v="1"/>
    <n v="160"/>
    <n v="10"/>
    <n v="0"/>
    <s v="1P"/>
    <s v="3T"/>
    <s v="SN"/>
    <s v="1T"/>
    <s v="1P"/>
    <s v="F"/>
    <m/>
    <m/>
    <m/>
    <m/>
    <m/>
    <m/>
    <m/>
    <m/>
    <m/>
    <m/>
    <m/>
    <m/>
    <m/>
    <m/>
    <m/>
    <m/>
    <m/>
    <m/>
    <m/>
    <m/>
    <m/>
    <m/>
    <m/>
    <m/>
    <m/>
    <m/>
    <m/>
    <m/>
    <m/>
    <m/>
    <m/>
    <d v="2023-07-21T00:00:00"/>
    <m/>
  </r>
  <r>
    <s v="959446A"/>
    <s v="NAVARRETE RAMOS RODRIGO IVAN"/>
    <n v="139405595"/>
    <s v="S-45"/>
    <x v="83"/>
    <s v="NAVARRETE RAMOS RODRIGO IVAN"/>
    <x v="1"/>
    <x v="0"/>
    <x v="1"/>
    <x v="1"/>
    <s v=""/>
    <x v="0"/>
    <s v="FRANCO"/>
    <m/>
    <m/>
    <m/>
    <s v="O/S"/>
    <d v="2024-04-06T00:00:00"/>
    <m/>
    <m/>
    <m/>
    <m/>
    <s v=""/>
    <n v="1"/>
    <n v="160"/>
    <n v="10"/>
    <n v="0"/>
    <s v="1P"/>
    <s v="3T"/>
    <s v="SN"/>
    <s v="1T"/>
    <s v="1P"/>
    <s v="F"/>
    <m/>
    <m/>
    <m/>
    <m/>
    <m/>
    <m/>
    <m/>
    <m/>
    <m/>
    <m/>
    <m/>
    <m/>
    <m/>
    <m/>
    <m/>
    <m/>
    <m/>
    <m/>
    <m/>
    <m/>
    <m/>
    <m/>
    <m/>
    <m/>
    <m/>
    <m/>
    <m/>
    <m/>
    <m/>
    <m/>
    <m/>
    <d v="2023-06-02T00:00:00"/>
    <m/>
  </r>
  <r>
    <s v="983847M"/>
    <s v="VERA ORTEGA JOEL ESTEBAN"/>
    <n v="160606126"/>
    <s v="S-45"/>
    <x v="83"/>
    <s v="VERA ORTEGA JOEL ESTEBAN              (T-S )"/>
    <x v="1"/>
    <x v="0"/>
    <x v="1"/>
    <x v="1"/>
    <s v="(T-S )"/>
    <x v="0"/>
    <s v="FRANCO"/>
    <m/>
    <m/>
    <m/>
    <s v="O/S"/>
    <d v="2024-04-06T00:00:00"/>
    <s v="NOTIFICAR"/>
    <s v="SABADO 16 Y DOMINGO 17"/>
    <m/>
    <m/>
    <s v=""/>
    <n v="1"/>
    <n v="160"/>
    <n v="10"/>
    <n v="0"/>
    <s v="2T"/>
    <s v="1T"/>
    <s v="1P"/>
    <s v="2P"/>
    <s v="SN"/>
    <s v="F"/>
    <m/>
    <m/>
    <m/>
    <m/>
    <m/>
    <m/>
    <m/>
    <m/>
    <m/>
    <m/>
    <m/>
    <m/>
    <m/>
    <m/>
    <m/>
    <m/>
    <m/>
    <m/>
    <m/>
    <m/>
    <m/>
    <m/>
    <m/>
    <m/>
    <m/>
    <m/>
    <m/>
    <m/>
    <m/>
    <m/>
    <m/>
    <d v="2023-09-25T00:00:00"/>
    <m/>
  </r>
  <r>
    <s v="001265G"/>
    <s v="DIAZ OPAZO ESTEBAN ALEJANDRO"/>
    <s v="18.967.472-4"/>
    <s v="S-45"/>
    <x v="83"/>
    <s v="DIAZ OPAZO ESTEBAN ALEJANDRO"/>
    <x v="4"/>
    <x v="0"/>
    <x v="1"/>
    <x v="1"/>
    <s v=""/>
    <x v="0"/>
    <s v="FRANCO"/>
    <m/>
    <m/>
    <m/>
    <s v="O/S"/>
    <d v="2024-04-06T00:00:00"/>
    <m/>
    <m/>
    <m/>
    <m/>
    <s v=""/>
    <n v="1"/>
    <n v="160"/>
    <n v="11"/>
    <n v="0"/>
    <s v="1P"/>
    <s v="3T"/>
    <s v="SN"/>
    <s v="1T"/>
    <s v="1P"/>
    <s v="F"/>
    <m/>
    <m/>
    <m/>
    <m/>
    <m/>
    <m/>
    <m/>
    <m/>
    <m/>
    <m/>
    <m/>
    <m/>
    <m/>
    <m/>
    <m/>
    <m/>
    <m/>
    <m/>
    <m/>
    <m/>
    <m/>
    <m/>
    <m/>
    <m/>
    <m/>
    <m/>
    <m/>
    <m/>
    <m/>
    <m/>
    <m/>
    <d v="2023-09-05T00:00:00"/>
    <m/>
  </r>
  <r>
    <s v="005134R"/>
    <s v="GARCIA GARCIA MACARENA SOLEDAD"/>
    <s v="19518015-6"/>
    <s v="S-45"/>
    <x v="83"/>
    <s v="GARCIA GARCIA MACARENA SOLEDAD"/>
    <x v="4"/>
    <x v="1"/>
    <x v="1"/>
    <x v="1"/>
    <s v=""/>
    <x v="0"/>
    <s v="FRANCO"/>
    <m/>
    <m/>
    <m/>
    <s v="O/S"/>
    <d v="2024-04-06T00:00:00"/>
    <m/>
    <m/>
    <m/>
    <m/>
    <s v=""/>
    <n v="1"/>
    <n v="160"/>
    <n v="11"/>
    <n v="0"/>
    <s v="1P"/>
    <s v="3T"/>
    <s v="SN"/>
    <s v="1T"/>
    <s v="1P"/>
    <s v="F"/>
    <m/>
    <m/>
    <m/>
    <m/>
    <m/>
    <m/>
    <m/>
    <m/>
    <m/>
    <m/>
    <m/>
    <m/>
    <m/>
    <m/>
    <m/>
    <m/>
    <m/>
    <m/>
    <m/>
    <m/>
    <m/>
    <m/>
    <m/>
    <m/>
    <m/>
    <m/>
    <m/>
    <m/>
    <m/>
    <m/>
    <m/>
    <d v="2023-07-05T00:00:00"/>
    <m/>
  </r>
  <r>
    <s v="985898K"/>
    <s v="GONZALEZ BARRA VICTOR MANUEL"/>
    <n v="173613350"/>
    <s v="S-45"/>
    <x v="83"/>
    <s v="GONZALEZ BARRA VICTOR MANUEL"/>
    <x v="4"/>
    <x v="0"/>
    <x v="1"/>
    <x v="1"/>
    <s v=""/>
    <x v="0"/>
    <s v="FRANCO"/>
    <m/>
    <m/>
    <m/>
    <s v="O/S"/>
    <d v="2024-04-06T00:00:00"/>
    <m/>
    <m/>
    <m/>
    <m/>
    <s v=""/>
    <n v="1"/>
    <n v="160"/>
    <n v="11"/>
    <n v="0"/>
    <s v="1P"/>
    <s v="3T"/>
    <s v="SN"/>
    <s v="1T"/>
    <s v="1P"/>
    <s v="F"/>
    <m/>
    <m/>
    <m/>
    <m/>
    <m/>
    <m/>
    <m/>
    <m/>
    <m/>
    <m/>
    <m/>
    <m/>
    <m/>
    <m/>
    <m/>
    <m/>
    <m/>
    <m/>
    <m/>
    <m/>
    <m/>
    <m/>
    <m/>
    <m/>
    <m/>
    <m/>
    <m/>
    <m/>
    <m/>
    <m/>
    <m/>
    <d v="2023-08-08T00:00:00"/>
    <m/>
  </r>
  <r>
    <s v="020393X"/>
    <s v="BECERRA SAGREDO SEBASTIAN ALEJANDRO"/>
    <s v="19648169-9"/>
    <s v="S-45"/>
    <x v="83"/>
    <s v="BECERRA SAGREDO SEBASTIAN ALEJANDRO"/>
    <x v="5"/>
    <x v="0"/>
    <x v="1"/>
    <x v="1"/>
    <s v=""/>
    <x v="0"/>
    <s v="FRANCO"/>
    <m/>
    <m/>
    <m/>
    <s v="O/S"/>
    <d v="2024-04-06T00:00:00"/>
    <m/>
    <s v="LISTO 08-03-2024 JZDO 10:00 HRS DOE 201275620"/>
    <d v="2024-04-02T00:00:00"/>
    <m/>
    <s v=""/>
    <n v="1"/>
    <n v="160"/>
    <n v="12"/>
    <n v="0"/>
    <s v="LIC."/>
    <s v="LIC."/>
    <s v="2T"/>
    <s v="2T"/>
    <s v="1P"/>
    <s v="F"/>
    <m/>
    <m/>
    <m/>
    <m/>
    <m/>
    <m/>
    <m/>
    <m/>
    <m/>
    <m/>
    <m/>
    <m/>
    <m/>
    <m/>
    <m/>
    <m/>
    <m/>
    <m/>
    <m/>
    <m/>
    <m/>
    <m/>
    <m/>
    <m/>
    <m/>
    <m/>
    <m/>
    <m/>
    <m/>
    <m/>
    <m/>
    <d v="2023-04-14T00:00:00"/>
    <m/>
  </r>
  <r>
    <s v="020135L"/>
    <s v="HIDALGO REYES BRAULIO ANDRES"/>
    <n v="186251113"/>
    <s v="S-45"/>
    <x v="83"/>
    <s v="HIDALGO REYES BRAULIO ANDRES"/>
    <x v="5"/>
    <x v="0"/>
    <x v="1"/>
    <x v="1"/>
    <s v=""/>
    <x v="0"/>
    <s v="FRANCO"/>
    <m/>
    <m/>
    <m/>
    <s v="O/S"/>
    <d v="2024-04-06T00:00:00"/>
    <m/>
    <m/>
    <m/>
    <m/>
    <s v=""/>
    <n v="1"/>
    <n v="160"/>
    <n v="12"/>
    <n v="0"/>
    <s v="1P"/>
    <s v="3T"/>
    <s v="SN"/>
    <s v="1T"/>
    <s v="1P"/>
    <s v="F"/>
    <m/>
    <m/>
    <m/>
    <m/>
    <m/>
    <m/>
    <m/>
    <m/>
    <m/>
    <m/>
    <m/>
    <m/>
    <m/>
    <m/>
    <m/>
    <m/>
    <m/>
    <m/>
    <m/>
    <m/>
    <m/>
    <m/>
    <m/>
    <m/>
    <m/>
    <m/>
    <m/>
    <m/>
    <m/>
    <m/>
    <m/>
    <d v="2023-08-04T00:00:00"/>
    <m/>
  </r>
  <r>
    <s v="960302P"/>
    <s v="BAHAMONDE SEPULVEDA LUIS GONZALO"/>
    <n v="137934833"/>
    <s v="JEFE/S-46"/>
    <x v="84"/>
    <s v="BAHAMONDE SEPULVEDA LUIS GONZALO        (L - P-T)"/>
    <x v="6"/>
    <x v="0"/>
    <x v="1"/>
    <x v="1"/>
    <s v="(L - P-T)"/>
    <x v="0"/>
    <s v="FRANCO"/>
    <m/>
    <m/>
    <m/>
    <s v="O/S"/>
    <d v="2024-04-06T00:00:00"/>
    <m/>
    <m/>
    <m/>
    <m/>
    <s v=""/>
    <n v="1"/>
    <n v="163"/>
    <n v="8"/>
    <n v="0"/>
    <s v="1P"/>
    <s v="3T"/>
    <s v="SN"/>
    <s v="1T"/>
    <s v="1P"/>
    <s v="F"/>
    <m/>
    <m/>
    <m/>
    <m/>
    <m/>
    <m/>
    <m/>
    <m/>
    <m/>
    <m/>
    <m/>
    <m/>
    <m/>
    <m/>
    <m/>
    <m/>
    <m/>
    <m/>
    <m/>
    <m/>
    <m/>
    <m/>
    <m/>
    <m/>
    <m/>
    <m/>
    <m/>
    <m/>
    <m/>
    <m/>
    <m/>
    <d v="2023-07-24T00:00:00"/>
    <m/>
  </r>
  <r>
    <s v="973059F"/>
    <s v="LECAROS RIQUELME JORGE ANDRES"/>
    <n v="155421304"/>
    <s v="S-46"/>
    <x v="85"/>
    <s v="LECAROS RIQUELME JORGE ANDRES"/>
    <x v="1"/>
    <x v="0"/>
    <x v="1"/>
    <x v="1"/>
    <s v=""/>
    <x v="0"/>
    <s v="FRANCO"/>
    <m/>
    <m/>
    <m/>
    <s v="O/S"/>
    <d v="2024-04-06T00:00:00"/>
    <m/>
    <s v="LISTO"/>
    <m/>
    <m/>
    <s v=""/>
    <n v="1"/>
    <n v="164"/>
    <n v="10"/>
    <n v="0"/>
    <s v="PER."/>
    <s v="PER."/>
    <s v="2T"/>
    <s v="1T"/>
    <s v="1P"/>
    <s v="F"/>
    <m/>
    <m/>
    <m/>
    <m/>
    <m/>
    <m/>
    <m/>
    <m/>
    <m/>
    <m/>
    <m/>
    <m/>
    <m/>
    <m/>
    <m/>
    <m/>
    <m/>
    <m/>
    <m/>
    <m/>
    <m/>
    <m/>
    <m/>
    <m/>
    <m/>
    <m/>
    <m/>
    <m/>
    <m/>
    <m/>
    <m/>
    <d v="2023-07-25T00:00:00"/>
    <m/>
  </r>
  <r>
    <s v="967726-S"/>
    <s v="VASQUEZ SILVA JOSE ROBERTO"/>
    <s v="15.704.333-1"/>
    <s v="S-46"/>
    <x v="85"/>
    <s v="VASQUEZ SILVA JOSE ROBERTO                     (T)"/>
    <x v="1"/>
    <x v="0"/>
    <x v="1"/>
    <x v="1"/>
    <s v="(T)"/>
    <x v="0"/>
    <s v="FRANCO"/>
    <m/>
    <m/>
    <m/>
    <s v="O/S"/>
    <d v="2024-04-06T00:00:00"/>
    <s v="38° COM PRACTICA TIRO JUEVES 4 A LAS 10:30 HRS."/>
    <s v="LISTO"/>
    <m/>
    <m/>
    <s v=""/>
    <n v="1"/>
    <n v="164"/>
    <n v="10"/>
    <n v="0"/>
    <s v="2T"/>
    <s v="1T"/>
    <s v="1P"/>
    <s v="1T"/>
    <s v="1P"/>
    <s v="F"/>
    <m/>
    <m/>
    <m/>
    <m/>
    <m/>
    <m/>
    <m/>
    <m/>
    <m/>
    <m/>
    <m/>
    <m/>
    <m/>
    <m/>
    <m/>
    <m/>
    <m/>
    <m/>
    <m/>
    <m/>
    <m/>
    <m/>
    <m/>
    <m/>
    <m/>
    <m/>
    <m/>
    <m/>
    <m/>
    <m/>
    <m/>
    <d v="2024-04-04T00:00:00"/>
    <m/>
  </r>
  <r>
    <s v="000121T"/>
    <s v="MANCILLA BASCHMANN LUIS ALEJANDRO"/>
    <s v="17.997.131-3"/>
    <s v="S-46"/>
    <x v="85"/>
    <s v="MANCILLA BASCHMANN LUIS ALEJANDRO   ( L)"/>
    <x v="4"/>
    <x v="0"/>
    <x v="1"/>
    <x v="1"/>
    <s v="( L)"/>
    <x v="0"/>
    <s v="FRANCO"/>
    <m/>
    <m/>
    <m/>
    <s v="O/S"/>
    <d v="2024-04-06T00:00:00"/>
    <s v="09:30 HRS EN EDIFICIO CENTENARIO DE CARABINEROS/ CHARLA A CONDUCTORES / TENIDA APS ZAPATO / NOTIFICAR"/>
    <m/>
    <m/>
    <m/>
    <s v=""/>
    <n v="1"/>
    <n v="164"/>
    <n v="11"/>
    <n v="0"/>
    <s v="1P"/>
    <s v="3T"/>
    <s v="SN"/>
    <s v="1T"/>
    <s v="1P"/>
    <s v="F"/>
    <m/>
    <m/>
    <m/>
    <m/>
    <m/>
    <m/>
    <m/>
    <m/>
    <m/>
    <m/>
    <m/>
    <m/>
    <m/>
    <m/>
    <m/>
    <m/>
    <m/>
    <m/>
    <m/>
    <m/>
    <m/>
    <m/>
    <m/>
    <m/>
    <m/>
    <m/>
    <m/>
    <m/>
    <m/>
    <m/>
    <m/>
    <d v="2023-03-15T00:00:00"/>
    <m/>
  </r>
  <r>
    <s v="010408D"/>
    <s v="FRIZ RODRIGUEZ CRISTOFFER"/>
    <n v="193809979"/>
    <s v="S-46"/>
    <x v="85"/>
    <s v="FRIZ RODRIGUEZ CRISTOFFER ALEJANDRO"/>
    <x v="5"/>
    <x v="0"/>
    <x v="1"/>
    <x v="1"/>
    <s v=""/>
    <x v="0"/>
    <s v="FRANCO"/>
    <m/>
    <m/>
    <m/>
    <s v="O/S"/>
    <d v="2024-04-06T00:00:00"/>
    <s v="05-ABRIL2024 10:00 HRS FZM. 203342403"/>
    <m/>
    <m/>
    <m/>
    <s v=""/>
    <n v="1"/>
    <n v="164"/>
    <n v="12"/>
    <n v="0"/>
    <s v="1T"/>
    <s v="3T"/>
    <s v="SN"/>
    <s v="1T"/>
    <s v="1P"/>
    <s v="F"/>
    <m/>
    <m/>
    <m/>
    <m/>
    <m/>
    <m/>
    <m/>
    <m/>
    <m/>
    <m/>
    <m/>
    <m/>
    <m/>
    <m/>
    <m/>
    <m/>
    <m/>
    <m/>
    <m/>
    <m/>
    <m/>
    <m/>
    <m/>
    <m/>
    <m/>
    <m/>
    <m/>
    <m/>
    <m/>
    <m/>
    <m/>
    <d v="2023-04-18T00:00:00"/>
    <m/>
  </r>
  <r>
    <s v="009068N"/>
    <s v="RIQUELME FUENTEALBA RICHARD JAVIER"/>
    <n v="187195047"/>
    <s v="S-46"/>
    <x v="85"/>
    <s v="RIQUELME FUENTEALBA RICHARD JAVIER"/>
    <x v="5"/>
    <x v="0"/>
    <x v="1"/>
    <x v="1"/>
    <s v=""/>
    <x v="0"/>
    <s v="FRANCO"/>
    <m/>
    <m/>
    <m/>
    <s v="O/S"/>
    <d v="2024-04-06T00:00:00"/>
    <s v="DOE. 202831455 // 8° JUZGADO DE GARANTIA SANTIAGO, PARA EL DIA 04.04.2024, A LAS 09:00 HORAS."/>
    <m/>
    <m/>
    <m/>
    <s v=""/>
    <n v="1"/>
    <n v="164"/>
    <n v="12"/>
    <n v="0"/>
    <s v="1P"/>
    <s v="3T"/>
    <s v="SN"/>
    <s v="1T"/>
    <s v="1P"/>
    <s v="F"/>
    <m/>
    <m/>
    <m/>
    <m/>
    <m/>
    <m/>
    <m/>
    <m/>
    <m/>
    <m/>
    <m/>
    <m/>
    <m/>
    <m/>
    <m/>
    <m/>
    <m/>
    <m/>
    <m/>
    <m/>
    <m/>
    <m/>
    <m/>
    <m/>
    <m/>
    <m/>
    <m/>
    <m/>
    <m/>
    <m/>
    <m/>
    <d v="2023-05-25T00:00:00"/>
    <m/>
  </r>
  <r>
    <s v="022113C"/>
    <s v="TOLEDO MARQUEZ FRANCO FRABRICIO"/>
    <s v="18.682.255-2"/>
    <s v="S-46"/>
    <x v="85"/>
    <s v="TOLEDO MARQUEZ FRANCO FRABRICIO"/>
    <x v="9"/>
    <x v="0"/>
    <x v="1"/>
    <x v="1"/>
    <s v=""/>
    <x v="0"/>
    <s v="FRANCO"/>
    <m/>
    <m/>
    <m/>
    <s v="O/S"/>
    <d v="2024-04-06T00:00:00"/>
    <m/>
    <m/>
    <m/>
    <m/>
    <s v=""/>
    <n v="1"/>
    <n v="164"/>
    <n v="13"/>
    <n v="0"/>
    <s v="1P"/>
    <s v="3T"/>
    <s v="SN"/>
    <s v="1T"/>
    <s v="1P"/>
    <s v="F"/>
    <m/>
    <m/>
    <m/>
    <m/>
    <m/>
    <m/>
    <m/>
    <m/>
    <m/>
    <m/>
    <m/>
    <m/>
    <m/>
    <m/>
    <m/>
    <m/>
    <m/>
    <m/>
    <m/>
    <m/>
    <m/>
    <m/>
    <m/>
    <m/>
    <m/>
    <m/>
    <m/>
    <m/>
    <m/>
    <m/>
    <m/>
    <d v="2024-03-14T00:00:00"/>
    <m/>
  </r>
  <r>
    <s v="959506F"/>
    <s v="BARROS SOLAR FELIX"/>
    <n v="157680536"/>
    <s v="JEFE/S-47"/>
    <x v="86"/>
    <s v="BARROS SOLAR FELIX                                (L -T -S)"/>
    <x v="6"/>
    <x v="0"/>
    <x v="1"/>
    <x v="1"/>
    <s v="(L -T -S)"/>
    <x v="0"/>
    <s v="FRANCO"/>
    <m/>
    <m/>
    <m/>
    <s v="O/S"/>
    <d v="2024-04-06T00:00:00"/>
    <m/>
    <m/>
    <m/>
    <m/>
    <s v=""/>
    <n v="1"/>
    <n v="167"/>
    <n v="8"/>
    <n v="0"/>
    <s v="1P"/>
    <s v="3T"/>
    <s v="SN"/>
    <s v="1T"/>
    <s v="1P"/>
    <s v="F"/>
    <m/>
    <m/>
    <m/>
    <m/>
    <m/>
    <m/>
    <m/>
    <m/>
    <m/>
    <m/>
    <m/>
    <m/>
    <m/>
    <m/>
    <m/>
    <m/>
    <m/>
    <m/>
    <m/>
    <m/>
    <m/>
    <m/>
    <m/>
    <m/>
    <m/>
    <m/>
    <m/>
    <m/>
    <m/>
    <m/>
    <m/>
    <d v="2023-07-25T00:00:00"/>
    <m/>
  </r>
  <r>
    <s v="964858C"/>
    <s v="MEZA MENDEZ JUAN MARCELO"/>
    <n v="135066745"/>
    <s v="S-47"/>
    <x v="87"/>
    <s v="MEZA MENDEZ JUAN MARCELO                       (T)"/>
    <x v="3"/>
    <x v="0"/>
    <x v="1"/>
    <x v="1"/>
    <s v="(T)"/>
    <x v="0"/>
    <s v="FRANCO"/>
    <m/>
    <m/>
    <m/>
    <s v="O/S"/>
    <d v="2024-04-06T00:00:00"/>
    <s v="NOTIFICAR"/>
    <s v="COND. EQUIPO. TRABAJO"/>
    <m/>
    <m/>
    <s v=""/>
    <n v="1"/>
    <n v="168"/>
    <n v="9"/>
    <n v="0"/>
    <s v="1P"/>
    <s v="3T"/>
    <s v="SN"/>
    <s v="1T"/>
    <s v="1P"/>
    <s v="F"/>
    <m/>
    <m/>
    <m/>
    <m/>
    <m/>
    <m/>
    <m/>
    <m/>
    <m/>
    <m/>
    <m/>
    <m/>
    <m/>
    <m/>
    <m/>
    <m/>
    <m/>
    <m/>
    <m/>
    <m/>
    <m/>
    <m/>
    <m/>
    <m/>
    <m/>
    <m/>
    <m/>
    <m/>
    <m/>
    <m/>
    <m/>
    <d v="2023-09-28T00:00:00"/>
    <m/>
  </r>
  <r>
    <s v="971487Q"/>
    <s v="PADILLA CANALES MOISES ESTEBAN"/>
    <n v="155688203"/>
    <s v="S-47"/>
    <x v="87"/>
    <s v="PADILLA CANALES MOISES ESTEBAN"/>
    <x v="1"/>
    <x v="0"/>
    <x v="1"/>
    <x v="1"/>
    <s v=""/>
    <x v="0"/>
    <s v="FRANCO"/>
    <m/>
    <m/>
    <m/>
    <s v="O/S"/>
    <d v="2024-04-06T00:00:00"/>
    <m/>
    <m/>
    <m/>
    <m/>
    <s v=""/>
    <n v="1"/>
    <n v="168"/>
    <n v="10"/>
    <n v="0"/>
    <s v="1P"/>
    <s v="3T"/>
    <s v="SN"/>
    <s v="1T"/>
    <s v="1P"/>
    <s v="F"/>
    <m/>
    <m/>
    <m/>
    <m/>
    <m/>
    <m/>
    <m/>
    <m/>
    <m/>
    <m/>
    <m/>
    <m/>
    <m/>
    <m/>
    <m/>
    <m/>
    <m/>
    <m/>
    <m/>
    <m/>
    <m/>
    <m/>
    <m/>
    <m/>
    <m/>
    <m/>
    <m/>
    <m/>
    <m/>
    <m/>
    <m/>
    <d v="2023-05-08T00:00:00"/>
    <m/>
  </r>
  <r>
    <s v="973195M"/>
    <s v="PAILLAQUEO JARA LUIS ALEJANDRO"/>
    <n v="158448831"/>
    <s v="S-47"/>
    <x v="87"/>
    <s v="PAILLAQUEO JARA LUIS ALEJANDRO"/>
    <x v="1"/>
    <x v="0"/>
    <x v="1"/>
    <x v="1"/>
    <s v=""/>
    <x v="0"/>
    <s v="FRANCO"/>
    <m/>
    <m/>
    <m/>
    <s v="O/S"/>
    <d v="2024-04-06T00:00:00"/>
    <s v="NOTIFICAR"/>
    <s v="LISTO"/>
    <m/>
    <m/>
    <s v=""/>
    <n v="1"/>
    <n v="168"/>
    <n v="10"/>
    <n v="0"/>
    <s v="1P"/>
    <s v="3T"/>
    <s v="SN"/>
    <s v="1T"/>
    <s v="1P"/>
    <s v="F"/>
    <m/>
    <m/>
    <m/>
    <m/>
    <m/>
    <m/>
    <m/>
    <m/>
    <m/>
    <m/>
    <m/>
    <m/>
    <m/>
    <m/>
    <m/>
    <m/>
    <m/>
    <m/>
    <m/>
    <m/>
    <m/>
    <m/>
    <m/>
    <m/>
    <m/>
    <m/>
    <m/>
    <m/>
    <m/>
    <m/>
    <m/>
    <d v="2023-05-25T00:00:00"/>
    <m/>
  </r>
  <r>
    <s v="008978J"/>
    <s v="ASTETE RIQUELME DANIEL ALEJANDRO"/>
    <n v="176478608"/>
    <s v="S-47"/>
    <x v="87"/>
    <s v="ASTETE RIQUELME DANIEL ALEJANDRO"/>
    <x v="5"/>
    <x v="0"/>
    <x v="1"/>
    <x v="1"/>
    <s v=""/>
    <x v="0"/>
    <s v="FRANCO"/>
    <m/>
    <m/>
    <m/>
    <s v="O/S"/>
    <d v="2024-04-06T00:00:00"/>
    <m/>
    <m/>
    <m/>
    <m/>
    <s v=""/>
    <n v="1"/>
    <n v="168"/>
    <n v="12"/>
    <n v="0"/>
    <s v="1P"/>
    <s v="3T"/>
    <s v="SN"/>
    <s v="1T"/>
    <s v="1P"/>
    <s v="F"/>
    <m/>
    <m/>
    <m/>
    <m/>
    <m/>
    <m/>
    <m/>
    <m/>
    <m/>
    <m/>
    <m/>
    <m/>
    <m/>
    <m/>
    <m/>
    <m/>
    <m/>
    <m/>
    <m/>
    <m/>
    <m/>
    <m/>
    <m/>
    <m/>
    <m/>
    <m/>
    <m/>
    <m/>
    <m/>
    <m/>
    <m/>
    <d v="2023-08-03T00:00:00"/>
    <m/>
  </r>
  <r>
    <s v="019193J"/>
    <s v="ORTEGA SANDOVAL FRANCISCO JAVIER"/>
    <n v="182166197"/>
    <s v="S-47"/>
    <x v="87"/>
    <s v="ORTEGA SANDOVAL FRANCISCO JAVIER (IFEX)"/>
    <x v="5"/>
    <x v="0"/>
    <x v="1"/>
    <x v="1"/>
    <s v="(IFEX)"/>
    <x v="0"/>
    <s v="FRANCO"/>
    <m/>
    <m/>
    <m/>
    <s v="O/S"/>
    <d v="2024-04-06T00:00:00"/>
    <m/>
    <m/>
    <m/>
    <m/>
    <s v=""/>
    <n v="1"/>
    <n v="168"/>
    <n v="12"/>
    <n v="0"/>
    <s v="1P"/>
    <s v="3T"/>
    <s v="SN"/>
    <s v="2T"/>
    <s v="1P"/>
    <s v="F"/>
    <m/>
    <m/>
    <m/>
    <m/>
    <m/>
    <m/>
    <m/>
    <m/>
    <m/>
    <m/>
    <m/>
    <m/>
    <m/>
    <m/>
    <m/>
    <m/>
    <m/>
    <m/>
    <m/>
    <m/>
    <m/>
    <m/>
    <m/>
    <m/>
    <m/>
    <m/>
    <m/>
    <m/>
    <m/>
    <m/>
    <m/>
    <d v="2024-04-04T00:00:00"/>
    <m/>
  </r>
  <r>
    <s v="013957R"/>
    <s v="RIVAS ROLDAN FREDDY IGNACIO"/>
    <n v="194226551"/>
    <s v="S-47"/>
    <x v="87"/>
    <s v="RIVAS ROLDAN FREDDY IGNACIO"/>
    <x v="5"/>
    <x v="0"/>
    <x v="1"/>
    <x v="1"/>
    <s v=""/>
    <x v="0"/>
    <s v="FRANCO"/>
    <m/>
    <m/>
    <m/>
    <s v="O/S"/>
    <d v="2024-04-06T00:00:00"/>
    <m/>
    <m/>
    <m/>
    <m/>
    <s v=""/>
    <n v="1"/>
    <n v="168"/>
    <n v="12"/>
    <n v="0"/>
    <s v="PER."/>
    <s v="3T"/>
    <s v="SN"/>
    <s v="2T"/>
    <s v="1P"/>
    <s v="F"/>
    <m/>
    <m/>
    <m/>
    <m/>
    <m/>
    <m/>
    <m/>
    <m/>
    <m/>
    <m/>
    <m/>
    <m/>
    <m/>
    <m/>
    <m/>
    <m/>
    <m/>
    <m/>
    <m/>
    <m/>
    <m/>
    <m/>
    <m/>
    <m/>
    <m/>
    <m/>
    <m/>
    <m/>
    <m/>
    <m/>
    <m/>
    <d v="2023-08-07T00:00:00"/>
    <m/>
  </r>
  <r>
    <s v="013890K"/>
    <s v="FUENTES DIAZ FERNANDO ANTONIO"/>
    <n v="192782120"/>
    <s v="S-47"/>
    <x v="87"/>
    <s v="FUENTES DIAZ FERNANDO ANTONIO"/>
    <x v="9"/>
    <x v="0"/>
    <x v="1"/>
    <x v="1"/>
    <s v=""/>
    <x v="0"/>
    <s v="FRANCO"/>
    <m/>
    <m/>
    <m/>
    <s v="O/S"/>
    <d v="2024-04-06T00:00:00"/>
    <m/>
    <m/>
    <m/>
    <m/>
    <s v=""/>
    <n v="1"/>
    <n v="168"/>
    <n v="13"/>
    <n v="0"/>
    <s v="1P"/>
    <s v="3T"/>
    <s v="SN"/>
    <s v="1T"/>
    <s v="1P"/>
    <s v="F"/>
    <m/>
    <m/>
    <m/>
    <m/>
    <m/>
    <m/>
    <m/>
    <m/>
    <m/>
    <m/>
    <m/>
    <m/>
    <m/>
    <m/>
    <m/>
    <m/>
    <m/>
    <m/>
    <m/>
    <m/>
    <m/>
    <m/>
    <m/>
    <m/>
    <m/>
    <m/>
    <m/>
    <m/>
    <m/>
    <m/>
    <m/>
    <d v="2024-03-16T00:00:00"/>
    <m/>
  </r>
  <r>
    <s v="016969Y"/>
    <s v="GARRIDO POBLETE MIGUEL EDUARDO"/>
    <n v="188056555"/>
    <s v="S-47"/>
    <x v="87"/>
    <s v="GARRIDO POBLETE MIGUEL EDUARDO   ( L )"/>
    <x v="9"/>
    <x v="0"/>
    <x v="1"/>
    <x v="1"/>
    <s v="( L )"/>
    <x v="0"/>
    <s v="FRANCO"/>
    <m/>
    <m/>
    <m/>
    <s v="O/S"/>
    <d v="2024-04-06T00:00:00"/>
    <s v="NOTIFICAR"/>
    <m/>
    <m/>
    <m/>
    <s v=""/>
    <n v="1"/>
    <n v="168"/>
    <n v="13"/>
    <n v="0"/>
    <s v="1P"/>
    <s v="3T"/>
    <s v="SN"/>
    <s v="1T"/>
    <s v="2T"/>
    <s v="F"/>
    <m/>
    <m/>
    <m/>
    <m/>
    <m/>
    <m/>
    <m/>
    <m/>
    <m/>
    <m/>
    <m/>
    <m/>
    <m/>
    <m/>
    <m/>
    <m/>
    <m/>
    <m/>
    <m/>
    <m/>
    <m/>
    <m/>
    <m/>
    <m/>
    <m/>
    <m/>
    <m/>
    <m/>
    <m/>
    <m/>
    <m/>
    <d v="2024-03-14T00:00:00"/>
    <m/>
  </r>
  <r>
    <s v="972146S"/>
    <s v="MILLAR SOLIS AQUILINO JUAN ANDRES"/>
    <n v="157579851"/>
    <s v="JEFE/S-48"/>
    <x v="88"/>
    <s v="MILLAR SOLIS AQUILINO JUAN ANDRES   "/>
    <x v="1"/>
    <x v="0"/>
    <x v="1"/>
    <x v="1"/>
    <s v=""/>
    <x v="0"/>
    <s v="FRANCO"/>
    <m/>
    <m/>
    <m/>
    <s v="O/S"/>
    <d v="2024-04-06T00:00:00"/>
    <m/>
    <m/>
    <m/>
    <m/>
    <s v=""/>
    <n v="1"/>
    <n v="171"/>
    <n v="10"/>
    <n v="0"/>
    <s v="1P"/>
    <s v="1P"/>
    <s v="1P"/>
    <s v="1P"/>
    <s v="1P"/>
    <s v="F"/>
    <m/>
    <m/>
    <m/>
    <m/>
    <m/>
    <m/>
    <m/>
    <m/>
    <m/>
    <m/>
    <m/>
    <m/>
    <m/>
    <m/>
    <m/>
    <m/>
    <m/>
    <m/>
    <m/>
    <m/>
    <m/>
    <m/>
    <m/>
    <m/>
    <m/>
    <m/>
    <m/>
    <m/>
    <m/>
    <m/>
    <m/>
    <d v="2023-04-18T00:00:00"/>
    <m/>
  </r>
  <r>
    <s v="985801J"/>
    <s v="ROA PAREDES CARLOS MICHAEL"/>
    <s v="17694482K"/>
    <s v="S-48"/>
    <x v="89"/>
    <s v="ROA PAREDES CARLOS MICHAEL                   ( P-S-J )"/>
    <x v="4"/>
    <x v="0"/>
    <x v="1"/>
    <x v="1"/>
    <s v="( P-S-J )"/>
    <x v="0"/>
    <s v="FRANCO"/>
    <m/>
    <m/>
    <m/>
    <s v="O/S"/>
    <d v="2024-04-06T00:00:00"/>
    <m/>
    <s v="              SECCION CAZADORES "/>
    <m/>
    <m/>
    <s v=""/>
    <n v="1"/>
    <n v="172"/>
    <n v="11"/>
    <n v="0"/>
    <s v="1P"/>
    <s v="1P"/>
    <s v="1P"/>
    <s v="1P"/>
    <s v="1P"/>
    <s v="F"/>
    <m/>
    <m/>
    <m/>
    <m/>
    <m/>
    <m/>
    <m/>
    <m/>
    <m/>
    <m/>
    <m/>
    <m/>
    <m/>
    <m/>
    <m/>
    <m/>
    <m/>
    <m/>
    <m/>
    <m/>
    <m/>
    <m/>
    <m/>
    <m/>
    <m/>
    <m/>
    <m/>
    <m/>
    <m/>
    <m/>
    <m/>
    <d v="2023-09-07T00:00:00"/>
    <m/>
  </r>
  <r>
    <s v="986489J"/>
    <s v="ROJAS ROJAS FRANCO RODRIGO "/>
    <n v="175640150"/>
    <s v="S-48"/>
    <x v="89"/>
    <s v="ROJAS ROJAS FRANCO RODRIGO "/>
    <x v="4"/>
    <x v="0"/>
    <x v="1"/>
    <x v="1"/>
    <s v=""/>
    <x v="0"/>
    <s v="FRANCO"/>
    <m/>
    <m/>
    <m/>
    <s v="O/S"/>
    <d v="1990-04-12T00:00:00"/>
    <m/>
    <m/>
    <m/>
    <m/>
    <s v=""/>
    <n v="1"/>
    <n v="172"/>
    <n v="11"/>
    <n v="0"/>
    <s v="1P"/>
    <s v="1P"/>
    <s v="1P"/>
    <s v="1P"/>
    <s v="1P"/>
    <s v="F"/>
    <m/>
    <m/>
    <m/>
    <m/>
    <m/>
    <m/>
    <m/>
    <m/>
    <m/>
    <m/>
    <m/>
    <m/>
    <m/>
    <m/>
    <m/>
    <m/>
    <m/>
    <m/>
    <m/>
    <m/>
    <m/>
    <m/>
    <m/>
    <m/>
    <m/>
    <m/>
    <m/>
    <m/>
    <m/>
    <m/>
    <m/>
    <d v="2023-08-24T00:00:00"/>
    <m/>
  </r>
  <r>
    <s v="004603F"/>
    <s v="VERA SAAVEDRA GERMAN ALEXIS"/>
    <n v="191225953"/>
    <s v="S-48"/>
    <x v="89"/>
    <s v="VERA SAAVEDRA GERMAN ALEXIS"/>
    <x v="4"/>
    <x v="0"/>
    <x v="1"/>
    <x v="1"/>
    <s v=""/>
    <x v="0"/>
    <s v="FRANCO"/>
    <m/>
    <m/>
    <m/>
    <s v="O/S"/>
    <d v="2024-04-06T00:00:00"/>
    <m/>
    <m/>
    <m/>
    <m/>
    <s v=""/>
    <n v="1"/>
    <n v="172"/>
    <n v="11"/>
    <n v="0"/>
    <s v="1P"/>
    <s v="1P"/>
    <s v="1P"/>
    <s v="1P"/>
    <s v="1P"/>
    <s v="F"/>
    <m/>
    <m/>
    <m/>
    <m/>
    <m/>
    <m/>
    <m/>
    <m/>
    <m/>
    <m/>
    <m/>
    <m/>
    <m/>
    <m/>
    <m/>
    <m/>
    <m/>
    <m/>
    <m/>
    <m/>
    <m/>
    <m/>
    <m/>
    <m/>
    <m/>
    <m/>
    <m/>
    <m/>
    <m/>
    <m/>
    <m/>
    <d v="2023-06-20T00:00:00"/>
    <m/>
  </r>
  <r>
    <s v="018558E"/>
    <s v="AQUEVEQUE SAN MARTIN JAVIER ENRIQUE"/>
    <n v="184542153"/>
    <s v="S-48"/>
    <x v="89"/>
    <s v="AQUEVEQUE SAN MARTIN JAVIER ENRIQUE"/>
    <x v="5"/>
    <x v="0"/>
    <x v="1"/>
    <x v="1"/>
    <s v=""/>
    <x v="0"/>
    <s v="FRANCO"/>
    <m/>
    <m/>
    <m/>
    <s v="O/S"/>
    <d v="2024-04-06T00:00:00"/>
    <m/>
    <m/>
    <m/>
    <m/>
    <s v=""/>
    <n v="1"/>
    <n v="172"/>
    <n v="12"/>
    <n v="0"/>
    <s v="1P"/>
    <s v="1P"/>
    <s v="1P"/>
    <s v="1P"/>
    <s v="1P"/>
    <s v="F"/>
    <m/>
    <m/>
    <m/>
    <m/>
    <m/>
    <m/>
    <m/>
    <m/>
    <m/>
    <m/>
    <m/>
    <m/>
    <m/>
    <m/>
    <m/>
    <m/>
    <m/>
    <m/>
    <m/>
    <m/>
    <m/>
    <m/>
    <m/>
    <m/>
    <m/>
    <m/>
    <m/>
    <m/>
    <m/>
    <m/>
    <m/>
    <d v="2023-05-31T00:00:00"/>
    <m/>
  </r>
  <r>
    <s v="008982X"/>
    <s v="BARRIOS SEPULVEDA DIEGO EDUARDO"/>
    <n v="190445771"/>
    <s v="S-48"/>
    <x v="89"/>
    <s v="BARRIOS SEPULVEDA DIEGO EDUARDO"/>
    <x v="5"/>
    <x v="0"/>
    <x v="1"/>
    <x v="1"/>
    <s v=""/>
    <x v="0"/>
    <s v="FRANCO"/>
    <m/>
    <m/>
    <m/>
    <s v="O/S"/>
    <d v="2024-04-06T00:00:00"/>
    <m/>
    <s v="ASIGNAR SECCION"/>
    <m/>
    <m/>
    <s v=""/>
    <n v="1"/>
    <n v="172"/>
    <n v="12"/>
    <n v="0"/>
    <s v="1T"/>
    <s v="1T"/>
    <s v="1P"/>
    <s v="1P"/>
    <s v="1P"/>
    <s v="F"/>
    <m/>
    <m/>
    <m/>
    <m/>
    <m/>
    <m/>
    <m/>
    <m/>
    <m/>
    <m/>
    <m/>
    <m/>
    <m/>
    <m/>
    <m/>
    <m/>
    <m/>
    <m/>
    <m/>
    <m/>
    <m/>
    <m/>
    <m/>
    <m/>
    <m/>
    <m/>
    <m/>
    <m/>
    <m/>
    <m/>
    <m/>
    <d v="2023-08-10T00:00:00"/>
    <m/>
  </r>
  <r>
    <s v="017339Z"/>
    <s v="SEPULVEDA RIFFO LUIS LEONARDO SEBASTIAN"/>
    <n v="201044006"/>
    <s v="S-48"/>
    <x v="89"/>
    <s v="SEPULVEDA RIFFO LUIS LEONARDO SEBASTIAN (IFEX)"/>
    <x v="5"/>
    <x v="0"/>
    <x v="1"/>
    <x v="1"/>
    <s v="(IFEX)"/>
    <x v="0"/>
    <s v="FRANCO"/>
    <m/>
    <m/>
    <m/>
    <s v="O/S"/>
    <d v="2024-04-06T00:00:00"/>
    <m/>
    <m/>
    <m/>
    <m/>
    <s v=""/>
    <n v="1"/>
    <n v="172"/>
    <n v="12"/>
    <n v="0"/>
    <s v="1P"/>
    <s v="1P"/>
    <s v="1P"/>
    <s v="1P"/>
    <s v="1P"/>
    <s v="F"/>
    <m/>
    <m/>
    <m/>
    <m/>
    <m/>
    <m/>
    <m/>
    <m/>
    <m/>
    <m/>
    <m/>
    <m/>
    <m/>
    <m/>
    <m/>
    <m/>
    <m/>
    <m/>
    <m/>
    <m/>
    <m/>
    <m/>
    <m/>
    <m/>
    <m/>
    <m/>
    <m/>
    <m/>
    <m/>
    <m/>
    <m/>
    <d v="2023-08-02T00:00:00"/>
    <m/>
  </r>
  <r>
    <s v="010504V"/>
    <s v="VILA VALDIVIA PAULINA VALERA"/>
    <n v="186601343"/>
    <s v="S-48"/>
    <x v="89"/>
    <s v="VILA VALDIVIA PAULINA VALERA"/>
    <x v="5"/>
    <x v="1"/>
    <x v="1"/>
    <x v="1"/>
    <s v=""/>
    <x v="0"/>
    <s v="FRANCO"/>
    <m/>
    <m/>
    <m/>
    <s v="O/S"/>
    <d v="2024-04-06T00:00:00"/>
    <m/>
    <m/>
    <m/>
    <m/>
    <s v=""/>
    <n v="1"/>
    <n v="172"/>
    <n v="12"/>
    <n v="0"/>
    <s v="1P"/>
    <s v="1P"/>
    <s v="1P"/>
    <s v="1P"/>
    <s v="1P"/>
    <s v="F"/>
    <m/>
    <m/>
    <m/>
    <m/>
    <m/>
    <m/>
    <m/>
    <m/>
    <m/>
    <m/>
    <m/>
    <m/>
    <m/>
    <m/>
    <m/>
    <m/>
    <m/>
    <m/>
    <m/>
    <m/>
    <m/>
    <m/>
    <m/>
    <m/>
    <m/>
    <m/>
    <m/>
    <m/>
    <m/>
    <m/>
    <m/>
    <d v="2023-06-14T00:00:00"/>
    <m/>
  </r>
  <r>
    <s v="021939P"/>
    <s v="MAUREIRA VILLALOBOS PEDRO LUIS"/>
    <s v="18359870-8"/>
    <s v="S-48"/>
    <x v="89"/>
    <s v="MAUREIRA VILLALOBOS PEDRO LUIS"/>
    <x v="9"/>
    <x v="0"/>
    <x v="1"/>
    <x v="1"/>
    <s v=""/>
    <x v="0"/>
    <s v="FRANCO"/>
    <m/>
    <m/>
    <m/>
    <s v="O/S"/>
    <d v="2024-04-06T00:00:00"/>
    <m/>
    <s v="DOE 201203630 CITACION TRIBUNAL DE GARANTIA SAN BERNARDO 14-03-2024 13:00 HRS LISTO _x000a_CITADO 04-06-24 A LAS 13:00 HRS T.J.O SAN BERNARDO "/>
    <m/>
    <m/>
    <s v=""/>
    <n v="1"/>
    <n v="172"/>
    <n v="13"/>
    <n v="0"/>
    <s v="1P"/>
    <s v="1P"/>
    <s v="1P"/>
    <s v="1P"/>
    <s v="1P"/>
    <s v="F"/>
    <m/>
    <m/>
    <m/>
    <m/>
    <m/>
    <m/>
    <m/>
    <m/>
    <m/>
    <m/>
    <m/>
    <m/>
    <m/>
    <m/>
    <m/>
    <m/>
    <m/>
    <m/>
    <m/>
    <m/>
    <m/>
    <m/>
    <m/>
    <m/>
    <m/>
    <m/>
    <m/>
    <m/>
    <m/>
    <m/>
    <m/>
    <d v="2023-07-05T00:00:00"/>
    <m/>
  </r>
  <r>
    <s v="018919Y"/>
    <s v="MORALES ROMERO ELIAS PATRICIO"/>
    <n v="206554711"/>
    <s v="S-48"/>
    <x v="89"/>
    <s v="MORALES ROMERO ELIAS PATRICIO"/>
    <x v="9"/>
    <x v="0"/>
    <x v="1"/>
    <x v="1"/>
    <s v=""/>
    <x v="0"/>
    <s v="FRANCO"/>
    <m/>
    <m/>
    <m/>
    <s v="O/S"/>
    <d v="2024-04-06T00:00:00"/>
    <m/>
    <m/>
    <m/>
    <m/>
    <s v=""/>
    <n v="1"/>
    <n v="172"/>
    <n v="13"/>
    <n v="0"/>
    <s v="1P"/>
    <s v="1P"/>
    <s v="1P"/>
    <s v="1P"/>
    <s v="1P"/>
    <s v="F"/>
    <m/>
    <m/>
    <m/>
    <m/>
    <m/>
    <m/>
    <m/>
    <m/>
    <m/>
    <m/>
    <m/>
    <m/>
    <m/>
    <m/>
    <m/>
    <m/>
    <m/>
    <m/>
    <m/>
    <m/>
    <m/>
    <m/>
    <m/>
    <m/>
    <m/>
    <m/>
    <m/>
    <m/>
    <m/>
    <m/>
    <m/>
    <d v="2023-04-13T00:00:00"/>
    <m/>
  </r>
  <r>
    <s v="956829X"/>
    <s v="PORTILLA ARAYA LEONARDO MANUEL"/>
    <n v="137037823"/>
    <s v="JEFE/S-49"/>
    <x v="90"/>
    <s v="PORTILLA ARAYA LEONARDO MANUEL"/>
    <x v="3"/>
    <x v="0"/>
    <x v="1"/>
    <x v="1"/>
    <s v=""/>
    <x v="0"/>
    <s v="FRANCO"/>
    <m/>
    <m/>
    <m/>
    <s v="O/S"/>
    <d v="2024-04-06T00:00:00"/>
    <m/>
    <m/>
    <m/>
    <m/>
    <s v=""/>
    <n v="1"/>
    <n v="175"/>
    <n v="9"/>
    <n v="0"/>
    <s v="1P"/>
    <s v="1P"/>
    <s v="1P"/>
    <s v="PER."/>
    <s v="PER."/>
    <s v="F"/>
    <m/>
    <m/>
    <m/>
    <m/>
    <m/>
    <m/>
    <m/>
    <m/>
    <m/>
    <m/>
    <m/>
    <m/>
    <m/>
    <m/>
    <m/>
    <m/>
    <m/>
    <m/>
    <m/>
    <m/>
    <m/>
    <m/>
    <m/>
    <m/>
    <m/>
    <m/>
    <m/>
    <m/>
    <m/>
    <m/>
    <m/>
    <d v="2023-07-19T00:00:00"/>
    <m/>
  </r>
  <r>
    <s v="969948K"/>
    <s v="MARCHANT VASQUEZ GONZALO EDUARDO"/>
    <s v="16410317K"/>
    <s v="S-49"/>
    <x v="91"/>
    <s v="MARCHANT VASQUEZ GONZALO EDUARDO      (L-T-J-TM)"/>
    <x v="1"/>
    <x v="0"/>
    <x v="1"/>
    <x v="1"/>
    <s v="(L-T-J-TM)"/>
    <x v="0"/>
    <s v="FRANCO"/>
    <m/>
    <m/>
    <m/>
    <s v="O/S"/>
    <d v="2024-04-06T00:00:00"/>
    <m/>
    <m/>
    <m/>
    <m/>
    <s v=""/>
    <n v="1"/>
    <n v="176"/>
    <n v="10"/>
    <n v="0"/>
    <s v="1P"/>
    <s v="1P"/>
    <s v="1P"/>
    <s v="1P"/>
    <s v="1P"/>
    <s v="F"/>
    <m/>
    <m/>
    <m/>
    <m/>
    <m/>
    <m/>
    <m/>
    <m/>
    <m/>
    <m/>
    <m/>
    <m/>
    <m/>
    <m/>
    <m/>
    <m/>
    <m/>
    <m/>
    <m/>
    <m/>
    <m/>
    <m/>
    <m/>
    <m/>
    <m/>
    <m/>
    <m/>
    <m/>
    <m/>
    <m/>
    <m/>
    <d v="2023-05-17T00:00:00"/>
    <m/>
  </r>
  <r>
    <s v="979576G"/>
    <s v="ESPINOZA REYES VICTOR HUGO"/>
    <n v="169295352"/>
    <s v="S-49"/>
    <x v="91"/>
    <s v="ESPINOZA REYES VICTOR HUGO"/>
    <x v="4"/>
    <x v="0"/>
    <x v="1"/>
    <x v="1"/>
    <s v=""/>
    <x v="0"/>
    <s v="FRANCO"/>
    <m/>
    <m/>
    <m/>
    <s v="O/S"/>
    <d v="2024-04-06T00:00:00"/>
    <m/>
    <m/>
    <m/>
    <m/>
    <s v=""/>
    <n v="1"/>
    <n v="176"/>
    <n v="11"/>
    <n v="0"/>
    <s v="1P"/>
    <s v="1P"/>
    <s v="1P"/>
    <s v="1P"/>
    <s v="1P"/>
    <s v="F"/>
    <m/>
    <m/>
    <m/>
    <m/>
    <m/>
    <m/>
    <m/>
    <m/>
    <m/>
    <m/>
    <m/>
    <m/>
    <m/>
    <m/>
    <m/>
    <m/>
    <m/>
    <m/>
    <m/>
    <m/>
    <m/>
    <m/>
    <m/>
    <m/>
    <m/>
    <m/>
    <m/>
    <m/>
    <m/>
    <m/>
    <m/>
    <d v="2023-07-03T00:00:00"/>
    <m/>
  </r>
  <r>
    <s v="995292M"/>
    <s v="TORRES AGUILAR PEDRO IGNACIO"/>
    <n v="177191450"/>
    <s v="S-49"/>
    <x v="91"/>
    <s v="TORRES AGUILAR PEDRO IGNACIO"/>
    <x v="4"/>
    <x v="0"/>
    <x v="1"/>
    <x v="1"/>
    <s v=""/>
    <x v="0"/>
    <s v="FRANCO"/>
    <m/>
    <m/>
    <m/>
    <s v="O/S"/>
    <d v="2024-04-06T00:00:00"/>
    <m/>
    <m/>
    <m/>
    <m/>
    <s v=""/>
    <n v="1"/>
    <n v="176"/>
    <n v="11"/>
    <n v="0"/>
    <s v="1P"/>
    <s v="1P"/>
    <s v="1P"/>
    <s v="1P"/>
    <s v="1P"/>
    <s v="F"/>
    <m/>
    <m/>
    <m/>
    <m/>
    <m/>
    <m/>
    <m/>
    <m/>
    <m/>
    <m/>
    <m/>
    <m/>
    <m/>
    <m/>
    <m/>
    <m/>
    <m/>
    <m/>
    <m/>
    <m/>
    <m/>
    <m/>
    <m/>
    <m/>
    <m/>
    <m/>
    <m/>
    <m/>
    <m/>
    <m/>
    <m/>
    <d v="2023-07-21T00:00:00"/>
    <m/>
  </r>
  <r>
    <s v="017071Q"/>
    <s v="ARANCIBIA ARANCIBIA DIEGO ANTONIO"/>
    <n v="196111492"/>
    <s v="S-49"/>
    <x v="91"/>
    <s v="ARANCIBIA ARANCIBIA DIEGO ANTONIO         (L-J-S-T-TM)"/>
    <x v="5"/>
    <x v="0"/>
    <x v="1"/>
    <x v="1"/>
    <s v="(L-J-S-T-TM)"/>
    <x v="0"/>
    <s v="FRANCO"/>
    <m/>
    <m/>
    <m/>
    <s v="O/S"/>
    <d v="2024-04-06T00:00:00"/>
    <m/>
    <m/>
    <m/>
    <m/>
    <s v=""/>
    <n v="1"/>
    <n v="176"/>
    <n v="12"/>
    <n v="0"/>
    <s v="1P"/>
    <s v="1P"/>
    <s v="1P"/>
    <s v="1P"/>
    <s v="1P"/>
    <s v="F"/>
    <m/>
    <m/>
    <m/>
    <m/>
    <m/>
    <m/>
    <m/>
    <m/>
    <m/>
    <m/>
    <m/>
    <m/>
    <m/>
    <m/>
    <m/>
    <m/>
    <m/>
    <m/>
    <m/>
    <m/>
    <m/>
    <m/>
    <m/>
    <m/>
    <m/>
    <m/>
    <m/>
    <m/>
    <m/>
    <m/>
    <m/>
    <d v="2023-05-25T00:00:00"/>
    <m/>
  </r>
  <r>
    <s v="018542W"/>
    <s v="GALMES MUÑOZ MATIAS CRISTOFER"/>
    <n v="201505127"/>
    <s v="S-49"/>
    <x v="91"/>
    <s v="GALMES MUÑOZ MATIAS CRISTOFER (IFEX)"/>
    <x v="5"/>
    <x v="0"/>
    <x v="1"/>
    <x v="1"/>
    <s v="(IFEX)"/>
    <x v="0"/>
    <s v="FRANCO"/>
    <m/>
    <m/>
    <m/>
    <s v="O/S"/>
    <d v="2024-04-06T00:00:00"/>
    <m/>
    <m/>
    <m/>
    <m/>
    <s v=""/>
    <n v="1"/>
    <n v="176"/>
    <n v="12"/>
    <n v="0"/>
    <s v="1P"/>
    <s v="1P"/>
    <s v="1P"/>
    <s v="1P"/>
    <s v="1P"/>
    <s v="F"/>
    <m/>
    <m/>
    <m/>
    <m/>
    <m/>
    <m/>
    <m/>
    <m/>
    <m/>
    <m/>
    <m/>
    <m/>
    <m/>
    <m/>
    <m/>
    <m/>
    <m/>
    <m/>
    <m/>
    <m/>
    <m/>
    <m/>
    <m/>
    <m/>
    <m/>
    <m/>
    <m/>
    <m/>
    <m/>
    <m/>
    <m/>
    <d v="2023-07-19T00:00:00"/>
    <m/>
  </r>
  <r>
    <s v="020128V"/>
    <s v="LIZAMA ROMERO GONZALO MICHAEL"/>
    <n v="182698334"/>
    <s v="S-49"/>
    <x v="91"/>
    <s v="LIZAMA ROMERO GONZALO MICHAEL (IFEX)"/>
    <x v="5"/>
    <x v="0"/>
    <x v="1"/>
    <x v="1"/>
    <s v="(IFEX)"/>
    <x v="0"/>
    <s v="FRANCO"/>
    <m/>
    <m/>
    <m/>
    <s v="O/S"/>
    <d v="2024-04-06T00:00:00"/>
    <m/>
    <s v="LISTO      SECCION CAZADORES _x000a_DOE 201203630 CITACION 13° JUZ. GARANTIA 05-03-2024 09:00 HRS"/>
    <m/>
    <m/>
    <s v=""/>
    <n v="1"/>
    <n v="176"/>
    <n v="12"/>
    <n v="0"/>
    <s v="1P"/>
    <s v="1P"/>
    <s v="1P"/>
    <s v="1P"/>
    <s v="1P"/>
    <s v="F"/>
    <m/>
    <m/>
    <m/>
    <m/>
    <m/>
    <m/>
    <m/>
    <m/>
    <m/>
    <m/>
    <m/>
    <m/>
    <m/>
    <m/>
    <m/>
    <m/>
    <m/>
    <m/>
    <m/>
    <m/>
    <m/>
    <m/>
    <m/>
    <m/>
    <m/>
    <m/>
    <m/>
    <m/>
    <m/>
    <m/>
    <m/>
    <d v="2023-08-04T00:00:00"/>
    <m/>
  </r>
  <r>
    <s v="018902Y"/>
    <s v="MATUS DE LA PARRA BECERRA FELIPE ENDRES"/>
    <n v="203737254"/>
    <s v="S-49"/>
    <x v="91"/>
    <s v="MATUS DE LA PARRA BECERRA FELIPE OCTAVIO (IFEX)"/>
    <x v="5"/>
    <x v="0"/>
    <x v="1"/>
    <x v="1"/>
    <s v="(IFEX)"/>
    <x v="0"/>
    <s v="FRANCO"/>
    <m/>
    <m/>
    <m/>
    <s v="O/S"/>
    <d v="2024-04-06T00:00:00"/>
    <m/>
    <m/>
    <m/>
    <m/>
    <s v=""/>
    <n v="1"/>
    <n v="176"/>
    <n v="12"/>
    <n v="0"/>
    <s v="1P"/>
    <s v="1P"/>
    <s v="1P"/>
    <s v="PER."/>
    <s v="1P"/>
    <s v="F"/>
    <m/>
    <m/>
    <m/>
    <m/>
    <m/>
    <m/>
    <m/>
    <m/>
    <m/>
    <m/>
    <m/>
    <m/>
    <m/>
    <m/>
    <m/>
    <m/>
    <m/>
    <m/>
    <m/>
    <m/>
    <m/>
    <m/>
    <m/>
    <m/>
    <m/>
    <m/>
    <m/>
    <m/>
    <m/>
    <m/>
    <m/>
    <d v="2023-08-11T00:00:00"/>
    <m/>
  </r>
  <r>
    <s v="017068V"/>
    <s v="ZAPATA OÑATE ANDREA VALENTINA"/>
    <n v="197694459"/>
    <s v="S-49"/>
    <x v="91"/>
    <s v="ZAPATA OÑATE ANDREA VALENTINA ( IFEX)"/>
    <x v="5"/>
    <x v="1"/>
    <x v="1"/>
    <x v="1"/>
    <s v="( IFEX)"/>
    <x v="0"/>
    <s v="FRANCO"/>
    <m/>
    <m/>
    <m/>
    <s v="O/S"/>
    <d v="2024-04-06T00:00:00"/>
    <m/>
    <m/>
    <m/>
    <m/>
    <s v=""/>
    <n v="1"/>
    <n v="176"/>
    <n v="12"/>
    <n v="0"/>
    <s v="1P"/>
    <s v="1P"/>
    <s v="1P"/>
    <s v="1P"/>
    <s v="1P"/>
    <s v="F"/>
    <m/>
    <m/>
    <m/>
    <m/>
    <m/>
    <m/>
    <m/>
    <m/>
    <m/>
    <m/>
    <m/>
    <m/>
    <m/>
    <m/>
    <m/>
    <m/>
    <m/>
    <m/>
    <m/>
    <m/>
    <m/>
    <m/>
    <m/>
    <m/>
    <m/>
    <m/>
    <m/>
    <m/>
    <m/>
    <m/>
    <m/>
    <d v="2023-08-10T00:00:00"/>
    <m/>
  </r>
  <r>
    <s v="019106T"/>
    <s v="LUNA CASTILLO NICOLAS ERNESTO"/>
    <n v="198065900"/>
    <s v="S-49"/>
    <x v="91"/>
    <s v="LUNA CASTILLO NICOLAS ERNESTO"/>
    <x v="9"/>
    <x v="0"/>
    <x v="1"/>
    <x v="1"/>
    <s v=""/>
    <x v="0"/>
    <s v="FRANCO"/>
    <m/>
    <m/>
    <m/>
    <s v="O/S"/>
    <d v="2024-04-06T00:00:00"/>
    <m/>
    <m/>
    <m/>
    <m/>
    <s v=""/>
    <n v="1"/>
    <n v="176"/>
    <n v="13"/>
    <n v="0"/>
    <s v="1P"/>
    <s v="1P"/>
    <s v="1P"/>
    <s v="1P"/>
    <s v="1P"/>
    <s v="F"/>
    <m/>
    <m/>
    <m/>
    <m/>
    <m/>
    <m/>
    <m/>
    <m/>
    <m/>
    <m/>
    <m/>
    <m/>
    <m/>
    <m/>
    <m/>
    <m/>
    <m/>
    <m/>
    <m/>
    <m/>
    <m/>
    <m/>
    <m/>
    <m/>
    <m/>
    <m/>
    <m/>
    <m/>
    <m/>
    <m/>
    <m/>
    <d v="2024-03-18T00:00:00"/>
    <m/>
  </r>
  <r>
    <s v="982447K"/>
    <s v="NUÑEZ NAHUELHUAL FRANCISCO JAVIER"/>
    <n v="167071759"/>
    <s v="S-EV-4"/>
    <x v="92"/>
    <s v="NUÑEZ NAHUELHUAL FRANCISCO JAVIER"/>
    <x v="1"/>
    <x v="0"/>
    <x v="1"/>
    <x v="1"/>
    <s v=""/>
    <x v="9"/>
    <s v="PLAN 2 HOMICIDIOS"/>
    <m/>
    <m/>
    <m/>
    <s v="O/S"/>
    <d v="1988-09-15T00:00:00"/>
    <m/>
    <s v="CITADO 1ER. TRIBUNAL J.O.P_x000a_ STGO 06-05-2024 A LAS 09:00 HRS"/>
    <m/>
    <m/>
    <s v=""/>
    <n v="1"/>
    <n v="193"/>
    <n v="10"/>
    <n v="0"/>
    <s v="2T"/>
    <s v="1T"/>
    <s v="1P"/>
    <s v="2T"/>
    <s v="2T"/>
    <s v="2T"/>
    <m/>
    <m/>
    <m/>
    <m/>
    <m/>
    <m/>
    <m/>
    <m/>
    <m/>
    <m/>
    <m/>
    <m/>
    <m/>
    <m/>
    <m/>
    <m/>
    <m/>
    <m/>
    <m/>
    <m/>
    <m/>
    <m/>
    <m/>
    <m/>
    <m/>
    <m/>
    <m/>
    <m/>
    <m/>
    <m/>
    <m/>
    <m/>
    <m/>
  </r>
  <r>
    <s v="985197C"/>
    <s v="CARRASCO MIRANDA DANIEL ANTONIO"/>
    <n v="162918044"/>
    <s v="S-EV-4"/>
    <x v="93"/>
    <s v="CARRASCO MIRANDA DANIEL ANTONIO  (L)"/>
    <x v="1"/>
    <x v="0"/>
    <x v="1"/>
    <x v="1"/>
    <s v="(L)"/>
    <x v="9"/>
    <s v="PLAN 2 HOMICIDIOS"/>
    <m/>
    <m/>
    <m/>
    <s v="O/S"/>
    <d v="1988-09-15T00:00:00"/>
    <s v="04-04-2024 JUICIO  PUENTE ALTO 10.00 HRS"/>
    <s v="MACUL 4"/>
    <m/>
    <m/>
    <s v=""/>
    <n v="1"/>
    <n v="194"/>
    <n v="10"/>
    <n v="0"/>
    <s v="2T"/>
    <s v="1T"/>
    <s v="1P"/>
    <s v="1T"/>
    <s v="2T"/>
    <s v="2T"/>
    <m/>
    <m/>
    <m/>
    <m/>
    <m/>
    <m/>
    <m/>
    <m/>
    <m/>
    <m/>
    <m/>
    <m/>
    <m/>
    <m/>
    <m/>
    <m/>
    <m/>
    <m/>
    <m/>
    <m/>
    <m/>
    <m/>
    <m/>
    <m/>
    <m/>
    <m/>
    <m/>
    <m/>
    <m/>
    <m/>
    <m/>
    <m/>
    <m/>
  </r>
  <r>
    <s v="975085L"/>
    <s v="QUIDILAO MARTINEZ JONATHAN JAVIER"/>
    <n v="166494052"/>
    <s v="S-EV-4"/>
    <x v="93"/>
    <s v="QUIDILAO MARTINEZ JONATHAN JAVIER"/>
    <x v="1"/>
    <x v="0"/>
    <x v="1"/>
    <x v="1"/>
    <s v=""/>
    <x v="9"/>
    <s v="PLAN 2 HOMICIDIOS"/>
    <m/>
    <m/>
    <m/>
    <s v="O/S"/>
    <d v="1988-09-15T00:00:00"/>
    <m/>
    <s v="MACUL 4"/>
    <m/>
    <m/>
    <s v=""/>
    <n v="1"/>
    <n v="194"/>
    <n v="10"/>
    <n v="0"/>
    <s v="2T"/>
    <s v="1T"/>
    <s v="1P"/>
    <s v="2T"/>
    <s v="2T"/>
    <s v="2T"/>
    <m/>
    <m/>
    <m/>
    <m/>
    <m/>
    <m/>
    <m/>
    <m/>
    <m/>
    <m/>
    <m/>
    <m/>
    <m/>
    <m/>
    <m/>
    <m/>
    <m/>
    <m/>
    <m/>
    <m/>
    <m/>
    <m/>
    <m/>
    <m/>
    <m/>
    <m/>
    <m/>
    <m/>
    <m/>
    <m/>
    <m/>
    <m/>
    <m/>
  </r>
  <r>
    <s v="997026F"/>
    <s v="FUENTES SEPULVEDA ANGEL ISMAEL"/>
    <n v="184899752"/>
    <s v="S-EV-4"/>
    <x v="93"/>
    <s v="FUENTES SEPULVEDA ANGEL ISMAEL"/>
    <x v="4"/>
    <x v="0"/>
    <x v="1"/>
    <x v="1"/>
    <s v=""/>
    <x v="9"/>
    <s v="PLAN 2 HOMICIDIOS"/>
    <m/>
    <m/>
    <m/>
    <s v="O/S"/>
    <d v="1988-09-15T00:00:00"/>
    <m/>
    <s v="MACUL 4"/>
    <m/>
    <m/>
    <s v=""/>
    <n v="1"/>
    <n v="194"/>
    <n v="11"/>
    <n v="0"/>
    <s v="2T"/>
    <s v="1T"/>
    <s v="1P"/>
    <s v="2T"/>
    <s v="2T"/>
    <s v="2T"/>
    <m/>
    <m/>
    <m/>
    <m/>
    <m/>
    <m/>
    <m/>
    <m/>
    <m/>
    <m/>
    <m/>
    <m/>
    <m/>
    <m/>
    <m/>
    <m/>
    <m/>
    <m/>
    <m/>
    <m/>
    <m/>
    <m/>
    <m/>
    <m/>
    <m/>
    <m/>
    <m/>
    <m/>
    <m/>
    <m/>
    <m/>
    <m/>
    <m/>
  </r>
  <r>
    <s v="001110Z"/>
    <s v="GOMEZ SEGUEL MIGUEL ANGEL"/>
    <n v="184062305"/>
    <s v="S-EV-4"/>
    <x v="93"/>
    <s v="GOMEZ SEGUEL MIGUEL ANGEL"/>
    <x v="4"/>
    <x v="0"/>
    <x v="1"/>
    <x v="1"/>
    <s v=""/>
    <x v="9"/>
    <s v="PLAN 2 HOMICIDIOS"/>
    <m/>
    <m/>
    <m/>
    <s v="O/S"/>
    <d v="1988-09-15T00:00:00"/>
    <m/>
    <s v="CITADO 4TO. TRIBUNAL J.O.P_x000a_ STGO 06-05-2024 A LAS 09:00 HRS / TOEP. STGO 24-06-2024 09:00HRS"/>
    <m/>
    <m/>
    <s v=""/>
    <n v="1"/>
    <n v="194"/>
    <n v="11"/>
    <n v="0"/>
    <s v="2T"/>
    <s v="1T"/>
    <s v="1P"/>
    <s v="2T"/>
    <s v="2T"/>
    <s v="2T"/>
    <m/>
    <m/>
    <m/>
    <m/>
    <m/>
    <m/>
    <m/>
    <m/>
    <m/>
    <m/>
    <m/>
    <m/>
    <m/>
    <m/>
    <m/>
    <m/>
    <m/>
    <m/>
    <m/>
    <m/>
    <m/>
    <m/>
    <m/>
    <m/>
    <m/>
    <m/>
    <m/>
    <m/>
    <m/>
    <m/>
    <m/>
    <m/>
    <m/>
  </r>
  <r>
    <s v="984949U"/>
    <s v="HURTADO OLIVARES JUAN FRANCISCO"/>
    <n v="179864231"/>
    <s v="S-EV-4"/>
    <x v="93"/>
    <s v="HURTADO OLIVARES JUAN FRANCISCO"/>
    <x v="4"/>
    <x v="0"/>
    <x v="1"/>
    <x v="1"/>
    <s v=""/>
    <x v="9"/>
    <s v="PLAN 2 HOMICIDIOS"/>
    <m/>
    <m/>
    <m/>
    <s v="O/S"/>
    <d v="1988-09-15T00:00:00"/>
    <m/>
    <s v="MACUL 4"/>
    <m/>
    <m/>
    <s v=""/>
    <n v="1"/>
    <n v="194"/>
    <n v="11"/>
    <n v="0"/>
    <s v="2T"/>
    <s v="1T"/>
    <s v="1P"/>
    <s v="2T"/>
    <s v="2T"/>
    <s v="2T"/>
    <m/>
    <m/>
    <m/>
    <m/>
    <m/>
    <m/>
    <m/>
    <m/>
    <m/>
    <m/>
    <m/>
    <m/>
    <m/>
    <m/>
    <m/>
    <m/>
    <m/>
    <m/>
    <m/>
    <m/>
    <m/>
    <m/>
    <m/>
    <m/>
    <m/>
    <m/>
    <m/>
    <m/>
    <m/>
    <m/>
    <m/>
    <m/>
    <m/>
  </r>
  <r>
    <s v="000911T"/>
    <s v="LOPEZ VILCHES SEBASTIAN ALEJANDRO"/>
    <n v="190340066"/>
    <s v="S-41"/>
    <x v="93"/>
    <s v="LOPEZ VILCHES SEBASTIAN ALEJANDRO          ( L-T -J-S )"/>
    <x v="4"/>
    <x v="0"/>
    <x v="1"/>
    <x v="1"/>
    <s v="( L-T -J-S )"/>
    <x v="9"/>
    <s v="PLAN 2 HOMICIDIOS"/>
    <m/>
    <m/>
    <m/>
    <s v="O/S"/>
    <d v="2024-04-06T00:00:00"/>
    <m/>
    <s v="LISTO"/>
    <m/>
    <m/>
    <s v=""/>
    <n v="1"/>
    <n v="194"/>
    <n v="11"/>
    <n v="0"/>
    <s v="3T"/>
    <s v="SN"/>
    <s v="2T"/>
    <s v="2T"/>
    <s v="2T"/>
    <s v="2T"/>
    <m/>
    <m/>
    <m/>
    <m/>
    <m/>
    <m/>
    <m/>
    <m/>
    <m/>
    <m/>
    <m/>
    <m/>
    <m/>
    <m/>
    <m/>
    <m/>
    <m/>
    <m/>
    <m/>
    <m/>
    <m/>
    <m/>
    <m/>
    <m/>
    <m/>
    <m/>
    <m/>
    <m/>
    <m/>
    <m/>
    <m/>
    <d v="2023-05-24T00:00:00"/>
    <m/>
  </r>
  <r>
    <s v="001140F"/>
    <s v="MARQUEZ CAMPOS FELIPE SANTIAGO"/>
    <n v="186561295"/>
    <s v="S-EV-4"/>
    <x v="93"/>
    <s v="MARQUEZ CAMPOS FELIPE SANTIAGO"/>
    <x v="4"/>
    <x v="0"/>
    <x v="1"/>
    <x v="1"/>
    <s v=""/>
    <x v="9"/>
    <s v="PLAN 2 HOMICIDIOS"/>
    <m/>
    <m/>
    <m/>
    <s v="O/S"/>
    <d v="1988-09-15T00:00:00"/>
    <m/>
    <s v="MACUL 4"/>
    <m/>
    <m/>
    <s v=""/>
    <n v="1"/>
    <n v="194"/>
    <n v="11"/>
    <n v="0"/>
    <s v="2T"/>
    <s v="1T"/>
    <s v="1P"/>
    <s v="2T"/>
    <s v="2T"/>
    <s v="2T"/>
    <m/>
    <m/>
    <m/>
    <m/>
    <m/>
    <m/>
    <m/>
    <m/>
    <m/>
    <m/>
    <m/>
    <m/>
    <m/>
    <m/>
    <m/>
    <m/>
    <m/>
    <m/>
    <m/>
    <m/>
    <m/>
    <m/>
    <m/>
    <m/>
    <m/>
    <m/>
    <m/>
    <m/>
    <m/>
    <m/>
    <m/>
    <m/>
    <m/>
  </r>
  <r>
    <s v="992973L"/>
    <s v="PINTO OVIEDO CAMILA MACARENA"/>
    <n v="186985613"/>
    <s v="S-EV-4"/>
    <x v="93"/>
    <s v="PINTO OVIEDO CAMILA MACARENA"/>
    <x v="4"/>
    <x v="1"/>
    <x v="1"/>
    <x v="1"/>
    <s v=""/>
    <x v="9"/>
    <s v="PLAN 2 HOMICIDIOS"/>
    <m/>
    <m/>
    <m/>
    <s v="O/S"/>
    <d v="1988-09-15T00:00:00"/>
    <m/>
    <s v="MACUL 4"/>
    <m/>
    <m/>
    <s v=""/>
    <n v="1"/>
    <n v="194"/>
    <n v="11"/>
    <n v="0"/>
    <s v="2T"/>
    <s v="1T"/>
    <s v="1P"/>
    <s v="2T"/>
    <s v="2T"/>
    <s v="2T"/>
    <m/>
    <m/>
    <m/>
    <m/>
    <m/>
    <m/>
    <m/>
    <m/>
    <m/>
    <m/>
    <m/>
    <m/>
    <m/>
    <m/>
    <m/>
    <m/>
    <m/>
    <m/>
    <m/>
    <m/>
    <m/>
    <m/>
    <m/>
    <m/>
    <m/>
    <m/>
    <m/>
    <m/>
    <m/>
    <m/>
    <m/>
    <m/>
    <m/>
  </r>
  <r>
    <s v="004350L"/>
    <s v="QUINTEROS BRIONES SEBASTIAN ALEJANDRO"/>
    <n v="180876847"/>
    <s v="S-EV-4"/>
    <x v="93"/>
    <s v="QUINTEROS BRIONES SEBASTIAN ALEJANDRO"/>
    <x v="4"/>
    <x v="0"/>
    <x v="1"/>
    <x v="1"/>
    <s v=""/>
    <x v="9"/>
    <s v="PLAN 2 HOMICIDIOS"/>
    <m/>
    <m/>
    <m/>
    <s v="O/S"/>
    <d v="1988-09-15T00:00:00"/>
    <s v="CITADO DPTO ASUSNTO INTERNO _x000a_13:00 DOE 203562950"/>
    <s v="MACUL 4"/>
    <m/>
    <m/>
    <s v=""/>
    <n v="1"/>
    <n v="194"/>
    <n v="11"/>
    <n v="0"/>
    <s v="2T"/>
    <s v="1T"/>
    <s v="1P"/>
    <s v="2T"/>
    <s v="2T"/>
    <s v="2T"/>
    <m/>
    <m/>
    <m/>
    <m/>
    <m/>
    <m/>
    <m/>
    <m/>
    <m/>
    <m/>
    <m/>
    <m/>
    <m/>
    <m/>
    <m/>
    <m/>
    <m/>
    <m/>
    <m/>
    <m/>
    <m/>
    <m/>
    <m/>
    <m/>
    <m/>
    <m/>
    <m/>
    <m/>
    <m/>
    <m/>
    <m/>
    <m/>
    <m/>
  </r>
  <r>
    <s v="993641Y"/>
    <s v="URBINA SOLIS LUIS AGUSTIN"/>
    <s v="16860145K"/>
    <s v="S-EV-4"/>
    <x v="93"/>
    <s v="URBINA SOLIS LUIS AGUSTIN"/>
    <x v="4"/>
    <x v="0"/>
    <x v="1"/>
    <x v="1"/>
    <s v=""/>
    <x v="9"/>
    <s v="PLAN 2 HOMICIDIOS"/>
    <m/>
    <m/>
    <m/>
    <s v="O/S"/>
    <d v="1988-09-15T00:00:00"/>
    <m/>
    <s v="MACUL 4"/>
    <m/>
    <m/>
    <s v=""/>
    <n v="1"/>
    <n v="194"/>
    <n v="11"/>
    <n v="0"/>
    <s v="2T"/>
    <s v="1T"/>
    <s v="1P"/>
    <s v="2T"/>
    <s v="2T"/>
    <s v="2T"/>
    <m/>
    <m/>
    <m/>
    <m/>
    <m/>
    <m/>
    <m/>
    <m/>
    <m/>
    <m/>
    <m/>
    <m/>
    <m/>
    <m/>
    <m/>
    <m/>
    <m/>
    <m/>
    <m/>
    <m/>
    <m/>
    <m/>
    <m/>
    <m/>
    <m/>
    <m/>
    <m/>
    <m/>
    <m/>
    <m/>
    <m/>
    <m/>
    <m/>
  </r>
  <r>
    <s v="989031L"/>
    <s v="VILLEGAS GODOY JAIME ANDRES"/>
    <n v="181012943"/>
    <s v="S-EV-4"/>
    <x v="93"/>
    <s v="VILLEGAS GODOY JAIME ANDRES"/>
    <x v="4"/>
    <x v="0"/>
    <x v="1"/>
    <x v="1"/>
    <s v=""/>
    <x v="9"/>
    <s v="PLAN 2 HOMICIDIOS"/>
    <m/>
    <m/>
    <m/>
    <s v="O/S"/>
    <d v="1988-09-15T00:00:00"/>
    <m/>
    <s v="MACUL 4"/>
    <m/>
    <m/>
    <s v=""/>
    <n v="1"/>
    <n v="194"/>
    <n v="11"/>
    <n v="0"/>
    <s v="2T"/>
    <s v="1T"/>
    <s v="1P"/>
    <s v="2T"/>
    <s v="2T"/>
    <s v="2T"/>
    <m/>
    <m/>
    <m/>
    <m/>
    <m/>
    <m/>
    <m/>
    <m/>
    <m/>
    <m/>
    <m/>
    <m/>
    <m/>
    <m/>
    <m/>
    <m/>
    <m/>
    <m/>
    <m/>
    <m/>
    <m/>
    <m/>
    <m/>
    <m/>
    <m/>
    <m/>
    <m/>
    <m/>
    <m/>
    <m/>
    <m/>
    <m/>
    <m/>
  </r>
  <r>
    <s v="961366B"/>
    <s v="PALMA LUNA MARCO ANTONIO"/>
    <n v="136027794"/>
    <s v="S-41"/>
    <x v="94"/>
    <s v="PALMA LUNA MARCO ANTONIO"/>
    <x v="3"/>
    <x v="0"/>
    <x v="1"/>
    <x v="1"/>
    <s v=""/>
    <x v="9"/>
    <s v="PLAN 2 HOMICIDIOS"/>
    <m/>
    <m/>
    <m/>
    <s v="O/S"/>
    <d v="2024-04-06T00:00:00"/>
    <m/>
    <s v=" MACUL 6"/>
    <m/>
    <m/>
    <s v=""/>
    <n v="1"/>
    <n v="195"/>
    <n v="9"/>
    <n v="0"/>
    <s v="3T"/>
    <s v="SN"/>
    <s v="1P"/>
    <s v="2T"/>
    <s v="2T"/>
    <s v="2T"/>
    <m/>
    <m/>
    <m/>
    <m/>
    <m/>
    <m/>
    <m/>
    <m/>
    <m/>
    <m/>
    <m/>
    <m/>
    <m/>
    <m/>
    <m/>
    <m/>
    <m/>
    <m/>
    <m/>
    <m/>
    <m/>
    <m/>
    <m/>
    <m/>
    <m/>
    <m/>
    <m/>
    <m/>
    <m/>
    <m/>
    <m/>
    <d v="2023-05-25T00:00:00"/>
    <m/>
  </r>
  <r>
    <s v="979400M"/>
    <s v="AVILES IBACACHE CRISTOPHER ENRIQUE"/>
    <n v="161815268"/>
    <s v="S-EV-5"/>
    <x v="95"/>
    <s v="AVILES IBACACHE CRISTOPHER ENRIQUE"/>
    <x v="1"/>
    <x v="0"/>
    <x v="1"/>
    <x v="1"/>
    <s v=""/>
    <x v="9"/>
    <s v="PLAN 2 HOMICIDIOS"/>
    <m/>
    <m/>
    <m/>
    <s v="O/S"/>
    <d v="1988-09-15T00:00:00"/>
    <m/>
    <s v="FRANCO 30-31"/>
    <m/>
    <m/>
    <s v=""/>
    <n v="1"/>
    <n v="196"/>
    <n v="10"/>
    <n v="0"/>
    <s v="2T"/>
    <s v="1T"/>
    <s v="1P"/>
    <s v="2T"/>
    <s v="2T"/>
    <s v="2T"/>
    <m/>
    <m/>
    <m/>
    <m/>
    <m/>
    <m/>
    <m/>
    <m/>
    <m/>
    <m/>
    <m/>
    <m/>
    <m/>
    <m/>
    <m/>
    <m/>
    <m/>
    <m/>
    <m/>
    <m/>
    <m/>
    <m/>
    <m/>
    <m/>
    <m/>
    <m/>
    <m/>
    <m/>
    <m/>
    <m/>
    <m/>
    <m/>
    <m/>
  </r>
  <r>
    <s v="997674V"/>
    <s v="CASTRO MELLADO ANGELICA DEL PILAR"/>
    <n v="186314735"/>
    <s v="S-EV-5"/>
    <x v="95"/>
    <s v="CASTRO MELLADO ANGELICA DEL PILAR"/>
    <x v="4"/>
    <x v="1"/>
    <x v="1"/>
    <x v="1"/>
    <s v=""/>
    <x v="9"/>
    <s v="PLAN 2 HOMICIDIOS"/>
    <m/>
    <m/>
    <m/>
    <s v="O/S"/>
    <d v="1988-09-15T00:00:00"/>
    <m/>
    <s v="FRANCO 30-31"/>
    <m/>
    <m/>
    <s v=""/>
    <n v="1"/>
    <n v="196"/>
    <n v="11"/>
    <n v="0"/>
    <s v="2T"/>
    <s v="1T"/>
    <s v="1T"/>
    <s v="2T"/>
    <s v="2T"/>
    <s v="2T"/>
    <m/>
    <m/>
    <m/>
    <m/>
    <m/>
    <m/>
    <m/>
    <m/>
    <m/>
    <m/>
    <m/>
    <m/>
    <m/>
    <m/>
    <m/>
    <m/>
    <m/>
    <m/>
    <m/>
    <m/>
    <m/>
    <m/>
    <m/>
    <m/>
    <m/>
    <m/>
    <m/>
    <m/>
    <m/>
    <m/>
    <m/>
    <m/>
    <m/>
  </r>
  <r>
    <s v="004033N"/>
    <s v="CID IRARRAZABAL DAVID HENRRY"/>
    <n v="169101205"/>
    <s v="S-EV-5"/>
    <x v="95"/>
    <s v="CID IRARRAZABAL DAVID HENRRY"/>
    <x v="4"/>
    <x v="0"/>
    <x v="1"/>
    <x v="1"/>
    <s v=""/>
    <x v="9"/>
    <s v="PLAN 2 HOMICIDIOS"/>
    <m/>
    <m/>
    <m/>
    <s v="O/S"/>
    <d v="1988-09-15T00:00:00"/>
    <m/>
    <s v="FRANCO 30-31"/>
    <m/>
    <m/>
    <s v=""/>
    <n v="1"/>
    <n v="196"/>
    <n v="11"/>
    <n v="0"/>
    <s v="2T"/>
    <s v="1T"/>
    <s v="1P"/>
    <s v="2T"/>
    <s v="2T"/>
    <s v="2T"/>
    <m/>
    <m/>
    <m/>
    <m/>
    <m/>
    <m/>
    <m/>
    <m/>
    <m/>
    <m/>
    <m/>
    <m/>
    <m/>
    <m/>
    <m/>
    <m/>
    <m/>
    <m/>
    <m/>
    <m/>
    <m/>
    <m/>
    <m/>
    <m/>
    <m/>
    <m/>
    <m/>
    <m/>
    <m/>
    <m/>
    <m/>
    <m/>
    <m/>
  </r>
  <r>
    <s v="986568Y"/>
    <s v="GONZALEZ LAGOS GUSTAVO ALEXIS"/>
    <n v="176967250"/>
    <s v="S-EV-5"/>
    <x v="95"/>
    <s v="GONZALEZ LAGOS GUSTAVO ALEXIS"/>
    <x v="4"/>
    <x v="0"/>
    <x v="1"/>
    <x v="1"/>
    <s v=""/>
    <x v="9"/>
    <s v="PLAN 2 HOMICIDIOS"/>
    <m/>
    <m/>
    <m/>
    <s v="O/S"/>
    <d v="1988-09-15T00:00:00"/>
    <m/>
    <m/>
    <m/>
    <m/>
    <s v=""/>
    <n v="1"/>
    <n v="196"/>
    <n v="11"/>
    <n v="0"/>
    <s v="2T"/>
    <s v="1T"/>
    <s v="1P"/>
    <s v="2T"/>
    <s v="2T"/>
    <s v="2T"/>
    <m/>
    <m/>
    <m/>
    <m/>
    <m/>
    <m/>
    <m/>
    <m/>
    <m/>
    <m/>
    <m/>
    <m/>
    <m/>
    <m/>
    <m/>
    <m/>
    <m/>
    <m/>
    <m/>
    <m/>
    <m/>
    <m/>
    <m/>
    <m/>
    <m/>
    <m/>
    <m/>
    <m/>
    <m/>
    <m/>
    <m/>
    <m/>
    <m/>
  </r>
  <r>
    <s v="973391Z"/>
    <s v="GONZALEZ RETAMAL CRISTIAN CLODOMIRO"/>
    <n v="162748432"/>
    <s v="S-EV-5"/>
    <x v="95"/>
    <s v="GONZALEZ RETAMAL CRISTIAN CLODOMIRO"/>
    <x v="4"/>
    <x v="0"/>
    <x v="1"/>
    <x v="1"/>
    <s v=""/>
    <x v="9"/>
    <s v="PLAN 2 HOMICIDIOS"/>
    <m/>
    <m/>
    <m/>
    <s v="O/S"/>
    <d v="1988-09-15T00:00:00"/>
    <m/>
    <s v="FRANCO 30-31"/>
    <m/>
    <m/>
    <s v=""/>
    <n v="1"/>
    <n v="196"/>
    <n v="11"/>
    <n v="0"/>
    <s v="2T"/>
    <s v="1T"/>
    <s v="1P"/>
    <s v="2T"/>
    <s v="2T"/>
    <s v="2T"/>
    <m/>
    <m/>
    <m/>
    <m/>
    <m/>
    <m/>
    <m/>
    <m/>
    <m/>
    <m/>
    <m/>
    <m/>
    <m/>
    <m/>
    <m/>
    <m/>
    <m/>
    <m/>
    <m/>
    <m/>
    <m/>
    <m/>
    <m/>
    <m/>
    <m/>
    <m/>
    <m/>
    <m/>
    <m/>
    <m/>
    <m/>
    <m/>
    <m/>
  </r>
  <r>
    <s v="985914A"/>
    <s v="LILLO PEÑA ARIEL VIVIANO"/>
    <n v="174234256"/>
    <s v="S-EV-5"/>
    <x v="95"/>
    <s v="LILLO PEÑA ARIEL VIVIANO"/>
    <x v="4"/>
    <x v="0"/>
    <x v="1"/>
    <x v="1"/>
    <s v=""/>
    <x v="9"/>
    <s v="PLAN 2 HOMICIDIOS"/>
    <m/>
    <m/>
    <m/>
    <s v="O/S"/>
    <d v="1988-09-15T00:00:00"/>
    <s v="CITACION ESUCAR 03 ABRIL_x000a_08 MAYO Y 05 JUNIO 09:30 A 13:00 _x000a_CLASES TUTORIA LILY FUENTES"/>
    <m/>
    <m/>
    <m/>
    <s v=""/>
    <n v="1"/>
    <n v="196"/>
    <n v="11"/>
    <n v="0"/>
    <s v="2T"/>
    <s v="1T"/>
    <s v="1P"/>
    <s v="2T"/>
    <s v="2T"/>
    <s v="2T"/>
    <m/>
    <m/>
    <m/>
    <m/>
    <m/>
    <m/>
    <m/>
    <m/>
    <m/>
    <m/>
    <m/>
    <m/>
    <m/>
    <m/>
    <m/>
    <m/>
    <m/>
    <m/>
    <m/>
    <m/>
    <m/>
    <m/>
    <m/>
    <m/>
    <m/>
    <m/>
    <m/>
    <m/>
    <m/>
    <m/>
    <m/>
    <m/>
    <m/>
  </r>
  <r>
    <s v="986484D"/>
    <s v="RIQUELME SANDOVAL CRISTIAN ZENON"/>
    <s v="17757001K"/>
    <s v="S-EV-5"/>
    <x v="95"/>
    <s v="RIQUELME SANDOVAL CRISTIAN ZENON"/>
    <x v="4"/>
    <x v="0"/>
    <x v="1"/>
    <x v="1"/>
    <s v=""/>
    <x v="9"/>
    <s v="PLAN 2 HOMICIDIOS"/>
    <m/>
    <m/>
    <m/>
    <s v="O/S"/>
    <d v="1988-09-15T00:00:00"/>
    <m/>
    <m/>
    <m/>
    <m/>
    <s v=""/>
    <n v="1"/>
    <n v="196"/>
    <n v="11"/>
    <n v="0"/>
    <s v="2T"/>
    <s v="1T"/>
    <s v="1P"/>
    <s v="2T"/>
    <s v="2T"/>
    <s v="2T"/>
    <m/>
    <m/>
    <m/>
    <m/>
    <m/>
    <m/>
    <m/>
    <m/>
    <m/>
    <m/>
    <m/>
    <m/>
    <m/>
    <m/>
    <m/>
    <m/>
    <m/>
    <m/>
    <m/>
    <m/>
    <m/>
    <m/>
    <m/>
    <m/>
    <m/>
    <m/>
    <m/>
    <m/>
    <m/>
    <m/>
    <m/>
    <m/>
    <m/>
  </r>
  <r>
    <s v="979136X"/>
    <s v="SANHUEZA DARWITG JORGE ANDRES"/>
    <n v="169632170"/>
    <s v="S-EV-5"/>
    <x v="95"/>
    <s v="SANHUEZA DARWITG JORGE ANDRES"/>
    <x v="4"/>
    <x v="0"/>
    <x v="1"/>
    <x v="1"/>
    <s v=""/>
    <x v="9"/>
    <s v="PLAN 2 HOMICIDIOS"/>
    <m/>
    <m/>
    <m/>
    <s v="O/S"/>
    <d v="1988-09-15T00:00:00"/>
    <m/>
    <m/>
    <m/>
    <m/>
    <s v=""/>
    <n v="1"/>
    <n v="196"/>
    <n v="11"/>
    <n v="0"/>
    <s v="2T"/>
    <s v="1T"/>
    <s v="1P"/>
    <s v="2T"/>
    <s v="2T"/>
    <s v="2T"/>
    <m/>
    <m/>
    <m/>
    <m/>
    <m/>
    <m/>
    <m/>
    <m/>
    <m/>
    <m/>
    <m/>
    <m/>
    <m/>
    <m/>
    <m/>
    <m/>
    <m/>
    <m/>
    <m/>
    <m/>
    <m/>
    <m/>
    <m/>
    <m/>
    <m/>
    <m/>
    <m/>
    <m/>
    <m/>
    <m/>
    <m/>
    <m/>
    <m/>
  </r>
  <r>
    <s v="988650Q"/>
    <s v="SOLAR JARA CARLOS ALEX"/>
    <n v="172000460"/>
    <s v="S-34"/>
    <x v="95"/>
    <s v="SOLAR JARA CARLOS ALEX          (L-P)"/>
    <x v="4"/>
    <x v="0"/>
    <x v="1"/>
    <x v="1"/>
    <s v="(L-P)"/>
    <x v="9"/>
    <s v="PLAN 2 HOMICIDIOS"/>
    <m/>
    <m/>
    <m/>
    <s v="O/S"/>
    <d v="1989-06-09T00:00:00"/>
    <m/>
    <s v="FRANCO 30-31"/>
    <m/>
    <m/>
    <s v=""/>
    <n v="1"/>
    <n v="196"/>
    <n v="11"/>
    <n v="0"/>
    <s v="2T"/>
    <s v="1T"/>
    <s v="1P"/>
    <s v="2T"/>
    <s v="2T"/>
    <s v="2T"/>
    <m/>
    <m/>
    <m/>
    <m/>
    <m/>
    <m/>
    <m/>
    <m/>
    <m/>
    <m/>
    <m/>
    <m/>
    <m/>
    <m/>
    <m/>
    <m/>
    <m/>
    <m/>
    <m/>
    <m/>
    <m/>
    <m/>
    <m/>
    <m/>
    <m/>
    <m/>
    <m/>
    <m/>
    <m/>
    <m/>
    <m/>
    <m/>
    <m/>
  </r>
  <r>
    <s v="985765U"/>
    <s v="URRUTIA ASTUDILLO HECTOR NEFTALI"/>
    <n v="166339545"/>
    <s v="S-EV-5"/>
    <x v="95"/>
    <s v="URRUTIA ASTUDILLO HECTOR NEFTALI"/>
    <x v="4"/>
    <x v="0"/>
    <x v="1"/>
    <x v="1"/>
    <s v=""/>
    <x v="9"/>
    <s v="PLAN 2 HOMICIDIOS"/>
    <m/>
    <m/>
    <m/>
    <s v="O/S"/>
    <d v="1988-09-15T00:00:00"/>
    <m/>
    <m/>
    <m/>
    <m/>
    <s v=""/>
    <n v="1"/>
    <n v="196"/>
    <n v="11"/>
    <n v="0"/>
    <s v="2T"/>
    <s v="1T"/>
    <s v="1P"/>
    <s v="2T"/>
    <s v="2T"/>
    <s v="2T"/>
    <m/>
    <m/>
    <m/>
    <m/>
    <m/>
    <m/>
    <m/>
    <m/>
    <m/>
    <m/>
    <m/>
    <m/>
    <m/>
    <m/>
    <m/>
    <m/>
    <m/>
    <m/>
    <m/>
    <m/>
    <m/>
    <m/>
    <m/>
    <m/>
    <m/>
    <m/>
    <m/>
    <m/>
    <m/>
    <m/>
    <m/>
    <m/>
    <m/>
  </r>
  <r>
    <s v="008102D"/>
    <s v="MELIPIL VARGAS MARCELO ANTONIO (L)"/>
    <n v="193841554"/>
    <s v="S-EV-5"/>
    <x v="95"/>
    <s v="MELIPIL VARGAS MARCELO ANTONIO (L)"/>
    <x v="5"/>
    <x v="0"/>
    <x v="1"/>
    <x v="1"/>
    <s v="(L)"/>
    <x v="9"/>
    <s v="PLAN 2 HOMICIDIOS"/>
    <m/>
    <m/>
    <m/>
    <s v="O/S"/>
    <d v="1988-09-15T00:00:00"/>
    <m/>
    <m/>
    <m/>
    <m/>
    <s v=""/>
    <n v="1"/>
    <n v="196"/>
    <n v="12"/>
    <n v="0"/>
    <s v="2T"/>
    <s v="1T"/>
    <s v="1P"/>
    <s v="2T"/>
    <s v="2T"/>
    <s v="2T"/>
    <m/>
    <m/>
    <m/>
    <m/>
    <m/>
    <m/>
    <m/>
    <m/>
    <m/>
    <m/>
    <m/>
    <m/>
    <m/>
    <m/>
    <m/>
    <m/>
    <m/>
    <m/>
    <m/>
    <m/>
    <m/>
    <m/>
    <m/>
    <m/>
    <m/>
    <m/>
    <m/>
    <m/>
    <m/>
    <m/>
    <m/>
    <m/>
    <m/>
  </r>
  <r>
    <s v="971446W"/>
    <s v="BARROS PEREZ VICTOR HUGO"/>
    <n v="166232163"/>
    <s v="S-36"/>
    <x v="96"/>
    <s v="BARROS PEREZ VICTOR HUGO                (T - L - S)"/>
    <x v="1"/>
    <x v="0"/>
    <x v="1"/>
    <x v="1"/>
    <s v="(T - L - S)"/>
    <x v="9"/>
    <s v="PLAN 2 HOMICIDIOS"/>
    <m/>
    <m/>
    <m/>
    <s v="O/S"/>
    <d v="2024-04-06T00:00:00"/>
    <m/>
    <s v="LISTO"/>
    <m/>
    <m/>
    <s v=""/>
    <n v="1"/>
    <n v="197"/>
    <n v="10"/>
    <n v="0"/>
    <s v="2T"/>
    <s v="1P"/>
    <s v="1T"/>
    <s v="2T"/>
    <s v="2T"/>
    <s v="2T"/>
    <m/>
    <m/>
    <m/>
    <m/>
    <m/>
    <m/>
    <m/>
    <m/>
    <m/>
    <m/>
    <m/>
    <m/>
    <m/>
    <m/>
    <m/>
    <m/>
    <m/>
    <m/>
    <m/>
    <m/>
    <m/>
    <m/>
    <m/>
    <m/>
    <m/>
    <m/>
    <m/>
    <m/>
    <m/>
    <m/>
    <m/>
    <d v="2024-04-03T00:00:00"/>
    <m/>
  </r>
  <r>
    <s v="976419Y"/>
    <s v="DIAZ AHUMADA EDUARDO ANDRES"/>
    <n v="155578939"/>
    <s v="S-EV-6"/>
    <x v="97"/>
    <s v="DIAZ AHUMADA EDUARDO ANDRES"/>
    <x v="1"/>
    <x v="0"/>
    <x v="1"/>
    <x v="1"/>
    <s v=""/>
    <x v="9"/>
    <s v="PLAN 2 HOMICIDIOS"/>
    <m/>
    <m/>
    <m/>
    <s v="O/S"/>
    <d v="1988-09-15T00:00:00"/>
    <m/>
    <s v=" MACUL 6"/>
    <m/>
    <m/>
    <s v=""/>
    <n v="1"/>
    <n v="198"/>
    <n v="10"/>
    <n v="0"/>
    <s v="2T"/>
    <s v="1T"/>
    <s v="1P"/>
    <s v="2T"/>
    <s v="2T"/>
    <s v="2T"/>
    <m/>
    <m/>
    <m/>
    <m/>
    <m/>
    <m/>
    <m/>
    <m/>
    <m/>
    <m/>
    <m/>
    <m/>
    <m/>
    <m/>
    <m/>
    <m/>
    <m/>
    <m/>
    <m/>
    <m/>
    <m/>
    <m/>
    <m/>
    <m/>
    <m/>
    <m/>
    <m/>
    <m/>
    <m/>
    <m/>
    <m/>
    <m/>
    <m/>
  </r>
  <r>
    <s v="969709U"/>
    <s v="MEZA ALIAGA MARCELO PATRICIO"/>
    <n v="136345974"/>
    <s v="S-EV-6"/>
    <x v="97"/>
    <s v="MEZA ALIAGA MARCELO PATRICIO"/>
    <x v="1"/>
    <x v="0"/>
    <x v="1"/>
    <x v="1"/>
    <s v=""/>
    <x v="9"/>
    <s v="PLAN 2 HOMICIDIOS"/>
    <m/>
    <m/>
    <m/>
    <s v="O/S"/>
    <d v="1988-09-15T00:00:00"/>
    <m/>
    <s v=" MACUL 6"/>
    <m/>
    <m/>
    <s v=""/>
    <n v="1"/>
    <n v="198"/>
    <n v="10"/>
    <n v="0"/>
    <s v="2T"/>
    <s v="1T"/>
    <s v="1P"/>
    <s v="2T"/>
    <s v="2T"/>
    <s v="2T"/>
    <m/>
    <m/>
    <m/>
    <m/>
    <m/>
    <m/>
    <m/>
    <m/>
    <m/>
    <m/>
    <m/>
    <m/>
    <m/>
    <m/>
    <m/>
    <m/>
    <m/>
    <m/>
    <m/>
    <m/>
    <m/>
    <m/>
    <m/>
    <m/>
    <m/>
    <m/>
    <m/>
    <m/>
    <m/>
    <m/>
    <m/>
    <m/>
    <m/>
  </r>
  <r>
    <s v="997329T"/>
    <s v="BLANCO BLANCO NICOLAS FRANCISCO"/>
    <n v="179509709"/>
    <s v="S-EV-6"/>
    <x v="97"/>
    <s v="BLANCO BLANCO NICOLAS FRANCISCO (L)"/>
    <x v="4"/>
    <x v="0"/>
    <x v="1"/>
    <x v="1"/>
    <s v="(L)"/>
    <x v="9"/>
    <s v="PLAN 2 HOMICIDIOS"/>
    <m/>
    <m/>
    <m/>
    <s v="O/S"/>
    <d v="1988-09-15T00:00:00"/>
    <s v="NOTIFICAR"/>
    <s v=" MACUL 6"/>
    <m/>
    <m/>
    <s v=""/>
    <n v="1"/>
    <n v="198"/>
    <n v="11"/>
    <n v="0"/>
    <s v="2T"/>
    <s v="1T"/>
    <s v="1P"/>
    <s v="2T"/>
    <s v="2T"/>
    <s v="2T"/>
    <m/>
    <m/>
    <m/>
    <m/>
    <m/>
    <m/>
    <m/>
    <m/>
    <m/>
    <m/>
    <m/>
    <m/>
    <m/>
    <m/>
    <m/>
    <m/>
    <m/>
    <m/>
    <m/>
    <m/>
    <m/>
    <m/>
    <m/>
    <m/>
    <m/>
    <m/>
    <m/>
    <m/>
    <m/>
    <m/>
    <m/>
    <m/>
    <m/>
  </r>
  <r>
    <s v="992747Z"/>
    <s v="LARA MOLINA ALEJANDRO IGNACIO"/>
    <n v="178025015"/>
    <s v="S-EV-6"/>
    <x v="97"/>
    <s v="LARA MOLINA ALEJANDRO IGNACIO"/>
    <x v="4"/>
    <x v="0"/>
    <x v="1"/>
    <x v="1"/>
    <s v=""/>
    <x v="9"/>
    <s v="PLAN 2 HOMICIDIOS"/>
    <m/>
    <m/>
    <m/>
    <s v="O/S"/>
    <d v="1988-09-15T00:00:00"/>
    <m/>
    <s v=" MACUL 6"/>
    <m/>
    <m/>
    <s v=""/>
    <n v="1"/>
    <n v="198"/>
    <n v="11"/>
    <n v="0"/>
    <s v="2T"/>
    <s v="1T"/>
    <s v="1P"/>
    <s v="2T"/>
    <s v="2T"/>
    <s v="2T"/>
    <m/>
    <m/>
    <m/>
    <m/>
    <m/>
    <m/>
    <m/>
    <m/>
    <m/>
    <m/>
    <m/>
    <m/>
    <m/>
    <m/>
    <m/>
    <m/>
    <m/>
    <m/>
    <m/>
    <m/>
    <m/>
    <m/>
    <m/>
    <m/>
    <m/>
    <m/>
    <m/>
    <m/>
    <m/>
    <m/>
    <m/>
    <m/>
    <m/>
  </r>
  <r>
    <s v="980220D"/>
    <s v="PARIS CARTES JORGE MILTON"/>
    <n v="168074654"/>
    <s v="S-EV-6"/>
    <x v="97"/>
    <s v="PARIS CARTES JORGE MILTON"/>
    <x v="4"/>
    <x v="0"/>
    <x v="1"/>
    <x v="1"/>
    <s v=""/>
    <x v="9"/>
    <s v="PLAN 2 HOMICIDIOS"/>
    <m/>
    <m/>
    <m/>
    <s v="O/S"/>
    <d v="1988-09-15T00:00:00"/>
    <m/>
    <s v=" MACUL 6"/>
    <m/>
    <m/>
    <s v=""/>
    <n v="1"/>
    <n v="198"/>
    <n v="11"/>
    <n v="0"/>
    <s v="2T"/>
    <s v="1T"/>
    <s v="1P"/>
    <s v="2T"/>
    <s v="2T"/>
    <s v="2T"/>
    <m/>
    <m/>
    <m/>
    <m/>
    <m/>
    <m/>
    <m/>
    <m/>
    <m/>
    <m/>
    <m/>
    <m/>
    <m/>
    <m/>
    <m/>
    <m/>
    <m/>
    <m/>
    <m/>
    <m/>
    <m/>
    <m/>
    <m/>
    <m/>
    <m/>
    <m/>
    <m/>
    <m/>
    <m/>
    <m/>
    <m/>
    <m/>
    <m/>
  </r>
  <r>
    <s v="984071P"/>
    <s v="PUNOY GUTIERREZ DANIEL ALEJANDRO"/>
    <n v="174937753"/>
    <s v="S-EV-6"/>
    <x v="97"/>
    <s v="PUNOY GUTIERREZ DANIEL ALEJANDRO"/>
    <x v="4"/>
    <x v="0"/>
    <x v="1"/>
    <x v="1"/>
    <s v=""/>
    <x v="9"/>
    <s v="PLAN 2 HOMICIDIOS"/>
    <m/>
    <m/>
    <m/>
    <s v="O/S"/>
    <d v="1988-09-15T00:00:00"/>
    <m/>
    <s v=" MACUL 6"/>
    <m/>
    <m/>
    <s v=""/>
    <n v="1"/>
    <n v="198"/>
    <n v="11"/>
    <n v="0"/>
    <s v="2T"/>
    <s v="1T"/>
    <s v="1P"/>
    <s v="2T"/>
    <s v="2T"/>
    <s v="2T"/>
    <m/>
    <m/>
    <m/>
    <m/>
    <m/>
    <m/>
    <m/>
    <m/>
    <m/>
    <m/>
    <m/>
    <m/>
    <m/>
    <m/>
    <m/>
    <m/>
    <m/>
    <m/>
    <m/>
    <m/>
    <m/>
    <m/>
    <m/>
    <m/>
    <m/>
    <m/>
    <m/>
    <m/>
    <m/>
    <m/>
    <m/>
    <m/>
    <m/>
  </r>
  <r>
    <s v="997629Y"/>
    <s v="SANDOVAL PAVEZ RODRIGO EMILIO"/>
    <n v="186829891"/>
    <s v="S-EV-6"/>
    <x v="97"/>
    <s v="SANDOVAL PAVEZ RODRIGO EMILIO"/>
    <x v="4"/>
    <x v="0"/>
    <x v="1"/>
    <x v="1"/>
    <s v=""/>
    <x v="9"/>
    <s v="PLAN 2 HOMICIDIOS"/>
    <m/>
    <m/>
    <m/>
    <s v="O/S"/>
    <d v="1988-09-15T00:00:00"/>
    <s v="CITADO TRIBUNAL J.O.P SAN _x000a_ BERNARDO 05-04-2024  A LAS_x000a_ 09:00 HRS / Y 15-05-24 A LAS 09:00_x000a_ HRS MISMO JUZGADO."/>
    <s v=" MACUL 6"/>
    <m/>
    <m/>
    <s v=""/>
    <n v="1"/>
    <n v="198"/>
    <n v="11"/>
    <n v="0"/>
    <s v="2T"/>
    <s v="1T"/>
    <s v="1P"/>
    <s v="2T"/>
    <s v="2T"/>
    <s v="2T"/>
    <m/>
    <m/>
    <m/>
    <m/>
    <m/>
    <m/>
    <m/>
    <m/>
    <m/>
    <m/>
    <m/>
    <m/>
    <m/>
    <m/>
    <m/>
    <m/>
    <m/>
    <m/>
    <m/>
    <m/>
    <m/>
    <m/>
    <m/>
    <m/>
    <m/>
    <m/>
    <m/>
    <m/>
    <m/>
    <m/>
    <m/>
    <m/>
    <m/>
  </r>
  <r>
    <s v="001568G"/>
    <s v="URREA FIGUEROA LEONARDO ENRIQUE"/>
    <n v="182912050"/>
    <s v="S-EV-5"/>
    <x v="97"/>
    <s v="URREA FIGUEROA LEONARDO ENRIQUE"/>
    <x v="4"/>
    <x v="0"/>
    <x v="1"/>
    <x v="1"/>
    <s v=""/>
    <x v="9"/>
    <s v="PLAN 2 HOMICIDIOS"/>
    <m/>
    <m/>
    <m/>
    <s v="O/S"/>
    <d v="1988-09-15T00:00:00"/>
    <m/>
    <s v=" MACUL 6"/>
    <m/>
    <m/>
    <s v=""/>
    <n v="1"/>
    <n v="198"/>
    <n v="11"/>
    <n v="0"/>
    <s v="2T"/>
    <s v="1T"/>
    <s v="1P"/>
    <s v="2T"/>
    <s v="2T"/>
    <s v="2T"/>
    <m/>
    <m/>
    <m/>
    <m/>
    <m/>
    <m/>
    <m/>
    <m/>
    <m/>
    <m/>
    <m/>
    <m/>
    <m/>
    <m/>
    <m/>
    <m/>
    <m/>
    <m/>
    <m/>
    <m/>
    <m/>
    <m/>
    <m/>
    <m/>
    <m/>
    <m/>
    <m/>
    <m/>
    <m/>
    <m/>
    <m/>
    <m/>
    <m/>
  </r>
  <r>
    <s v="983069U"/>
    <s v="VERGARA TORRES TIARE NOEMI"/>
    <n v="170988868"/>
    <s v="S-EV-6"/>
    <x v="97"/>
    <s v="VERGARA TORRES TIARE NOEMI"/>
    <x v="4"/>
    <x v="1"/>
    <x v="1"/>
    <x v="1"/>
    <s v=""/>
    <x v="9"/>
    <s v="PLAN 2 HOMICIDIOS"/>
    <m/>
    <m/>
    <m/>
    <s v="O/S"/>
    <d v="1988-09-15T00:00:00"/>
    <m/>
    <s v=" MACUL 6"/>
    <m/>
    <m/>
    <s v=""/>
    <n v="1"/>
    <n v="198"/>
    <n v="11"/>
    <n v="0"/>
    <s v="2T"/>
    <s v="1T"/>
    <s v="1P"/>
    <s v="2T"/>
    <s v="2T"/>
    <s v="2T"/>
    <m/>
    <m/>
    <m/>
    <m/>
    <m/>
    <m/>
    <m/>
    <m/>
    <m/>
    <m/>
    <m/>
    <m/>
    <m/>
    <m/>
    <m/>
    <m/>
    <m/>
    <m/>
    <m/>
    <m/>
    <m/>
    <m/>
    <m/>
    <m/>
    <m/>
    <m/>
    <m/>
    <m/>
    <m/>
    <m/>
    <m/>
    <m/>
    <m/>
  </r>
  <r>
    <s v="956333V"/>
    <s v="ZUÑIGA NARVAEZ GUSTAVO FERNANDO"/>
    <n v="126844476"/>
    <s v="JEFE/PTL-24"/>
    <x v="98"/>
    <s v="ZUÑIGA NARVAEZ GUSTAVO FERNANDO (L - P - T)"/>
    <x v="3"/>
    <x v="0"/>
    <x v="1"/>
    <x v="1"/>
    <s v="(L - P - T)"/>
    <x v="0"/>
    <s v="FRANCO"/>
    <m/>
    <m/>
    <m/>
    <s v="O/S"/>
    <d v="2024-04-06T00:00:00"/>
    <m/>
    <m/>
    <m/>
    <m/>
    <s v=""/>
    <n v="1"/>
    <n v="219"/>
    <n v="9"/>
    <n v="0"/>
    <s v="1T"/>
    <s v="1P"/>
    <s v="1P"/>
    <s v="2T"/>
    <s v="1T"/>
    <s v="F"/>
    <m/>
    <m/>
    <m/>
    <m/>
    <m/>
    <m/>
    <m/>
    <m/>
    <m/>
    <m/>
    <m/>
    <m/>
    <m/>
    <m/>
    <m/>
    <m/>
    <m/>
    <m/>
    <m/>
    <m/>
    <m/>
    <m/>
    <m/>
    <m/>
    <m/>
    <m/>
    <m/>
    <m/>
    <m/>
    <m/>
    <m/>
    <d v="2023-05-18T00:00:00"/>
    <m/>
  </r>
  <r>
    <s v="978983Y"/>
    <s v="OSSANDON OSSANDON MANUEL FELIPE"/>
    <n v="169470901"/>
    <s v="PTL-24"/>
    <x v="99"/>
    <s v="OSSANDON OSSANDON MANUEL FELIPE"/>
    <x v="1"/>
    <x v="0"/>
    <x v="1"/>
    <x v="1"/>
    <s v=""/>
    <x v="0"/>
    <s v="FRANCO"/>
    <m/>
    <m/>
    <m/>
    <s v="O/S"/>
    <d v="2024-04-06T00:00:00"/>
    <m/>
    <m/>
    <m/>
    <m/>
    <s v=""/>
    <n v="1"/>
    <n v="220"/>
    <n v="10"/>
    <n v="0"/>
    <s v="1T"/>
    <s v="1P"/>
    <s v="1P"/>
    <s v="2T"/>
    <s v="1T"/>
    <s v="F"/>
    <m/>
    <m/>
    <m/>
    <m/>
    <m/>
    <m/>
    <m/>
    <m/>
    <m/>
    <m/>
    <m/>
    <m/>
    <m/>
    <m/>
    <m/>
    <m/>
    <m/>
    <m/>
    <m/>
    <m/>
    <m/>
    <m/>
    <m/>
    <m/>
    <m/>
    <m/>
    <m/>
    <m/>
    <m/>
    <m/>
    <m/>
    <d v="2023-05-03T00:00:00"/>
    <m/>
  </r>
  <r>
    <s v="971379J"/>
    <s v="QUIDEQUEO BERRIOS JORGE ARIEL"/>
    <n v="166312140"/>
    <s v="PTL-24"/>
    <x v="99"/>
    <s v="QUIDEQUEO BERRIOS JORGE ARIEL"/>
    <x v="1"/>
    <x v="0"/>
    <x v="1"/>
    <x v="1"/>
    <s v=""/>
    <x v="0"/>
    <s v="FRANCO"/>
    <m/>
    <m/>
    <m/>
    <s v="O/S"/>
    <d v="2024-04-06T00:00:00"/>
    <m/>
    <m/>
    <m/>
    <m/>
    <s v=""/>
    <n v="1"/>
    <n v="220"/>
    <n v="10"/>
    <n v="0"/>
    <s v="1T"/>
    <s v="1P"/>
    <s v="1P"/>
    <s v="2T"/>
    <s v="1T"/>
    <s v="F"/>
    <m/>
    <m/>
    <m/>
    <m/>
    <m/>
    <m/>
    <m/>
    <m/>
    <m/>
    <m/>
    <m/>
    <m/>
    <m/>
    <m/>
    <m/>
    <m/>
    <m/>
    <m/>
    <m/>
    <m/>
    <m/>
    <m/>
    <m/>
    <m/>
    <m/>
    <m/>
    <m/>
    <m/>
    <m/>
    <m/>
    <m/>
    <d v="2023-04-26T00:00:00"/>
    <m/>
  </r>
  <r>
    <s v="989408C"/>
    <s v="HERRERA RIVAS JUVENAL AGUSTIN"/>
    <n v="178268384"/>
    <s v="PTR-JO-40"/>
    <x v="100"/>
    <s v="HERRERA RIVAS JUVENAL AGUSTIN"/>
    <x v="4"/>
    <x v="0"/>
    <x v="1"/>
    <x v="1"/>
    <s v=""/>
    <x v="1"/>
    <s v="BAQUEDANO"/>
    <m/>
    <m/>
    <m/>
    <s v="O/S"/>
    <d v="2024-04-06T00:00:00"/>
    <m/>
    <s v="LISTO"/>
    <m/>
    <m/>
    <s v=""/>
    <n v="1"/>
    <n v="221"/>
    <n v="11"/>
    <n v="0"/>
    <s v="1P"/>
    <s v="1P"/>
    <s v="1P"/>
    <s v="1P"/>
    <s v="2T"/>
    <s v="1P"/>
    <m/>
    <m/>
    <m/>
    <m/>
    <m/>
    <m/>
    <m/>
    <m/>
    <m/>
    <m/>
    <m/>
    <m/>
    <m/>
    <m/>
    <m/>
    <m/>
    <m/>
    <m/>
    <m/>
    <m/>
    <m/>
    <m/>
    <m/>
    <m/>
    <m/>
    <m/>
    <m/>
    <m/>
    <m/>
    <m/>
    <m/>
    <d v="2023-05-15T00:00:00"/>
    <m/>
  </r>
  <r>
    <s v="978764K"/>
    <s v="CARES CONTRERAS LUIS ALBERTO"/>
    <n v="167838146"/>
    <s v="PTL-13"/>
    <x v="101"/>
    <s v="CARES CONTRERAS LUIS ALBERTO           (L - P - T)"/>
    <x v="4"/>
    <x v="0"/>
    <x v="1"/>
    <x v="1"/>
    <s v="(L - P - T)"/>
    <x v="1"/>
    <s v="BAQUEDANO"/>
    <m/>
    <m/>
    <m/>
    <s v="O/S"/>
    <d v="2024-04-06T00:00:00"/>
    <m/>
    <m/>
    <m/>
    <m/>
    <s v=""/>
    <n v="1"/>
    <n v="222"/>
    <n v="11"/>
    <n v="0"/>
    <s v="1P"/>
    <s v="1P"/>
    <s v="2P"/>
    <s v="SN"/>
    <s v="2T"/>
    <s v="1P"/>
    <m/>
    <m/>
    <m/>
    <m/>
    <m/>
    <m/>
    <m/>
    <m/>
    <m/>
    <m/>
    <m/>
    <m/>
    <m/>
    <m/>
    <m/>
    <m/>
    <m/>
    <m/>
    <m/>
    <m/>
    <m/>
    <m/>
    <m/>
    <m/>
    <m/>
    <m/>
    <m/>
    <m/>
    <m/>
    <m/>
    <m/>
    <d v="2023-09-26T00:00:00"/>
    <m/>
  </r>
  <r>
    <s v="962072Z"/>
    <s v="MELLA MORALES MARCO ALEXIS"/>
    <n v="131302835"/>
    <s v="JEFE/PTL-20"/>
    <x v="102"/>
    <s v="MELLA MORALES MARCO ALEXIS"/>
    <x v="1"/>
    <x v="0"/>
    <x v="1"/>
    <x v="1"/>
    <s v=""/>
    <x v="5"/>
    <s v="ARIETE NOCTURNO"/>
    <m/>
    <m/>
    <m/>
    <s v="O/S"/>
    <d v="2024-04-06T00:00:00"/>
    <m/>
    <m/>
    <m/>
    <m/>
    <s v=""/>
    <n v="1"/>
    <n v="223"/>
    <n v="10"/>
    <n v="0"/>
    <s v="1P"/>
    <s v="1P"/>
    <s v="1P"/>
    <s v="1P"/>
    <s v="1P"/>
    <s v="2P"/>
    <m/>
    <m/>
    <m/>
    <m/>
    <m/>
    <m/>
    <m/>
    <m/>
    <m/>
    <m/>
    <m/>
    <m/>
    <m/>
    <m/>
    <m/>
    <m/>
    <m/>
    <m/>
    <m/>
    <m/>
    <m/>
    <m/>
    <m/>
    <m/>
    <m/>
    <m/>
    <m/>
    <m/>
    <m/>
    <m/>
    <m/>
    <d v="2023-05-18T00:00:00"/>
    <m/>
  </r>
  <r>
    <s v="976681X"/>
    <s v="ORTIZ NOVA PATRICIO EDUARDO"/>
    <n v="193655513"/>
    <s v="PTL-14"/>
    <x v="103"/>
    <s v="ORTIZ NOVA PATRICIO EDUARDO (L - P - T)"/>
    <x v="1"/>
    <x v="0"/>
    <x v="1"/>
    <x v="1"/>
    <s v="(L - P - T)"/>
    <x v="5"/>
    <s v="ARIETE NOCTURNO"/>
    <m/>
    <m/>
    <m/>
    <s v="O/S"/>
    <d v="2024-04-06T00:00:00"/>
    <m/>
    <m/>
    <m/>
    <m/>
    <s v=""/>
    <n v="1"/>
    <n v="224"/>
    <n v="10"/>
    <n v="0"/>
    <s v="SN"/>
    <s v="2T"/>
    <s v="1P"/>
    <s v="1T"/>
    <s v="1P"/>
    <s v="2P"/>
    <m/>
    <m/>
    <m/>
    <m/>
    <m/>
    <m/>
    <m/>
    <m/>
    <m/>
    <m/>
    <m/>
    <m/>
    <m/>
    <m/>
    <m/>
    <m/>
    <m/>
    <m/>
    <m/>
    <m/>
    <m/>
    <m/>
    <m/>
    <m/>
    <m/>
    <m/>
    <m/>
    <m/>
    <m/>
    <m/>
    <m/>
    <d v="2023-10-10T00:00:00"/>
    <m/>
  </r>
  <r>
    <s v="963127N"/>
    <s v="RODRIGUEZ GAETE JOSE DIONISIO"/>
    <n v="135710539"/>
    <s v="JEFE/PTL-15"/>
    <x v="104"/>
    <s v="RODRIGUEZ GAETE JOSE DIONISIO"/>
    <x v="3"/>
    <x v="0"/>
    <x v="1"/>
    <x v="1"/>
    <s v=""/>
    <x v="2"/>
    <s v="SALIENTE SERVICIO"/>
    <m/>
    <m/>
    <m/>
    <s v="O/S"/>
    <d v="2024-04-06T00:00:00"/>
    <m/>
    <m/>
    <m/>
    <m/>
    <s v=""/>
    <n v="1"/>
    <n v="225"/>
    <n v="9"/>
    <n v="0"/>
    <s v="2T"/>
    <s v="1P"/>
    <s v="1T"/>
    <s v="1P"/>
    <s v="2P"/>
    <s v="SN"/>
    <m/>
    <m/>
    <m/>
    <m/>
    <m/>
    <m/>
    <m/>
    <m/>
    <m/>
    <m/>
    <m/>
    <m/>
    <m/>
    <m/>
    <m/>
    <m/>
    <m/>
    <m/>
    <m/>
    <m/>
    <m/>
    <m/>
    <m/>
    <m/>
    <m/>
    <m/>
    <m/>
    <m/>
    <m/>
    <m/>
    <m/>
    <d v="2023-06-06T00:00:00"/>
    <m/>
  </r>
  <r>
    <s v="966615S"/>
    <s v="PEREZ BASTIAS LUIS ANTONIO"/>
    <s v="15.367.991-6"/>
    <s v="S-44"/>
    <x v="104"/>
    <s v="PEREZ BASTIAS LUIS ANTONIO             ( P-LA )"/>
    <x v="1"/>
    <x v="0"/>
    <x v="1"/>
    <x v="1"/>
    <s v="( P-LA )"/>
    <x v="2"/>
    <s v="SALIENTE SERVICIO"/>
    <m/>
    <m/>
    <m/>
    <s v="O/S"/>
    <d v="2024-04-06T00:00:00"/>
    <s v="NOTIFICAR"/>
    <s v="FIN DE SEMANA FRANCO"/>
    <m/>
    <m/>
    <s v=""/>
    <n v="1"/>
    <n v="225"/>
    <n v="10"/>
    <n v="0"/>
    <s v="1T"/>
    <s v="F"/>
    <s v="2T"/>
    <s v="2T"/>
    <s v="2P"/>
    <s v="SN"/>
    <m/>
    <m/>
    <m/>
    <m/>
    <m/>
    <m/>
    <m/>
    <m/>
    <m/>
    <m/>
    <m/>
    <m/>
    <m/>
    <m/>
    <m/>
    <m/>
    <m/>
    <m/>
    <m/>
    <m/>
    <m/>
    <m/>
    <m/>
    <m/>
    <m/>
    <m/>
    <m/>
    <m/>
    <m/>
    <m/>
    <m/>
    <d v="2023-06-14T00:00:00"/>
    <m/>
  </r>
  <r>
    <s v="960899E"/>
    <s v="SAN MARTIN FIGUEROA OMAR ALEJANDRO"/>
    <n v="136185160"/>
    <s v="JEFE/PTL-16"/>
    <x v="105"/>
    <s v="SAN MARTIN FIGUEROA OMAR ALEJANDRO (L - P-LA - T)"/>
    <x v="1"/>
    <x v="0"/>
    <x v="1"/>
    <x v="1"/>
    <s v="(L - P-LA - T)"/>
    <x v="1"/>
    <s v="ARIETE 22"/>
    <m/>
    <m/>
    <m/>
    <s v="O/S"/>
    <d v="2024-04-06T00:00:00"/>
    <m/>
    <m/>
    <m/>
    <m/>
    <s v=""/>
    <n v="1"/>
    <n v="227"/>
    <n v="10"/>
    <n v="0"/>
    <s v="3T"/>
    <s v="SN"/>
    <s v="2T"/>
    <s v="1P"/>
    <s v="1T"/>
    <s v="1P"/>
    <m/>
    <m/>
    <m/>
    <m/>
    <m/>
    <m/>
    <m/>
    <m/>
    <m/>
    <m/>
    <m/>
    <m/>
    <m/>
    <m/>
    <m/>
    <m/>
    <m/>
    <m/>
    <m/>
    <m/>
    <m/>
    <m/>
    <m/>
    <m/>
    <m/>
    <m/>
    <m/>
    <m/>
    <m/>
    <m/>
    <m/>
    <d v="2023-09-27T00:00:00"/>
    <m/>
  </r>
  <r>
    <s v="978864G"/>
    <s v="SANDOVAL CARO FELIPE ISAAC"/>
    <n v="172764681"/>
    <s v="PTL-16"/>
    <x v="106"/>
    <s v="SANDOVAL CARO FELIPE ISAAC"/>
    <x v="1"/>
    <x v="0"/>
    <x v="1"/>
    <x v="1"/>
    <s v=""/>
    <x v="1"/>
    <s v="ARIETE 22"/>
    <m/>
    <m/>
    <m/>
    <s v="O/S"/>
    <d v="2024-04-06T00:00:00"/>
    <m/>
    <m/>
    <m/>
    <m/>
    <s v=""/>
    <n v="1"/>
    <n v="228"/>
    <n v="10"/>
    <n v="0"/>
    <s v="3T"/>
    <s v="SN"/>
    <s v="2T"/>
    <s v="1P"/>
    <s v="1T"/>
    <s v="1P"/>
    <m/>
    <m/>
    <m/>
    <m/>
    <m/>
    <m/>
    <m/>
    <m/>
    <m/>
    <m/>
    <m/>
    <m/>
    <m/>
    <m/>
    <m/>
    <m/>
    <m/>
    <m/>
    <m/>
    <m/>
    <m/>
    <m/>
    <m/>
    <m/>
    <m/>
    <m/>
    <m/>
    <m/>
    <m/>
    <m/>
    <m/>
    <d v="2023-05-26T00:00:00"/>
    <m/>
  </r>
  <r>
    <s v="950820G"/>
    <s v="CAAMAÑO JARA RODRIGO ALEJANDRO"/>
    <n v="151901859"/>
    <s v="JEFE/PTL-17"/>
    <x v="107"/>
    <s v="CAAMAÑO JARA RODRIGO ALEJANDRO  ( P-LA)"/>
    <x v="3"/>
    <x v="0"/>
    <x v="1"/>
    <x v="1"/>
    <s v="( P-LA)"/>
    <x v="7"/>
    <s v="APRESTO"/>
    <m/>
    <m/>
    <m/>
    <s v="O/S"/>
    <d v="2024-04-06T00:00:00"/>
    <m/>
    <m/>
    <m/>
    <m/>
    <s v=""/>
    <n v="1"/>
    <n v="229"/>
    <n v="9"/>
    <n v="0"/>
    <s v="1P"/>
    <s v="1T"/>
    <s v="1P"/>
    <s v="2P"/>
    <s v="SN"/>
    <s v="1T"/>
    <m/>
    <m/>
    <m/>
    <m/>
    <m/>
    <m/>
    <m/>
    <m/>
    <m/>
    <m/>
    <m/>
    <m/>
    <m/>
    <m/>
    <m/>
    <m/>
    <m/>
    <m/>
    <m/>
    <m/>
    <m/>
    <m/>
    <m/>
    <m/>
    <m/>
    <m/>
    <m/>
    <m/>
    <m/>
    <m/>
    <m/>
    <d v="2024-03-21T00:00:00"/>
    <m/>
  </r>
  <r>
    <s v="962195J"/>
    <s v="SEPULVEDA GUZMAN SERGIO"/>
    <n v="143968413"/>
    <s v="PTL-17"/>
    <x v="108"/>
    <s v="SEPULVEDA GUZMAN SERGIO ALEJANDRO"/>
    <x v="1"/>
    <x v="0"/>
    <x v="1"/>
    <x v="1"/>
    <s v=""/>
    <x v="7"/>
    <s v="APRESTO"/>
    <m/>
    <m/>
    <m/>
    <s v="O/S"/>
    <d v="2024-04-06T00:00:00"/>
    <s v="NOTIFICAR"/>
    <m/>
    <d v="2024-03-28T00:00:00"/>
    <m/>
    <s v=""/>
    <n v="1"/>
    <n v="230"/>
    <n v="10"/>
    <n v="0"/>
    <s v="2T"/>
    <s v="1T"/>
    <s v="1P"/>
    <s v="2P"/>
    <s v="SN"/>
    <s v="1T"/>
    <m/>
    <m/>
    <m/>
    <m/>
    <m/>
    <m/>
    <m/>
    <m/>
    <m/>
    <m/>
    <m/>
    <m/>
    <m/>
    <m/>
    <m/>
    <m/>
    <m/>
    <m/>
    <m/>
    <m/>
    <m/>
    <m/>
    <m/>
    <m/>
    <m/>
    <m/>
    <m/>
    <m/>
    <m/>
    <m/>
    <m/>
    <d v="2023-04-19T00:00:00"/>
    <m/>
  </r>
  <r>
    <s v="966501Z"/>
    <s v="PULIDO PASMINO OSCAR GONZALO"/>
    <n v="151866395"/>
    <s v="JEFE/PTL-18"/>
    <x v="109"/>
    <s v="PULIDO PASMINO OSCAR GONZALO (L - P - LA - T)"/>
    <x v="3"/>
    <x v="0"/>
    <x v="1"/>
    <x v="1"/>
    <s v="(L - P - LA - T)"/>
    <x v="0"/>
    <s v="FRANCO"/>
    <m/>
    <m/>
    <m/>
    <s v="O/S"/>
    <d v="2024-04-06T00:00:00"/>
    <m/>
    <m/>
    <m/>
    <m/>
    <s v=""/>
    <n v="1"/>
    <n v="231"/>
    <n v="9"/>
    <n v="0"/>
    <s v="1P"/>
    <s v="3T"/>
    <s v="SN"/>
    <s v="2T"/>
    <s v="1P"/>
    <s v="F"/>
    <m/>
    <m/>
    <m/>
    <m/>
    <m/>
    <m/>
    <m/>
    <m/>
    <m/>
    <m/>
    <m/>
    <m/>
    <m/>
    <m/>
    <m/>
    <m/>
    <m/>
    <m/>
    <m/>
    <m/>
    <m/>
    <m/>
    <m/>
    <m/>
    <m/>
    <m/>
    <m/>
    <m/>
    <m/>
    <m/>
    <m/>
    <d v="2024-03-12T00:00:00"/>
    <m/>
  </r>
  <r>
    <s v="977219G"/>
    <s v="DIAZ SILVA PATRICIO ANDRES"/>
    <n v="162955020"/>
    <s v="PTL-18"/>
    <x v="110"/>
    <s v="DIAZ SILVA PATRICIO ANDRES"/>
    <x v="1"/>
    <x v="0"/>
    <x v="1"/>
    <x v="1"/>
    <s v=""/>
    <x v="0"/>
    <s v="FRANCO"/>
    <m/>
    <m/>
    <m/>
    <s v="O/S"/>
    <d v="2024-04-06T00:00:00"/>
    <m/>
    <m/>
    <m/>
    <m/>
    <s v=""/>
    <n v="1"/>
    <n v="232"/>
    <n v="10"/>
    <n v="0"/>
    <s v="1P"/>
    <s v="3T"/>
    <s v="SN"/>
    <s v="2T"/>
    <s v="1P"/>
    <s v="F"/>
    <m/>
    <m/>
    <m/>
    <m/>
    <m/>
    <m/>
    <m/>
    <m/>
    <m/>
    <m/>
    <m/>
    <m/>
    <m/>
    <m/>
    <m/>
    <m/>
    <m/>
    <m/>
    <m/>
    <m/>
    <m/>
    <m/>
    <m/>
    <m/>
    <m/>
    <m/>
    <m/>
    <m/>
    <m/>
    <m/>
    <m/>
    <d v="2023-08-14T00:00:00"/>
    <m/>
  </r>
  <r>
    <s v="956618B"/>
    <s v="MUÑOZ BRAVO MARCELO ALEXIS"/>
    <n v="136024078"/>
    <s v="JEFE/PTL-21"/>
    <x v="111"/>
    <s v="MUÑOZ BRAVO MARCELO ALEXIS"/>
    <x v="6"/>
    <x v="0"/>
    <x v="1"/>
    <x v="1"/>
    <s v=""/>
    <x v="0"/>
    <s v="FRANCO"/>
    <m/>
    <m/>
    <m/>
    <s v="O/S"/>
    <d v="2024-04-06T00:00:00"/>
    <m/>
    <m/>
    <m/>
    <m/>
    <s v=""/>
    <n v="1"/>
    <n v="237"/>
    <n v="8"/>
    <n v="0"/>
    <s v="1T"/>
    <s v="2T"/>
    <s v="2T"/>
    <s v="1P"/>
    <s v="1P"/>
    <s v="F"/>
    <m/>
    <m/>
    <m/>
    <m/>
    <m/>
    <m/>
    <m/>
    <m/>
    <m/>
    <m/>
    <m/>
    <m/>
    <m/>
    <m/>
    <m/>
    <m/>
    <m/>
    <m/>
    <m/>
    <m/>
    <m/>
    <m/>
    <m/>
    <m/>
    <m/>
    <m/>
    <m/>
    <m/>
    <m/>
    <m/>
    <m/>
    <d v="2023-05-03T00:00:00"/>
    <m/>
  </r>
  <r>
    <s v="994629V"/>
    <s v="FERNANDEZ CARRASCO CARLOS ESTEBAN"/>
    <s v="18433453-4"/>
    <s v="PTL-21"/>
    <x v="112"/>
    <s v="FERNANDEZ CARRASCO CARLOS ESTEBAN ( P-T-LA)"/>
    <x v="4"/>
    <x v="0"/>
    <x v="1"/>
    <x v="1"/>
    <s v="( P-T-LA)"/>
    <x v="0"/>
    <s v="FRANCO"/>
    <m/>
    <m/>
    <m/>
    <s v="O/S"/>
    <s v="00-00-00"/>
    <s v="NOTIFICAR"/>
    <m/>
    <m/>
    <m/>
    <s v=""/>
    <n v="1"/>
    <n v="238"/>
    <n v="11"/>
    <n v="0"/>
    <s v="PER."/>
    <s v="PER."/>
    <s v="2T"/>
    <s v="1P"/>
    <s v="1P"/>
    <s v="F"/>
    <m/>
    <m/>
    <m/>
    <m/>
    <m/>
    <m/>
    <m/>
    <m/>
    <m/>
    <m/>
    <m/>
    <m/>
    <m/>
    <m/>
    <m/>
    <m/>
    <m/>
    <m/>
    <m/>
    <m/>
    <m/>
    <m/>
    <m/>
    <m/>
    <m/>
    <m/>
    <m/>
    <m/>
    <m/>
    <m/>
    <m/>
    <m/>
    <m/>
  </r>
  <r>
    <s v="955704H"/>
    <s v="SABANDO VERGARA CLAUDIO"/>
    <n v="127673209"/>
    <s v="JEFE/PTL-22"/>
    <x v="113"/>
    <s v="SABANDO VERGARA CLAUDIO  (T-LA)"/>
    <x v="6"/>
    <x v="0"/>
    <x v="1"/>
    <x v="1"/>
    <s v="(T-LA)"/>
    <x v="0"/>
    <s v="FRANCO"/>
    <m/>
    <m/>
    <m/>
    <s v="O/S"/>
    <d v="2024-04-06T00:00:00"/>
    <m/>
    <m/>
    <m/>
    <m/>
    <s v=""/>
    <n v="1"/>
    <n v="239"/>
    <n v="8"/>
    <n v="0"/>
    <s v="2T"/>
    <s v="2T"/>
    <s v="1T"/>
    <s v="2T"/>
    <s v="2T"/>
    <s v="F"/>
    <m/>
    <m/>
    <m/>
    <m/>
    <m/>
    <m/>
    <m/>
    <m/>
    <m/>
    <m/>
    <m/>
    <m/>
    <m/>
    <m/>
    <m/>
    <m/>
    <m/>
    <m/>
    <m/>
    <m/>
    <m/>
    <m/>
    <m/>
    <m/>
    <m/>
    <m/>
    <m/>
    <m/>
    <m/>
    <m/>
    <m/>
    <d v="2023-11-13T00:00:00"/>
    <m/>
  </r>
  <r>
    <s v="983585F"/>
    <s v="VILCHE EVERT ISAIAS MARCELO"/>
    <n v="174605017"/>
    <s v="PTL-22"/>
    <x v="114"/>
    <s v="VILCHE EVERT ISAIAS MARCELO"/>
    <x v="1"/>
    <x v="0"/>
    <x v="1"/>
    <x v="1"/>
    <s v=""/>
    <x v="0"/>
    <s v="FRANCO"/>
    <m/>
    <m/>
    <m/>
    <s v="O/S"/>
    <d v="2024-04-06T00:00:00"/>
    <s v="NOTIFICAR"/>
    <m/>
    <m/>
    <m/>
    <s v=""/>
    <n v="1"/>
    <n v="240"/>
    <n v="10"/>
    <n v="0"/>
    <s v="2T"/>
    <s v="2T"/>
    <s v="2T"/>
    <s v="2T"/>
    <s v="2T"/>
    <s v="F"/>
    <m/>
    <m/>
    <m/>
    <m/>
    <m/>
    <m/>
    <m/>
    <m/>
    <m/>
    <m/>
    <m/>
    <m/>
    <m/>
    <m/>
    <m/>
    <m/>
    <m/>
    <m/>
    <m/>
    <m/>
    <m/>
    <m/>
    <m/>
    <m/>
    <m/>
    <m/>
    <m/>
    <m/>
    <m/>
    <m/>
    <m/>
    <d v="2024-03-20T00:00:00"/>
    <m/>
  </r>
  <r>
    <s v="977216V"/>
    <s v="COLOMA LUENGO IVAN ALEJANDRO"/>
    <n v="155194499"/>
    <s v="PTL-22"/>
    <x v="114"/>
    <s v="COLOMA LUENGO IVAN ALEJANDRO "/>
    <x v="4"/>
    <x v="0"/>
    <x v="1"/>
    <x v="1"/>
    <s v=""/>
    <x v="0"/>
    <s v="FRANCO"/>
    <m/>
    <m/>
    <m/>
    <s v="O/S"/>
    <d v="2024-04-06T00:00:00"/>
    <m/>
    <m/>
    <d v="2024-04-05T00:00:00"/>
    <d v="2024-04-08T00:00:00"/>
    <n v="4"/>
    <n v="1"/>
    <n v="240"/>
    <n v="11"/>
    <n v="0"/>
    <s v="2T"/>
    <s v="2T"/>
    <s v="1T"/>
    <s v="2T"/>
    <s v="PER."/>
    <s v="F"/>
    <m/>
    <m/>
    <m/>
    <m/>
    <m/>
    <m/>
    <m/>
    <m/>
    <m/>
    <m/>
    <m/>
    <m/>
    <m/>
    <m/>
    <m/>
    <m/>
    <m/>
    <m/>
    <m/>
    <m/>
    <m/>
    <m/>
    <m/>
    <m/>
    <m/>
    <m/>
    <m/>
    <m/>
    <m/>
    <m/>
    <m/>
    <d v="2023-09-21T00:00:00"/>
    <m/>
  </r>
  <r>
    <s v="950654M"/>
    <s v="VALLEJOS ELGUETA CRISTIAN"/>
    <n v="129891890"/>
    <s v="JEFE/PTL-23"/>
    <x v="115"/>
    <s v="VALLEJOS ELGUETA CRISTIAN"/>
    <x v="6"/>
    <x v="0"/>
    <x v="1"/>
    <x v="1"/>
    <s v=""/>
    <x v="1"/>
    <s v="ARIETE 23"/>
    <m/>
    <m/>
    <m/>
    <s v="O/S"/>
    <d v="2024-04-06T00:00:00"/>
    <m/>
    <m/>
    <m/>
    <m/>
    <s v=""/>
    <n v="1"/>
    <n v="241"/>
    <n v="8"/>
    <n v="0"/>
    <s v="2T"/>
    <s v="1T"/>
    <s v="2T"/>
    <s v="1T"/>
    <s v="1P"/>
    <s v="1P"/>
    <m/>
    <m/>
    <m/>
    <m/>
    <m/>
    <m/>
    <m/>
    <m/>
    <m/>
    <m/>
    <m/>
    <m/>
    <m/>
    <m/>
    <m/>
    <m/>
    <m/>
    <m/>
    <m/>
    <m/>
    <m/>
    <m/>
    <m/>
    <m/>
    <m/>
    <m/>
    <m/>
    <m/>
    <m/>
    <m/>
    <m/>
    <d v="2023-05-02T00:00:00"/>
    <m/>
  </r>
  <r>
    <s v="968705P"/>
    <s v="CASTILLO SANTOS GERMAN ANDRES"/>
    <n v="159838102"/>
    <s v="PTL-19"/>
    <x v="116"/>
    <s v="CASTILLO SANTOS GERMAN ANDRES ALEXIS"/>
    <x v="1"/>
    <x v="0"/>
    <x v="1"/>
    <x v="1"/>
    <s v=""/>
    <x v="1"/>
    <s v="ARIETE 23"/>
    <m/>
    <m/>
    <m/>
    <s v="O/S"/>
    <d v="2024-04-06T00:00:00"/>
    <s v="NOTIFICAR"/>
    <m/>
    <m/>
    <m/>
    <s v=""/>
    <n v="1"/>
    <n v="242"/>
    <n v="10"/>
    <n v="0"/>
    <s v="1P"/>
    <s v="1P"/>
    <s v="2P"/>
    <s v="SN"/>
    <s v="2T"/>
    <s v="1P"/>
    <m/>
    <m/>
    <m/>
    <m/>
    <m/>
    <m/>
    <m/>
    <m/>
    <m/>
    <m/>
    <m/>
    <m/>
    <m/>
    <m/>
    <m/>
    <m/>
    <m/>
    <m/>
    <m/>
    <m/>
    <m/>
    <m/>
    <m/>
    <m/>
    <m/>
    <m/>
    <m/>
    <m/>
    <m/>
    <m/>
    <m/>
    <d v="2023-09-06T00:00:00"/>
    <m/>
  </r>
  <r>
    <s v="974813R"/>
    <s v="CORONA REYES VICTOR HUGO"/>
    <n v="168065477"/>
    <s v="PTL-23"/>
    <x v="116"/>
    <s v="CORONA REYES VICTOR HUGO"/>
    <x v="1"/>
    <x v="0"/>
    <x v="1"/>
    <x v="1"/>
    <s v=""/>
    <x v="1"/>
    <s v="ARIETE 23"/>
    <m/>
    <m/>
    <m/>
    <s v="O/S"/>
    <d v="2024-04-06T00:00:00"/>
    <m/>
    <m/>
    <m/>
    <m/>
    <s v=""/>
    <n v="1"/>
    <n v="242"/>
    <n v="10"/>
    <n v="0"/>
    <s v="2T"/>
    <s v="1T"/>
    <s v="2T"/>
    <s v="1T"/>
    <s v="2T"/>
    <s v="1P"/>
    <m/>
    <m/>
    <m/>
    <m/>
    <m/>
    <m/>
    <m/>
    <m/>
    <m/>
    <m/>
    <m/>
    <m/>
    <m/>
    <m/>
    <m/>
    <m/>
    <m/>
    <m/>
    <m/>
    <m/>
    <m/>
    <m/>
    <m/>
    <m/>
    <m/>
    <m/>
    <m/>
    <m/>
    <m/>
    <m/>
    <m/>
    <d v="2023-05-30T00:00:00"/>
    <m/>
  </r>
  <r>
    <s v="974687T"/>
    <s v="GODOY ALARCON HECTOR LEONARDO"/>
    <n v="167841236"/>
    <s v="PTL-23"/>
    <x v="116"/>
    <s v="GODOY ALARCON HECTOR LEONARDO (L - T - P)"/>
    <x v="1"/>
    <x v="0"/>
    <x v="1"/>
    <x v="1"/>
    <s v="(L - T - P)"/>
    <x v="1"/>
    <s v="ARIETE 23"/>
    <m/>
    <m/>
    <m/>
    <s v="O/S"/>
    <d v="2024-04-06T00:00:00"/>
    <m/>
    <m/>
    <m/>
    <m/>
    <s v=""/>
    <n v="1"/>
    <n v="242"/>
    <n v="10"/>
    <n v="0"/>
    <s v="2T"/>
    <s v="1T"/>
    <s v="2T"/>
    <s v="1T"/>
    <s v="1P"/>
    <s v="1P"/>
    <m/>
    <m/>
    <m/>
    <m/>
    <m/>
    <m/>
    <m/>
    <m/>
    <m/>
    <m/>
    <m/>
    <m/>
    <m/>
    <m/>
    <m/>
    <m/>
    <m/>
    <m/>
    <m/>
    <m/>
    <m/>
    <m/>
    <m/>
    <m/>
    <m/>
    <m/>
    <m/>
    <m/>
    <m/>
    <m/>
    <m/>
    <d v="2023-10-05T00:00:00"/>
    <m/>
  </r>
  <r>
    <s v="983058Z"/>
    <s v="VERA VEGA NICOLAS ANTONIO ( T)"/>
    <s v="17396725K"/>
    <s v="PTL-23"/>
    <x v="116"/>
    <s v="VERA VEGA NICOLAS ANTONIO              ( T-J)"/>
    <x v="4"/>
    <x v="0"/>
    <x v="1"/>
    <x v="1"/>
    <s v="( T-J)"/>
    <x v="1"/>
    <s v="ARIETE 23"/>
    <m/>
    <m/>
    <m/>
    <s v="O/S"/>
    <d v="1980-02-07T00:00:00"/>
    <s v="NOTIFICAR"/>
    <m/>
    <m/>
    <m/>
    <s v=""/>
    <n v="1"/>
    <n v="242"/>
    <n v="11"/>
    <n v="0"/>
    <s v="PER."/>
    <s v="1T"/>
    <s v="2T"/>
    <s v="1T"/>
    <s v="1T"/>
    <s v="1P"/>
    <m/>
    <m/>
    <m/>
    <m/>
    <m/>
    <m/>
    <m/>
    <m/>
    <m/>
    <m/>
    <m/>
    <m/>
    <m/>
    <m/>
    <m/>
    <m/>
    <m/>
    <m/>
    <m/>
    <m/>
    <m/>
    <m/>
    <m/>
    <m/>
    <m/>
    <m/>
    <m/>
    <m/>
    <m/>
    <m/>
    <m/>
    <d v="2023-07-04T00:00:00"/>
    <m/>
  </r>
  <r>
    <s v="954945Z"/>
    <s v="GUTIERREZ YAUPE GASTON GONZALO"/>
    <n v="142975068"/>
    <s v="PTI-1"/>
    <x v="117"/>
    <s v="GUTIERREZ YAUPE GASTON GONZALO"/>
    <x v="6"/>
    <x v="0"/>
    <x v="1"/>
    <x v="1"/>
    <s v=""/>
    <x v="1"/>
    <s v="TRASLADO DE IMPUTADO"/>
    <m/>
    <m/>
    <m/>
    <s v="O/S"/>
    <d v="2024-04-06T00:00:00"/>
    <m/>
    <m/>
    <m/>
    <m/>
    <s v=""/>
    <n v="1"/>
    <n v="263"/>
    <n v="8"/>
    <n v="0"/>
    <s v="2T"/>
    <s v="1T"/>
    <s v="2T"/>
    <s v="1T"/>
    <s v="2T"/>
    <s v="1P"/>
    <m/>
    <m/>
    <m/>
    <m/>
    <m/>
    <m/>
    <m/>
    <m/>
    <m/>
    <m/>
    <m/>
    <m/>
    <m/>
    <m/>
    <m/>
    <m/>
    <m/>
    <m/>
    <m/>
    <m/>
    <m/>
    <m/>
    <m/>
    <m/>
    <m/>
    <m/>
    <m/>
    <m/>
    <m/>
    <m/>
    <m/>
    <d v="2023-06-20T00:00:00"/>
    <m/>
  </r>
  <r>
    <s v="014035H"/>
    <s v="GONZALEZ ALARCON MATIAS IGNACIO"/>
    <n v="184077213"/>
    <s v="PTI-1"/>
    <x v="117"/>
    <s v="GONZALEZ ALARCON MATIAS IGNACIO (L)"/>
    <x v="5"/>
    <x v="0"/>
    <x v="1"/>
    <x v="1"/>
    <s v="(L)"/>
    <x v="1"/>
    <s v="TRASLADO DE IMPUTADO"/>
    <m/>
    <m/>
    <m/>
    <s v="O/S"/>
    <d v="2024-04-06T00:00:00"/>
    <m/>
    <m/>
    <m/>
    <m/>
    <s v=""/>
    <n v="1"/>
    <n v="263"/>
    <n v="12"/>
    <n v="0"/>
    <s v="2T"/>
    <s v="1T"/>
    <s v="2T"/>
    <s v="1T"/>
    <s v="2T"/>
    <s v="1P"/>
    <m/>
    <m/>
    <m/>
    <m/>
    <m/>
    <m/>
    <m/>
    <m/>
    <m/>
    <m/>
    <m/>
    <m/>
    <m/>
    <m/>
    <m/>
    <m/>
    <m/>
    <m/>
    <m/>
    <m/>
    <m/>
    <m/>
    <m/>
    <m/>
    <m/>
    <m/>
    <m/>
    <m/>
    <m/>
    <m/>
    <m/>
    <d v="2023-06-16T00:00:00"/>
    <m/>
  </r>
  <r>
    <s v="947733V"/>
    <s v="FERNANDEZ MONTES JOSE DEL CARMEN"/>
    <n v="127328900"/>
    <s v="PTI-2"/>
    <x v="118"/>
    <s v="FERNANDEZ MONTES JOSE DEL CARMEN"/>
    <x v="3"/>
    <x v="0"/>
    <x v="1"/>
    <x v="1"/>
    <s v=""/>
    <x v="0"/>
    <s v="TRASLADO DE IMPUTADO"/>
    <m/>
    <m/>
    <m/>
    <s v="O/S"/>
    <d v="2024-04-06T00:00:00"/>
    <m/>
    <m/>
    <m/>
    <m/>
    <s v=""/>
    <n v="1"/>
    <n v="264"/>
    <n v="9"/>
    <n v="0"/>
    <s v="1T"/>
    <s v="2T"/>
    <s v="1T"/>
    <s v="2T"/>
    <s v="1T"/>
    <s v="F"/>
    <m/>
    <m/>
    <m/>
    <m/>
    <m/>
    <m/>
    <m/>
    <m/>
    <m/>
    <m/>
    <m/>
    <m/>
    <m/>
    <m/>
    <m/>
    <m/>
    <m/>
    <m/>
    <m/>
    <m/>
    <m/>
    <m/>
    <m/>
    <m/>
    <m/>
    <m/>
    <m/>
    <m/>
    <m/>
    <m/>
    <m/>
    <d v="2023-07-26T00:00:00"/>
    <m/>
  </r>
  <r>
    <s v="019071S"/>
    <s v="VIDAL BURGOS GEOVANNY ELIZANDRO"/>
    <n v="197142138"/>
    <s v="PTI-2"/>
    <x v="118"/>
    <s v="VIDAL BURGOS GEOVANNY ELIZANDRO (L)"/>
    <x v="5"/>
    <x v="0"/>
    <x v="1"/>
    <x v="1"/>
    <s v="(L)"/>
    <x v="0"/>
    <s v="TRASLADO DE IMPUTADO"/>
    <m/>
    <m/>
    <m/>
    <s v="O/S"/>
    <d v="2024-04-06T00:00:00"/>
    <m/>
    <m/>
    <m/>
    <m/>
    <s v=""/>
    <n v="1"/>
    <n v="264"/>
    <n v="12"/>
    <n v="0"/>
    <s v="1T"/>
    <s v="2T"/>
    <s v="1T"/>
    <s v="2T"/>
    <s v="1T"/>
    <s v="F"/>
    <m/>
    <m/>
    <m/>
    <m/>
    <m/>
    <m/>
    <m/>
    <m/>
    <m/>
    <m/>
    <m/>
    <m/>
    <m/>
    <m/>
    <m/>
    <m/>
    <m/>
    <m/>
    <m/>
    <m/>
    <m/>
    <m/>
    <m/>
    <m/>
    <m/>
    <m/>
    <m/>
    <m/>
    <m/>
    <m/>
    <m/>
    <d v="2023-05-11T00:00:00"/>
    <m/>
  </r>
  <r>
    <s v="949670U"/>
    <s v="GODOY CANALES ALEX"/>
    <n v="116576139"/>
    <s v="MOVILIZACIÓN"/>
    <x v="119"/>
    <s v="GODOY CANALES ALEX (L - P - T - GRUA)"/>
    <x v="11"/>
    <x v="0"/>
    <x v="1"/>
    <x v="1"/>
    <s v="(L - P - T - GRUA)"/>
    <x v="6"/>
    <s v="MOVILIZACIÓN"/>
    <m/>
    <m/>
    <m/>
    <s v="O/S"/>
    <d v="2024-04-06T00:00:00"/>
    <m/>
    <m/>
    <m/>
    <m/>
    <s v=""/>
    <n v="1"/>
    <n v="266"/>
    <n v="7"/>
    <n v="0"/>
    <s v="ADM."/>
    <s v="ADM."/>
    <s v="ADM."/>
    <s v="ADM."/>
    <s v="ADM."/>
    <s v="ADM."/>
    <m/>
    <m/>
    <m/>
    <m/>
    <m/>
    <m/>
    <m/>
    <m/>
    <m/>
    <m/>
    <m/>
    <m/>
    <m/>
    <m/>
    <m/>
    <m/>
    <m/>
    <m/>
    <m/>
    <m/>
    <m/>
    <m/>
    <m/>
    <m/>
    <m/>
    <m/>
    <m/>
    <m/>
    <m/>
    <m/>
    <m/>
    <d v="2023-06-18T00:00:00"/>
    <m/>
  </r>
  <r>
    <s v="977040C"/>
    <s v="VALENCIA AGUIRRE MARISOL DEL LUJAN"/>
    <n v="163733137"/>
    <s v="MOVILIZACIÓN"/>
    <x v="119"/>
    <s v="VALENCIA AGUIRRE MARISOL DEL LUJAN"/>
    <x v="1"/>
    <x v="1"/>
    <x v="1"/>
    <x v="1"/>
    <s v=""/>
    <x v="6"/>
    <s v="MOVILIZACIÓN"/>
    <m/>
    <m/>
    <m/>
    <s v="O/S"/>
    <d v="2024-04-06T00:00:00"/>
    <m/>
    <m/>
    <m/>
    <m/>
    <s v=""/>
    <n v="1"/>
    <n v="266"/>
    <n v="10"/>
    <n v="0"/>
    <s v="ADM."/>
    <s v="ADM."/>
    <s v="ADM."/>
    <s v="ADM."/>
    <s v="ADM."/>
    <s v="ADM."/>
    <m/>
    <m/>
    <m/>
    <m/>
    <m/>
    <m/>
    <m/>
    <m/>
    <m/>
    <m/>
    <m/>
    <m/>
    <m/>
    <m/>
    <m/>
    <m/>
    <m/>
    <m/>
    <m/>
    <m/>
    <m/>
    <m/>
    <m/>
    <m/>
    <m/>
    <m/>
    <m/>
    <m/>
    <m/>
    <m/>
    <m/>
    <d v="2023-06-18T00:00:00"/>
    <m/>
  </r>
  <r>
    <s v="982131E"/>
    <s v="IGOR CORONADO GUSTAVO A."/>
    <n v="163649462"/>
    <s v="PATRULLA DE RESCATE"/>
    <x v="120"/>
    <s v="IGOR CORONADO GUSTAVO A. (L - P - T)"/>
    <x v="1"/>
    <x v="0"/>
    <x v="1"/>
    <x v="1"/>
    <s v="(L - P - T)"/>
    <x v="1"/>
    <s v="PATRULLA DE RESCATE"/>
    <m/>
    <m/>
    <m/>
    <s v="O/S"/>
    <d v="2024-04-06T00:00:00"/>
    <m/>
    <m/>
    <m/>
    <m/>
    <s v=""/>
    <n v="1"/>
    <n v="267"/>
    <n v="10"/>
    <n v="0"/>
    <s v="1P"/>
    <s v="1P"/>
    <s v="1P"/>
    <s v="1P"/>
    <s v="1P"/>
    <s v="1P"/>
    <m/>
    <m/>
    <m/>
    <m/>
    <m/>
    <m/>
    <m/>
    <m/>
    <m/>
    <m/>
    <m/>
    <m/>
    <m/>
    <m/>
    <m/>
    <m/>
    <m/>
    <m/>
    <m/>
    <m/>
    <m/>
    <m/>
    <m/>
    <m/>
    <m/>
    <m/>
    <m/>
    <m/>
    <m/>
    <m/>
    <m/>
    <d v="2023-08-16T00:00:00"/>
    <m/>
  </r>
  <r>
    <s v="018725V"/>
    <s v="PONCE CASTRO RAUL HUMBERTO"/>
    <s v="20373185K"/>
    <s v="PATRULLA DE RESCATE"/>
    <x v="120"/>
    <s v="PONCE CASTRO RAUL HUMBERTO"/>
    <x v="5"/>
    <x v="0"/>
    <x v="1"/>
    <x v="1"/>
    <s v=""/>
    <x v="1"/>
    <s v="PATRULLA DE RESCATE"/>
    <m/>
    <m/>
    <m/>
    <s v="O/S"/>
    <d v="2024-04-06T00:00:00"/>
    <m/>
    <m/>
    <m/>
    <m/>
    <s v=""/>
    <n v="1"/>
    <n v="267"/>
    <n v="12"/>
    <n v="0"/>
    <s v="1P"/>
    <s v="1P"/>
    <s v="1P"/>
    <s v="1P"/>
    <s v="1P"/>
    <s v="1P"/>
    <m/>
    <m/>
    <m/>
    <m/>
    <m/>
    <m/>
    <m/>
    <m/>
    <m/>
    <m/>
    <m/>
    <m/>
    <m/>
    <m/>
    <m/>
    <m/>
    <m/>
    <m/>
    <m/>
    <m/>
    <m/>
    <m/>
    <m/>
    <m/>
    <m/>
    <m/>
    <m/>
    <m/>
    <m/>
    <m/>
    <m/>
    <d v="2023-05-17T00:00:00"/>
    <m/>
  </r>
  <r>
    <s v="962848G"/>
    <s v="SALAS CABEZAS JUAN MANUEL"/>
    <s v="15627367-8"/>
    <s v="PATRULLA DE RESCATE"/>
    <x v="121"/>
    <s v="SALAS CABEZAS JUAN MANUEL (T)"/>
    <x v="3"/>
    <x v="0"/>
    <x v="1"/>
    <x v="1"/>
    <s v="(T)"/>
    <x v="1"/>
    <s v="PATRULLA DE RESCATE 1"/>
    <m/>
    <m/>
    <m/>
    <s v="O/S"/>
    <d v="2024-04-06T00:00:00"/>
    <m/>
    <m/>
    <m/>
    <m/>
    <s v=""/>
    <n v="1"/>
    <n v="269"/>
    <n v="9"/>
    <n v="0"/>
    <s v="1P"/>
    <s v="1P"/>
    <s v="1P"/>
    <s v="1P"/>
    <s v="1P"/>
    <s v="1P"/>
    <m/>
    <m/>
    <m/>
    <m/>
    <m/>
    <m/>
    <m/>
    <m/>
    <m/>
    <m/>
    <m/>
    <m/>
    <m/>
    <m/>
    <m/>
    <m/>
    <m/>
    <m/>
    <m/>
    <m/>
    <m/>
    <m/>
    <m/>
    <m/>
    <m/>
    <m/>
    <m/>
    <m/>
    <m/>
    <m/>
    <m/>
    <d v="2023-07-17T00:00:00"/>
    <m/>
  </r>
  <r>
    <s v="984786R"/>
    <s v="CASTILLO YAÑEZ EFRAN RODRIGO ANTONIO"/>
    <n v="169043728"/>
    <s v="PATRULLA DE RESCATE"/>
    <x v="122"/>
    <s v="CASTILLO YAÑEZ EFRAN RODRIGO ANTONIO (L - P - T)"/>
    <x v="1"/>
    <x v="0"/>
    <x v="1"/>
    <x v="1"/>
    <s v="(L - P - T)"/>
    <x v="1"/>
    <s v="PATRULLA DE RESCATE 2"/>
    <m/>
    <m/>
    <m/>
    <s v="O/S"/>
    <d v="2024-04-06T00:00:00"/>
    <m/>
    <m/>
    <m/>
    <m/>
    <s v=""/>
    <n v="1"/>
    <n v="270"/>
    <n v="10"/>
    <n v="0"/>
    <s v="1P"/>
    <s v="1P"/>
    <s v="1P"/>
    <s v="1P"/>
    <s v="1P"/>
    <s v="1P"/>
    <m/>
    <m/>
    <m/>
    <m/>
    <m/>
    <m/>
    <m/>
    <m/>
    <m/>
    <m/>
    <m/>
    <m/>
    <m/>
    <m/>
    <m/>
    <m/>
    <m/>
    <m/>
    <m/>
    <m/>
    <m/>
    <m/>
    <m/>
    <m/>
    <m/>
    <m/>
    <m/>
    <m/>
    <m/>
    <m/>
    <m/>
    <d v="2023-08-11T00:00:00"/>
    <m/>
  </r>
  <r>
    <s v="984833G"/>
    <s v="MATUS DE LA PARRA MALDONADO ALEX"/>
    <n v="174573743"/>
    <s v="PATRULLA DE RESCATE"/>
    <x v="122"/>
    <s v="MATUS DE LA PARRA MALDONADO ALEX"/>
    <x v="5"/>
    <x v="0"/>
    <x v="1"/>
    <x v="1"/>
    <s v=""/>
    <x v="1"/>
    <s v="PATRULLA DE RESCATE 2"/>
    <m/>
    <m/>
    <m/>
    <s v="O/S"/>
    <d v="2024-04-06T00:00:00"/>
    <m/>
    <m/>
    <m/>
    <m/>
    <s v=""/>
    <n v="1"/>
    <n v="270"/>
    <n v="12"/>
    <n v="0"/>
    <s v="1P"/>
    <s v="1P"/>
    <s v="1P"/>
    <s v="1P"/>
    <s v="1P"/>
    <s v="1P"/>
    <m/>
    <m/>
    <m/>
    <m/>
    <m/>
    <m/>
    <m/>
    <m/>
    <m/>
    <m/>
    <m/>
    <m/>
    <m/>
    <m/>
    <m/>
    <m/>
    <m/>
    <m/>
    <m/>
    <m/>
    <m/>
    <m/>
    <m/>
    <m/>
    <m/>
    <m/>
    <m/>
    <m/>
    <m/>
    <m/>
    <m/>
    <d v="2023-08-30T00:00:00"/>
    <m/>
  </r>
  <r>
    <s v="957482M"/>
    <s v="PACHECO SOTO PABLO"/>
    <n v="134660279"/>
    <s v="JEFE/PTL-19"/>
    <x v="123"/>
    <s v="PACHECO SOTO PABLO"/>
    <x v="6"/>
    <x v="0"/>
    <x v="1"/>
    <x v="1"/>
    <s v=""/>
    <x v="6"/>
    <s v="OF. OPERACIONES"/>
    <m/>
    <m/>
    <m/>
    <s v="O/S"/>
    <d v="2024-04-06T00:00:00"/>
    <m/>
    <m/>
    <m/>
    <m/>
    <s v=""/>
    <n v="1"/>
    <n v="274"/>
    <n v="8"/>
    <n v="0"/>
    <s v="1P"/>
    <s v="ADM."/>
    <s v="ADM."/>
    <s v="ADM."/>
    <s v="ADM."/>
    <s v="ADM."/>
    <m/>
    <m/>
    <m/>
    <m/>
    <m/>
    <m/>
    <m/>
    <m/>
    <m/>
    <m/>
    <m/>
    <m/>
    <m/>
    <m/>
    <m/>
    <m/>
    <m/>
    <m/>
    <m/>
    <m/>
    <m/>
    <m/>
    <m/>
    <m/>
    <m/>
    <m/>
    <m/>
    <m/>
    <m/>
    <m/>
    <m/>
    <d v="2023-09-01T00:00:00"/>
    <m/>
  </r>
  <r>
    <s v="976603H"/>
    <s v="SANTIBAÑEZ SERRANO CARLOS ENRIQUE"/>
    <s v="16197541-9"/>
    <s v="OF. OPERACIONES"/>
    <x v="123"/>
    <s v="SANTIBAÑEZ SERRANO CARLOS ENRIQUE"/>
    <x v="1"/>
    <x v="0"/>
    <x v="1"/>
    <x v="1"/>
    <s v=""/>
    <x v="6"/>
    <s v="OF. OPERACIONES"/>
    <m/>
    <m/>
    <m/>
    <s v="O/S"/>
    <s v="00-00-00"/>
    <m/>
    <m/>
    <m/>
    <m/>
    <s v=""/>
    <n v="1"/>
    <n v="274"/>
    <n v="10"/>
    <n v="0"/>
    <s v="ADM."/>
    <s v="ADM."/>
    <s v="ADM."/>
    <s v="ADM."/>
    <s v="ADM."/>
    <s v="ADM."/>
    <m/>
    <m/>
    <m/>
    <m/>
    <m/>
    <m/>
    <m/>
    <m/>
    <m/>
    <m/>
    <m/>
    <m/>
    <m/>
    <m/>
    <m/>
    <m/>
    <m/>
    <m/>
    <m/>
    <m/>
    <m/>
    <m/>
    <m/>
    <m/>
    <m/>
    <m/>
    <m/>
    <m/>
    <m/>
    <m/>
    <m/>
    <d v="2022-01-06T00:00:00"/>
    <m/>
  </r>
  <r>
    <s v="994359E"/>
    <s v="BUSTAMANTE CATALAN ESTEBAN HUMBERTO"/>
    <s v="16840333K"/>
    <s v="S-36"/>
    <x v="123"/>
    <s v="BUSTAMANTE CATALAN ESTEBAN HUMBERTO"/>
    <x v="4"/>
    <x v="0"/>
    <x v="1"/>
    <x v="1"/>
    <s v=""/>
    <x v="6"/>
    <s v="OF. OPERACIONES"/>
    <m/>
    <m/>
    <m/>
    <s v="O/S"/>
    <d v="2024-04-06T00:00:00"/>
    <m/>
    <s v="LISTO"/>
    <m/>
    <m/>
    <s v=""/>
    <n v="1"/>
    <n v="274"/>
    <n v="11"/>
    <n v="0"/>
    <s v="2T"/>
    <s v="1P"/>
    <s v="ADM."/>
    <s v="ADM."/>
    <s v="ADM."/>
    <s v="ADM."/>
    <m/>
    <m/>
    <m/>
    <m/>
    <m/>
    <m/>
    <m/>
    <m/>
    <m/>
    <m/>
    <m/>
    <m/>
    <m/>
    <m/>
    <m/>
    <m/>
    <m/>
    <m/>
    <m/>
    <m/>
    <m/>
    <m/>
    <m/>
    <m/>
    <m/>
    <m/>
    <m/>
    <m/>
    <m/>
    <m/>
    <m/>
    <d v="2023-04-26T00:00:00"/>
    <m/>
  </r>
  <r>
    <s v="008920C"/>
    <s v="PINO SALAS DIEGO REINERIO"/>
    <n v="188038913"/>
    <s v="OF. OPERACIONES"/>
    <x v="123"/>
    <s v="PINO SALAS DIEGO REINERIO"/>
    <x v="5"/>
    <x v="0"/>
    <x v="1"/>
    <x v="1"/>
    <s v=""/>
    <x v="6"/>
    <s v="OF. OPERACIONES"/>
    <m/>
    <m/>
    <m/>
    <s v="O/S"/>
    <d v="2024-04-06T00:00:00"/>
    <m/>
    <m/>
    <m/>
    <m/>
    <s v=""/>
    <n v="1"/>
    <n v="274"/>
    <n v="12"/>
    <n v="0"/>
    <s v="ADM."/>
    <s v="ADM."/>
    <s v="ADM."/>
    <s v="ADM."/>
    <s v="ADM."/>
    <s v="ADM."/>
    <m/>
    <m/>
    <m/>
    <m/>
    <m/>
    <m/>
    <m/>
    <m/>
    <m/>
    <m/>
    <m/>
    <m/>
    <m/>
    <m/>
    <m/>
    <m/>
    <m/>
    <m/>
    <m/>
    <m/>
    <m/>
    <m/>
    <m/>
    <m/>
    <m/>
    <m/>
    <m/>
    <m/>
    <m/>
    <m/>
    <m/>
    <d v="2023-05-22T00:00:00"/>
    <m/>
  </r>
  <r>
    <s v="957833L"/>
    <s v="ROZAS LARA PETRONILA DEL CARMEN"/>
    <s v="12980016K"/>
    <s v="PROSERVIPOL"/>
    <x v="124"/>
    <s v="ROZAS LARA PETRONILA DEL CARMEN"/>
    <x v="6"/>
    <x v="1"/>
    <x v="1"/>
    <x v="1"/>
    <s v=""/>
    <x v="6"/>
    <s v="PROSERVIPOL"/>
    <m/>
    <m/>
    <m/>
    <s v="O/S"/>
    <d v="2024-04-06T00:00:00"/>
    <m/>
    <m/>
    <m/>
    <m/>
    <s v=""/>
    <n v="1"/>
    <n v="275"/>
    <n v="8"/>
    <n v="0"/>
    <s v="ADM."/>
    <s v="ADM."/>
    <s v="ADM."/>
    <s v="ADM."/>
    <s v="ADM."/>
    <s v="ADM."/>
    <m/>
    <m/>
    <m/>
    <m/>
    <m/>
    <m/>
    <m/>
    <m/>
    <m/>
    <m/>
    <m/>
    <m/>
    <m/>
    <m/>
    <m/>
    <m/>
    <m/>
    <m/>
    <m/>
    <m/>
    <m/>
    <m/>
    <m/>
    <m/>
    <m/>
    <m/>
    <m/>
    <m/>
    <m/>
    <m/>
    <m/>
    <d v="2023-06-15T00:00:00"/>
    <m/>
  </r>
  <r>
    <s v="979319N"/>
    <s v="JIMENEZ HENRIQUEZ EDUARDO ANTONIO"/>
    <n v="170139828"/>
    <s v="PROSERVIPOL"/>
    <x v="124"/>
    <s v="JIMENEZ HENRIQUEZ EDUARDO ANTONIO"/>
    <x v="1"/>
    <x v="0"/>
    <x v="1"/>
    <x v="1"/>
    <s v=""/>
    <x v="6"/>
    <s v="PROSERVIPOL"/>
    <m/>
    <m/>
    <m/>
    <s v="O/S"/>
    <d v="2024-04-06T00:00:00"/>
    <m/>
    <m/>
    <m/>
    <m/>
    <s v=""/>
    <n v="1"/>
    <n v="275"/>
    <n v="10"/>
    <n v="0"/>
    <s v="ADM."/>
    <s v="ADM."/>
    <s v="ADM."/>
    <s v="ADM."/>
    <s v="ADM."/>
    <s v="ADM."/>
    <m/>
    <m/>
    <m/>
    <m/>
    <m/>
    <m/>
    <m/>
    <m/>
    <m/>
    <m/>
    <m/>
    <m/>
    <m/>
    <m/>
    <m/>
    <m/>
    <m/>
    <m/>
    <m/>
    <m/>
    <m/>
    <m/>
    <m/>
    <m/>
    <m/>
    <m/>
    <m/>
    <m/>
    <m/>
    <m/>
    <m/>
    <d v="2023-04-20T00:00:00"/>
    <m/>
  </r>
  <r>
    <s v="942165X"/>
    <s v="MANRIQUEZ MURGA CARLOS RAUL"/>
    <n v="113715820"/>
    <s v="REGIMEN INTERNO"/>
    <x v="125"/>
    <s v="MANRIQUEZ MURGA CARLOS RAUL"/>
    <x v="11"/>
    <x v="0"/>
    <x v="1"/>
    <x v="1"/>
    <s v=""/>
    <x v="6"/>
    <s v="REGIMEN INTERNO"/>
    <m/>
    <m/>
    <m/>
    <s v="O/S"/>
    <d v="2024-04-06T00:00:00"/>
    <m/>
    <m/>
    <m/>
    <m/>
    <s v=""/>
    <n v="1"/>
    <n v="276"/>
    <n v="7"/>
    <n v="0"/>
    <s v="ADM."/>
    <s v="ADM."/>
    <s v="ADM."/>
    <s v="ADM."/>
    <s v="ADM."/>
    <s v="ADM."/>
    <m/>
    <m/>
    <m/>
    <m/>
    <m/>
    <m/>
    <m/>
    <m/>
    <m/>
    <m/>
    <m/>
    <m/>
    <m/>
    <m/>
    <m/>
    <m/>
    <m/>
    <m/>
    <m/>
    <m/>
    <m/>
    <m/>
    <m/>
    <m/>
    <m/>
    <m/>
    <m/>
    <m/>
    <m/>
    <m/>
    <m/>
    <d v="2023-05-02T00:00:00"/>
    <m/>
  </r>
  <r>
    <s v="998478A"/>
    <s v="REBOLLEDO CASTRO ALEXANDRA E."/>
    <n v="185240339"/>
    <s v="S-53"/>
    <x v="126"/>
    <s v="REBOLLEDO CASTRO ALEXANDRA E."/>
    <x v="10"/>
    <x v="1"/>
    <x v="1"/>
    <x v="0"/>
    <s v=""/>
    <x v="1"/>
    <s v="PERSONAL DISPONIBLE"/>
    <m/>
    <m/>
    <m/>
    <s v="O/S"/>
    <d v="2024-04-06T00:00:00"/>
    <m/>
    <s v="FUERO MATERNAL "/>
    <d v="2024-03-27T00:00:00"/>
    <d v="2025-03-27T00:00:00"/>
    <n v="366"/>
    <n v="1"/>
    <n v="278"/>
    <n v="5"/>
    <n v="0"/>
    <s v="1P"/>
    <s v="1P"/>
    <s v="1P"/>
    <s v="1P"/>
    <s v="1P"/>
    <s v="1P"/>
    <m/>
    <m/>
    <m/>
    <m/>
    <m/>
    <m/>
    <m/>
    <m/>
    <m/>
    <m/>
    <m/>
    <m/>
    <m/>
    <m/>
    <m/>
    <m/>
    <m/>
    <m/>
    <m/>
    <m/>
    <m/>
    <m/>
    <m/>
    <m/>
    <m/>
    <m/>
    <m/>
    <m/>
    <m/>
    <m/>
    <m/>
    <d v="2022-06-02T00:00:00"/>
    <m/>
  </r>
  <r>
    <s v="980780F"/>
    <s v="PEÑA TRONCOSO MANUEL ALEJANDRO"/>
    <n v="168179685"/>
    <s v="AGREGADOS"/>
    <x v="126"/>
    <s v="PEÑA TRONCOSO MANUEL ALEJANDRO ( L )"/>
    <x v="1"/>
    <x v="0"/>
    <x v="1"/>
    <x v="1"/>
    <s v="( L )"/>
    <x v="6"/>
    <s v="PERSONAL DISPONIBLE"/>
    <m/>
    <m/>
    <m/>
    <s v="O/S"/>
    <d v="2024-04-06T00:00:00"/>
    <m/>
    <s v="OPERACIONES PREFECTURA _x000a_ORDEN G2"/>
    <m/>
    <m/>
    <s v=""/>
    <n v="1"/>
    <n v="278"/>
    <n v="10"/>
    <n v="0"/>
    <s v="ADM."/>
    <s v="ADM."/>
    <s v="ADM."/>
    <s v="ADM."/>
    <s v="ADM."/>
    <s v="ADM."/>
    <m/>
    <m/>
    <m/>
    <m/>
    <m/>
    <m/>
    <m/>
    <m/>
    <m/>
    <m/>
    <m/>
    <m/>
    <m/>
    <m/>
    <m/>
    <m/>
    <m/>
    <m/>
    <m/>
    <m/>
    <m/>
    <m/>
    <m/>
    <m/>
    <m/>
    <m/>
    <m/>
    <m/>
    <m/>
    <m/>
    <m/>
    <d v="2023-07-19T00:00:00"/>
    <m/>
  </r>
  <r>
    <s v="006590Y"/>
    <s v="OTAROLA SILVA SCARLETT CECILIA"/>
    <s v="19285573K"/>
    <s v="S-46"/>
    <x v="126"/>
    <s v="OTAROLA SILVA SCARLETT CECILIA"/>
    <x v="4"/>
    <x v="1"/>
    <x v="1"/>
    <x v="1"/>
    <s v=""/>
    <x v="1"/>
    <s v="PERSONAL DISPONIBLE"/>
    <m/>
    <m/>
    <m/>
    <s v="O/S"/>
    <d v="1995-11-22T00:00:00"/>
    <s v="JUICIO ORAL"/>
    <m/>
    <m/>
    <m/>
    <s v=""/>
    <n v="1"/>
    <n v="278"/>
    <n v="11"/>
    <n v="0"/>
    <s v="1P"/>
    <s v="3T"/>
    <s v="SN"/>
    <s v="1T"/>
    <s v="1P"/>
    <s v="1P"/>
    <m/>
    <m/>
    <m/>
    <m/>
    <m/>
    <m/>
    <m/>
    <m/>
    <m/>
    <m/>
    <m/>
    <m/>
    <m/>
    <m/>
    <m/>
    <m/>
    <m/>
    <m/>
    <m/>
    <m/>
    <m/>
    <m/>
    <m/>
    <m/>
    <m/>
    <m/>
    <m/>
    <m/>
    <m/>
    <m/>
    <m/>
    <d v="2024-03-25T00:00:00"/>
    <m/>
  </r>
  <r>
    <s v="018760L"/>
    <s v="SEPULVEDA GRANDON IGNACIO ANDRES"/>
    <n v="202301258"/>
    <s v="PERSONAL DISPONIBLE"/>
    <x v="126"/>
    <s v="SEPULVEDA GRANDON IGNACIO ANDRES"/>
    <x v="4"/>
    <x v="0"/>
    <x v="1"/>
    <x v="1"/>
    <s v=""/>
    <x v="1"/>
    <s v="PERSONAL DISPONIBLE"/>
    <m/>
    <m/>
    <m/>
    <s v="O/S"/>
    <d v="2024-04-06T00:00:00"/>
    <s v="KIOSCO"/>
    <s v="ORDEN CONDOR 40 / KIOSCO"/>
    <m/>
    <m/>
    <s v=""/>
    <n v="1"/>
    <n v="278"/>
    <n v="11"/>
    <n v="0"/>
    <s v="1P"/>
    <s v="1P"/>
    <s v="1P"/>
    <s v="1P"/>
    <s v="1P"/>
    <s v="1P"/>
    <m/>
    <m/>
    <m/>
    <m/>
    <m/>
    <m/>
    <m/>
    <m/>
    <m/>
    <m/>
    <m/>
    <m/>
    <m/>
    <m/>
    <m/>
    <m/>
    <m/>
    <m/>
    <m/>
    <m/>
    <m/>
    <m/>
    <m/>
    <m/>
    <m/>
    <m/>
    <m/>
    <m/>
    <m/>
    <m/>
    <m/>
    <d v="2023-05-05T00:00:00"/>
    <m/>
  </r>
  <r>
    <s v="017085F"/>
    <s v="CABRERA GARRIDO FABIAN JESUS"/>
    <n v="200957334"/>
    <s v="S-32"/>
    <x v="126"/>
    <s v="CABRERA GARRIDO FABIAN JESUS"/>
    <x v="5"/>
    <x v="0"/>
    <x v="1"/>
    <x v="1"/>
    <s v=""/>
    <x v="1"/>
    <s v="PERSONAL DISPONIBLE"/>
    <m/>
    <m/>
    <m/>
    <s v="O/S"/>
    <d v="2024-04-06T00:00:00"/>
    <s v="ESTAFETA PREFECTURA A CONTAR DE 01-04-2024  DOE 203437655 NOTIFICAR"/>
    <s v="ESTAFETA PREFECTURA A CONTAR DE 01-04-2024  DOE 203437655,203453438"/>
    <m/>
    <m/>
    <s v=""/>
    <n v="1"/>
    <n v="278"/>
    <n v="12"/>
    <n v="0"/>
    <s v="1P"/>
    <s v="1P"/>
    <s v="1P"/>
    <s v="1P"/>
    <s v="1P"/>
    <s v="1P"/>
    <m/>
    <m/>
    <m/>
    <m/>
    <m/>
    <m/>
    <m/>
    <m/>
    <m/>
    <m/>
    <m/>
    <m/>
    <m/>
    <m/>
    <m/>
    <m/>
    <m/>
    <m/>
    <m/>
    <m/>
    <m/>
    <m/>
    <m/>
    <m/>
    <m/>
    <m/>
    <m/>
    <m/>
    <m/>
    <m/>
    <m/>
    <d v="2023-08-03T00:00:00"/>
    <m/>
  </r>
  <r>
    <s v="017088J"/>
    <s v="CARRASCO ISLA DIEGO FELIPE"/>
    <n v="196813209"/>
    <s v="S-43"/>
    <x v="126"/>
    <s v="CARRASCO ISLA DIEGO FELIPE"/>
    <x v="5"/>
    <x v="0"/>
    <x v="1"/>
    <x v="1"/>
    <s v=""/>
    <x v="5"/>
    <s v="PERSONAL DISPONIBLE"/>
    <m/>
    <m/>
    <m/>
    <s v="O/S"/>
    <d v="2024-04-06T00:00:00"/>
    <s v="NOTIFICAR"/>
    <s v="SELECCIONADO INTS. DOE 203856901 CONCURRE DIAS MARTES, JUEVES, SABADO Y DOMINGO."/>
    <m/>
    <m/>
    <s v=""/>
    <n v="1"/>
    <n v="278"/>
    <n v="12"/>
    <n v="0"/>
    <s v="1T"/>
    <s v="1P"/>
    <s v="1P"/>
    <s v="1P"/>
    <s v="2T"/>
    <s v="2P"/>
    <m/>
    <m/>
    <m/>
    <m/>
    <m/>
    <m/>
    <m/>
    <m/>
    <m/>
    <m/>
    <m/>
    <m/>
    <m/>
    <m/>
    <m/>
    <m/>
    <m/>
    <m/>
    <m/>
    <m/>
    <m/>
    <m/>
    <m/>
    <m/>
    <m/>
    <m/>
    <m/>
    <m/>
    <m/>
    <m/>
    <m/>
    <d v="2023-04-12T00:00:00"/>
    <m/>
  </r>
  <r>
    <s v="988983K"/>
    <s v="HENRIQUEZ ROJAS DIEGO ALEJANDRO"/>
    <n v="179529548"/>
    <s v="S-47"/>
    <x v="126"/>
    <s v="HENRIQUEZ ROJAS DIEGO ALEJANDRO"/>
    <x v="5"/>
    <x v="0"/>
    <x v="1"/>
    <x v="1"/>
    <s v=""/>
    <x v="6"/>
    <s v="PERSONAL DISPONIBLE"/>
    <m/>
    <m/>
    <m/>
    <s v="O/S"/>
    <d v="2024-04-06T00:00:00"/>
    <s v="KIOSCO "/>
    <s v="KIOSCO"/>
    <m/>
    <m/>
    <s v=""/>
    <n v="1"/>
    <n v="278"/>
    <n v="12"/>
    <n v="0"/>
    <s v="ADM."/>
    <s v="ADM."/>
    <s v="ADM."/>
    <s v="ADM."/>
    <s v="ADM."/>
    <s v="ADM."/>
    <m/>
    <m/>
    <m/>
    <m/>
    <m/>
    <m/>
    <m/>
    <m/>
    <m/>
    <m/>
    <m/>
    <m/>
    <m/>
    <m/>
    <m/>
    <m/>
    <m/>
    <m/>
    <m/>
    <m/>
    <m/>
    <m/>
    <m/>
    <m/>
    <m/>
    <m/>
    <m/>
    <m/>
    <m/>
    <m/>
    <m/>
    <d v="2023-07-04T00:00:00"/>
    <m/>
  </r>
  <r>
    <s v="980750Q"/>
    <s v="GARAY SEGURA JORGE IGNACIO"/>
    <n v="167392482"/>
    <s v="PTL-19"/>
    <x v="127"/>
    <s v="GARAY SEGURA JORGE IGNACIO (T - L - P - LA)"/>
    <x v="4"/>
    <x v="0"/>
    <x v="1"/>
    <x v="1"/>
    <s v="(T - L - P - LA)"/>
    <x v="0"/>
    <s v="FRANCOS"/>
    <m/>
    <m/>
    <m/>
    <s v="O/S"/>
    <d v="2024-04-06T00:00:00"/>
    <s v="08:00 A NORM."/>
    <m/>
    <m/>
    <m/>
    <s v=""/>
    <n v="1"/>
    <n v="279"/>
    <n v="11"/>
    <n v="0"/>
    <s v="2T"/>
    <s v="1P"/>
    <s v="1T"/>
    <s v="1P"/>
    <s v="1P"/>
    <s v="F"/>
    <m/>
    <m/>
    <m/>
    <m/>
    <m/>
    <m/>
    <m/>
    <m/>
    <m/>
    <m/>
    <m/>
    <m/>
    <m/>
    <m/>
    <m/>
    <m/>
    <m/>
    <m/>
    <m/>
    <m/>
    <m/>
    <m/>
    <m/>
    <m/>
    <m/>
    <m/>
    <m/>
    <m/>
    <m/>
    <m/>
    <m/>
    <d v="2023-10-12T00:00:00"/>
    <m/>
  </r>
  <r>
    <s v="950383E"/>
    <s v="GUAMPARITO SARMIENTO EDUARDO"/>
    <n v="124665388"/>
    <s v="MANTENCIÓN DE CUARTEL"/>
    <x v="128"/>
    <s v="GUAMPARITO SARMIENTO EDUARDO"/>
    <x v="6"/>
    <x v="0"/>
    <x v="1"/>
    <x v="1"/>
    <s v=""/>
    <x v="6"/>
    <s v="MANTENCIÓN DE CUARTEL"/>
    <m/>
    <m/>
    <m/>
    <s v="O/S"/>
    <d v="2024-04-06T00:00:00"/>
    <m/>
    <m/>
    <m/>
    <m/>
    <s v=""/>
    <n v="1"/>
    <n v="281"/>
    <n v="8"/>
    <n v="0"/>
    <s v="ADM."/>
    <s v="ADM."/>
    <s v="ADM."/>
    <s v="ADM."/>
    <s v="ADM."/>
    <s v="ADM."/>
    <m/>
    <m/>
    <m/>
    <m/>
    <m/>
    <m/>
    <m/>
    <m/>
    <m/>
    <m/>
    <m/>
    <m/>
    <m/>
    <m/>
    <m/>
    <m/>
    <m/>
    <m/>
    <m/>
    <m/>
    <m/>
    <m/>
    <m/>
    <m/>
    <m/>
    <m/>
    <m/>
    <m/>
    <m/>
    <m/>
    <m/>
    <d v="2023-07-07T00:00:00"/>
    <m/>
  </r>
  <r>
    <s v="936989L"/>
    <s v="PALACIOS LOPEZ WALTER"/>
    <n v="99973668"/>
    <s v="MANTENCIÓN DE CUARTEL"/>
    <x v="128"/>
    <s v="PALACIOS LOPEZ WALTER"/>
    <x v="3"/>
    <x v="0"/>
    <x v="1"/>
    <x v="1"/>
    <s v=""/>
    <x v="6"/>
    <s v="MANTENCIÓN DE CUARTEL"/>
    <m/>
    <m/>
    <m/>
    <s v="O/S"/>
    <d v="2024-04-06T00:00:00"/>
    <m/>
    <m/>
    <m/>
    <m/>
    <s v=""/>
    <n v="1"/>
    <n v="281"/>
    <n v="9"/>
    <n v="0"/>
    <s v="ADM."/>
    <s v="ADM."/>
    <s v="ADM."/>
    <s v="ADM."/>
    <s v="ADM."/>
    <s v="ADM."/>
    <m/>
    <m/>
    <m/>
    <m/>
    <m/>
    <m/>
    <m/>
    <m/>
    <m/>
    <m/>
    <m/>
    <m/>
    <m/>
    <m/>
    <m/>
    <m/>
    <m/>
    <m/>
    <m/>
    <m/>
    <m/>
    <m/>
    <m/>
    <m/>
    <m/>
    <m/>
    <m/>
    <m/>
    <m/>
    <m/>
    <m/>
    <d v="2023-06-22T00:00:00"/>
    <m/>
  </r>
  <r>
    <s v="963058C"/>
    <s v="BECERRA ROA NICOLAS ELIAS"/>
    <n v="141709933"/>
    <s v="S-37"/>
    <x v="128"/>
    <s v="BECERRA ROA NICOLAS ELIAS"/>
    <x v="1"/>
    <x v="0"/>
    <x v="1"/>
    <x v="1"/>
    <s v=""/>
    <x v="6"/>
    <s v="MANTENCIÓN DE CUARTEL"/>
    <m/>
    <m/>
    <m/>
    <s v="O/S"/>
    <d v="2024-04-06T00:00:00"/>
    <s v="NOTIFICAR"/>
    <s v="LISTO"/>
    <m/>
    <m/>
    <s v=""/>
    <n v="1"/>
    <n v="281"/>
    <n v="10"/>
    <n v="0"/>
    <s v="2T"/>
    <s v="2T"/>
    <s v="ADM."/>
    <s v="ADM."/>
    <s v="ADM."/>
    <s v="ADM."/>
    <m/>
    <m/>
    <m/>
    <m/>
    <m/>
    <m/>
    <m/>
    <m/>
    <m/>
    <m/>
    <m/>
    <m/>
    <m/>
    <m/>
    <m/>
    <m/>
    <m/>
    <m/>
    <m/>
    <m/>
    <m/>
    <m/>
    <m/>
    <m/>
    <m/>
    <m/>
    <m/>
    <m/>
    <m/>
    <m/>
    <m/>
    <d v="2023-06-09T00:00:00"/>
    <m/>
  </r>
  <r>
    <s v="012267U"/>
    <s v="QUEZADA AREVALO GABRIEL ALFREDO "/>
    <s v="19.738.519-7"/>
    <s v="S-40"/>
    <x v="128"/>
    <s v="QUEZADA AREVALO GABRIEL ALFREDO "/>
    <x v="5"/>
    <x v="0"/>
    <x v="1"/>
    <x v="1"/>
    <s v=""/>
    <x v="1"/>
    <s v="MANTENCIÓN DE CUARTEL"/>
    <m/>
    <m/>
    <m/>
    <s v="O/S"/>
    <d v="2024-04-06T00:00:00"/>
    <s v="08:00 HRS A NORM."/>
    <s v="LISTO"/>
    <m/>
    <m/>
    <s v=""/>
    <n v="1"/>
    <n v="281"/>
    <n v="12"/>
    <n v="0"/>
    <s v="3T"/>
    <s v="SN"/>
    <s v="1P"/>
    <s v="1P"/>
    <s v="1P"/>
    <s v="1P"/>
    <m/>
    <m/>
    <m/>
    <m/>
    <m/>
    <m/>
    <m/>
    <m/>
    <m/>
    <m/>
    <m/>
    <m/>
    <m/>
    <m/>
    <m/>
    <m/>
    <m/>
    <m/>
    <m/>
    <m/>
    <m/>
    <m/>
    <m/>
    <m/>
    <m/>
    <m/>
    <m/>
    <m/>
    <m/>
    <m/>
    <m/>
    <d v="2023-08-03T00:00:00"/>
    <m/>
  </r>
  <r>
    <s v="956551Y"/>
    <s v="ROMERO LIZAMA LEONARDO AGUSTIN"/>
    <n v="143957497"/>
    <s v="OF. PARTES"/>
    <x v="129"/>
    <s v="ROMERO LIZAMA LEONARDO AGUSTIN"/>
    <x v="6"/>
    <x v="0"/>
    <x v="1"/>
    <x v="1"/>
    <s v=""/>
    <x v="6"/>
    <s v="OF. PARTES"/>
    <m/>
    <m/>
    <m/>
    <s v="O/S"/>
    <d v="2024-04-06T00:00:00"/>
    <m/>
    <m/>
    <m/>
    <m/>
    <s v=""/>
    <n v="1"/>
    <n v="283"/>
    <n v="8"/>
    <n v="0"/>
    <s v="ADM."/>
    <s v="ADM."/>
    <s v="ADM."/>
    <s v="ADM."/>
    <s v="ADM."/>
    <s v="ADM."/>
    <m/>
    <m/>
    <m/>
    <m/>
    <m/>
    <m/>
    <m/>
    <m/>
    <m/>
    <m/>
    <m/>
    <m/>
    <m/>
    <m/>
    <m/>
    <m/>
    <m/>
    <m/>
    <m/>
    <m/>
    <m/>
    <m/>
    <m/>
    <m/>
    <m/>
    <m/>
    <m/>
    <m/>
    <m/>
    <m/>
    <m/>
    <d v="2023-07-07T00:00:00"/>
    <m/>
  </r>
  <r>
    <s v="961360R"/>
    <s v="MUÑOZ RAMOS RODRIGO"/>
    <n v="140565792"/>
    <s v="OF. PARTES"/>
    <x v="129"/>
    <s v="MUÑOZ RAMOS RODRIGO"/>
    <x v="1"/>
    <x v="0"/>
    <x v="1"/>
    <x v="1"/>
    <s v=""/>
    <x v="6"/>
    <s v="OF. PARTES"/>
    <s v="CUENTAS NOCTURNAS"/>
    <m/>
    <m/>
    <s v="O/S"/>
    <d v="2024-04-06T00:00:00"/>
    <m/>
    <m/>
    <m/>
    <m/>
    <s v=""/>
    <n v="1"/>
    <n v="283"/>
    <n v="10"/>
    <n v="0"/>
    <s v="ADM."/>
    <s v="ADM."/>
    <s v="ADM."/>
    <s v="ADM."/>
    <s v="ADM."/>
    <s v="ADM."/>
    <m/>
    <m/>
    <m/>
    <m/>
    <m/>
    <m/>
    <m/>
    <m/>
    <m/>
    <m/>
    <m/>
    <m/>
    <m/>
    <m/>
    <m/>
    <m/>
    <m/>
    <m/>
    <m/>
    <m/>
    <m/>
    <m/>
    <m/>
    <m/>
    <m/>
    <m/>
    <m/>
    <m/>
    <m/>
    <m/>
    <m/>
    <d v="2023-06-01T00:00:00"/>
    <m/>
  </r>
  <r>
    <s v="999139X"/>
    <s v="REYES ROJAS JUAN GABRIEL"/>
    <n v="183361058"/>
    <s v="S-53"/>
    <x v="129"/>
    <s v="REYES ROJAS JUAN GABRIEL"/>
    <x v="4"/>
    <x v="0"/>
    <x v="1"/>
    <x v="1"/>
    <s v=""/>
    <x v="6"/>
    <s v="OF. PARTES"/>
    <m/>
    <m/>
    <m/>
    <s v="O/S"/>
    <d v="2024-04-06T00:00:00"/>
    <s v="ORD. JUDICIALES "/>
    <s v="ORD. JUDICIALES "/>
    <m/>
    <m/>
    <s v=""/>
    <n v="1"/>
    <n v="283"/>
    <n v="11"/>
    <n v="0"/>
    <s v="ADM."/>
    <s v="ADM."/>
    <s v="ADM."/>
    <s v="ADM."/>
    <s v="ADM."/>
    <s v="ADM."/>
    <m/>
    <m/>
    <m/>
    <m/>
    <m/>
    <m/>
    <m/>
    <m/>
    <m/>
    <m/>
    <m/>
    <m/>
    <m/>
    <m/>
    <m/>
    <m/>
    <m/>
    <m/>
    <m/>
    <m/>
    <m/>
    <m/>
    <m/>
    <m/>
    <m/>
    <m/>
    <m/>
    <m/>
    <m/>
    <m/>
    <m/>
    <d v="2023-08-17T00:00:00"/>
    <m/>
  </r>
  <r>
    <s v="016776W"/>
    <s v="AGUILERA PLACENCIA MARIA JOSE"/>
    <n v="202539106"/>
    <s v="OF. ORDENES JUDICIALES"/>
    <x v="129"/>
    <s v="AGUILERA PLACENCIA MARIA JOSE"/>
    <x v="5"/>
    <x v="1"/>
    <x v="1"/>
    <x v="1"/>
    <s v=""/>
    <x v="6"/>
    <s v="OF. PARTES"/>
    <m/>
    <m/>
    <m/>
    <s v="O/S"/>
    <d v="2024-04-06T00:00:00"/>
    <s v="VIERNES 05 CAMBIO DE GUARDIA"/>
    <s v="FUERO MATERNAL HASTA 18-05-2024"/>
    <m/>
    <m/>
    <s v=""/>
    <n v="1"/>
    <n v="283"/>
    <n v="12"/>
    <n v="0"/>
    <s v="ADM."/>
    <s v="ADM."/>
    <s v="ADM."/>
    <s v="ADM."/>
    <s v="ADM."/>
    <s v="ADM."/>
    <m/>
    <m/>
    <m/>
    <m/>
    <m/>
    <m/>
    <m/>
    <m/>
    <m/>
    <m/>
    <m/>
    <m/>
    <m/>
    <m/>
    <m/>
    <m/>
    <m/>
    <m/>
    <m/>
    <m/>
    <m/>
    <m/>
    <m/>
    <m/>
    <m/>
    <m/>
    <m/>
    <m/>
    <m/>
    <m/>
    <m/>
    <d v="2023-06-15T00:00:00"/>
    <m/>
  </r>
  <r>
    <s v="985312N"/>
    <s v="URIBE GONZALEZ ALEXI"/>
    <n v="168448937"/>
    <s v="OF. PARTES"/>
    <x v="129"/>
    <s v="URIBE GONZALEZ ALEXI RODRIGO"/>
    <x v="5"/>
    <x v="0"/>
    <x v="1"/>
    <x v="1"/>
    <s v=""/>
    <x v="6"/>
    <s v="OF. PARTES"/>
    <m/>
    <m/>
    <m/>
    <s v="O/S"/>
    <d v="2024-04-06T00:00:00"/>
    <m/>
    <s v="OF DE PARTES"/>
    <m/>
    <m/>
    <s v=""/>
    <n v="1"/>
    <n v="283"/>
    <n v="12"/>
    <n v="0"/>
    <s v="ADM."/>
    <s v="ADM."/>
    <s v="ADM."/>
    <s v="ADM."/>
    <s v="ADM."/>
    <s v="ADM."/>
    <m/>
    <m/>
    <m/>
    <m/>
    <m/>
    <m/>
    <m/>
    <m/>
    <m/>
    <m/>
    <m/>
    <m/>
    <m/>
    <m/>
    <m/>
    <m/>
    <m/>
    <m/>
    <m/>
    <m/>
    <m/>
    <m/>
    <m/>
    <m/>
    <m/>
    <m/>
    <m/>
    <m/>
    <m/>
    <m/>
    <m/>
    <d v="2023-09-19T00:00:00"/>
    <m/>
  </r>
  <r>
    <s v="955897K"/>
    <s v="VERA CASTRO MARIA CRISTINA"/>
    <n v="138621901"/>
    <s v="INVENTARIO"/>
    <x v="130"/>
    <s v="VERA CASTRO MARIA CRISTINA  (L)"/>
    <x v="3"/>
    <x v="1"/>
    <x v="1"/>
    <x v="1"/>
    <s v="(L)"/>
    <x v="1"/>
    <s v="INVENTARIO"/>
    <m/>
    <m/>
    <m/>
    <s v="O/S"/>
    <d v="1980-01-14T00:00:00"/>
    <m/>
    <m/>
    <m/>
    <m/>
    <s v=""/>
    <n v="1"/>
    <n v="284"/>
    <n v="9"/>
    <n v="0"/>
    <s v="1P"/>
    <s v="1P"/>
    <s v="1P"/>
    <s v="1P"/>
    <s v="1P"/>
    <s v="1P"/>
    <m/>
    <m/>
    <m/>
    <m/>
    <m/>
    <m/>
    <m/>
    <m/>
    <m/>
    <m/>
    <m/>
    <m/>
    <m/>
    <m/>
    <m/>
    <m/>
    <m/>
    <m/>
    <m/>
    <m/>
    <m/>
    <m/>
    <m/>
    <m/>
    <m/>
    <m/>
    <m/>
    <m/>
    <m/>
    <m/>
    <m/>
    <d v="2023-11-09T00:00:00"/>
    <m/>
  </r>
  <r>
    <s v="995457J"/>
    <s v="DUMONT GUZMAN NICOLE ANDREA"/>
    <n v="182274976"/>
    <s v="OF. ADMINISTRATIVA"/>
    <x v="131"/>
    <s v="DUMONT GUZMAN NICOLE ANDREA"/>
    <x v="4"/>
    <x v="1"/>
    <x v="1"/>
    <x v="1"/>
    <s v=""/>
    <x v="6"/>
    <s v="OF. ADMINISTRATIVA"/>
    <m/>
    <m/>
    <m/>
    <s v="O/S"/>
    <d v="2024-04-06T00:00:00"/>
    <s v="NOTIFICAR"/>
    <m/>
    <m/>
    <m/>
    <s v=""/>
    <n v="1"/>
    <n v="285"/>
    <n v="11"/>
    <n v="0"/>
    <s v="ADM."/>
    <s v="ADM."/>
    <s v="ADM."/>
    <s v="ADM."/>
    <s v="ADM."/>
    <s v="ADM."/>
    <m/>
    <m/>
    <m/>
    <m/>
    <m/>
    <m/>
    <m/>
    <m/>
    <m/>
    <m/>
    <m/>
    <m/>
    <m/>
    <m/>
    <m/>
    <m/>
    <m/>
    <m/>
    <m/>
    <m/>
    <m/>
    <m/>
    <m/>
    <m/>
    <m/>
    <m/>
    <m/>
    <m/>
    <m/>
    <m/>
    <m/>
    <d v="2023-09-08T00:00:00"/>
    <m/>
  </r>
  <r>
    <s v="934952L"/>
    <s v="LOPEZ FICA JULIAN EDUARDO"/>
    <n v="120626221"/>
    <s v="SALA DE ARMAS"/>
    <x v="132"/>
    <s v="LOPEZ FICA JULIAN EDUARDO"/>
    <x v="11"/>
    <x v="0"/>
    <x v="1"/>
    <x v="1"/>
    <s v=""/>
    <x v="6"/>
    <s v="SALA DE ARMAS"/>
    <m/>
    <m/>
    <m/>
    <s v="O/S"/>
    <d v="1988-09-15T00:00:00"/>
    <m/>
    <s v="ENCARGADO SALA DE ARMAS NO SACAR"/>
    <m/>
    <m/>
    <s v=""/>
    <n v="1"/>
    <n v="286"/>
    <n v="7"/>
    <n v="0"/>
    <s v="ADM."/>
    <s v="ADM."/>
    <s v="ADM."/>
    <s v="ADM."/>
    <s v="ADM."/>
    <s v="ADM."/>
    <m/>
    <m/>
    <m/>
    <m/>
    <m/>
    <m/>
    <m/>
    <m/>
    <m/>
    <m/>
    <m/>
    <m/>
    <m/>
    <m/>
    <m/>
    <m/>
    <m/>
    <m/>
    <m/>
    <m/>
    <m/>
    <m/>
    <m/>
    <m/>
    <m/>
    <m/>
    <m/>
    <m/>
    <m/>
    <m/>
    <m/>
    <m/>
    <m/>
  </r>
  <r>
    <s v="952498Y"/>
    <s v="SILVA LIRA ORLANDO ENRIQUE"/>
    <n v="128590870"/>
    <s v="PATRULLA AMUNICIONADORA"/>
    <x v="132"/>
    <s v="SILVA LIRA ORLANDO ENRIQUE"/>
    <x v="3"/>
    <x v="0"/>
    <x v="1"/>
    <x v="1"/>
    <s v=""/>
    <x v="6"/>
    <s v="SALA DE ARMAS"/>
    <m/>
    <m/>
    <m/>
    <s v="O/S"/>
    <d v="2024-04-06T00:00:00"/>
    <m/>
    <m/>
    <m/>
    <m/>
    <s v=""/>
    <n v="1"/>
    <n v="286"/>
    <n v="9"/>
    <n v="0"/>
    <s v="ADM."/>
    <s v="ADM."/>
    <s v="ADM."/>
    <s v="ADM."/>
    <s v="ADM."/>
    <s v="ADM."/>
    <m/>
    <m/>
    <m/>
    <m/>
    <m/>
    <m/>
    <m/>
    <m/>
    <m/>
    <m/>
    <m/>
    <m/>
    <m/>
    <m/>
    <m/>
    <m/>
    <m/>
    <m/>
    <m/>
    <m/>
    <m/>
    <m/>
    <m/>
    <m/>
    <m/>
    <m/>
    <m/>
    <m/>
    <m/>
    <m/>
    <m/>
    <d v="2023-07-03T00:00:00"/>
    <m/>
  </r>
  <r>
    <s v="955103X"/>
    <s v="BRIONES FICA SERGIO ROLANDO"/>
    <n v="123845730"/>
    <s v="PATRULLA AMUNICIONADORA"/>
    <x v="133"/>
    <s v="BRIONES FICA SERGIO ROLANDO"/>
    <x v="6"/>
    <x v="0"/>
    <x v="1"/>
    <x v="1"/>
    <s v=""/>
    <x v="1"/>
    <s v="PATRULLA AMUNICIONADORA"/>
    <m/>
    <m/>
    <m/>
    <s v="O/S"/>
    <d v="2024-04-06T00:00:00"/>
    <m/>
    <m/>
    <m/>
    <m/>
    <s v=""/>
    <n v="1"/>
    <n v="287"/>
    <n v="8"/>
    <n v="0"/>
    <s v="1P"/>
    <s v="1P"/>
    <s v="1P"/>
    <s v="1P"/>
    <s v="1P"/>
    <s v="1P"/>
    <m/>
    <m/>
    <m/>
    <m/>
    <m/>
    <m/>
    <m/>
    <m/>
    <m/>
    <m/>
    <m/>
    <m/>
    <m/>
    <m/>
    <m/>
    <m/>
    <m/>
    <m/>
    <m/>
    <m/>
    <m/>
    <m/>
    <m/>
    <m/>
    <m/>
    <m/>
    <m/>
    <m/>
    <m/>
    <m/>
    <m/>
    <d v="2023-07-07T00:00:00"/>
    <m/>
  </r>
  <r>
    <s v="989000A"/>
    <s v="ORELLANA CAUCHUPAN JOSE"/>
    <n v="172014887"/>
    <s v="PATRULLA AMUNICIONADORA"/>
    <x v="133"/>
    <s v="ORELLANA CAUCHUPAN JOSE   ( L)"/>
    <x v="4"/>
    <x v="0"/>
    <x v="1"/>
    <x v="1"/>
    <s v="( L)"/>
    <x v="1"/>
    <s v="PATRULLA AMUNICIONADORA"/>
    <m/>
    <m/>
    <m/>
    <s v="O/S"/>
    <d v="2024-04-06T00:00:00"/>
    <s v="VIERNES 05 CAMBIO DE GUARDIA"/>
    <m/>
    <m/>
    <m/>
    <s v=""/>
    <n v="1"/>
    <n v="287"/>
    <n v="11"/>
    <n v="0"/>
    <s v="1P"/>
    <s v="1P"/>
    <s v="1P"/>
    <s v="1P"/>
    <s v="1P"/>
    <s v="1P"/>
    <m/>
    <m/>
    <m/>
    <m/>
    <m/>
    <m/>
    <m/>
    <m/>
    <m/>
    <m/>
    <m/>
    <m/>
    <m/>
    <m/>
    <m/>
    <m/>
    <m/>
    <m/>
    <m/>
    <m/>
    <m/>
    <m/>
    <m/>
    <m/>
    <m/>
    <m/>
    <m/>
    <m/>
    <m/>
    <m/>
    <m/>
    <d v="2023-06-01T00:00:00"/>
    <m/>
  </r>
  <r>
    <s v="947587L"/>
    <s v="CORNEJO RUMINADO JUAN"/>
    <n v="118837177"/>
    <s v="ECONOMATO"/>
    <x v="134"/>
    <s v="CORNEJO RUMINADO JUAN"/>
    <x v="11"/>
    <x v="0"/>
    <x v="1"/>
    <x v="1"/>
    <s v=""/>
    <x v="6"/>
    <s v="ECONOMATO"/>
    <m/>
    <m/>
    <m/>
    <s v="O/S"/>
    <d v="2024-04-06T00:00:00"/>
    <m/>
    <s v="LISTO"/>
    <m/>
    <m/>
    <s v=""/>
    <n v="1"/>
    <n v="289"/>
    <n v="7"/>
    <n v="0"/>
    <s v="ADM."/>
    <s v="ADM."/>
    <s v="ADM."/>
    <s v="ADM."/>
    <s v="ADM."/>
    <s v="ADM."/>
    <m/>
    <m/>
    <m/>
    <m/>
    <m/>
    <m/>
    <m/>
    <m/>
    <m/>
    <m/>
    <m/>
    <m/>
    <m/>
    <m/>
    <m/>
    <m/>
    <m/>
    <m/>
    <m/>
    <m/>
    <m/>
    <m/>
    <m/>
    <m/>
    <m/>
    <m/>
    <m/>
    <m/>
    <m/>
    <m/>
    <m/>
    <d v="2023-06-01T00:00:00"/>
    <m/>
  </r>
  <r>
    <s v="018528Y"/>
    <s v="CASTAGNOLI VILLALOBOS NICOLAS ANDRES"/>
    <n v="184508052"/>
    <s v="ECONOMATO"/>
    <x v="134"/>
    <s v="CASTAGNOLI VILLALOBOS NICOLAS ANDRES"/>
    <x v="5"/>
    <x v="0"/>
    <x v="1"/>
    <x v="1"/>
    <s v=""/>
    <x v="6"/>
    <s v="ECONOMATO"/>
    <m/>
    <m/>
    <m/>
    <s v="O/S"/>
    <d v="2024-04-06T00:00:00"/>
    <s v="VIERNES 05 CAMBIO DE GUARDIA"/>
    <s v="LISTO"/>
    <m/>
    <m/>
    <s v=""/>
    <n v="1"/>
    <n v="289"/>
    <n v="12"/>
    <n v="0"/>
    <s v="ADM."/>
    <s v="ADM."/>
    <s v="ADM."/>
    <s v="ADM."/>
    <s v="ADM."/>
    <s v="ADM."/>
    <m/>
    <m/>
    <m/>
    <m/>
    <m/>
    <m/>
    <m/>
    <m/>
    <m/>
    <m/>
    <m/>
    <m/>
    <m/>
    <m/>
    <m/>
    <m/>
    <m/>
    <m/>
    <m/>
    <m/>
    <m/>
    <m/>
    <m/>
    <m/>
    <m/>
    <m/>
    <m/>
    <m/>
    <m/>
    <m/>
    <m/>
    <d v="2023-05-29T00:00:00"/>
    <m/>
  </r>
  <r>
    <s v="010658N"/>
    <s v="VENEGAS FERNANDEZ FERNANDO"/>
    <n v="194367902"/>
    <s v="PTR-G-13"/>
    <x v="134"/>
    <s v="VENEGAS FERNANDEZ FERNANDO"/>
    <x v="5"/>
    <x v="0"/>
    <x v="1"/>
    <x v="1"/>
    <s v=""/>
    <x v="6"/>
    <s v="ECONOMATO"/>
    <m/>
    <m/>
    <m/>
    <s v="O/S"/>
    <d v="2024-04-06T00:00:00"/>
    <m/>
    <s v="ECONOMATO_x000a_citacion top san bernardo 28.02.2024 a las 09:00 hrs / 8VO J G STGO. EL 15-07-2024 A LAS 09:00 HORAS"/>
    <m/>
    <m/>
    <s v=""/>
    <n v="1"/>
    <n v="289"/>
    <n v="12"/>
    <n v="0"/>
    <s v="ADM."/>
    <s v="ADM."/>
    <s v="ADM."/>
    <s v="ADM."/>
    <s v="ADM."/>
    <s v="ADM."/>
    <m/>
    <m/>
    <m/>
    <m/>
    <m/>
    <m/>
    <m/>
    <m/>
    <m/>
    <m/>
    <m/>
    <m/>
    <m/>
    <m/>
    <m/>
    <m/>
    <m/>
    <m/>
    <m/>
    <m/>
    <m/>
    <m/>
    <m/>
    <m/>
    <m/>
    <m/>
    <m/>
    <m/>
    <m/>
    <m/>
    <m/>
    <d v="2023-07-21T00:00:00"/>
    <m/>
  </r>
  <r>
    <s v="004398H"/>
    <s v="CANCINO JARA JAIME FELIPE"/>
    <n v="169041776"/>
    <s v="RANCHO"/>
    <x v="135"/>
    <s v="CANCINO JARA JAIME FELIPE"/>
    <x v="4"/>
    <x v="0"/>
    <x v="1"/>
    <x v="1"/>
    <s v=""/>
    <x v="6"/>
    <s v="RANCHO"/>
    <m/>
    <m/>
    <m/>
    <s v="O/S"/>
    <d v="2024-04-06T00:00:00"/>
    <m/>
    <s v="DOE 19753367 CITACION 2DO. TOP STGO. 25.03.2024 09:00 HRS / 2DO. TOP STGO. 08-04-2024  A LAS 10:30 HORAS_x000a__x000a_CITACION JUICIO 29 Y 30 AGOST. _x000a_2024 , DOE. 192734866"/>
    <m/>
    <m/>
    <s v=""/>
    <n v="1"/>
    <n v="290"/>
    <n v="11"/>
    <n v="0"/>
    <s v="ADM."/>
    <s v="ADM."/>
    <s v="ADM."/>
    <s v="ADM."/>
    <s v="ADM."/>
    <s v="ADM."/>
    <m/>
    <m/>
    <m/>
    <m/>
    <m/>
    <m/>
    <m/>
    <m/>
    <m/>
    <m/>
    <m/>
    <m/>
    <m/>
    <m/>
    <m/>
    <m/>
    <m/>
    <m/>
    <m/>
    <m/>
    <m/>
    <m/>
    <m/>
    <m/>
    <m/>
    <m/>
    <m/>
    <m/>
    <m/>
    <m/>
    <m/>
    <d v="2023-06-05T00:00:00"/>
    <m/>
  </r>
  <r>
    <s v="018962T"/>
    <s v="MELLA MELLA CATALINA ANDREA"/>
    <n v="200200772"/>
    <s v="RANCHO"/>
    <x v="135"/>
    <s v="MELLA MELLA CATALINA ANDREA"/>
    <x v="5"/>
    <x v="1"/>
    <x v="1"/>
    <x v="1"/>
    <s v=""/>
    <x v="6"/>
    <s v="RANCHO"/>
    <m/>
    <m/>
    <m/>
    <s v="O/S"/>
    <d v="2024-04-06T00:00:00"/>
    <m/>
    <m/>
    <m/>
    <m/>
    <s v=""/>
    <n v="1"/>
    <n v="290"/>
    <n v="12"/>
    <n v="0"/>
    <s v="ADM."/>
    <s v="ADM."/>
    <s v="ADM."/>
    <s v="ADM."/>
    <s v="ADM."/>
    <s v="ADM."/>
    <m/>
    <m/>
    <m/>
    <m/>
    <m/>
    <m/>
    <m/>
    <m/>
    <m/>
    <m/>
    <m/>
    <m/>
    <m/>
    <m/>
    <m/>
    <m/>
    <m/>
    <m/>
    <m/>
    <m/>
    <m/>
    <m/>
    <m/>
    <m/>
    <m/>
    <m/>
    <m/>
    <m/>
    <m/>
    <m/>
    <m/>
    <d v="2023-05-18T00:00:00"/>
    <m/>
  </r>
  <r>
    <s v="945443Z"/>
    <s v="NAVARRO ELGUETA NELSON JAVIER"/>
    <n v="120322702"/>
    <s v="S-51"/>
    <x v="136"/>
    <s v="NAVARRO ELGUETA NELSON JAVIER"/>
    <x v="11"/>
    <x v="0"/>
    <x v="1"/>
    <x v="1"/>
    <s v=""/>
    <x v="1"/>
    <s v="SECCIÓN REJAS Y CORDELES 1"/>
    <m/>
    <m/>
    <m/>
    <s v="O/S"/>
    <d v="2024-04-06T00:00:00"/>
    <m/>
    <s v="SECCIÓN REJAS Y CORDELES 1"/>
    <m/>
    <m/>
    <s v=""/>
    <n v="1"/>
    <n v="292"/>
    <n v="7"/>
    <n v="0"/>
    <s v="1P"/>
    <s v="1P"/>
    <s v="1P"/>
    <s v="1P"/>
    <s v="1P"/>
    <s v="1P"/>
    <m/>
    <m/>
    <m/>
    <m/>
    <m/>
    <m/>
    <m/>
    <m/>
    <m/>
    <m/>
    <m/>
    <m/>
    <m/>
    <m/>
    <m/>
    <m/>
    <m/>
    <m/>
    <m/>
    <m/>
    <m/>
    <m/>
    <m/>
    <m/>
    <m/>
    <m/>
    <m/>
    <m/>
    <m/>
    <m/>
    <m/>
    <d v="2023-07-28T00:00:00"/>
    <m/>
  </r>
  <r>
    <s v="969855E"/>
    <s v="ORTEGA DELGADO MARCELO ROLANDO"/>
    <s v="15251123K"/>
    <s v="S-51"/>
    <x v="136"/>
    <s v="ORTEGA DELGADO MARCELO ROLANDO (L-T)"/>
    <x v="1"/>
    <x v="0"/>
    <x v="1"/>
    <x v="1"/>
    <s v="(L-T)"/>
    <x v="1"/>
    <s v="SECCIÓN REJAS Y CORDELES 1"/>
    <m/>
    <m/>
    <m/>
    <s v="O/S"/>
    <d v="2024-04-06T00:00:00"/>
    <m/>
    <s v="SECCIÓN REJAS Y CORDELES 1"/>
    <m/>
    <m/>
    <s v=""/>
    <n v="1"/>
    <n v="292"/>
    <n v="10"/>
    <n v="0"/>
    <s v="1P"/>
    <s v="1P"/>
    <s v="1P"/>
    <s v="1P"/>
    <s v="1P"/>
    <s v="1P"/>
    <m/>
    <m/>
    <m/>
    <m/>
    <m/>
    <m/>
    <m/>
    <m/>
    <m/>
    <m/>
    <m/>
    <m/>
    <m/>
    <m/>
    <m/>
    <m/>
    <m/>
    <m/>
    <m/>
    <m/>
    <m/>
    <m/>
    <m/>
    <m/>
    <m/>
    <m/>
    <m/>
    <m/>
    <m/>
    <m/>
    <m/>
    <d v="2023-08-14T00:00:00"/>
    <m/>
  </r>
  <r>
    <s v="985714R"/>
    <s v="ARENA QUIÑONES ALEXANDER NEFTALI"/>
    <n v="176446412"/>
    <s v="S-51"/>
    <x v="137"/>
    <s v="ARENA QUIÑONES ALEXANDER NEFTALI (GRUA - L - P - T)"/>
    <x v="4"/>
    <x v="0"/>
    <x v="1"/>
    <x v="1"/>
    <s v="(GRUA - L - P - T)"/>
    <x v="7"/>
    <s v="SECCIÓN REJAS Y CORDELES 2"/>
    <m/>
    <m/>
    <m/>
    <s v="O/S"/>
    <d v="2024-04-06T00:00:00"/>
    <m/>
    <s v="SECCIÓN REJAS Y CORDELES 2"/>
    <m/>
    <m/>
    <s v=""/>
    <n v="1"/>
    <n v="293"/>
    <n v="11"/>
    <n v="0"/>
    <s v="1T"/>
    <s v="1T"/>
    <s v="1T"/>
    <s v="1T"/>
    <s v="1T"/>
    <s v="1T"/>
    <m/>
    <m/>
    <m/>
    <m/>
    <m/>
    <m/>
    <m/>
    <m/>
    <m/>
    <m/>
    <m/>
    <m/>
    <m/>
    <m/>
    <m/>
    <m/>
    <m/>
    <m/>
    <m/>
    <m/>
    <m/>
    <m/>
    <m/>
    <m/>
    <m/>
    <m/>
    <m/>
    <m/>
    <m/>
    <m/>
    <m/>
    <d v="2023-06-18T00:00:00"/>
    <m/>
  </r>
  <r>
    <s v="019101W"/>
    <s v="BRAVO MORALES SIMON NATANAEL"/>
    <n v="205002235"/>
    <s v="S-51"/>
    <x v="137"/>
    <s v="BRAVO MORALES SIMON NATANAEL"/>
    <x v="5"/>
    <x v="0"/>
    <x v="1"/>
    <x v="1"/>
    <s v=""/>
    <x v="7"/>
    <s v="SECCIÓN REJAS Y CORDELES 2"/>
    <m/>
    <m/>
    <m/>
    <s v="O/S"/>
    <d v="2024-04-06T00:00:00"/>
    <m/>
    <s v="SECCIÓN REJAS Y CORDELES 2"/>
    <m/>
    <m/>
    <s v=""/>
    <n v="1"/>
    <n v="293"/>
    <n v="12"/>
    <n v="0"/>
    <s v="1T"/>
    <s v="1T"/>
    <s v="1T"/>
    <s v="1T"/>
    <s v="1T"/>
    <s v="1T"/>
    <m/>
    <m/>
    <m/>
    <m/>
    <m/>
    <m/>
    <m/>
    <m/>
    <m/>
    <m/>
    <m/>
    <m/>
    <m/>
    <m/>
    <m/>
    <m/>
    <m/>
    <m/>
    <m/>
    <m/>
    <m/>
    <m/>
    <m/>
    <m/>
    <m/>
    <m/>
    <m/>
    <m/>
    <m/>
    <m/>
    <m/>
    <d v="2024-03-21T00:00:00"/>
    <m/>
  </r>
  <r>
    <s v="019144Y"/>
    <s v="GAJARDO MONDACA LEANDRO ANDRES"/>
    <n v="196965106"/>
    <s v="S-51"/>
    <x v="137"/>
    <s v="GAJARDO MONDACA LEANDRO ANDRES"/>
    <x v="5"/>
    <x v="0"/>
    <x v="1"/>
    <x v="1"/>
    <s v=""/>
    <x v="7"/>
    <s v="SECCIÓN REJAS Y CORDELES 2"/>
    <m/>
    <m/>
    <m/>
    <s v="O/S"/>
    <d v="2024-04-06T00:00:00"/>
    <m/>
    <s v="SECCIÓN REJAS Y CORDELES 2"/>
    <m/>
    <m/>
    <s v=""/>
    <n v="1"/>
    <n v="293"/>
    <n v="12"/>
    <n v="0"/>
    <s v="1T"/>
    <s v="1T"/>
    <s v="1T"/>
    <s v="1T"/>
    <s v="1T"/>
    <s v="1T"/>
    <m/>
    <m/>
    <m/>
    <m/>
    <m/>
    <m/>
    <m/>
    <m/>
    <m/>
    <m/>
    <m/>
    <m/>
    <m/>
    <m/>
    <m/>
    <m/>
    <m/>
    <m/>
    <m/>
    <m/>
    <m/>
    <m/>
    <m/>
    <m/>
    <m/>
    <m/>
    <m/>
    <m/>
    <m/>
    <m/>
    <m/>
    <d v="2023-08-08T00:00:00"/>
    <m/>
  </r>
  <r>
    <s v="016906J"/>
    <s v="VALDEBENITO PETTET SEBASTIAN ALEXIS"/>
    <n v="202416926"/>
    <s v="S-51"/>
    <x v="137"/>
    <s v="VALDEBENITO PETTET SEBASTIAN ALEXIS"/>
    <x v="5"/>
    <x v="0"/>
    <x v="1"/>
    <x v="1"/>
    <s v=""/>
    <x v="7"/>
    <s v="SECCIÓN REJAS Y CORDELES 2"/>
    <m/>
    <m/>
    <m/>
    <s v="O/S"/>
    <d v="2024-04-06T00:00:00"/>
    <m/>
    <s v="SECCIÓN REJAS Y CORDELES 2"/>
    <m/>
    <m/>
    <s v=""/>
    <n v="1"/>
    <n v="293"/>
    <n v="12"/>
    <n v="0"/>
    <s v="1T"/>
    <s v="1T"/>
    <s v="1T"/>
    <s v="1T"/>
    <s v="1T"/>
    <s v="1T"/>
    <m/>
    <m/>
    <m/>
    <m/>
    <m/>
    <m/>
    <m/>
    <m/>
    <m/>
    <m/>
    <m/>
    <m/>
    <m/>
    <m/>
    <m/>
    <m/>
    <m/>
    <m/>
    <m/>
    <m/>
    <m/>
    <m/>
    <m/>
    <m/>
    <m/>
    <m/>
    <m/>
    <m/>
    <m/>
    <m/>
    <m/>
    <d v="2024-03-12T00:00:00"/>
    <m/>
  </r>
  <r>
    <s v="971759P"/>
    <s v="CASTRO VERDUGO JOSE LUIS"/>
    <n v="157543784"/>
    <s v="S-51"/>
    <x v="138"/>
    <s v="CASTRO VERDUGO JOSE LUIS"/>
    <x v="1"/>
    <x v="0"/>
    <x v="1"/>
    <x v="1"/>
    <s v=""/>
    <x v="9"/>
    <s v="SECCIÓN REJAS Y CORDELES 3"/>
    <m/>
    <m/>
    <m/>
    <s v="O/S"/>
    <d v="2024-04-06T00:00:00"/>
    <m/>
    <s v="SECCIÓN REJAS Y CORDELES 3"/>
    <m/>
    <m/>
    <s v=""/>
    <n v="1"/>
    <n v="294"/>
    <n v="10"/>
    <n v="0"/>
    <s v="2T"/>
    <s v="2T"/>
    <s v="2T"/>
    <s v="2T"/>
    <s v="2T"/>
    <s v="2T"/>
    <m/>
    <m/>
    <m/>
    <m/>
    <m/>
    <m/>
    <m/>
    <m/>
    <m/>
    <m/>
    <m/>
    <m/>
    <m/>
    <m/>
    <m/>
    <m/>
    <m/>
    <m/>
    <m/>
    <m/>
    <m/>
    <m/>
    <m/>
    <m/>
    <m/>
    <m/>
    <m/>
    <m/>
    <m/>
    <m/>
    <m/>
    <d v="2023-07-13T00:00:00"/>
    <m/>
  </r>
  <r>
    <s v="993371Z"/>
    <s v="ESPARZA GARCIA ANDRES"/>
    <n v="182856770"/>
    <s v="S-51"/>
    <x v="138"/>
    <s v="ESPARZA GARCIA ANDRES (L - P - T)"/>
    <x v="4"/>
    <x v="0"/>
    <x v="1"/>
    <x v="1"/>
    <s v="(L - P - T)"/>
    <x v="9"/>
    <s v="SECCIÓN REJAS Y CORDELES 3"/>
    <m/>
    <m/>
    <m/>
    <s v="O/S"/>
    <d v="2024-04-06T00:00:00"/>
    <m/>
    <s v="SECCIÓN REJAS Y CORDELES 3"/>
    <m/>
    <m/>
    <s v=""/>
    <n v="1"/>
    <n v="294"/>
    <n v="11"/>
    <n v="0"/>
    <s v="2T"/>
    <s v="2T"/>
    <s v="2T"/>
    <s v="2T"/>
    <s v="2T"/>
    <s v="2T"/>
    <m/>
    <m/>
    <m/>
    <m/>
    <m/>
    <m/>
    <m/>
    <m/>
    <m/>
    <m/>
    <m/>
    <m/>
    <m/>
    <m/>
    <m/>
    <m/>
    <m/>
    <m/>
    <m/>
    <m/>
    <m/>
    <m/>
    <m/>
    <m/>
    <m/>
    <m/>
    <m/>
    <m/>
    <m/>
    <m/>
    <m/>
    <d v="2023-07-20T00:00:00"/>
    <m/>
  </r>
  <r>
    <s v="018517M"/>
    <s v="FONSECA VASQUEZ DARWIN MAURICIO"/>
    <n v="200878523"/>
    <s v="S-35"/>
    <x v="138"/>
    <s v="FONSECA VASQUEZ DARWIN MAURICIO"/>
    <x v="5"/>
    <x v="0"/>
    <x v="1"/>
    <x v="1"/>
    <s v=""/>
    <x v="9"/>
    <s v="SECCIÓN REJAS Y CORDELES 3"/>
    <m/>
    <m/>
    <m/>
    <s v="O/S"/>
    <d v="2024-04-06T00:00:00"/>
    <s v="09-04-2024 09:00 HRS HOSCAR DOE 203671950"/>
    <s v="DOE 201203630 CITACION JUZ. _x000a_GARANTIA PUENTE ALTO 15-04-2024 11:00 HRS / NOTIFICAR_x000a_PROHIBICIO USO ARMAMENNTO"/>
    <m/>
    <m/>
    <s v=""/>
    <n v="1"/>
    <n v="294"/>
    <n v="12"/>
    <n v="0"/>
    <s v="SN"/>
    <s v="2T"/>
    <s v="2T"/>
    <s v="2T"/>
    <s v="2T"/>
    <s v="2T"/>
    <m/>
    <m/>
    <m/>
    <m/>
    <m/>
    <m/>
    <m/>
    <m/>
    <m/>
    <m/>
    <m/>
    <m/>
    <m/>
    <m/>
    <m/>
    <m/>
    <m/>
    <m/>
    <m/>
    <m/>
    <m/>
    <m/>
    <m/>
    <m/>
    <m/>
    <m/>
    <m/>
    <m/>
    <m/>
    <m/>
    <m/>
    <d v="2023-05-11T00:00:00"/>
    <m/>
  </r>
  <r>
    <s v="020059B"/>
    <s v="TRABOL CARO MATIAS IGNACIO"/>
    <n v="205988939"/>
    <s v="S-51"/>
    <x v="138"/>
    <s v="TRABOL CARO MATIAS IGNACIO"/>
    <x v="5"/>
    <x v="0"/>
    <x v="1"/>
    <x v="1"/>
    <s v=""/>
    <x v="9"/>
    <s v="SECCIÓN REJAS Y CORDELES 3"/>
    <m/>
    <m/>
    <m/>
    <s v="O/S"/>
    <d v="2024-04-06T00:00:00"/>
    <m/>
    <s v="SECCIÓN REJAS Y CORDELES 3"/>
    <m/>
    <m/>
    <s v=""/>
    <n v="1"/>
    <n v="294"/>
    <n v="12"/>
    <n v="0"/>
    <s v="2T"/>
    <s v="2T"/>
    <s v="2T"/>
    <s v="2T"/>
    <s v="2T"/>
    <s v="2T"/>
    <m/>
    <m/>
    <m/>
    <m/>
    <m/>
    <m/>
    <m/>
    <m/>
    <m/>
    <m/>
    <m/>
    <m/>
    <m/>
    <m/>
    <m/>
    <m/>
    <m/>
    <m/>
    <m/>
    <m/>
    <m/>
    <m/>
    <m/>
    <m/>
    <m/>
    <m/>
    <m/>
    <m/>
    <m/>
    <m/>
    <m/>
    <d v="2023-06-23T00:00:00"/>
    <m/>
  </r>
  <r>
    <s v="958736B"/>
    <s v="OLIVARES VERA JOSE ALFREDO"/>
    <n v="120239929"/>
    <s v="JEFE/PTL-14"/>
    <x v="139"/>
    <s v="OLIVARES VERA JOSE ALFREDO"/>
    <x v="6"/>
    <x v="0"/>
    <x v="1"/>
    <x v="1"/>
    <s v=""/>
    <x v="10"/>
    <s v="FERIADO"/>
    <m/>
    <m/>
    <m/>
    <s v="O/S"/>
    <d v="2024-04-06T00:00:00"/>
    <m/>
    <m/>
    <d v="2024-04-05T00:00:00"/>
    <d v="2024-04-08T00:00:00"/>
    <n v="4"/>
    <n v="1"/>
    <n v="297"/>
    <n v="8"/>
    <n v="0"/>
    <s v="SN"/>
    <s v="2T"/>
    <s v="1P"/>
    <s v="1T"/>
    <s v="FER."/>
    <s v="FER."/>
    <m/>
    <m/>
    <m/>
    <m/>
    <m/>
    <m/>
    <m/>
    <m/>
    <m/>
    <m/>
    <m/>
    <m/>
    <m/>
    <m/>
    <m/>
    <m/>
    <m/>
    <m/>
    <m/>
    <m/>
    <m/>
    <m/>
    <m/>
    <m/>
    <m/>
    <m/>
    <m/>
    <m/>
    <m/>
    <m/>
    <m/>
    <d v="2023-08-17T00:00:00"/>
    <m/>
  </r>
  <r>
    <s v="963777H"/>
    <s v="JELDES OYARZO DANIEL"/>
    <n v="152979126"/>
    <s v="PTL-24"/>
    <x v="139"/>
    <s v="JELDES OYARZO DANIEL"/>
    <x v="3"/>
    <x v="0"/>
    <x v="1"/>
    <x v="1"/>
    <s v=""/>
    <x v="10"/>
    <s v="FERIADO"/>
    <m/>
    <m/>
    <m/>
    <s v="O/S"/>
    <d v="2024-04-06T00:00:00"/>
    <m/>
    <s v="LISTO"/>
    <d v="2024-03-22T00:00:00"/>
    <d v="2024-04-10T00:00:00"/>
    <n v="20"/>
    <n v="1"/>
    <n v="297"/>
    <n v="9"/>
    <n v="0"/>
    <s v="FER."/>
    <s v="FER."/>
    <s v="FER."/>
    <s v="FER."/>
    <s v="FER."/>
    <s v="FER."/>
    <m/>
    <m/>
    <m/>
    <m/>
    <m/>
    <m/>
    <m/>
    <m/>
    <m/>
    <m/>
    <m/>
    <m/>
    <m/>
    <m/>
    <m/>
    <m/>
    <m/>
    <m/>
    <m/>
    <m/>
    <m/>
    <m/>
    <m/>
    <m/>
    <m/>
    <m/>
    <m/>
    <m/>
    <m/>
    <m/>
    <m/>
    <d v="2023-05-03T00:00:00"/>
    <m/>
  </r>
  <r>
    <s v="972199Y"/>
    <s v="VARGAS SALDIVIA SIGISFREDO DAVID"/>
    <n v="138489949"/>
    <s v="S-37"/>
    <x v="139"/>
    <s v="VARGAS SALDIVIA SIGISFREDO DAVID ( L)"/>
    <x v="3"/>
    <x v="0"/>
    <x v="1"/>
    <x v="1"/>
    <s v="( L)"/>
    <x v="10"/>
    <s v="FERIADO"/>
    <m/>
    <m/>
    <m/>
    <s v="O/S"/>
    <d v="2024-04-06T00:00:00"/>
    <m/>
    <s v="LISTO "/>
    <d v="2024-04-04T00:00:00"/>
    <d v="2024-04-24T00:00:00"/>
    <n v="21"/>
    <n v="1"/>
    <n v="297"/>
    <n v="9"/>
    <n v="0"/>
    <s v="2T"/>
    <s v="1P"/>
    <s v="1T"/>
    <s v="FER."/>
    <s v="FER."/>
    <s v="FER."/>
    <m/>
    <m/>
    <m/>
    <m/>
    <m/>
    <m/>
    <m/>
    <m/>
    <m/>
    <m/>
    <m/>
    <m/>
    <m/>
    <m/>
    <m/>
    <m/>
    <m/>
    <m/>
    <m/>
    <m/>
    <m/>
    <m/>
    <m/>
    <m/>
    <m/>
    <m/>
    <m/>
    <m/>
    <m/>
    <m/>
    <m/>
    <d v="2024-04-03T00:00:00"/>
    <m/>
  </r>
  <r>
    <s v="980164Z"/>
    <s v="DURAN ARANEDA SIMON"/>
    <n v="162959816"/>
    <s v="PTL-24"/>
    <x v="139"/>
    <s v="DURAN ARANEDA SIMON ELEASER"/>
    <x v="1"/>
    <x v="0"/>
    <x v="1"/>
    <x v="1"/>
    <s v=""/>
    <x v="10"/>
    <s v="FERIADO"/>
    <m/>
    <m/>
    <m/>
    <s v="O/S"/>
    <d v="2024-04-06T00:00:00"/>
    <m/>
    <s v="LISTO COMISION SERVCIO VALPO"/>
    <d v="2024-03-20T00:00:00"/>
    <d v="2024-04-10T00:00:00"/>
    <n v="22"/>
    <n v="1"/>
    <n v="297"/>
    <n v="10"/>
    <n v="0"/>
    <s v="FER."/>
    <s v="FER."/>
    <s v="FER."/>
    <s v="FER."/>
    <s v="FER."/>
    <s v="FER."/>
    <m/>
    <m/>
    <m/>
    <m/>
    <m/>
    <m/>
    <m/>
    <m/>
    <m/>
    <m/>
    <m/>
    <m/>
    <m/>
    <m/>
    <m/>
    <m/>
    <m/>
    <m/>
    <m/>
    <m/>
    <m/>
    <m/>
    <m/>
    <m/>
    <m/>
    <m/>
    <m/>
    <m/>
    <m/>
    <m/>
    <m/>
    <d v="2023-08-02T00:00:00"/>
    <m/>
  </r>
  <r>
    <s v="992014E"/>
    <s v="GARCIA VARGAS WILLIAMS"/>
    <s v="17845594K"/>
    <s v="GUARDIA CUARTEL 2"/>
    <x v="139"/>
    <s v="GARCIA VARGAS WILLIAMS"/>
    <x v="4"/>
    <x v="0"/>
    <x v="1"/>
    <x v="1"/>
    <s v=""/>
    <x v="10"/>
    <s v="FERIADO"/>
    <m/>
    <m/>
    <m/>
    <s v="O/S"/>
    <d v="2024-04-06T00:00:00"/>
    <m/>
    <s v="LISTO    DOE. 200808326 4° TRIBUNAL O.P. S. 18-03-24 A LAS 09:00 HRS."/>
    <d v="2024-04-04T00:00:00"/>
    <d v="2024-04-09T00:00:00"/>
    <n v="6"/>
    <n v="1"/>
    <n v="297"/>
    <n v="11"/>
    <n v="0"/>
    <s v="1G"/>
    <s v="2G"/>
    <s v="SN"/>
    <s v="FER."/>
    <s v="FER."/>
    <s v="FER."/>
    <m/>
    <m/>
    <m/>
    <m/>
    <m/>
    <m/>
    <m/>
    <m/>
    <m/>
    <m/>
    <m/>
    <m/>
    <m/>
    <m/>
    <m/>
    <m/>
    <m/>
    <m/>
    <m/>
    <m/>
    <m/>
    <m/>
    <m/>
    <m/>
    <m/>
    <m/>
    <m/>
    <m/>
    <m/>
    <m/>
    <m/>
    <d v="2023-05-24T00:00:00"/>
    <m/>
  </r>
  <r>
    <s v="019153Z"/>
    <s v="BURGOS TAMAYO YARIXA FERNANDA"/>
    <n v="196490051"/>
    <s v="PTR-C40-B"/>
    <x v="139"/>
    <s v="BURGOS TAMAYO YARIXA FERNANDA"/>
    <x v="5"/>
    <x v="1"/>
    <x v="1"/>
    <x v="1"/>
    <s v=""/>
    <x v="10"/>
    <s v="FERIADO"/>
    <m/>
    <m/>
    <m/>
    <s v="O/S"/>
    <d v="2024-04-06T00:00:00"/>
    <m/>
    <m/>
    <d v="2024-04-02T00:00:00"/>
    <d v="2024-04-08T00:00:00"/>
    <n v="7"/>
    <n v="1"/>
    <n v="297"/>
    <n v="12"/>
    <n v="0"/>
    <s v="FER."/>
    <s v="FER."/>
    <s v="FER."/>
    <s v="FER."/>
    <s v="FER."/>
    <s v="FER."/>
    <m/>
    <m/>
    <m/>
    <m/>
    <m/>
    <m/>
    <m/>
    <m/>
    <m/>
    <m/>
    <m/>
    <m/>
    <m/>
    <m/>
    <m/>
    <m/>
    <m/>
    <m/>
    <m/>
    <m/>
    <m/>
    <m/>
    <m/>
    <m/>
    <m/>
    <m/>
    <m/>
    <m/>
    <m/>
    <m/>
    <m/>
    <d v="2023-07-17T00:00:00"/>
    <m/>
  </r>
  <r>
    <s v="023175K"/>
    <s v="GUTIERREZ MARTINEZ  MATIAS IGNACIO"/>
    <s v="20275062-1"/>
    <s v="PERSONAL DISPONIBLE"/>
    <x v="139"/>
    <s v="GUTIERREZ MARTINEZ MATIAS IGNACIO"/>
    <x v="9"/>
    <x v="0"/>
    <x v="1"/>
    <x v="1"/>
    <s v=""/>
    <x v="10"/>
    <s v="FERIADO"/>
    <m/>
    <m/>
    <m/>
    <s v="O/S"/>
    <d v="2024-04-06T00:00:00"/>
    <s v="KIOSCO"/>
    <s v="LISTO    DOE 191579991 AUTORIZACION PARA ESTUDIAR //_x000a_23-05-2024 12:30 HRS DOE 195671296 /// KIOSKO"/>
    <d v="2024-03-25T00:00:00"/>
    <d v="2024-04-08T00:00:00"/>
    <n v="15"/>
    <n v="1"/>
    <n v="297"/>
    <n v="13"/>
    <n v="0"/>
    <s v="FER."/>
    <s v="FER."/>
    <s v="FER."/>
    <s v="FER."/>
    <s v="FER."/>
    <s v="FER."/>
    <m/>
    <m/>
    <m/>
    <m/>
    <m/>
    <m/>
    <m/>
    <m/>
    <m/>
    <m/>
    <m/>
    <m/>
    <m/>
    <m/>
    <m/>
    <m/>
    <m/>
    <m/>
    <m/>
    <m/>
    <m/>
    <m/>
    <m/>
    <m/>
    <m/>
    <m/>
    <m/>
    <m/>
    <m/>
    <m/>
    <m/>
    <d v="2023-07-12T00:00:00"/>
    <m/>
  </r>
  <r>
    <s v="016935E"/>
    <s v="AYALA PEÑAILILLO ESTEFANIA PATRICIA"/>
    <n v="200903307"/>
    <s v="S-53"/>
    <x v="140"/>
    <s v="AYALA PEÑAILILLO ESTEFANIA PATRICIA"/>
    <x v="5"/>
    <x v="1"/>
    <x v="1"/>
    <x v="1"/>
    <s v=""/>
    <x v="11"/>
    <s v="LICENCIA MEDICA PENDIENTE"/>
    <m/>
    <m/>
    <m/>
    <s v="O/S"/>
    <d v="2024-04-06T00:00:00"/>
    <m/>
    <s v="FUERO MATERNAL "/>
    <d v="2024-03-09T00:00:00"/>
    <d v="2024-04-05T00:00:00"/>
    <n v="28"/>
    <n v="1"/>
    <n v="298"/>
    <n v="12"/>
    <n v="0"/>
    <s v="LIC."/>
    <s v="LIC."/>
    <s v="LIC."/>
    <s v="LIC."/>
    <s v="LIC."/>
    <s v="LIC."/>
    <m/>
    <m/>
    <m/>
    <m/>
    <m/>
    <m/>
    <m/>
    <m/>
    <m/>
    <m/>
    <m/>
    <m/>
    <m/>
    <m/>
    <m/>
    <m/>
    <m/>
    <m/>
    <m/>
    <m/>
    <m/>
    <m/>
    <m/>
    <m/>
    <m/>
    <m/>
    <m/>
    <m/>
    <m/>
    <m/>
    <m/>
    <d v="2020-09-17T00:00:00"/>
    <m/>
  </r>
  <r>
    <s v="016897H"/>
    <s v="SEGUEL SANDOVAL GUILLERMO SALVADOR"/>
    <s v="19821907K"/>
    <s v="S-53"/>
    <x v="140"/>
    <s v="SEGUEL SANDOVAL GUILLERMO SALVADOR"/>
    <x v="9"/>
    <x v="0"/>
    <x v="1"/>
    <x v="1"/>
    <s v=""/>
    <x v="11"/>
    <s v="LICENCIA MEDICA PENDIENTE"/>
    <m/>
    <m/>
    <m/>
    <s v="O/S"/>
    <d v="2024-04-06T00:00:00"/>
    <m/>
    <m/>
    <d v="2024-04-04T00:00:00"/>
    <m/>
    <s v=""/>
    <n v="1"/>
    <n v="298"/>
    <n v="13"/>
    <n v="0"/>
    <s v="LIC."/>
    <s v="LIC."/>
    <s v="LIC."/>
    <s v="LIC."/>
    <s v="LIC."/>
    <s v="LIC."/>
    <m/>
    <m/>
    <m/>
    <m/>
    <m/>
    <m/>
    <m/>
    <m/>
    <m/>
    <m/>
    <m/>
    <m/>
    <m/>
    <m/>
    <m/>
    <m/>
    <m/>
    <m/>
    <m/>
    <m/>
    <m/>
    <m/>
    <m/>
    <m/>
    <m/>
    <m/>
    <m/>
    <m/>
    <m/>
    <m/>
    <m/>
    <d v="2023-05-16T00:00:00"/>
    <m/>
  </r>
  <r>
    <s v="957853Y"/>
    <s v="VALDIVIA MUÑOZ CAROLYN ANDREA"/>
    <n v="138334546"/>
    <s v="JEFE/S-31"/>
    <x v="141"/>
    <s v="VALDIVIA MUÑOZ CAROLYN ANDREA                   (T)"/>
    <x v="6"/>
    <x v="1"/>
    <x v="1"/>
    <x v="1"/>
    <s v="(T)"/>
    <x v="11"/>
    <s v="LICENCIA ACCIDENTE EN ACTO DE SERVICIO"/>
    <m/>
    <m/>
    <m/>
    <s v="O/S"/>
    <d v="2024-04-06T00:00:00"/>
    <m/>
    <s v="LISTO"/>
    <d v="2024-03-22T00:00:00"/>
    <d v="2024-04-11T00:00:00"/>
    <n v="21"/>
    <n v="1"/>
    <n v="299"/>
    <n v="8"/>
    <n v="0"/>
    <s v="LIC."/>
    <s v="LIC."/>
    <s v="LIC."/>
    <s v="LIC."/>
    <s v="LIC."/>
    <s v="LIC."/>
    <m/>
    <m/>
    <m/>
    <m/>
    <m/>
    <m/>
    <m/>
    <m/>
    <m/>
    <m/>
    <m/>
    <m/>
    <m/>
    <m/>
    <m/>
    <m/>
    <m/>
    <m/>
    <m/>
    <m/>
    <m/>
    <m/>
    <m/>
    <m/>
    <m/>
    <m/>
    <m/>
    <m/>
    <m/>
    <m/>
    <m/>
    <d v="2023-05-10T00:00:00"/>
    <m/>
  </r>
  <r>
    <s v="956824J"/>
    <s v="MUÑOZ CARRASCO JOSE LUIS"/>
    <n v="132561311"/>
    <s v="S-50"/>
    <x v="141"/>
    <s v="MUÑOZ CARRASCO JOSE LUIS"/>
    <x v="3"/>
    <x v="0"/>
    <x v="1"/>
    <x v="1"/>
    <s v=""/>
    <x v="11"/>
    <s v="LICENCIA ACCIDENTE EN ACTO DE SERVICIO"/>
    <m/>
    <m/>
    <m/>
    <s v="O/S"/>
    <d v="2024-04-06T00:00:00"/>
    <m/>
    <s v="LISTO"/>
    <d v="2024-03-15T00:00:00"/>
    <d v="2024-04-08T00:00:00"/>
    <n v="25"/>
    <n v="1"/>
    <n v="299"/>
    <n v="9"/>
    <n v="0"/>
    <s v="LIC."/>
    <s v="LIC."/>
    <s v="LIC."/>
    <s v="LIC."/>
    <s v="LIC."/>
    <s v="LIC."/>
    <m/>
    <m/>
    <m/>
    <m/>
    <m/>
    <m/>
    <m/>
    <m/>
    <m/>
    <m/>
    <m/>
    <m/>
    <m/>
    <m/>
    <m/>
    <m/>
    <m/>
    <m/>
    <m/>
    <m/>
    <m/>
    <m/>
    <m/>
    <m/>
    <m/>
    <m/>
    <m/>
    <m/>
    <m/>
    <m/>
    <m/>
    <d v="2023-04-14T00:00:00"/>
    <m/>
  </r>
  <r>
    <s v="966382Z"/>
    <s v="MUÑOZ CISTERNA EDSON ANDRES"/>
    <n v="145674875"/>
    <s v="S-50"/>
    <x v="141"/>
    <s v="MUÑOZ CISTERNA EDSON ANDRES             "/>
    <x v="3"/>
    <x v="0"/>
    <x v="1"/>
    <x v="1"/>
    <s v=""/>
    <x v="11"/>
    <s v="LICENCIA ACCIDENTE EN ACTO DE SERVICIO"/>
    <m/>
    <m/>
    <m/>
    <s v="O/S"/>
    <d v="2024-04-06T00:00:00"/>
    <m/>
    <s v="LISTO"/>
    <d v="2024-04-04T00:00:00"/>
    <d v="2024-05-03T00:00:00"/>
    <n v="30"/>
    <n v="1"/>
    <n v="299"/>
    <n v="9"/>
    <n v="0"/>
    <s v="LIC."/>
    <s v="LIC."/>
    <s v="LIC."/>
    <s v="LIC."/>
    <s v="LIC."/>
    <s v="LIC."/>
    <m/>
    <m/>
    <m/>
    <m/>
    <m/>
    <m/>
    <m/>
    <m/>
    <m/>
    <m/>
    <m/>
    <m/>
    <m/>
    <m/>
    <m/>
    <m/>
    <m/>
    <m/>
    <m/>
    <m/>
    <m/>
    <m/>
    <m/>
    <m/>
    <m/>
    <m/>
    <m/>
    <m/>
    <m/>
    <m/>
    <m/>
    <d v="2023-06-13T00:00:00"/>
    <m/>
  </r>
  <r>
    <s v="982423B"/>
    <s v="NAVARRETE SEPULVEDA RICHAR"/>
    <n v="164465772"/>
    <s v="S-30"/>
    <x v="141"/>
    <s v="NAVARRETE SEPULVEDA RICHARD"/>
    <x v="1"/>
    <x v="0"/>
    <x v="1"/>
    <x v="1"/>
    <s v=""/>
    <x v="11"/>
    <s v="LICENCIA ACCIDENTE EN ACTO DE SERVICIO"/>
    <m/>
    <m/>
    <m/>
    <s v="O/S"/>
    <d v="2024-04-06T00:00:00"/>
    <m/>
    <s v="LISTO      DOE 201203630 CITACION 3° JUZ. _x000a_GARANTIA STGO. 285-03-2024 13:00 HRS"/>
    <d v="2024-03-27T00:00:00"/>
    <d v="2024-04-25T00:00:00"/>
    <n v="30"/>
    <n v="1"/>
    <n v="299"/>
    <n v="10"/>
    <n v="0"/>
    <s v="LIC."/>
    <s v="LIC."/>
    <s v="LIC."/>
    <s v="LIC."/>
    <s v="LIC."/>
    <s v="LIC."/>
    <m/>
    <m/>
    <m/>
    <m/>
    <m/>
    <m/>
    <m/>
    <m/>
    <m/>
    <m/>
    <m/>
    <m/>
    <m/>
    <m/>
    <m/>
    <m/>
    <m/>
    <m/>
    <m/>
    <m/>
    <m/>
    <m/>
    <m/>
    <m/>
    <m/>
    <m/>
    <m/>
    <m/>
    <m/>
    <m/>
    <m/>
    <d v="2023-07-06T00:00:00"/>
    <m/>
  </r>
  <r>
    <s v="975371E"/>
    <s v="VALENZUELA VERGARA SEBASTIAN EDUARDO"/>
    <n v="164095290"/>
    <s v="PTR-G3"/>
    <x v="141"/>
    <s v="VALENZUELA VERGARA SEBASTIAN EDUARDO"/>
    <x v="1"/>
    <x v="0"/>
    <x v="1"/>
    <x v="1"/>
    <s v=""/>
    <x v="11"/>
    <s v="LICENCIA ACCIDENTE EN ACTO DE SERVICIO"/>
    <m/>
    <m/>
    <m/>
    <s v="O/S"/>
    <d v="2024-04-06T00:00:00"/>
    <m/>
    <s v="LISTO"/>
    <d v="2024-03-07T00:00:00"/>
    <d v="2024-04-17T00:00:00"/>
    <n v="42"/>
    <n v="1"/>
    <n v="299"/>
    <n v="10"/>
    <n v="0"/>
    <s v="LIC."/>
    <s v="LIC."/>
    <s v="LIC."/>
    <s v="LIC."/>
    <s v="LIC."/>
    <s v="LIC."/>
    <m/>
    <m/>
    <m/>
    <m/>
    <m/>
    <m/>
    <m/>
    <m/>
    <m/>
    <m/>
    <m/>
    <m/>
    <m/>
    <m/>
    <m/>
    <m/>
    <m/>
    <m/>
    <m/>
    <m/>
    <m/>
    <m/>
    <m/>
    <m/>
    <m/>
    <m/>
    <m/>
    <m/>
    <m/>
    <m/>
    <m/>
    <d v="2023-07-31T00:00:00"/>
    <m/>
  </r>
  <r>
    <s v="980367C"/>
    <s v="RAMIREZ CORNEJO"/>
    <n v="165225996"/>
    <s v="S-42"/>
    <x v="141"/>
    <s v="RAMIREZ CORNEJO GUSTAVO ALFONSO      (L-P)"/>
    <x v="4"/>
    <x v="0"/>
    <x v="1"/>
    <x v="1"/>
    <s v="(L-P)"/>
    <x v="11"/>
    <s v="LICENCIA ACCIDENTE EN ACTO DE SERVICIO"/>
    <m/>
    <m/>
    <m/>
    <s v="O/S"/>
    <d v="2024-04-06T00:00:00"/>
    <m/>
    <s v="LISTO"/>
    <d v="2024-04-03T00:00:00"/>
    <d v="2024-04-30T00:00:00"/>
    <n v="28"/>
    <n v="1"/>
    <n v="299"/>
    <n v="11"/>
    <n v="0"/>
    <s v="LIC."/>
    <s v="LIC."/>
    <s v="LIC."/>
    <s v="LIC."/>
    <s v="LIC."/>
    <s v="LIC."/>
    <m/>
    <m/>
    <m/>
    <m/>
    <m/>
    <m/>
    <m/>
    <m/>
    <m/>
    <m/>
    <m/>
    <m/>
    <m/>
    <m/>
    <m/>
    <m/>
    <m/>
    <m/>
    <m/>
    <m/>
    <m/>
    <m/>
    <m/>
    <m/>
    <m/>
    <m/>
    <m/>
    <m/>
    <m/>
    <m/>
    <m/>
    <d v="2023-05-09T00:00:00"/>
    <m/>
  </r>
  <r>
    <s v="013446R"/>
    <s v="MATUS MEDINA MARIO EVANS"/>
    <n v="189511590"/>
    <s v="S-30"/>
    <x v="141"/>
    <s v="MATUS MEDINA MARIO EVANS"/>
    <x v="5"/>
    <x v="0"/>
    <x v="1"/>
    <x v="1"/>
    <s v=""/>
    <x v="11"/>
    <s v="LICENCIA ACCIDENTE EN ACTO DE SERVICIO"/>
    <m/>
    <m/>
    <m/>
    <s v="O/S"/>
    <d v="2024-04-06T00:00:00"/>
    <m/>
    <s v="LISTO"/>
    <d v="2024-03-30T00:00:00"/>
    <d v="2024-04-13T00:00:00"/>
    <n v="15"/>
    <n v="1"/>
    <n v="299"/>
    <n v="12"/>
    <n v="0"/>
    <s v="LIC."/>
    <s v="LIC."/>
    <s v="LIC."/>
    <s v="LIC."/>
    <s v="LIC."/>
    <s v="LIC."/>
    <m/>
    <m/>
    <m/>
    <m/>
    <m/>
    <m/>
    <m/>
    <m/>
    <m/>
    <m/>
    <m/>
    <m/>
    <m/>
    <m/>
    <m/>
    <m/>
    <m/>
    <m/>
    <m/>
    <m/>
    <m/>
    <m/>
    <m/>
    <m/>
    <m/>
    <m/>
    <m/>
    <m/>
    <m/>
    <m/>
    <m/>
    <d v="2023-08-08T00:00:00"/>
    <m/>
  </r>
  <r>
    <s v="017674Z"/>
    <s v="SALINAS RODRIGUEZ JULLIAN REINALDO"/>
    <n v="190656322"/>
    <s v="S-50"/>
    <x v="141"/>
    <s v="SALINAS RODRIGUEZ JULLIAN REINALDO"/>
    <x v="5"/>
    <x v="0"/>
    <x v="1"/>
    <x v="1"/>
    <s v=""/>
    <x v="11"/>
    <s v="LICENCIA ACCIDENTE EN ACTO DE SERVICIO"/>
    <m/>
    <m/>
    <m/>
    <s v="O/S"/>
    <d v="2024-04-06T00:00:00"/>
    <s v="05-ABRIL 2024 09:30 HRS FZM DOE 203342403"/>
    <s v="LISTO"/>
    <d v="2024-02-25T00:00:00"/>
    <d v="2024-05-24T00:00:00"/>
    <n v="90"/>
    <n v="1"/>
    <n v="299"/>
    <n v="12"/>
    <n v="0"/>
    <s v="LIC."/>
    <s v="LIC."/>
    <s v="LIC."/>
    <s v="LIC."/>
    <s v="LIC."/>
    <s v="LIC."/>
    <m/>
    <m/>
    <m/>
    <m/>
    <m/>
    <m/>
    <m/>
    <m/>
    <m/>
    <m/>
    <m/>
    <m/>
    <m/>
    <m/>
    <m/>
    <m/>
    <m/>
    <m/>
    <m/>
    <m/>
    <m/>
    <m/>
    <m/>
    <m/>
    <m/>
    <m/>
    <m/>
    <m/>
    <m/>
    <m/>
    <m/>
    <d v="2023-09-28T00:00:00"/>
    <m/>
  </r>
  <r>
    <s v="966666D"/>
    <s v="DIAZ CASTAÑEDA JORGE ANDRES"/>
    <n v="141192795"/>
    <s v="JO-40"/>
    <x v="142"/>
    <s v="DIAZ CASTAÑEDA JORGE ANDRES"/>
    <x v="7"/>
    <x v="0"/>
    <x v="1"/>
    <x v="0"/>
    <s v=""/>
    <x v="11"/>
    <s v="LICENCIA ENFERMEDAD O ACCIDENTE COMÚN"/>
    <m/>
    <m/>
    <m/>
    <s v="O/S"/>
    <s v="00-00-0000"/>
    <m/>
    <m/>
    <d v="2024-04-04T00:00:00"/>
    <d v="2024-04-18T00:00:00"/>
    <n v="15"/>
    <n v="1"/>
    <n v="300"/>
    <n v="3"/>
    <n v="0"/>
    <s v="1P"/>
    <s v="1P"/>
    <s v="1P"/>
    <s v="1P"/>
    <s v="LIC."/>
    <s v="LIC."/>
    <m/>
    <m/>
    <m/>
    <m/>
    <m/>
    <m/>
    <m/>
    <m/>
    <m/>
    <m/>
    <m/>
    <m/>
    <m/>
    <m/>
    <m/>
    <m/>
    <m/>
    <m/>
    <m/>
    <m/>
    <m/>
    <m/>
    <m/>
    <m/>
    <m/>
    <m/>
    <m/>
    <m/>
    <m/>
    <m/>
    <m/>
    <m/>
    <m/>
  </r>
  <r>
    <s v="008430H"/>
    <s v="CARTER DROLETT MIGUEL"/>
    <n v="196147578"/>
    <s v="JEFE/S-45"/>
    <x v="142"/>
    <s v="CARTER DROLETT MIGUEL ISAIAS"/>
    <x v="10"/>
    <x v="0"/>
    <x v="1"/>
    <x v="0"/>
    <s v=""/>
    <x v="11"/>
    <s v="LICENCIA ENFERMEDAD O ACCIDENTE COMÚN"/>
    <m/>
    <m/>
    <m/>
    <s v="O/S"/>
    <s v="00-00-0000"/>
    <m/>
    <s v="LISTO       DOE 201203630 CITACION 2° TOP STGO. 20-05-2024 09:00 HRS"/>
    <m/>
    <m/>
    <s v=""/>
    <n v="1"/>
    <n v="300"/>
    <n v="5"/>
    <n v="0"/>
    <s v="1P"/>
    <s v="2P"/>
    <s v="SN"/>
    <s v="2T"/>
    <s v="LIC."/>
    <s v="LIC."/>
    <m/>
    <m/>
    <m/>
    <m/>
    <m/>
    <m/>
    <m/>
    <m/>
    <m/>
    <m/>
    <m/>
    <m/>
    <m/>
    <m/>
    <m/>
    <m/>
    <m/>
    <m/>
    <m/>
    <m/>
    <m/>
    <m/>
    <m/>
    <m/>
    <m/>
    <m/>
    <m/>
    <m/>
    <m/>
    <m/>
    <m/>
    <m/>
    <m/>
  </r>
  <r>
    <s v="941167Y"/>
    <s v="AGUILAR REYES MAURICIO OSVALDO"/>
    <n v="116961989"/>
    <s v="PTR-G-11"/>
    <x v="142"/>
    <s v="AGUILAR REYES MAURICIO OSVALDO (L - T - P)"/>
    <x v="6"/>
    <x v="0"/>
    <x v="1"/>
    <x v="1"/>
    <s v="(L - T - P)"/>
    <x v="11"/>
    <s v="LICENCIA ENFERMEDAD O ACCIDENTE COMÚN"/>
    <m/>
    <m/>
    <m/>
    <s v="O/S"/>
    <d v="2024-04-06T00:00:00"/>
    <m/>
    <s v="LISTO"/>
    <d v="2024-04-04T00:00:00"/>
    <d v="2024-04-06T00:00:00"/>
    <n v="3"/>
    <n v="1"/>
    <n v="300"/>
    <n v="8"/>
    <n v="0"/>
    <s v="F"/>
    <s v="1P"/>
    <s v="1P"/>
    <s v="1P"/>
    <s v="LIC."/>
    <s v="LIC."/>
    <m/>
    <m/>
    <m/>
    <m/>
    <m/>
    <m/>
    <m/>
    <m/>
    <m/>
    <m/>
    <m/>
    <m/>
    <m/>
    <m/>
    <m/>
    <m/>
    <m/>
    <m/>
    <m/>
    <m/>
    <m/>
    <m/>
    <m/>
    <m/>
    <m/>
    <m/>
    <m/>
    <m/>
    <m/>
    <m/>
    <m/>
    <d v="2023-07-04T00:00:00"/>
    <m/>
  </r>
  <r>
    <s v="952500E"/>
    <s v="TORRES GONZALEZ LUIS ALEXIS"/>
    <n v="130964621"/>
    <s v="JEFE/S-43"/>
    <x v="142"/>
    <s v="TORRES GONZALEZ LUIS ALEXIS"/>
    <x v="6"/>
    <x v="0"/>
    <x v="1"/>
    <x v="1"/>
    <s v=""/>
    <x v="11"/>
    <s v="LICENCIA ENFERMEDAD O ACCIDENTE COMÚN"/>
    <m/>
    <m/>
    <m/>
    <s v="O/S"/>
    <d v="2024-04-06T00:00:00"/>
    <m/>
    <m/>
    <d v="2024-03-27T00:00:00"/>
    <d v="2024-04-10T00:00:00"/>
    <n v="15"/>
    <n v="1"/>
    <n v="300"/>
    <n v="8"/>
    <n v="0"/>
    <s v="LIC."/>
    <s v="LIC."/>
    <s v="LIC."/>
    <s v="LIC."/>
    <s v="LIC."/>
    <s v="LIC."/>
    <m/>
    <m/>
    <m/>
    <m/>
    <m/>
    <m/>
    <m/>
    <m/>
    <m/>
    <m/>
    <m/>
    <m/>
    <m/>
    <m/>
    <m/>
    <m/>
    <m/>
    <m/>
    <m/>
    <m/>
    <m/>
    <m/>
    <m/>
    <m/>
    <m/>
    <m/>
    <m/>
    <m/>
    <m/>
    <m/>
    <m/>
    <d v="2023-04-13T00:00:00"/>
    <m/>
  </r>
  <r>
    <s v="967276F"/>
    <s v="CONTRERAS GALLEGUILLOS RODRIGO IGNACIO"/>
    <n v="150365996"/>
    <s v="S-50"/>
    <x v="142"/>
    <s v="CONTRERAS GALLEGUILLOS RODRIGO IGNACIO (S T P )"/>
    <x v="3"/>
    <x v="0"/>
    <x v="1"/>
    <x v="1"/>
    <s v="(S T P )"/>
    <x v="11"/>
    <s v="LICENCIA ENFERMEDAD O ACCIDENTE COMÚN"/>
    <m/>
    <m/>
    <m/>
    <s v="O/S"/>
    <d v="2024-04-06T00:00:00"/>
    <s v="05 ABRIL 2024 10:00 HRS FZM. DOE 203342403"/>
    <s v="LISTO"/>
    <d v="2024-03-21T00:00:00"/>
    <d v="2024-04-09T00:00:00"/>
    <n v="20"/>
    <n v="1"/>
    <n v="300"/>
    <n v="9"/>
    <n v="0"/>
    <s v="LIC."/>
    <s v="LIC."/>
    <s v="LIC."/>
    <s v="LIC."/>
    <s v="LIC."/>
    <s v="LIC."/>
    <m/>
    <m/>
    <m/>
    <m/>
    <m/>
    <m/>
    <m/>
    <m/>
    <m/>
    <m/>
    <m/>
    <m/>
    <m/>
    <m/>
    <m/>
    <m/>
    <m/>
    <m/>
    <m/>
    <m/>
    <m/>
    <m/>
    <m/>
    <m/>
    <m/>
    <m/>
    <m/>
    <m/>
    <m/>
    <m/>
    <m/>
    <d v="2023-09-25T00:00:00"/>
    <m/>
  </r>
  <r>
    <s v="968496W"/>
    <s v="HERRERA HERRERA MICHAEL EDUARDO"/>
    <n v="156128856"/>
    <s v="S-53"/>
    <x v="142"/>
    <s v="HERRERA HERRERA MICHAEL EDUARDO (L - P)"/>
    <x v="3"/>
    <x v="0"/>
    <x v="1"/>
    <x v="1"/>
    <s v="(L - P)"/>
    <x v="11"/>
    <s v="LICENCIA ENFERMEDAD O ACCIDENTE COMÚN"/>
    <m/>
    <m/>
    <m/>
    <s v="O/S"/>
    <d v="2024-04-06T00:00:00"/>
    <m/>
    <m/>
    <s v="04-03.2024"/>
    <s v="08.04.2024"/>
    <s v=""/>
    <n v="1"/>
    <n v="300"/>
    <n v="9"/>
    <n v="0"/>
    <s v="LIC."/>
    <s v="LIC."/>
    <s v="LIC."/>
    <s v="LIC."/>
    <s v="LIC."/>
    <s v="LIC."/>
    <m/>
    <m/>
    <m/>
    <m/>
    <m/>
    <m/>
    <m/>
    <m/>
    <m/>
    <m/>
    <m/>
    <m/>
    <m/>
    <m/>
    <m/>
    <m/>
    <m/>
    <m/>
    <m/>
    <m/>
    <m/>
    <m/>
    <m/>
    <m/>
    <m/>
    <m/>
    <m/>
    <m/>
    <m/>
    <m/>
    <m/>
    <d v="2022-03-15T00:00:00"/>
    <m/>
  </r>
  <r>
    <s v="955151W"/>
    <s v="RAMIREZ ARAYA ALEX OMAR"/>
    <n v="132988560"/>
    <s v="S-53"/>
    <x v="142"/>
    <s v="RAMIREZ ARAYA ALEX OMAR"/>
    <x v="3"/>
    <x v="0"/>
    <x v="1"/>
    <x v="1"/>
    <s v=""/>
    <x v="11"/>
    <s v="LICENCIA ENFERMEDAD O ACCIDENTE COMÚN"/>
    <m/>
    <m/>
    <m/>
    <s v="O/S"/>
    <d v="2024-04-06T00:00:00"/>
    <m/>
    <m/>
    <d v="2024-03-16T00:00:00"/>
    <d v="2024-04-14T00:00:00"/>
    <n v="30"/>
    <n v="1"/>
    <n v="300"/>
    <n v="9"/>
    <n v="0"/>
    <s v="LIC."/>
    <s v="LIC."/>
    <s v="LIC."/>
    <s v="LIC."/>
    <s v="LIC."/>
    <s v="LIC."/>
    <m/>
    <m/>
    <m/>
    <m/>
    <m/>
    <m/>
    <m/>
    <m/>
    <m/>
    <m/>
    <m/>
    <m/>
    <m/>
    <m/>
    <m/>
    <m/>
    <m/>
    <m/>
    <m/>
    <m/>
    <m/>
    <m/>
    <m/>
    <m/>
    <m/>
    <m/>
    <m/>
    <m/>
    <m/>
    <m/>
    <m/>
    <d v="2022-05-11T00:00:00"/>
    <m/>
  </r>
  <r>
    <s v="974667E"/>
    <s v="CARREÑO MENA MAIKOL CLAUDIO"/>
    <s v="16146449K"/>
    <s v="PTL-20"/>
    <x v="142"/>
    <s v="CARREÑO MENA MAIKOL CLAUDIO (P - L - LA)"/>
    <x v="1"/>
    <x v="0"/>
    <x v="1"/>
    <x v="1"/>
    <s v="(P - L - LA)"/>
    <x v="11"/>
    <s v="LICENCIA ENFERMEDAD O ACCIDENTE COMÚN"/>
    <m/>
    <m/>
    <m/>
    <s v="O/S"/>
    <d v="2024-04-06T00:00:00"/>
    <m/>
    <s v="LISTO     "/>
    <d v="2024-03-25T00:00:00"/>
    <d v="2024-04-14T00:00:00"/>
    <n v="21"/>
    <n v="1"/>
    <n v="300"/>
    <n v="10"/>
    <n v="0"/>
    <s v="LIC."/>
    <s v="LIC."/>
    <s v="LIC."/>
    <s v="LIC."/>
    <s v="LIC."/>
    <s v="LIC."/>
    <m/>
    <m/>
    <m/>
    <m/>
    <m/>
    <m/>
    <m/>
    <m/>
    <m/>
    <m/>
    <m/>
    <m/>
    <m/>
    <m/>
    <m/>
    <m/>
    <m/>
    <m/>
    <m/>
    <m/>
    <m/>
    <m/>
    <m/>
    <m/>
    <m/>
    <m/>
    <m/>
    <m/>
    <m/>
    <m/>
    <m/>
    <d v="2023-09-28T00:00:00"/>
    <m/>
  </r>
  <r>
    <s v="962326U"/>
    <s v="FERRADA CALDERON MANUEL IGNACIO"/>
    <n v="133985352"/>
    <s v="S-50"/>
    <x v="142"/>
    <s v="FERRADA CALDERON MANUEL IGNACIO"/>
    <x v="1"/>
    <x v="0"/>
    <x v="1"/>
    <x v="1"/>
    <s v=""/>
    <x v="11"/>
    <s v="LICENCIA ENFERMEDAD O ACCIDENTE COMÚN"/>
    <m/>
    <m/>
    <m/>
    <s v="O/S"/>
    <d v="2024-04-06T00:00:00"/>
    <m/>
    <s v="LISTO"/>
    <d v="2024-04-02T00:00:00"/>
    <d v="2024-04-22T00:00:00"/>
    <n v="21"/>
    <n v="1"/>
    <n v="300"/>
    <n v="10"/>
    <n v="0"/>
    <s v="LIC."/>
    <s v="LIC."/>
    <s v="LIC."/>
    <s v="LIC."/>
    <s v="LIC."/>
    <s v="LIC."/>
    <m/>
    <m/>
    <m/>
    <m/>
    <m/>
    <m/>
    <m/>
    <m/>
    <m/>
    <m/>
    <m/>
    <m/>
    <m/>
    <m/>
    <m/>
    <m/>
    <m/>
    <m/>
    <m/>
    <m/>
    <m/>
    <m/>
    <m/>
    <m/>
    <m/>
    <m/>
    <m/>
    <m/>
    <m/>
    <m/>
    <m/>
    <d v="2023-04-19T00:00:00"/>
    <m/>
  </r>
  <r>
    <s v="965207H"/>
    <s v="MARDONES GODOY OSCAR BORIS"/>
    <n v="157123793"/>
    <s v="S-50"/>
    <x v="142"/>
    <s v="MARDONES GODOY OSCAR BORIS (L - P)"/>
    <x v="1"/>
    <x v="0"/>
    <x v="1"/>
    <x v="1"/>
    <s v="(L - P)"/>
    <x v="11"/>
    <s v="LICENCIA ENFERMEDAD O ACCIDENTE COMÚN"/>
    <m/>
    <m/>
    <m/>
    <s v="O/S"/>
    <d v="2024-04-06T00:00:00"/>
    <m/>
    <s v="LISTO"/>
    <d v="2024-04-05T00:00:00"/>
    <d v="2024-04-19T00:00:00"/>
    <n v="15"/>
    <n v="1"/>
    <n v="300"/>
    <n v="10"/>
    <n v="0"/>
    <s v="LIC."/>
    <s v="LIC."/>
    <s v="LIC."/>
    <s v="LIC."/>
    <s v="LIC."/>
    <s v="LIC."/>
    <m/>
    <m/>
    <m/>
    <m/>
    <m/>
    <m/>
    <m/>
    <m/>
    <m/>
    <m/>
    <m/>
    <m/>
    <m/>
    <m/>
    <m/>
    <m/>
    <m/>
    <m/>
    <m/>
    <m/>
    <m/>
    <m/>
    <m/>
    <m/>
    <m/>
    <m/>
    <m/>
    <m/>
    <m/>
    <m/>
    <m/>
    <d v="2022-06-23T00:00:00"/>
    <m/>
  </r>
  <r>
    <s v="963289H"/>
    <s v="MIRANDA MALDONADO ANDREA"/>
    <n v="140429740"/>
    <s v="ECONOMATO"/>
    <x v="142"/>
    <s v="MIRANDA MALDONADO ANDREA"/>
    <x v="1"/>
    <x v="1"/>
    <x v="1"/>
    <x v="1"/>
    <s v=""/>
    <x v="11"/>
    <s v="LICENCIA ENFERMEDAD O ACCIDENTE COMÚN"/>
    <m/>
    <m/>
    <m/>
    <s v="O/S"/>
    <d v="2024-04-06T00:00:00"/>
    <m/>
    <m/>
    <d v="2024-03-25T00:00:00"/>
    <d v="2024-04-07T00:00:00"/>
    <n v="14"/>
    <n v="1"/>
    <n v="300"/>
    <n v="10"/>
    <n v="0"/>
    <s v="LIC."/>
    <s v="LIC."/>
    <s v="LIC."/>
    <s v="LIC."/>
    <s v="LIC."/>
    <s v="LIC."/>
    <m/>
    <m/>
    <m/>
    <m/>
    <m/>
    <m/>
    <m/>
    <m/>
    <m/>
    <m/>
    <m/>
    <m/>
    <m/>
    <m/>
    <m/>
    <m/>
    <m/>
    <m/>
    <m/>
    <m/>
    <m/>
    <m/>
    <m/>
    <m/>
    <m/>
    <m/>
    <m/>
    <m/>
    <m/>
    <m/>
    <m/>
    <d v="2023-06-07T00:00:00"/>
    <m/>
  </r>
  <r>
    <s v="973522L"/>
    <s v="OJEDA SOTO RICARDO ANTONIO"/>
    <n v="155690178"/>
    <s v="S-40"/>
    <x v="142"/>
    <s v="OJEDA SOTO RICARDO ANTONIO"/>
    <x v="1"/>
    <x v="0"/>
    <x v="1"/>
    <x v="1"/>
    <s v=""/>
    <x v="11"/>
    <s v="LICENCIA ENFERMEDAD O ACCIDENTE COMÚN"/>
    <m/>
    <m/>
    <m/>
    <s v="O/S"/>
    <s v="24-03-19983"/>
    <m/>
    <m/>
    <d v="2024-04-02T00:00:00"/>
    <d v="2024-04-22T00:00:00"/>
    <n v="21"/>
    <n v="1"/>
    <n v="300"/>
    <n v="10"/>
    <n v="0"/>
    <s v="LIC."/>
    <s v="LIC."/>
    <s v="LIC."/>
    <s v="LIC."/>
    <s v="LIC."/>
    <s v="LIC."/>
    <m/>
    <m/>
    <m/>
    <m/>
    <m/>
    <m/>
    <m/>
    <m/>
    <m/>
    <m/>
    <m/>
    <m/>
    <m/>
    <m/>
    <m/>
    <m/>
    <m/>
    <m/>
    <m/>
    <m/>
    <m/>
    <m/>
    <m/>
    <m/>
    <m/>
    <m/>
    <m/>
    <m/>
    <m/>
    <m/>
    <m/>
    <d v="2024-03-12T00:00:00"/>
    <m/>
  </r>
  <r>
    <s v="977287V"/>
    <s v="PRADO VALLEJOS LUCIANO ESTEBAN"/>
    <n v="168271344"/>
    <s v="PTL-15"/>
    <x v="142"/>
    <s v="PRADO VALLEJOS LUCIANO ESTEBAN (P - L - LA)"/>
    <x v="1"/>
    <x v="0"/>
    <x v="1"/>
    <x v="1"/>
    <s v="(P - L - LA)"/>
    <x v="11"/>
    <s v="LICENCIA ENFERMEDAD O ACCIDENTE COMÚN"/>
    <m/>
    <m/>
    <m/>
    <s v="O/S"/>
    <d v="2024-04-06T00:00:00"/>
    <m/>
    <s v="LISTO"/>
    <d v="2024-03-29T00:00:00"/>
    <d v="2024-04-14T00:00:00"/>
    <n v="17"/>
    <n v="1"/>
    <n v="300"/>
    <n v="10"/>
    <n v="0"/>
    <s v="LIC."/>
    <s v="LIC."/>
    <s v="LIC."/>
    <s v="LIC."/>
    <s v="LIC."/>
    <s v="LIC."/>
    <m/>
    <m/>
    <m/>
    <m/>
    <m/>
    <m/>
    <m/>
    <m/>
    <m/>
    <m/>
    <m/>
    <m/>
    <m/>
    <m/>
    <m/>
    <m/>
    <m/>
    <m/>
    <m/>
    <m/>
    <m/>
    <m/>
    <m/>
    <m/>
    <m/>
    <m/>
    <m/>
    <m/>
    <m/>
    <m/>
    <m/>
    <d v="2023-07-28T00:00:00"/>
    <m/>
  </r>
  <r>
    <s v="962254T"/>
    <s v="SOLIS SAEZ HECTOR ALEXIS"/>
    <n v="152643640"/>
    <s v="S-50"/>
    <x v="142"/>
    <s v="SOLIS SAEZ HECTOR ALEXIS"/>
    <x v="1"/>
    <x v="0"/>
    <x v="1"/>
    <x v="1"/>
    <s v=""/>
    <x v="11"/>
    <s v="LICENCIA ENFERMEDAD O ACCIDENTE COMÚN"/>
    <m/>
    <m/>
    <m/>
    <s v="O/S"/>
    <d v="2024-04-06T00:00:00"/>
    <m/>
    <m/>
    <d v="2024-02-29T00:00:00"/>
    <d v="2024-04-10T00:00:00"/>
    <n v="42"/>
    <n v="1"/>
    <n v="300"/>
    <n v="10"/>
    <n v="0"/>
    <s v="LIC."/>
    <s v="LIC."/>
    <s v="LIC."/>
    <s v="LIC."/>
    <s v="LIC."/>
    <s v="LIC."/>
    <m/>
    <m/>
    <m/>
    <m/>
    <m/>
    <m/>
    <m/>
    <m/>
    <m/>
    <m/>
    <m/>
    <m/>
    <m/>
    <m/>
    <m/>
    <m/>
    <m/>
    <m/>
    <m/>
    <m/>
    <m/>
    <m/>
    <m/>
    <m/>
    <m/>
    <m/>
    <m/>
    <m/>
    <m/>
    <m/>
    <m/>
    <d v="2023-04-21T00:00:00"/>
    <m/>
  </r>
  <r>
    <s v="968771Q"/>
    <s v="VASQUEZ CID ALVARO RODRIGO"/>
    <n v="157041843"/>
    <s v="S-34"/>
    <x v="142"/>
    <s v="VASQUEZ CID ALVARO RODRIGO"/>
    <x v="1"/>
    <x v="0"/>
    <x v="1"/>
    <x v="1"/>
    <s v=""/>
    <x v="11"/>
    <s v="LICENCIA ENFERMEDAD O ACCIDENTE COMÚN"/>
    <m/>
    <m/>
    <m/>
    <s v="O/S"/>
    <d v="2024-04-06T00:00:00"/>
    <m/>
    <s v="LISTO"/>
    <d v="2024-03-26T00:00:00"/>
    <d v="2024-04-09T00:00:00"/>
    <n v="15"/>
    <n v="1"/>
    <n v="300"/>
    <n v="10"/>
    <n v="0"/>
    <s v="LIC."/>
    <s v="LIC."/>
    <s v="LIC."/>
    <s v="LIC."/>
    <s v="LIC."/>
    <s v="LIC."/>
    <m/>
    <m/>
    <m/>
    <m/>
    <m/>
    <m/>
    <m/>
    <m/>
    <m/>
    <m/>
    <m/>
    <m/>
    <m/>
    <m/>
    <m/>
    <m/>
    <m/>
    <m/>
    <m/>
    <m/>
    <m/>
    <m/>
    <m/>
    <m/>
    <m/>
    <m/>
    <m/>
    <m/>
    <m/>
    <m/>
    <m/>
    <d v="2023-07-19T00:00:00"/>
    <m/>
  </r>
  <r>
    <s v="989446Z"/>
    <s v="RIVERA PEREZ EDUARDO ANDRES"/>
    <n v="175139958"/>
    <s v="S-38"/>
    <x v="142"/>
    <s v="RIVERA PEREZ EDUARDO ANDRES"/>
    <x v="4"/>
    <x v="0"/>
    <x v="1"/>
    <x v="1"/>
    <s v=""/>
    <x v="11"/>
    <s v="LICENCIA ENFERMEDAD O ACCIDENTE COMÚN"/>
    <m/>
    <m/>
    <m/>
    <s v="O/S"/>
    <d v="2024-04-06T00:00:00"/>
    <m/>
    <s v="LISTO"/>
    <d v="2024-04-02T00:00:00"/>
    <d v="2024-04-07T00:00:00"/>
    <n v="6"/>
    <n v="1"/>
    <n v="300"/>
    <n v="11"/>
    <n v="0"/>
    <s v="2T"/>
    <s v="2T"/>
    <s v="LIC."/>
    <s v="LIC."/>
    <s v="LIC."/>
    <s v="LIC."/>
    <m/>
    <m/>
    <m/>
    <m/>
    <m/>
    <m/>
    <m/>
    <m/>
    <m/>
    <m/>
    <m/>
    <m/>
    <m/>
    <m/>
    <m/>
    <m/>
    <m/>
    <m/>
    <m/>
    <m/>
    <m/>
    <m/>
    <m/>
    <m/>
    <m/>
    <m/>
    <m/>
    <m/>
    <m/>
    <m/>
    <m/>
    <d v="2023-08-01T00:00:00"/>
    <m/>
  </r>
  <r>
    <s v="994544Q"/>
    <s v="ROCO BUSTOS MIGUEL ANGEL"/>
    <n v="180494294"/>
    <s v="S-33"/>
    <x v="142"/>
    <s v="ROCO BUSTOS MIGUEL ANGEL                  (L - T-S )"/>
    <x v="4"/>
    <x v="0"/>
    <x v="1"/>
    <x v="1"/>
    <s v="(L - T-S )"/>
    <x v="11"/>
    <s v="LICENCIA ENFERMEDAD O ACCIDENTE COMÚN"/>
    <m/>
    <m/>
    <m/>
    <s v="O/S"/>
    <d v="2024-04-06T00:00:00"/>
    <m/>
    <s v="LISTO"/>
    <d v="2024-04-05T00:00:00"/>
    <d v="2024-04-07T00:00:00"/>
    <n v="3"/>
    <n v="1"/>
    <n v="300"/>
    <n v="11"/>
    <n v="0"/>
    <s v="SN"/>
    <s v="LIC."/>
    <s v="LIC."/>
    <s v="LIC."/>
    <s v="LIC."/>
    <s v="LIC."/>
    <m/>
    <m/>
    <m/>
    <m/>
    <m/>
    <m/>
    <m/>
    <m/>
    <m/>
    <m/>
    <m/>
    <m/>
    <m/>
    <m/>
    <m/>
    <m/>
    <m/>
    <m/>
    <m/>
    <m/>
    <m/>
    <m/>
    <m/>
    <m/>
    <m/>
    <m/>
    <m/>
    <m/>
    <m/>
    <m/>
    <m/>
    <d v="2023-10-10T00:00:00"/>
    <m/>
  </r>
  <r>
    <s v="998492R"/>
    <s v="SOTO ZUÑIGA JENNIFER MICHEL"/>
    <n v="182678872"/>
    <s v="S-53"/>
    <x v="142"/>
    <s v="SOTO ZUÑIGA JENNIFER MICHEL"/>
    <x v="4"/>
    <x v="1"/>
    <x v="1"/>
    <x v="1"/>
    <s v=""/>
    <x v="11"/>
    <s v="LICENCIA ENFERMEDAD O ACCIDENTE COMÚN"/>
    <m/>
    <m/>
    <m/>
    <s v="O/S"/>
    <d v="2024-04-06T00:00:00"/>
    <m/>
    <n v="45312"/>
    <d v="2024-03-25T00:00:00"/>
    <d v="2024-04-21T00:00:00"/>
    <n v="28"/>
    <n v="1"/>
    <n v="300"/>
    <n v="11"/>
    <n v="0"/>
    <s v="LIC."/>
    <s v="LIC."/>
    <s v="LIC."/>
    <s v="LIC."/>
    <s v="LIC."/>
    <s v="LIC."/>
    <m/>
    <m/>
    <m/>
    <m/>
    <m/>
    <m/>
    <m/>
    <m/>
    <m/>
    <m/>
    <m/>
    <m/>
    <m/>
    <m/>
    <m/>
    <m/>
    <m/>
    <m/>
    <m/>
    <m/>
    <m/>
    <m/>
    <m/>
    <m/>
    <m/>
    <m/>
    <m/>
    <m/>
    <m/>
    <m/>
    <m/>
    <d v="2022-03-14T00:00:00"/>
    <m/>
  </r>
  <r>
    <s v="989111R"/>
    <s v="URRUTIA GALLARDO MARCELO"/>
    <n v="176965800"/>
    <s v="S-46"/>
    <x v="142"/>
    <s v="URRUTIA GALLARDO MARCELO"/>
    <x v="4"/>
    <x v="0"/>
    <x v="1"/>
    <x v="1"/>
    <s v=""/>
    <x v="11"/>
    <s v="LICENCIA ENFERMEDAD O ACCIDENTE COMÚN"/>
    <m/>
    <m/>
    <m/>
    <s v="O/S"/>
    <d v="2024-04-06T00:00:00"/>
    <m/>
    <m/>
    <d v="2024-04-01T00:00:00"/>
    <d v="2024-04-15T00:00:00"/>
    <n v="15"/>
    <n v="1"/>
    <n v="300"/>
    <n v="11"/>
    <n v="0"/>
    <s v="LIC."/>
    <s v="LIC."/>
    <s v="LIC."/>
    <s v="LIC."/>
    <s v="LIC."/>
    <s v="LIC."/>
    <m/>
    <m/>
    <m/>
    <m/>
    <m/>
    <m/>
    <m/>
    <m/>
    <m/>
    <m/>
    <m/>
    <m/>
    <m/>
    <m/>
    <m/>
    <m/>
    <m/>
    <m/>
    <m/>
    <m/>
    <m/>
    <m/>
    <m/>
    <m/>
    <m/>
    <m/>
    <m/>
    <m/>
    <m/>
    <m/>
    <m/>
    <d v="2023-04-14T00:00:00"/>
    <m/>
  </r>
  <r>
    <s v="011317M"/>
    <s v="CASTAÑEDA JARA MATIAS"/>
    <n v="197844353"/>
    <s v="S-47"/>
    <x v="142"/>
    <s v="CASTAÑEDA JARA MATIAS"/>
    <x v="5"/>
    <x v="0"/>
    <x v="1"/>
    <x v="1"/>
    <s v=""/>
    <x v="11"/>
    <s v="LICENCIA ENFERMEDAD O ACCIDENTE COMÚN"/>
    <m/>
    <m/>
    <m/>
    <s v="O/S"/>
    <d v="2024-04-06T00:00:00"/>
    <m/>
    <s v="LISTO"/>
    <d v="2024-03-26T00:00:00"/>
    <d v="2024-04-06T00:00:00"/>
    <n v="12"/>
    <n v="1"/>
    <n v="300"/>
    <n v="12"/>
    <n v="0"/>
    <s v="LIC."/>
    <s v="LIC."/>
    <s v="LIC."/>
    <s v="LIC."/>
    <s v="LIC."/>
    <s v="LIC."/>
    <m/>
    <m/>
    <m/>
    <m/>
    <m/>
    <m/>
    <m/>
    <m/>
    <m/>
    <m/>
    <m/>
    <m/>
    <m/>
    <m/>
    <m/>
    <m/>
    <m/>
    <m/>
    <m/>
    <m/>
    <m/>
    <m/>
    <m/>
    <m/>
    <m/>
    <m/>
    <m/>
    <m/>
    <m/>
    <m/>
    <m/>
    <d v="2023-07-17T00:00:00"/>
    <m/>
  </r>
  <r>
    <s v="008729Q"/>
    <s v="DIAZ ORTIZ NICOLAS FRANCISCO"/>
    <n v="194866828"/>
    <s v="S-50"/>
    <x v="142"/>
    <s v="DIAZ ORTIZ NICOLAS FRANCISCO"/>
    <x v="5"/>
    <x v="0"/>
    <x v="1"/>
    <x v="1"/>
    <s v=""/>
    <x v="11"/>
    <s v="LICENCIA ENFERMEDAD O ACCIDENTE COMÚN"/>
    <m/>
    <m/>
    <m/>
    <s v="O/S"/>
    <d v="2024-04-06T00:00:00"/>
    <m/>
    <m/>
    <d v="2024-04-01T00:00:00"/>
    <d v="2024-04-15T00:00:00"/>
    <n v="15"/>
    <n v="1"/>
    <n v="300"/>
    <n v="12"/>
    <n v="0"/>
    <s v="LIC."/>
    <s v="LIC."/>
    <s v="LIC."/>
    <s v="LIC."/>
    <s v="LIC."/>
    <s v="LIC."/>
    <m/>
    <m/>
    <m/>
    <m/>
    <m/>
    <m/>
    <m/>
    <m/>
    <m/>
    <m/>
    <m/>
    <m/>
    <m/>
    <m/>
    <m/>
    <m/>
    <m/>
    <m/>
    <m/>
    <m/>
    <m/>
    <m/>
    <m/>
    <m/>
    <m/>
    <m/>
    <m/>
    <m/>
    <m/>
    <m/>
    <m/>
    <d v="2023-07-13T00:00:00"/>
    <m/>
  </r>
  <r>
    <s v="018605E"/>
    <s v="LOYOLA HERNANDEZ CRISTIAN RODRIGO"/>
    <n v="199907263"/>
    <s v="S-53"/>
    <x v="142"/>
    <s v="LOYOLA HERNANDEZ CRISTIAN RODRIGO"/>
    <x v="5"/>
    <x v="0"/>
    <x v="1"/>
    <x v="1"/>
    <s v=""/>
    <x v="11"/>
    <s v="LICENCIA ENFERMEDAD O ACCIDENTE COMÚN"/>
    <m/>
    <m/>
    <m/>
    <s v="O/S"/>
    <d v="2024-04-06T00:00:00"/>
    <m/>
    <m/>
    <d v="2024-04-01T00:00:00"/>
    <d v="2024-04-21T00:00:00"/>
    <n v="21"/>
    <n v="1"/>
    <n v="300"/>
    <n v="12"/>
    <n v="0"/>
    <s v="LIC."/>
    <s v="LIC."/>
    <s v="LIC."/>
    <s v="LIC."/>
    <s v="LIC."/>
    <s v="LIC."/>
    <m/>
    <m/>
    <m/>
    <m/>
    <m/>
    <m/>
    <m/>
    <m/>
    <m/>
    <m/>
    <m/>
    <m/>
    <m/>
    <m/>
    <m/>
    <m/>
    <m/>
    <m/>
    <m/>
    <m/>
    <m/>
    <m/>
    <m/>
    <m/>
    <m/>
    <m/>
    <m/>
    <m/>
    <m/>
    <m/>
    <m/>
    <d v="2022-04-29T00:00:00"/>
    <m/>
  </r>
  <r>
    <s v="018439X"/>
    <s v="MARINAO VASQUEZ PEDRO ELOGIO"/>
    <n v="203415419"/>
    <s v="S-33"/>
    <x v="142"/>
    <s v="MARINAO VASQUEZ PEDRO ELOGIO"/>
    <x v="5"/>
    <x v="0"/>
    <x v="1"/>
    <x v="1"/>
    <s v=""/>
    <x v="11"/>
    <s v="LICENCIA ENFERMEDAD O ACCIDENTE COMÚN"/>
    <m/>
    <m/>
    <m/>
    <s v="O/S"/>
    <d v="2024-04-06T00:00:00"/>
    <m/>
    <s v="LISTO"/>
    <d v="2024-03-26T00:00:00"/>
    <d v="2024-04-14T00:00:00"/>
    <n v="20"/>
    <n v="1"/>
    <n v="300"/>
    <n v="12"/>
    <n v="0"/>
    <s v="LIC."/>
    <s v="LIC."/>
    <s v="LIC."/>
    <s v="LIC."/>
    <s v="LIC."/>
    <s v="LIC."/>
    <m/>
    <m/>
    <m/>
    <m/>
    <m/>
    <m/>
    <m/>
    <m/>
    <m/>
    <m/>
    <m/>
    <m/>
    <m/>
    <m/>
    <m/>
    <m/>
    <m/>
    <m/>
    <m/>
    <m/>
    <m/>
    <m/>
    <m/>
    <m/>
    <m/>
    <m/>
    <m/>
    <m/>
    <m/>
    <m/>
    <m/>
    <d v="2023-07-05T00:00:00"/>
    <m/>
  </r>
  <r>
    <s v="017159V"/>
    <s v="PAVEZ BERMUDEZ MARIA JOSE"/>
    <n v="202989659"/>
    <s v="S-50"/>
    <x v="142"/>
    <s v="PAVEZ BERMUDEZ MARIA JOSE"/>
    <x v="5"/>
    <x v="1"/>
    <x v="1"/>
    <x v="1"/>
    <s v=""/>
    <x v="11"/>
    <s v="LICENCIA ENFERMEDAD O ACCIDENTE COMÚN"/>
    <m/>
    <m/>
    <m/>
    <s v="O/S"/>
    <d v="2024-04-06T00:00:00"/>
    <m/>
    <s v="LISTO"/>
    <d v="2024-03-29T00:00:00"/>
    <d v="2024-04-27T00:00:00"/>
    <n v="30"/>
    <n v="1"/>
    <n v="300"/>
    <n v="12"/>
    <n v="0"/>
    <s v="LIC."/>
    <s v="LIC."/>
    <s v="LIC."/>
    <s v="LIC."/>
    <s v="LIC."/>
    <s v="LIC."/>
    <m/>
    <m/>
    <m/>
    <m/>
    <m/>
    <m/>
    <m/>
    <m/>
    <m/>
    <m/>
    <m/>
    <m/>
    <m/>
    <m/>
    <m/>
    <m/>
    <m/>
    <m/>
    <m/>
    <m/>
    <m/>
    <m/>
    <m/>
    <m/>
    <m/>
    <m/>
    <m/>
    <m/>
    <m/>
    <m/>
    <m/>
    <d v="2023-05-02T00:00:00"/>
    <m/>
  </r>
  <r>
    <s v="018680D"/>
    <s v="SANDOVAL VERA HUGO TOMAS"/>
    <n v="199231138"/>
    <s v="S-35"/>
    <x v="142"/>
    <s v="SANDOVAL VERA HUGO TOMAS                 (L)"/>
    <x v="5"/>
    <x v="0"/>
    <x v="1"/>
    <x v="1"/>
    <s v="(L)"/>
    <x v="11"/>
    <s v="LICENCIA ENFERMEDAD O ACCIDENTE COMÚN"/>
    <m/>
    <m/>
    <m/>
    <s v="O/S"/>
    <d v="2024-04-06T00:00:00"/>
    <m/>
    <s v="LISTO"/>
    <d v="2024-03-16T00:00:00"/>
    <d v="2024-04-14T00:00:00"/>
    <n v="30"/>
    <n v="1"/>
    <n v="300"/>
    <n v="12"/>
    <n v="0"/>
    <s v="LIC."/>
    <s v="LIC."/>
    <s v="LIC."/>
    <s v="LIC."/>
    <s v="LIC."/>
    <s v="LIC."/>
    <m/>
    <m/>
    <m/>
    <m/>
    <m/>
    <m/>
    <m/>
    <m/>
    <m/>
    <m/>
    <m/>
    <m/>
    <m/>
    <m/>
    <m/>
    <m/>
    <m/>
    <m/>
    <m/>
    <m/>
    <m/>
    <m/>
    <m/>
    <m/>
    <m/>
    <m/>
    <m/>
    <m/>
    <m/>
    <m/>
    <m/>
    <d v="2023-05-12T00:00:00"/>
    <m/>
  </r>
  <r>
    <s v="978891U"/>
    <s v="ZUÑIGA MONTECINO MAURICIO"/>
    <s v="17147082K"/>
    <s v="S-34"/>
    <x v="142"/>
    <s v="ZUÑIGA MONTECINO MAURICIO"/>
    <x v="5"/>
    <x v="0"/>
    <x v="1"/>
    <x v="1"/>
    <s v=""/>
    <x v="11"/>
    <s v="LICENCIA ENFERMEDAD O ACCIDENTE COMÚN"/>
    <m/>
    <m/>
    <m/>
    <s v="O/S"/>
    <d v="2024-04-06T00:00:00"/>
    <m/>
    <s v="LISTO"/>
    <d v="2024-03-21T00:00:00"/>
    <d v="2024-04-10T00:00:00"/>
    <n v="21"/>
    <n v="1"/>
    <n v="300"/>
    <n v="12"/>
    <n v="0"/>
    <s v="LIC."/>
    <s v="LIC."/>
    <s v="LIC."/>
    <s v="LIC."/>
    <s v="LIC."/>
    <s v="LIC."/>
    <m/>
    <m/>
    <m/>
    <m/>
    <m/>
    <m/>
    <m/>
    <m/>
    <m/>
    <m/>
    <m/>
    <m/>
    <m/>
    <m/>
    <m/>
    <m/>
    <m/>
    <m/>
    <m/>
    <m/>
    <m/>
    <m/>
    <m/>
    <m/>
    <m/>
    <m/>
    <m/>
    <m/>
    <m/>
    <m/>
    <m/>
    <d v="2023-05-05T00:00:00"/>
    <m/>
  </r>
  <r>
    <s v="014124F"/>
    <s v="WELLMANN LOBOS JAVIER IGNACIO"/>
    <n v="195375844"/>
    <s v="S-38"/>
    <x v="142"/>
    <s v="WELLMANN LOBOS JAVIER IGNACIO (IFEX)"/>
    <x v="9"/>
    <x v="0"/>
    <x v="1"/>
    <x v="1"/>
    <s v="(IFEX)"/>
    <x v="11"/>
    <s v="LICENCIA ENFERMEDAD O ACCIDENTE COMÚN"/>
    <m/>
    <m/>
    <m/>
    <s v="O/S"/>
    <d v="2024-04-06T00:00:00"/>
    <m/>
    <m/>
    <d v="2024-03-18T00:00:00"/>
    <d v="2024-04-07T00:00:00"/>
    <n v="21"/>
    <n v="1"/>
    <n v="300"/>
    <n v="13"/>
    <n v="0"/>
    <s v="LIC."/>
    <s v="LIC."/>
    <s v="LIC."/>
    <s v="LIC."/>
    <s v="LIC."/>
    <s v="LIC."/>
    <m/>
    <m/>
    <m/>
    <m/>
    <m/>
    <m/>
    <m/>
    <m/>
    <m/>
    <m/>
    <m/>
    <m/>
    <m/>
    <m/>
    <m/>
    <m/>
    <m/>
    <m/>
    <m/>
    <m/>
    <m/>
    <m/>
    <m/>
    <m/>
    <m/>
    <m/>
    <m/>
    <m/>
    <m/>
    <m/>
    <m/>
    <d v="2023-05-11T00:00:00"/>
    <m/>
  </r>
  <r>
    <s v="977888Y"/>
    <s v="NOVOA GRANDON RUBEN ARLY"/>
    <s v="17582538K"/>
    <s v="JEFE/PTL-13"/>
    <x v="143"/>
    <s v="NOVOA GRANDON RUBEN ARLY"/>
    <x v="1"/>
    <x v="0"/>
    <x v="1"/>
    <x v="1"/>
    <s v=""/>
    <x v="11"/>
    <s v="LICENCIA ENFERMEDAD PROFESIONAL"/>
    <m/>
    <m/>
    <m/>
    <s v="O/S"/>
    <d v="2024-04-06T00:00:00"/>
    <m/>
    <s v="RES. 246 13-02-2024 AL 30-04-2024 78 DIAS Y RES. 257 01-05-2024 AL 31-05-2024 POR 31 DIAS"/>
    <d v="2024-03-14T00:00:00"/>
    <d v="2024-05-31T00:00:00"/>
    <n v="79"/>
    <n v="1"/>
    <n v="301"/>
    <n v="10"/>
    <n v="0"/>
    <s v="LIC."/>
    <s v="LIC."/>
    <s v="LIC."/>
    <s v="LIC."/>
    <s v="LIC."/>
    <s v="LIC."/>
    <m/>
    <m/>
    <m/>
    <m/>
    <m/>
    <m/>
    <m/>
    <m/>
    <m/>
    <m/>
    <m/>
    <m/>
    <m/>
    <m/>
    <m/>
    <m/>
    <m/>
    <m/>
    <m/>
    <m/>
    <m/>
    <m/>
    <m/>
    <m/>
    <m/>
    <m/>
    <m/>
    <m/>
    <m/>
    <m/>
    <m/>
    <d v="2023-07-03T00:00:00"/>
    <m/>
  </r>
  <r>
    <s v="019098W"/>
    <s v="CORREA FUENTES JAVIERA FERNANDA"/>
    <n v="207444898"/>
    <s v="S-50"/>
    <x v="144"/>
    <s v="CORREA FUENTES JAVIERA FERNANDA"/>
    <x v="5"/>
    <x v="1"/>
    <x v="1"/>
    <x v="1"/>
    <s v=""/>
    <x v="11"/>
    <s v="LICENCIA MATERNAL POST NATAL"/>
    <m/>
    <m/>
    <m/>
    <s v="O/S"/>
    <d v="2024-04-06T00:00:00"/>
    <m/>
    <s v="LISTO"/>
    <d v="2024-02-27T00:00:00"/>
    <d v="2024-05-20T00:00:00"/>
    <n v="84"/>
    <n v="1"/>
    <n v="303"/>
    <n v="12"/>
    <n v="0"/>
    <s v="LIC."/>
    <s v="LIC."/>
    <s v="LIC."/>
    <s v="LIC."/>
    <s v="LIC."/>
    <s v="LIC."/>
    <m/>
    <m/>
    <m/>
    <m/>
    <m/>
    <m/>
    <m/>
    <m/>
    <m/>
    <m/>
    <m/>
    <m/>
    <m/>
    <m/>
    <m/>
    <m/>
    <m/>
    <m/>
    <m/>
    <m/>
    <m/>
    <m/>
    <m/>
    <m/>
    <m/>
    <m/>
    <m/>
    <m/>
    <m/>
    <m/>
    <m/>
    <d v="2023-04-11T00:00:00"/>
    <m/>
  </r>
  <r>
    <s v="017142L"/>
    <s v="MUÑOZ BRAVO BARBARA CAROLINA"/>
    <n v="203066465"/>
    <s v="S-50"/>
    <x v="145"/>
    <s v="MUÑOZ BRAVO BARBARA CAROLINA"/>
    <x v="5"/>
    <x v="1"/>
    <x v="1"/>
    <x v="1"/>
    <s v=""/>
    <x v="11"/>
    <s v="LICENCIA PATOLOGÍA DEL EMBARAZO"/>
    <m/>
    <m/>
    <m/>
    <s v="O/S"/>
    <d v="2024-04-06T00:00:00"/>
    <m/>
    <s v="LISTO"/>
    <d v="2024-03-21T00:00:00"/>
    <d v="2024-05-01T00:00:00"/>
    <n v="42"/>
    <n v="1"/>
    <n v="304"/>
    <n v="12"/>
    <n v="0"/>
    <s v="LIC."/>
    <s v="LIC."/>
    <s v="LIC."/>
    <s v="LIC."/>
    <s v="LIC."/>
    <s v="LIC."/>
    <m/>
    <m/>
    <m/>
    <m/>
    <m/>
    <m/>
    <m/>
    <m/>
    <m/>
    <m/>
    <m/>
    <m/>
    <m/>
    <m/>
    <m/>
    <m/>
    <m/>
    <m/>
    <m/>
    <m/>
    <m/>
    <m/>
    <m/>
    <m/>
    <m/>
    <m/>
    <m/>
    <m/>
    <m/>
    <m/>
    <m/>
    <d v="2023-04-28T00:00:00"/>
    <m/>
  </r>
  <r>
    <s v="951883R"/>
    <s v="SOTO BECAR CRISTIAN ALEJANDRO"/>
    <n v="144902866"/>
    <s v="JEFE/S-32"/>
    <x v="146"/>
    <s v="SOTO BECAR CRISTIAN ALEJANDRO"/>
    <x v="6"/>
    <x v="0"/>
    <x v="1"/>
    <x v="1"/>
    <s v=""/>
    <x v="12"/>
    <s v="PERMISO ADMINISTRATIVO"/>
    <m/>
    <m/>
    <m/>
    <s v="O/S"/>
    <d v="2024-04-06T00:00:00"/>
    <m/>
    <m/>
    <d v="2024-04-05T00:00:00"/>
    <d v="2024-04-07T00:00:00"/>
    <n v="3"/>
    <n v="1"/>
    <n v="311"/>
    <n v="8"/>
    <n v="0"/>
    <s v="1T"/>
    <s v="1P"/>
    <s v="2P"/>
    <s v="SN"/>
    <s v="PER."/>
    <s v="PER."/>
    <m/>
    <m/>
    <m/>
    <m/>
    <m/>
    <m/>
    <m/>
    <m/>
    <m/>
    <m/>
    <m/>
    <m/>
    <m/>
    <m/>
    <m/>
    <m/>
    <m/>
    <m/>
    <m/>
    <m/>
    <m/>
    <m/>
    <m/>
    <m/>
    <m/>
    <m/>
    <m/>
    <m/>
    <m/>
    <m/>
    <m/>
    <d v="2023-05-10T00:00:00"/>
    <m/>
  </r>
  <r>
    <s v="964940A"/>
    <s v="FUENTES BRICEÑO DANIELA DEL CARMEN"/>
    <n v="141584200"/>
    <s v="GUARDIA CUARTEL 2"/>
    <x v="146"/>
    <s v="FUENTES BRICEÑO DANIELA DEL CARMEN"/>
    <x v="3"/>
    <x v="1"/>
    <x v="1"/>
    <x v="1"/>
    <s v=""/>
    <x v="12"/>
    <s v="PERMISO ADMINISTRATIVO"/>
    <m/>
    <m/>
    <m/>
    <s v="O/S"/>
    <d v="2024-04-06T00:00:00"/>
    <m/>
    <s v="LISTO "/>
    <d v="2024-04-05T00:00:00"/>
    <d v="2024-04-06T00:00:00"/>
    <n v="2"/>
    <n v="1"/>
    <n v="311"/>
    <n v="9"/>
    <n v="0"/>
    <s v="1G"/>
    <s v="2G"/>
    <s v="SN"/>
    <s v="1G"/>
    <s v="PER."/>
    <s v="PER."/>
    <m/>
    <m/>
    <m/>
    <m/>
    <m/>
    <m/>
    <m/>
    <m/>
    <m/>
    <m/>
    <m/>
    <m/>
    <m/>
    <m/>
    <m/>
    <m/>
    <m/>
    <m/>
    <m/>
    <m/>
    <m/>
    <m/>
    <m/>
    <m/>
    <m/>
    <m/>
    <m/>
    <m/>
    <m/>
    <m/>
    <m/>
    <d v="2023-06-02T00:00:00"/>
    <m/>
  </r>
  <r>
    <s v="010584M"/>
    <s v="JELDRES FIGUEROA JULIO LEONARDO"/>
    <n v="190000699"/>
    <s v="S-44"/>
    <x v="146"/>
    <s v="JELDRES FIGUEROA JULIO LEONARDO     (L-J)"/>
    <x v="5"/>
    <x v="0"/>
    <x v="1"/>
    <x v="1"/>
    <s v="(L-J)"/>
    <x v="12"/>
    <s v="PERMISO ADMINISTRATIVO"/>
    <m/>
    <m/>
    <m/>
    <s v="O/S"/>
    <d v="2024-04-06T00:00:00"/>
    <s v="NOTIFICAR"/>
    <s v="DOE. 202831455 //8° JUZGADO DE GARANTIA SANTIAGO, PARA EL DIA 01.07.2024, A LAS 11:00 HORAS."/>
    <d v="2024-04-05T00:00:00"/>
    <s v="05/04/204"/>
    <s v=""/>
    <n v="1"/>
    <n v="311"/>
    <n v="12"/>
    <n v="0"/>
    <s v="2T"/>
    <s v="3T"/>
    <s v="SN"/>
    <s v="1T"/>
    <s v="PER."/>
    <s v="PER."/>
    <m/>
    <m/>
    <m/>
    <m/>
    <m/>
    <m/>
    <m/>
    <m/>
    <m/>
    <m/>
    <m/>
    <m/>
    <m/>
    <m/>
    <m/>
    <m/>
    <m/>
    <m/>
    <m/>
    <m/>
    <m/>
    <m/>
    <m/>
    <m/>
    <m/>
    <m/>
    <m/>
    <m/>
    <m/>
    <m/>
    <m/>
    <d v="2024-03-26T00:00:00"/>
    <m/>
  </r>
  <r>
    <s v="018633Z"/>
    <s v="VILLEGA NUÑEZ DIEGO ALONSO"/>
    <n v="203164599"/>
    <s v="S-32"/>
    <x v="146"/>
    <s v="VILLEGA NUÑEZ DIEGO ALONSO"/>
    <x v="5"/>
    <x v="0"/>
    <x v="1"/>
    <x v="1"/>
    <s v=""/>
    <x v="12"/>
    <s v="PERMISO ADMINISTRATIVO"/>
    <m/>
    <m/>
    <m/>
    <s v="O/S"/>
    <d v="2024-04-06T00:00:00"/>
    <m/>
    <s v="LISTO"/>
    <d v="2024-04-06T00:00:00"/>
    <d v="2024-04-07T00:00:00"/>
    <n v="2"/>
    <n v="1"/>
    <n v="311"/>
    <n v="12"/>
    <n v="0"/>
    <s v="1T"/>
    <s v="1P"/>
    <s v="2P"/>
    <s v="SN"/>
    <s v="2T"/>
    <s v="PER."/>
    <m/>
    <m/>
    <m/>
    <m/>
    <m/>
    <m/>
    <m/>
    <m/>
    <m/>
    <m/>
    <m/>
    <m/>
    <m/>
    <m/>
    <m/>
    <m/>
    <m/>
    <m/>
    <m/>
    <m/>
    <m/>
    <m/>
    <m/>
    <m/>
    <m/>
    <m/>
    <m/>
    <m/>
    <m/>
    <m/>
    <m/>
    <d v="2024-03-19T00:00:00"/>
    <m/>
  </r>
  <r>
    <s v="963122R"/>
    <s v="POBLETE GONZALEZ PATRICIO ALFONSO"/>
    <n v="136125478"/>
    <s v="COMANDO Y CONTROL"/>
    <x v="147"/>
    <s v="POBLETE GONZALEZ PATRICIO ALFONSO"/>
    <x v="3"/>
    <x v="0"/>
    <x v="1"/>
    <x v="1"/>
    <s v=""/>
    <x v="6"/>
    <s v="COMANDO Y CONTROL"/>
    <m/>
    <m/>
    <m/>
    <s v="O/S"/>
    <d v="2024-04-06T00:00:00"/>
    <m/>
    <m/>
    <m/>
    <m/>
    <s v=""/>
    <n v="1"/>
    <n v="323"/>
    <n v="9"/>
    <n v="0"/>
    <s v="ADM."/>
    <s v="ADM."/>
    <s v="ADM."/>
    <s v="ADM."/>
    <s v="ADM."/>
    <s v="ADM."/>
    <m/>
    <m/>
    <m/>
    <m/>
    <m/>
    <m/>
    <m/>
    <m/>
    <m/>
    <m/>
    <m/>
    <m/>
    <m/>
    <m/>
    <m/>
    <m/>
    <m/>
    <m/>
    <m/>
    <m/>
    <m/>
    <m/>
    <m/>
    <m/>
    <m/>
    <m/>
    <m/>
    <m/>
    <m/>
    <m/>
    <m/>
    <d v="2023-07-20T00:00:00"/>
    <m/>
  </r>
  <r>
    <s v="980908C"/>
    <s v="BERRIOS ESPINOZA FRANCISCO BRIAN ENAMUELLE"/>
    <n v="174553122"/>
    <s v="COMANDO Y CONTROL"/>
    <x v="147"/>
    <s v="BERRIOS ESPINOZA FRANCISCO BRIAN ENAMUELLE"/>
    <x v="1"/>
    <x v="0"/>
    <x v="1"/>
    <x v="1"/>
    <s v=""/>
    <x v="6"/>
    <s v="COMANDO Y CONTROL"/>
    <m/>
    <m/>
    <m/>
    <s v="O/S"/>
    <d v="2024-04-06T00:00:00"/>
    <m/>
    <m/>
    <m/>
    <m/>
    <s v=""/>
    <n v="1"/>
    <n v="323"/>
    <n v="10"/>
    <n v="0"/>
    <s v="ADM."/>
    <s v="ADM."/>
    <s v="ADM."/>
    <s v="ADM."/>
    <s v="ADM."/>
    <s v="ADM."/>
    <m/>
    <m/>
    <m/>
    <m/>
    <m/>
    <m/>
    <m/>
    <m/>
    <m/>
    <m/>
    <m/>
    <m/>
    <m/>
    <m/>
    <m/>
    <m/>
    <m/>
    <m/>
    <m/>
    <m/>
    <m/>
    <m/>
    <m/>
    <m/>
    <m/>
    <m/>
    <m/>
    <m/>
    <m/>
    <m/>
    <m/>
    <d v="2023-07-13T00:00:00"/>
    <m/>
  </r>
  <r>
    <s v="018365C"/>
    <s v="RIVAS ROJAS FERNANDA DANIELA"/>
    <n v="195531854"/>
    <s v="S-53"/>
    <x v="148"/>
    <s v="RIVAS ROJAS FERNANDA DANIELA"/>
    <x v="5"/>
    <x v="1"/>
    <x v="1"/>
    <x v="1"/>
    <s v=""/>
    <x v="6"/>
    <s v="OF. REQUERIMIENTOS"/>
    <m/>
    <m/>
    <m/>
    <s v="O/S"/>
    <d v="2024-04-06T00:00:00"/>
    <m/>
    <s v="OF. REQUERIMIENTOS / FUERO MATERNAL 09:00 A 17:00 HRS // REQ. "/>
    <m/>
    <m/>
    <s v=""/>
    <n v="1"/>
    <n v="325"/>
    <n v="12"/>
    <n v="0"/>
    <s v="ADM."/>
    <s v="ADM."/>
    <s v="ADM."/>
    <s v="ADM."/>
    <s v="ADM."/>
    <s v="ADM."/>
    <m/>
    <m/>
    <m/>
    <m/>
    <m/>
    <m/>
    <m/>
    <m/>
    <m/>
    <m/>
    <m/>
    <m/>
    <m/>
    <m/>
    <m/>
    <m/>
    <m/>
    <m/>
    <m/>
    <m/>
    <m/>
    <m/>
    <m/>
    <m/>
    <m/>
    <m/>
    <m/>
    <m/>
    <m/>
    <m/>
    <m/>
    <d v="2023-08-17T00:00:00"/>
    <m/>
  </r>
  <r>
    <s v="942154U"/>
    <s v="GONZALEZ CUEVAS JORGE HERNAN"/>
    <n v="100475766"/>
    <s v="OF. ORDENES JUDICIALES"/>
    <x v="149"/>
    <s v="GONZALEZ CUEVAS JORGE HERNAN"/>
    <x v="11"/>
    <x v="0"/>
    <x v="1"/>
    <x v="1"/>
    <s v=""/>
    <x v="6"/>
    <s v="OF. ORDENES JUDICIALES"/>
    <m/>
    <m/>
    <m/>
    <s v="O/S"/>
    <d v="1988-09-15T00:00:00"/>
    <m/>
    <s v="ENCARGADO OR. JZ. NO SACAR"/>
    <m/>
    <m/>
    <s v=""/>
    <n v="1"/>
    <n v="326"/>
    <n v="7"/>
    <n v="0"/>
    <s v="ADM."/>
    <s v="ADM."/>
    <s v="ADM."/>
    <s v="ADM."/>
    <s v="ADM."/>
    <s v="ADM."/>
    <m/>
    <m/>
    <m/>
    <m/>
    <m/>
    <m/>
    <m/>
    <m/>
    <m/>
    <m/>
    <m/>
    <m/>
    <m/>
    <m/>
    <m/>
    <m/>
    <m/>
    <m/>
    <m/>
    <m/>
    <m/>
    <m/>
    <m/>
    <m/>
    <m/>
    <m/>
    <m/>
    <m/>
    <m/>
    <m/>
    <m/>
    <m/>
    <m/>
  </r>
  <r>
    <s v="943321U"/>
    <s v="SANZANA DIAZ JORGE"/>
    <n v="123796136"/>
    <s v="JEFE/PTL-21"/>
    <x v="150"/>
    <s v="SANZANA DIAZ JORGE"/>
    <x v="11"/>
    <x v="0"/>
    <x v="1"/>
    <x v="1"/>
    <s v=""/>
    <x v="13"/>
    <s v="PROCESO RETIRO"/>
    <m/>
    <m/>
    <m/>
    <s v="O/S"/>
    <d v="2024-04-06T00:00:00"/>
    <s v="proceso de retiro "/>
    <m/>
    <m/>
    <m/>
    <s v=""/>
    <n v="1"/>
    <n v="339"/>
    <n v="7"/>
    <n v="0"/>
    <s v="RETIRO"/>
    <s v="RETIRO"/>
    <s v="RETIRO"/>
    <s v="RETIRO"/>
    <s v="RETIRO"/>
    <s v="RETIRO"/>
    <m/>
    <m/>
    <m/>
    <m/>
    <m/>
    <m/>
    <m/>
    <m/>
    <m/>
    <m/>
    <m/>
    <m/>
    <m/>
    <m/>
    <m/>
    <m/>
    <m/>
    <m/>
    <m/>
    <m/>
    <m/>
    <m/>
    <m/>
    <m/>
    <m/>
    <m/>
    <m/>
    <m/>
    <m/>
    <m/>
    <m/>
    <d v="2023-05-04T00:00:00"/>
    <m/>
  </r>
  <r>
    <s v="946398D"/>
    <s v="GUTIERREZ QUIJADA WILLIAMS HENRY"/>
    <s v="12704208-K"/>
    <s v="CAPACITACIÓN Y REENTRENAMIENTO"/>
    <x v="151"/>
    <s v="GUTIERREZ QUIJADA WILLIAMS HENRY"/>
    <x v="11"/>
    <x v="0"/>
    <x v="2"/>
    <x v="1"/>
    <s v=""/>
    <x v="14"/>
    <s v="AGREGADOS"/>
    <m/>
    <m/>
    <m/>
    <s v="O/S"/>
    <d v="1980-06-11T00:00:00"/>
    <m/>
    <m/>
    <m/>
    <m/>
    <s v=""/>
    <n v="1"/>
    <n v="341"/>
    <n v="7"/>
    <n v="0"/>
    <s v="AG."/>
    <s v="AG."/>
    <s v="AG."/>
    <s v="AG."/>
    <s v="AG."/>
    <s v="AG."/>
    <m/>
    <m/>
    <m/>
    <m/>
    <m/>
    <m/>
    <m/>
    <m/>
    <m/>
    <m/>
    <m/>
    <m/>
    <m/>
    <m/>
    <m/>
    <m/>
    <m/>
    <m/>
    <m/>
    <m/>
    <m/>
    <m/>
    <m/>
    <m/>
    <m/>
    <m/>
    <m/>
    <m/>
    <m/>
    <m/>
    <m/>
    <d v="2023-09-14T00:00:00"/>
    <m/>
  </r>
  <r>
    <s v="959401E"/>
    <s v="CORREA GUZMAN RAIMUNDO"/>
    <s v="9471695-0"/>
    <s v="CAPACITACIÓN Y REENTRENAMIENTO"/>
    <x v="151"/>
    <s v="CORREA GUZMAN RAIMUNDO"/>
    <x v="6"/>
    <x v="0"/>
    <x v="2"/>
    <x v="1"/>
    <s v=""/>
    <x v="14"/>
    <s v="AGREGADOS"/>
    <m/>
    <m/>
    <m/>
    <s v="O/S"/>
    <s v="00-00-00"/>
    <m/>
    <m/>
    <m/>
    <m/>
    <s v=""/>
    <n v="1"/>
    <n v="341"/>
    <n v="8"/>
    <n v="0"/>
    <s v="AG."/>
    <s v="AG."/>
    <s v="AG."/>
    <s v="AG."/>
    <s v="AG."/>
    <s v="AG."/>
    <m/>
    <m/>
    <m/>
    <m/>
    <m/>
    <m/>
    <m/>
    <m/>
    <m/>
    <m/>
    <m/>
    <m/>
    <m/>
    <m/>
    <m/>
    <m/>
    <m/>
    <m/>
    <m/>
    <m/>
    <m/>
    <m/>
    <m/>
    <m/>
    <m/>
    <m/>
    <m/>
    <m/>
    <m/>
    <m/>
    <m/>
    <d v="2023-10-24T00:00:00"/>
    <m/>
  </r>
  <r>
    <s v="961404T"/>
    <s v="ARENAS LOYOLA EDUARDO ALEJANDRO"/>
    <n v="145846706"/>
    <s v="OF. DE ENLACE FINANCIERO"/>
    <x v="151"/>
    <s v="ARENAS LOYOLA EDUARDO ALEJANDRO"/>
    <x v="3"/>
    <x v="0"/>
    <x v="2"/>
    <x v="1"/>
    <s v=""/>
    <x v="14"/>
    <s v="AGREGADOS"/>
    <m/>
    <m/>
    <m/>
    <s v="O/S"/>
    <d v="2024-04-06T00:00:00"/>
    <m/>
    <m/>
    <m/>
    <m/>
    <s v=""/>
    <n v="1"/>
    <n v="341"/>
    <n v="9"/>
    <n v="0"/>
    <s v="AG."/>
    <s v="AG."/>
    <s v="AG."/>
    <s v="AG."/>
    <s v="AG."/>
    <s v="AG."/>
    <m/>
    <m/>
    <m/>
    <m/>
    <m/>
    <m/>
    <m/>
    <m/>
    <m/>
    <m/>
    <m/>
    <m/>
    <m/>
    <m/>
    <m/>
    <m/>
    <m/>
    <m/>
    <m/>
    <m/>
    <m/>
    <m/>
    <m/>
    <m/>
    <m/>
    <m/>
    <m/>
    <m/>
    <m/>
    <m/>
    <m/>
    <d v="2023-06-20T00:00:00"/>
    <m/>
  </r>
  <r>
    <s v="952330A"/>
    <s v="ARRATIA CONTRERAS CARLOS ALBERTO"/>
    <n v="129264829"/>
    <s v="AA-2"/>
    <x v="151"/>
    <s v="ARRATIA CONTRERAS CARLOS ALBERTO"/>
    <x v="3"/>
    <x v="0"/>
    <x v="2"/>
    <x v="1"/>
    <s v=""/>
    <x v="14"/>
    <s v="AGREGADOS"/>
    <m/>
    <m/>
    <m/>
    <s v="O/S"/>
    <d v="2024-04-06T00:00:00"/>
    <m/>
    <m/>
    <m/>
    <m/>
    <s v=""/>
    <n v="1"/>
    <n v="341"/>
    <n v="9"/>
    <n v="0"/>
    <s v="AG."/>
    <s v="AG."/>
    <s v="AG."/>
    <s v="AG."/>
    <s v="AG."/>
    <s v="AG."/>
    <m/>
    <m/>
    <m/>
    <m/>
    <m/>
    <m/>
    <m/>
    <m/>
    <m/>
    <m/>
    <m/>
    <m/>
    <m/>
    <m/>
    <m/>
    <m/>
    <m/>
    <m/>
    <m/>
    <m/>
    <m/>
    <m/>
    <m/>
    <m/>
    <m/>
    <m/>
    <m/>
    <m/>
    <m/>
    <m/>
    <m/>
    <d v="2023-06-06T00:00:00"/>
    <m/>
  </r>
  <r>
    <s v="962403T"/>
    <s v="CAROCA SANDOVAL PEDRO DAMIEAN"/>
    <n v="146138055"/>
    <s v="AGREGADOS"/>
    <x v="151"/>
    <s v="CAROCA SANDOVAL PEDRO DAMIEAN"/>
    <x v="3"/>
    <x v="0"/>
    <x v="3"/>
    <x v="1"/>
    <s v=""/>
    <x v="14"/>
    <s v="AGREGADOS"/>
    <m/>
    <m/>
    <m/>
    <s v="O/S"/>
    <d v="1981-04-17T00:00:00"/>
    <m/>
    <s v="COMISION HASTA 20-01-2024 DOE 198471339,199280615//"/>
    <m/>
    <m/>
    <s v=""/>
    <n v="1"/>
    <n v="341"/>
    <n v="9"/>
    <n v="0"/>
    <s v="AG."/>
    <s v="AG."/>
    <s v="AG."/>
    <s v="AG."/>
    <s v="AG."/>
    <s v="AG."/>
    <m/>
    <m/>
    <m/>
    <m/>
    <m/>
    <m/>
    <m/>
    <m/>
    <m/>
    <m/>
    <m/>
    <m/>
    <m/>
    <m/>
    <m/>
    <m/>
    <m/>
    <m/>
    <m/>
    <m/>
    <m/>
    <m/>
    <m/>
    <m/>
    <m/>
    <m/>
    <m/>
    <m/>
    <m/>
    <m/>
    <m/>
    <d v="2023-05-26T00:00:00"/>
    <m/>
  </r>
  <r>
    <s v="967302A"/>
    <s v="HORMAZABAL VALDES SAMUEL"/>
    <n v="160506857"/>
    <s v="OF. RESERVADOS"/>
    <x v="151"/>
    <s v="HORMAZABAL VALDES SAMUEL"/>
    <x v="3"/>
    <x v="0"/>
    <x v="2"/>
    <x v="1"/>
    <s v=""/>
    <x v="14"/>
    <s v="AGREGADOS"/>
    <m/>
    <m/>
    <m/>
    <s v="O/S"/>
    <d v="2024-04-06T00:00:00"/>
    <m/>
    <m/>
    <m/>
    <m/>
    <s v=""/>
    <n v="1"/>
    <n v="341"/>
    <n v="9"/>
    <n v="0"/>
    <s v="AG."/>
    <s v="AG."/>
    <s v="AG."/>
    <s v="AG."/>
    <s v="AG."/>
    <s v="AG."/>
    <m/>
    <m/>
    <m/>
    <m/>
    <m/>
    <m/>
    <m/>
    <m/>
    <m/>
    <m/>
    <m/>
    <m/>
    <m/>
    <m/>
    <m/>
    <m/>
    <m/>
    <m/>
    <m/>
    <m/>
    <m/>
    <m/>
    <m/>
    <m/>
    <m/>
    <m/>
    <m/>
    <m/>
    <m/>
    <m/>
    <m/>
    <d v="2023-06-08T00:00:00"/>
    <m/>
  </r>
  <r>
    <s v="966595P"/>
    <s v="MANSILLA BUSTOS PABLO ANDRES"/>
    <n v="160918411"/>
    <s v="OF. COMUNICACIONES Y AUDIOVISUALES"/>
    <x v="151"/>
    <s v="MANSILLA BUSTOS PABLO ANDRES"/>
    <x v="3"/>
    <x v="0"/>
    <x v="2"/>
    <x v="1"/>
    <s v=""/>
    <x v="14"/>
    <s v="AGREGADOS"/>
    <m/>
    <m/>
    <m/>
    <s v="O/S"/>
    <d v="2024-04-06T00:00:00"/>
    <m/>
    <m/>
    <m/>
    <m/>
    <s v=""/>
    <n v="1"/>
    <n v="341"/>
    <n v="9"/>
    <n v="0"/>
    <s v="AG."/>
    <s v="AG."/>
    <s v="AG."/>
    <s v="AG."/>
    <s v="AG."/>
    <s v="AG."/>
    <m/>
    <m/>
    <m/>
    <m/>
    <m/>
    <m/>
    <m/>
    <m/>
    <m/>
    <m/>
    <m/>
    <m/>
    <m/>
    <m/>
    <m/>
    <m/>
    <m/>
    <m/>
    <m/>
    <m/>
    <m/>
    <m/>
    <m/>
    <m/>
    <m/>
    <m/>
    <m/>
    <m/>
    <m/>
    <m/>
    <m/>
    <d v="2023-06-19T00:00:00"/>
    <m/>
  </r>
  <r>
    <s v="964356C"/>
    <s v="VEGA SOTO NELSON HUGO"/>
    <n v="153746931"/>
    <s v="SECCIÓN OPERACIONES PREF."/>
    <x v="151"/>
    <s v="VEGA SOTO NELSON HUGO"/>
    <x v="3"/>
    <x v="0"/>
    <x v="2"/>
    <x v="1"/>
    <s v=""/>
    <x v="14"/>
    <s v="AGREGADOS"/>
    <m/>
    <m/>
    <m/>
    <s v="O/S"/>
    <d v="2024-04-06T00:00:00"/>
    <m/>
    <m/>
    <m/>
    <m/>
    <s v=""/>
    <n v="1"/>
    <n v="341"/>
    <n v="9"/>
    <n v="0"/>
    <s v="AG."/>
    <s v="AG."/>
    <s v="AG."/>
    <s v="AG."/>
    <s v="AG."/>
    <s v="AG."/>
    <m/>
    <m/>
    <m/>
    <m/>
    <m/>
    <m/>
    <m/>
    <m/>
    <m/>
    <m/>
    <m/>
    <m/>
    <m/>
    <m/>
    <m/>
    <m/>
    <m/>
    <m/>
    <m/>
    <m/>
    <m/>
    <m/>
    <m/>
    <m/>
    <m/>
    <m/>
    <m/>
    <m/>
    <m/>
    <m/>
    <m/>
    <d v="2024-04-03T00:00:00"/>
    <m/>
  </r>
  <r>
    <s v="961134K"/>
    <s v="CEBALLOS SANHUEZA NELSON"/>
    <n v="140358398"/>
    <s v="OF. RESERVADOS"/>
    <x v="151"/>
    <s v="CEBALLOS SANHUEZA NELSON"/>
    <x v="1"/>
    <x v="0"/>
    <x v="2"/>
    <x v="1"/>
    <s v=""/>
    <x v="14"/>
    <s v="AGREGADOS"/>
    <m/>
    <m/>
    <m/>
    <s v="O/S"/>
    <d v="2024-04-06T00:00:00"/>
    <m/>
    <m/>
    <m/>
    <m/>
    <s v=""/>
    <n v="1"/>
    <n v="341"/>
    <n v="10"/>
    <n v="0"/>
    <s v="AG."/>
    <s v="AG."/>
    <s v="AG."/>
    <s v="AG."/>
    <s v="AG."/>
    <s v="AG."/>
    <m/>
    <m/>
    <m/>
    <m/>
    <m/>
    <m/>
    <m/>
    <m/>
    <m/>
    <m/>
    <m/>
    <m/>
    <m/>
    <m/>
    <m/>
    <m/>
    <m/>
    <m/>
    <m/>
    <m/>
    <m/>
    <m/>
    <m/>
    <m/>
    <m/>
    <m/>
    <m/>
    <m/>
    <m/>
    <m/>
    <m/>
    <d v="2023-06-07T00:00:00"/>
    <m/>
  </r>
  <r>
    <s v="970599B"/>
    <s v="MALDONADO LIZANA EXEQUIEL ALEJANDRO"/>
    <n v="155773553"/>
    <s v="ARMERO ARTIFICIERO"/>
    <x v="151"/>
    <s v="MALDONADO LIZANA EXEQUIEL ALEJANDRO"/>
    <x v="1"/>
    <x v="0"/>
    <x v="0"/>
    <x v="1"/>
    <s v=""/>
    <x v="14"/>
    <s v="AGREGADOS"/>
    <m/>
    <m/>
    <m/>
    <s v="O/S"/>
    <d v="2024-04-06T00:00:00"/>
    <m/>
    <m/>
    <m/>
    <m/>
    <s v=""/>
    <n v="1"/>
    <n v="341"/>
    <n v="10"/>
    <n v="0"/>
    <s v="AG."/>
    <s v="AG."/>
    <s v="AG."/>
    <s v="AG."/>
    <s v="AG."/>
    <s v="AG."/>
    <m/>
    <m/>
    <m/>
    <m/>
    <m/>
    <m/>
    <m/>
    <m/>
    <m/>
    <m/>
    <m/>
    <m/>
    <m/>
    <m/>
    <m/>
    <m/>
    <m/>
    <m/>
    <m/>
    <m/>
    <m/>
    <m/>
    <m/>
    <m/>
    <m/>
    <m/>
    <m/>
    <m/>
    <m/>
    <m/>
    <m/>
    <d v="2022-05-30T00:00:00"/>
    <m/>
  </r>
  <r>
    <s v="982253Y"/>
    <s v="MANSILLA ARAVENA LUIS OMAR"/>
    <n v="172967825"/>
    <s v="OF. COMUNICACIONES Y AUDIOVISUALES"/>
    <x v="151"/>
    <s v="MANSILLA ARAVENA LUIS OMAR"/>
    <x v="1"/>
    <x v="0"/>
    <x v="2"/>
    <x v="1"/>
    <s v=""/>
    <x v="14"/>
    <s v="AGREGADOS"/>
    <m/>
    <m/>
    <m/>
    <s v="O/S"/>
    <d v="2024-04-06T00:00:00"/>
    <m/>
    <m/>
    <m/>
    <m/>
    <s v=""/>
    <n v="1"/>
    <n v="341"/>
    <n v="10"/>
    <n v="0"/>
    <s v="AG."/>
    <s v="AG."/>
    <s v="AG."/>
    <s v="AG."/>
    <s v="AG."/>
    <s v="AG."/>
    <m/>
    <m/>
    <m/>
    <m/>
    <m/>
    <m/>
    <m/>
    <m/>
    <m/>
    <m/>
    <m/>
    <m/>
    <m/>
    <m/>
    <m/>
    <m/>
    <m/>
    <m/>
    <m/>
    <m/>
    <m/>
    <m/>
    <m/>
    <m/>
    <m/>
    <m/>
    <m/>
    <m/>
    <m/>
    <m/>
    <m/>
    <d v="2023-07-14T00:00:00"/>
    <m/>
  </r>
  <r>
    <s v="982826F"/>
    <s v="SANHUEZA FIGUEROA JOSE EDUARDO"/>
    <s v="16845313-2"/>
    <s v="CAPACITACIÓN Y REENTRENAMIENTO"/>
    <x v="151"/>
    <s v="SANHUEZA FIGUEROA JOSE EDUARDO  ( L ) "/>
    <x v="1"/>
    <x v="0"/>
    <x v="2"/>
    <x v="1"/>
    <s v="( L ) "/>
    <x v="14"/>
    <s v="AGREGADOS"/>
    <m/>
    <m/>
    <m/>
    <s v="O/S"/>
    <s v="00-00-00"/>
    <m/>
    <m/>
    <m/>
    <m/>
    <s v=""/>
    <n v="1"/>
    <n v="341"/>
    <n v="10"/>
    <n v="0"/>
    <s v="AG."/>
    <s v="AG."/>
    <s v="AG."/>
    <s v="AG."/>
    <s v="AG."/>
    <s v="AG."/>
    <m/>
    <m/>
    <m/>
    <m/>
    <m/>
    <m/>
    <m/>
    <m/>
    <m/>
    <m/>
    <m/>
    <m/>
    <m/>
    <m/>
    <m/>
    <m/>
    <m/>
    <m/>
    <m/>
    <m/>
    <m/>
    <m/>
    <m/>
    <m/>
    <m/>
    <m/>
    <m/>
    <m/>
    <m/>
    <m/>
    <m/>
    <d v="2023-08-30T00:00:00"/>
    <m/>
  </r>
  <r>
    <s v="994458S"/>
    <s v="ACEVEDO CEBALLOS LUIS EDUARDO"/>
    <s v="17222458-K"/>
    <s v="AGREGADOS"/>
    <x v="151"/>
    <s v="ACEVEDO CEBALLOS LUIS EDUARDO (L)"/>
    <x v="4"/>
    <x v="0"/>
    <x v="2"/>
    <x v="1"/>
    <s v="(L)"/>
    <x v="14"/>
    <s v="AGREGADOS"/>
    <m/>
    <m/>
    <m/>
    <s v="O/S"/>
    <d v="2024-04-06T00:00:00"/>
    <m/>
    <s v="SERVICIO MEDICO PREFECTURA"/>
    <m/>
    <m/>
    <s v=""/>
    <n v="1"/>
    <n v="341"/>
    <n v="11"/>
    <n v="0"/>
    <s v="AG."/>
    <s v="AG."/>
    <s v="AG."/>
    <s v="AG."/>
    <s v="AG."/>
    <s v="AG."/>
    <m/>
    <m/>
    <m/>
    <m/>
    <m/>
    <m/>
    <m/>
    <m/>
    <m/>
    <m/>
    <m/>
    <m/>
    <m/>
    <m/>
    <m/>
    <m/>
    <m/>
    <m/>
    <m/>
    <m/>
    <m/>
    <m/>
    <m/>
    <m/>
    <m/>
    <m/>
    <m/>
    <m/>
    <m/>
    <m/>
    <m/>
    <d v="2023-08-29T00:00:00"/>
    <m/>
  </r>
  <r>
    <s v="987928J"/>
    <s v="AVILA RIVERO ANA CAREN"/>
    <s v="17449166-6"/>
    <s v="ASISTENTE SOCIAL"/>
    <x v="151"/>
    <s v="AVILA RIVERO ANA CAREN"/>
    <x v="4"/>
    <x v="1"/>
    <x v="2"/>
    <x v="1"/>
    <s v=""/>
    <x v="14"/>
    <s v="AGREGADOS"/>
    <m/>
    <m/>
    <m/>
    <s v="O/S"/>
    <s v="00-00-00"/>
    <m/>
    <s v="AGREGADA OF. ASISTENTE SOCIAL"/>
    <m/>
    <m/>
    <s v=""/>
    <n v="1"/>
    <n v="341"/>
    <n v="11"/>
    <n v="0"/>
    <s v="AG."/>
    <s v="AG."/>
    <s v="AG."/>
    <s v="AG."/>
    <s v="AG."/>
    <s v="AG."/>
    <m/>
    <m/>
    <m/>
    <m/>
    <m/>
    <m/>
    <m/>
    <m/>
    <m/>
    <m/>
    <m/>
    <m/>
    <m/>
    <m/>
    <m/>
    <m/>
    <m/>
    <m/>
    <m/>
    <m/>
    <m/>
    <m/>
    <m/>
    <m/>
    <m/>
    <m/>
    <m/>
    <m/>
    <m/>
    <m/>
    <m/>
    <m/>
    <m/>
  </r>
  <r>
    <s v="992945Q"/>
    <s v="MENDEZ NAVARRO DANIELA"/>
    <n v="185560910"/>
    <s v="O.P.U. PREFECTURA"/>
    <x v="151"/>
    <s v="MENDEZ NAVARRO DANIELA"/>
    <x v="4"/>
    <x v="1"/>
    <x v="2"/>
    <x v="1"/>
    <s v=""/>
    <x v="14"/>
    <s v="AGREGADOS"/>
    <m/>
    <m/>
    <m/>
    <s v="O/S"/>
    <d v="2024-04-06T00:00:00"/>
    <m/>
    <m/>
    <m/>
    <m/>
    <s v=""/>
    <n v="1"/>
    <n v="341"/>
    <n v="11"/>
    <n v="0"/>
    <s v="AG."/>
    <s v="AG."/>
    <s v="AG."/>
    <s v="AG."/>
    <s v="AG."/>
    <s v="AG."/>
    <m/>
    <m/>
    <m/>
    <m/>
    <m/>
    <m/>
    <m/>
    <m/>
    <m/>
    <m/>
    <m/>
    <m/>
    <m/>
    <m/>
    <m/>
    <m/>
    <m/>
    <m/>
    <m/>
    <m/>
    <m/>
    <m/>
    <m/>
    <m/>
    <m/>
    <m/>
    <m/>
    <m/>
    <m/>
    <m/>
    <m/>
    <d v="2023-05-19T00:00:00"/>
    <m/>
  </r>
  <r>
    <s v="004675E"/>
    <s v="ORTIZ SALGADO AARON ADOLFO"/>
    <n v="186705009"/>
    <s v="O.P.U. PREFECTURA"/>
    <x v="151"/>
    <s v="ORTIZ SALGADO AARON ADOLFO"/>
    <x v="4"/>
    <x v="0"/>
    <x v="2"/>
    <x v="1"/>
    <s v=""/>
    <x v="14"/>
    <s v="AGREGADOS"/>
    <m/>
    <m/>
    <m/>
    <s v="O/S"/>
    <d v="2024-04-06T00:00:00"/>
    <m/>
    <m/>
    <m/>
    <m/>
    <s v=""/>
    <n v="1"/>
    <n v="341"/>
    <n v="11"/>
    <n v="0"/>
    <s v="AG."/>
    <s v="AG."/>
    <s v="AG."/>
    <s v="AG."/>
    <s v="AG."/>
    <s v="AG."/>
    <m/>
    <m/>
    <m/>
    <m/>
    <m/>
    <m/>
    <m/>
    <m/>
    <m/>
    <m/>
    <m/>
    <m/>
    <m/>
    <m/>
    <m/>
    <m/>
    <m/>
    <m/>
    <m/>
    <m/>
    <m/>
    <m/>
    <m/>
    <m/>
    <m/>
    <m/>
    <m/>
    <m/>
    <m/>
    <m/>
    <m/>
    <d v="2024-03-26T00:00:00"/>
    <m/>
  </r>
  <r>
    <s v="016788T"/>
    <s v="BEROIZA TRONCOSO NORA LUZ"/>
    <n v="202528910"/>
    <s v="AA-1"/>
    <x v="151"/>
    <s v="BEROIZA TRONCOSO NORA LUZ"/>
    <x v="5"/>
    <x v="1"/>
    <x v="2"/>
    <x v="1"/>
    <s v=""/>
    <x v="14"/>
    <s v="AGREGADOS"/>
    <m/>
    <m/>
    <m/>
    <s v="O/S"/>
    <d v="2024-04-06T00:00:00"/>
    <m/>
    <m/>
    <m/>
    <m/>
    <s v=""/>
    <n v="1"/>
    <n v="341"/>
    <n v="12"/>
    <n v="0"/>
    <s v="AG."/>
    <s v="AG."/>
    <s v="AG."/>
    <s v="AG."/>
    <s v="AG."/>
    <s v="AG."/>
    <m/>
    <m/>
    <m/>
    <m/>
    <m/>
    <m/>
    <m/>
    <m/>
    <m/>
    <m/>
    <m/>
    <m/>
    <m/>
    <m/>
    <m/>
    <m/>
    <m/>
    <m/>
    <m/>
    <m/>
    <m/>
    <m/>
    <m/>
    <m/>
    <m/>
    <m/>
    <m/>
    <m/>
    <m/>
    <m/>
    <m/>
    <d v="2023-06-19T00:00:00"/>
    <m/>
  </r>
  <r>
    <s v="001652C"/>
    <s v="DEL PINO CASTILLO SUSANA ESTEFANIA"/>
    <n v="190312763"/>
    <s v="CAPACITACIÓN Y REENTRENAMIENTO"/>
    <x v="151"/>
    <s v="DEL PINO CASTILLO SUSANA ESTEFANIA   ( L ) "/>
    <x v="5"/>
    <x v="1"/>
    <x v="2"/>
    <x v="1"/>
    <s v="( L ) "/>
    <x v="14"/>
    <s v="AGREGADOS"/>
    <m/>
    <m/>
    <m/>
    <s v="O/S"/>
    <d v="2024-04-06T00:00:00"/>
    <m/>
    <m/>
    <m/>
    <m/>
    <s v=""/>
    <n v="1"/>
    <n v="341"/>
    <n v="12"/>
    <n v="0"/>
    <s v="AG."/>
    <s v="AG."/>
    <s v="AG."/>
    <s v="AG."/>
    <s v="AG."/>
    <s v="AG."/>
    <m/>
    <m/>
    <m/>
    <m/>
    <m/>
    <m/>
    <m/>
    <m/>
    <m/>
    <m/>
    <m/>
    <m/>
    <m/>
    <m/>
    <m/>
    <m/>
    <m/>
    <m/>
    <m/>
    <m/>
    <m/>
    <m/>
    <m/>
    <m/>
    <m/>
    <m/>
    <m/>
    <m/>
    <m/>
    <m/>
    <m/>
    <d v="2023-05-19T00:00:00"/>
    <m/>
  </r>
  <r>
    <s v="017057J"/>
    <s v="INOSTROZA MANQUILEF FABIAN ALEXIS"/>
    <n v="189472307"/>
    <s v="OF. COMUNICACIONES Y AUDIOVISUALES"/>
    <x v="151"/>
    <s v="INOSTROZA MANQUILEF FABIAN ALEXIS"/>
    <x v="5"/>
    <x v="0"/>
    <x v="2"/>
    <x v="1"/>
    <s v=""/>
    <x v="14"/>
    <s v="AGREGADOS"/>
    <m/>
    <m/>
    <m/>
    <s v="O/S"/>
    <d v="2024-04-06T00:00:00"/>
    <m/>
    <s v="AUDIOVISUAL X ORDEN G 2"/>
    <m/>
    <m/>
    <s v=""/>
    <n v="1"/>
    <n v="341"/>
    <n v="12"/>
    <n v="0"/>
    <s v="AG."/>
    <s v="AG."/>
    <s v="AG."/>
    <s v="AG."/>
    <s v="AG."/>
    <s v="AG."/>
    <m/>
    <m/>
    <m/>
    <m/>
    <m/>
    <m/>
    <m/>
    <m/>
    <m/>
    <m/>
    <m/>
    <m/>
    <m/>
    <m/>
    <m/>
    <m/>
    <m/>
    <m/>
    <m/>
    <m/>
    <m/>
    <m/>
    <m/>
    <m/>
    <m/>
    <m/>
    <m/>
    <m/>
    <m/>
    <m/>
    <m/>
    <d v="2023-07-20T00:00:00"/>
    <m/>
  </r>
  <r>
    <s v="020123Q"/>
    <s v="JARA RAMIREZ BRAYAN ROLANDO"/>
    <n v="190130673"/>
    <s v="AGREGADOS"/>
    <x v="151"/>
    <s v="JARA RAMIREZ BRAYAN ROLANDO"/>
    <x v="5"/>
    <x v="0"/>
    <x v="3"/>
    <x v="1"/>
    <s v=""/>
    <x v="14"/>
    <s v="AGREGADOS"/>
    <m/>
    <m/>
    <m/>
    <s v="O/S"/>
    <d v="2024-04-06T00:00:00"/>
    <m/>
    <s v="DOE.187040580 AGREGADO"/>
    <m/>
    <m/>
    <s v=""/>
    <n v="1"/>
    <n v="341"/>
    <n v="12"/>
    <n v="0"/>
    <s v="AG."/>
    <s v="AG."/>
    <s v="AG."/>
    <s v="AG."/>
    <s v="AG."/>
    <s v="AG."/>
    <m/>
    <m/>
    <m/>
    <m/>
    <m/>
    <m/>
    <m/>
    <m/>
    <m/>
    <m/>
    <m/>
    <m/>
    <m/>
    <m/>
    <m/>
    <m/>
    <m/>
    <m/>
    <m/>
    <m/>
    <m/>
    <m/>
    <m/>
    <m/>
    <m/>
    <m/>
    <m/>
    <m/>
    <m/>
    <m/>
    <m/>
    <d v="2023-05-08T00:00:00"/>
    <m/>
  </r>
  <r>
    <s v="016830R"/>
    <s v="JERIA VALDIVIA JAVIERA FRANCISCA"/>
    <n v="198504173"/>
    <s v="SECCIÓN OPERACIONES PREF."/>
    <x v="151"/>
    <s v="JERIA VALDIVIA JAVIERA FRANCISCA"/>
    <x v="5"/>
    <x v="1"/>
    <x v="2"/>
    <x v="1"/>
    <s v=""/>
    <x v="14"/>
    <s v="AGREGADOS"/>
    <m/>
    <m/>
    <m/>
    <s v="O/S"/>
    <d v="2024-04-06T00:00:00"/>
    <m/>
    <m/>
    <m/>
    <m/>
    <s v=""/>
    <n v="1"/>
    <n v="341"/>
    <n v="12"/>
    <n v="0"/>
    <s v="AG."/>
    <s v="AG."/>
    <s v="AG."/>
    <s v="AG."/>
    <s v="AG."/>
    <s v="AG."/>
    <m/>
    <m/>
    <m/>
    <m/>
    <m/>
    <m/>
    <m/>
    <m/>
    <m/>
    <m/>
    <m/>
    <m/>
    <m/>
    <m/>
    <m/>
    <m/>
    <m/>
    <m/>
    <m/>
    <m/>
    <m/>
    <m/>
    <m/>
    <m/>
    <m/>
    <m/>
    <m/>
    <m/>
    <m/>
    <m/>
    <m/>
    <d v="2023-06-05T00:00:00"/>
    <m/>
  </r>
  <r>
    <s v="012609C"/>
    <s v="MUÑOZ FONSECA JAVIERA DENISSE"/>
    <n v="189250932"/>
    <s v="SECCIÓN OPERACIONES PREF."/>
    <x v="151"/>
    <s v="MUÑOZ FONSECA JAVIERA DENISSE"/>
    <x v="5"/>
    <x v="1"/>
    <x v="2"/>
    <x v="1"/>
    <s v=""/>
    <x v="14"/>
    <s v="AGREGADOS"/>
    <m/>
    <m/>
    <m/>
    <s v="O/S"/>
    <d v="2024-04-06T00:00:00"/>
    <m/>
    <m/>
    <m/>
    <m/>
    <s v=""/>
    <n v="1"/>
    <n v="341"/>
    <n v="12"/>
    <n v="0"/>
    <s v="AG."/>
    <s v="AG."/>
    <s v="AG."/>
    <s v="AG."/>
    <s v="AG."/>
    <s v="AG."/>
    <m/>
    <m/>
    <m/>
    <m/>
    <m/>
    <m/>
    <m/>
    <m/>
    <m/>
    <m/>
    <m/>
    <m/>
    <m/>
    <m/>
    <m/>
    <m/>
    <m/>
    <m/>
    <m/>
    <m/>
    <m/>
    <m/>
    <m/>
    <m/>
    <m/>
    <m/>
    <m/>
    <m/>
    <m/>
    <m/>
    <m/>
    <d v="2023-05-12T00:00:00"/>
    <m/>
  </r>
  <r>
    <s v="007056Y"/>
    <s v="NAVARRO NAVARRO CLAUDIO ALEJANDRO"/>
    <n v="179846012"/>
    <s v="O.P.U. PREFECTURA"/>
    <x v="151"/>
    <s v="NAVARRO NAVARRO CLAUDIO ALEJANDRO"/>
    <x v="5"/>
    <x v="0"/>
    <x v="2"/>
    <x v="1"/>
    <s v=""/>
    <x v="14"/>
    <s v="AGREGADOS"/>
    <m/>
    <m/>
    <m/>
    <s v="O/S"/>
    <d v="2024-04-06T00:00:00"/>
    <m/>
    <m/>
    <m/>
    <m/>
    <s v=""/>
    <n v="1"/>
    <n v="341"/>
    <n v="12"/>
    <n v="0"/>
    <s v="AG."/>
    <s v="AG."/>
    <s v="AG."/>
    <s v="AG."/>
    <s v="AG."/>
    <s v="AG."/>
    <m/>
    <m/>
    <m/>
    <m/>
    <m/>
    <m/>
    <m/>
    <m/>
    <m/>
    <m/>
    <m/>
    <m/>
    <m/>
    <m/>
    <m/>
    <m/>
    <m/>
    <m/>
    <m/>
    <m/>
    <m/>
    <m/>
    <m/>
    <m/>
    <m/>
    <m/>
    <m/>
    <m/>
    <m/>
    <m/>
    <m/>
    <d v="2023-06-09T00:00:00"/>
    <m/>
  </r>
  <r>
    <s v="009095S"/>
    <s v="ULLOA CARRASCO MATIAS IGNACIO"/>
    <s v="19769176K"/>
    <s v="AA-2"/>
    <x v="151"/>
    <s v="ULLOA CARRASCO MATIAS IGNACIO"/>
    <x v="5"/>
    <x v="0"/>
    <x v="2"/>
    <x v="1"/>
    <s v=""/>
    <x v="14"/>
    <s v="AGREGADOS"/>
    <m/>
    <m/>
    <m/>
    <s v="O/S"/>
    <d v="2024-04-06T00:00:00"/>
    <m/>
    <s v="LIC HASTA EL 26-03-2024"/>
    <m/>
    <m/>
    <s v=""/>
    <n v="1"/>
    <n v="341"/>
    <n v="12"/>
    <n v="0"/>
    <s v="AG."/>
    <s v="AG."/>
    <s v="AG."/>
    <s v="AG."/>
    <s v="AG."/>
    <s v="AG."/>
    <m/>
    <m/>
    <m/>
    <m/>
    <m/>
    <m/>
    <m/>
    <m/>
    <m/>
    <m/>
    <m/>
    <m/>
    <m/>
    <m/>
    <m/>
    <m/>
    <m/>
    <m/>
    <m/>
    <m/>
    <m/>
    <m/>
    <m/>
    <m/>
    <m/>
    <m/>
    <m/>
    <m/>
    <m/>
    <m/>
    <m/>
    <d v="2023-06-07T00:00:00"/>
    <m/>
  </r>
  <r>
    <s v="975838T"/>
    <s v="FLORES VALDES PATRICIO ANDRES"/>
    <n v="137577151"/>
    <s v="O.P.U. PREFECTURA"/>
    <x v="151"/>
    <s v="FLORES VALDES PATRICIO ANDRES"/>
    <x v="1"/>
    <x v="0"/>
    <x v="2"/>
    <x v="2"/>
    <s v=""/>
    <x v="14"/>
    <s v="AGREGADOS"/>
    <m/>
    <m/>
    <m/>
    <s v="SEC."/>
    <d v="2024-04-06T00:00:00"/>
    <m/>
    <m/>
    <m/>
    <m/>
    <s v=""/>
    <n v="3"/>
    <n v="341"/>
    <n v="10"/>
    <n v="0"/>
    <s v="AG."/>
    <s v="AG."/>
    <s v="AG."/>
    <s v="AG."/>
    <s v="AG."/>
    <s v="AG."/>
    <m/>
    <m/>
    <m/>
    <m/>
    <m/>
    <m/>
    <m/>
    <m/>
    <m/>
    <m/>
    <m/>
    <m/>
    <m/>
    <m/>
    <m/>
    <m/>
    <m/>
    <m/>
    <m/>
    <m/>
    <m/>
    <m/>
    <m/>
    <m/>
    <m/>
    <m/>
    <m/>
    <m/>
    <m/>
    <m/>
    <m/>
    <d v="2023-05-26T00:00:00"/>
    <m/>
  </r>
  <r>
    <s v="940840J"/>
    <s v="MELLADO MAULEN ALADIN"/>
    <s v="12285261K"/>
    <s v="MECANICO"/>
    <x v="152"/>
    <s v="MELLADO MAULEN ALADIN MOISES"/>
    <x v="11"/>
    <x v="0"/>
    <x v="1"/>
    <x v="3"/>
    <s v=""/>
    <x v="6"/>
    <s v="MECANICO"/>
    <m/>
    <m/>
    <m/>
    <s v="A/L"/>
    <d v="2024-04-06T00:00:00"/>
    <m/>
    <m/>
    <m/>
    <m/>
    <s v=""/>
    <n v="4"/>
    <n v="295"/>
    <n v="7"/>
    <n v="0"/>
    <s v="ADM."/>
    <s v="ADM."/>
    <s v="ADM."/>
    <s v="ADM."/>
    <s v="ADM."/>
    <s v="ADM."/>
    <m/>
    <m/>
    <m/>
    <m/>
    <m/>
    <m/>
    <m/>
    <m/>
    <m/>
    <m/>
    <m/>
    <m/>
    <m/>
    <m/>
    <m/>
    <m/>
    <m/>
    <m/>
    <m/>
    <m/>
    <m/>
    <m/>
    <m/>
    <m/>
    <m/>
    <m/>
    <m/>
    <m/>
    <m/>
    <m/>
    <m/>
    <s v="NO CORRESPONDE"/>
    <m/>
  </r>
  <r>
    <s v="973834M"/>
    <s v="ZENTENO "/>
    <n v="127764670"/>
    <s v="RANCHO"/>
    <x v="142"/>
    <s v="ZENTENO FERNANDEZ JORGE EDUARDO"/>
    <x v="4"/>
    <x v="0"/>
    <x v="1"/>
    <x v="3"/>
    <s v=""/>
    <x v="11"/>
    <s v="LICENCIA ENFERMEDAD O ACCIDENTE COMÚN"/>
    <m/>
    <m/>
    <m/>
    <s v="A/L"/>
    <d v="1975-07-29T00:00:00"/>
    <m/>
    <m/>
    <d v="2024-04-03T00:00:00"/>
    <m/>
    <s v=""/>
    <n v="4"/>
    <n v="300"/>
    <n v="11"/>
    <n v="0"/>
    <s v="ADM."/>
    <s v="ADM."/>
    <s v="LIC."/>
    <s v="LIC."/>
    <s v="LIC."/>
    <s v="LIC."/>
    <m/>
    <m/>
    <m/>
    <m/>
    <m/>
    <m/>
    <m/>
    <m/>
    <m/>
    <m/>
    <m/>
    <m/>
    <m/>
    <m/>
    <m/>
    <m/>
    <m/>
    <m/>
    <m/>
    <m/>
    <m/>
    <m/>
    <m/>
    <m/>
    <m/>
    <m/>
    <m/>
    <m/>
    <m/>
    <m/>
    <m/>
    <s v="NO CORRESPONDE"/>
    <m/>
  </r>
  <r>
    <s v="942294Z"/>
    <s v="CONCHA SOTO JOSE RAUL"/>
    <n v="94929563"/>
    <s v="MECANICO"/>
    <x v="150"/>
    <s v="CONCHA SOTO JOSE RAUL"/>
    <x v="11"/>
    <x v="0"/>
    <x v="1"/>
    <x v="3"/>
    <s v=""/>
    <x v="13"/>
    <s v="PROCESO RETIRO"/>
    <m/>
    <m/>
    <m/>
    <s v="A/L"/>
    <d v="2024-04-06T00:00:00"/>
    <m/>
    <s v="A CONTAR DEL 16-02-2024 HASTA "/>
    <d v="2024-02-16T00:00:00"/>
    <d v="2024-06-15T00:00:00"/>
    <n v="121"/>
    <n v="4"/>
    <n v="339"/>
    <n v="7"/>
    <n v="0"/>
    <s v="RETIRO"/>
    <s v="RETIRO"/>
    <s v="RETIRO"/>
    <s v="RETIRO"/>
    <s v="RETIRO"/>
    <s v="RETIRO"/>
    <m/>
    <m/>
    <m/>
    <m/>
    <m/>
    <m/>
    <m/>
    <m/>
    <m/>
    <m/>
    <m/>
    <m/>
    <m/>
    <m/>
    <m/>
    <m/>
    <m/>
    <m/>
    <m/>
    <m/>
    <m/>
    <m/>
    <m/>
    <m/>
    <m/>
    <m/>
    <m/>
    <m/>
    <m/>
    <m/>
    <m/>
    <s v="NO CORRESPONDE"/>
    <m/>
  </r>
  <r>
    <s v="025347Z"/>
    <s v="AVARIA LETELIER NICOLAS"/>
    <n v="195831769"/>
    <s v="PTR-G1"/>
    <x v="151"/>
    <s v="AVARIA LETELIER NICOLAS"/>
    <x v="9"/>
    <x v="0"/>
    <x v="2"/>
    <x v="3"/>
    <s v=""/>
    <x v="14"/>
    <s v="AGREGADOS"/>
    <m/>
    <m/>
    <m/>
    <s v="A/L"/>
    <d v="2024-04-06T00:00:00"/>
    <m/>
    <s v="LIC. MED. 22-11 AL 21-12-24"/>
    <d v="2023-12-21T00:00:00"/>
    <m/>
    <s v=""/>
    <n v="4"/>
    <n v="341"/>
    <n v="13"/>
    <n v="0"/>
    <s v="AG."/>
    <s v="AG."/>
    <s v="AG."/>
    <s v="AG."/>
    <s v="AG."/>
    <s v="AG."/>
    <m/>
    <m/>
    <m/>
    <m/>
    <m/>
    <m/>
    <m/>
    <m/>
    <m/>
    <m/>
    <m/>
    <m/>
    <m/>
    <m/>
    <m/>
    <m/>
    <m/>
    <m/>
    <m/>
    <m/>
    <m/>
    <m/>
    <m/>
    <m/>
    <m/>
    <m/>
    <m/>
    <m/>
    <m/>
    <m/>
    <m/>
    <s v="NO CORRESPONDE"/>
    <m/>
  </r>
  <r>
    <s v="970752K"/>
    <s v="RAMIREZ GAJARDO ELIZABETH DEL CARMEN"/>
    <n v="99833599"/>
    <s v="O.P.U. PREFECTURA"/>
    <x v="153"/>
    <s v="RAMIREZ GAJARDO ELIZABETH DEL CARMEN"/>
    <x v="12"/>
    <x v="1"/>
    <x v="0"/>
    <x v="4"/>
    <s v=""/>
    <x v="6"/>
    <s v="O.P.U. PREFECTURA"/>
    <m/>
    <m/>
    <m/>
    <s v="CPR"/>
    <d v="2024-04-06T00:00:00"/>
    <m/>
    <m/>
    <m/>
    <m/>
    <s v=""/>
    <n v="5"/>
    <n v="11"/>
    <n v="15"/>
    <n v="0"/>
    <s v="ADM."/>
    <s v="ADM."/>
    <s v="ADM."/>
    <s v="ADM."/>
    <s v="ADM."/>
    <s v="ADM."/>
    <m/>
    <m/>
    <m/>
    <m/>
    <m/>
    <m/>
    <m/>
    <m/>
    <m/>
    <m/>
    <m/>
    <m/>
    <m/>
    <m/>
    <m/>
    <m/>
    <m/>
    <m/>
    <m/>
    <m/>
    <m/>
    <m/>
    <m/>
    <m/>
    <m/>
    <m/>
    <m/>
    <m/>
    <m/>
    <m/>
    <m/>
    <s v="NO CORRESPONDE"/>
    <m/>
  </r>
  <r>
    <s v="962689H"/>
    <s v="ALARCON BECERRA VICTOR HUGO"/>
    <s v="12513808K"/>
    <s v="MANTENCIÓN DE CUARTEL"/>
    <x v="128"/>
    <s v="ALARCON BECERRA VICTOR HUGO"/>
    <x v="12"/>
    <x v="0"/>
    <x v="1"/>
    <x v="4"/>
    <s v=""/>
    <x v="6"/>
    <s v="MANTENCIÓN DE CUARTEL"/>
    <m/>
    <m/>
    <m/>
    <s v="CPR"/>
    <d v="2024-04-06T00:00:00"/>
    <m/>
    <m/>
    <m/>
    <m/>
    <s v=""/>
    <n v="5"/>
    <n v="281"/>
    <n v="15"/>
    <n v="0"/>
    <s v="ADM."/>
    <s v="ADM."/>
    <s v="ADM."/>
    <s v="ADM."/>
    <s v="ADM."/>
    <s v="ADM."/>
    <m/>
    <m/>
    <m/>
    <m/>
    <m/>
    <m/>
    <m/>
    <m/>
    <m/>
    <m/>
    <m/>
    <m/>
    <m/>
    <m/>
    <m/>
    <m/>
    <m/>
    <m/>
    <m/>
    <m/>
    <m/>
    <m/>
    <m/>
    <m/>
    <m/>
    <m/>
    <m/>
    <m/>
    <m/>
    <m/>
    <m/>
    <s v="NO CORRESPONDE"/>
    <m/>
  </r>
  <r>
    <s v="001065T"/>
    <s v="FERNANDEZ VOELCKER PATRICIO ORLANDO"/>
    <n v="116685426"/>
    <s v="MANTENCIÓN DE CUARTEL"/>
    <x v="128"/>
    <s v="FERNANDEZ VOELCKER PATRICIO ORLANDO"/>
    <x v="12"/>
    <x v="0"/>
    <x v="1"/>
    <x v="4"/>
    <s v=""/>
    <x v="6"/>
    <s v="MANTENCIÓN DE CUARTEL"/>
    <m/>
    <m/>
    <m/>
    <s v="CPR"/>
    <d v="2024-04-06T00:00:00"/>
    <m/>
    <m/>
    <m/>
    <m/>
    <s v=""/>
    <n v="5"/>
    <n v="281"/>
    <n v="15"/>
    <n v="0"/>
    <s v="ADM."/>
    <s v="ADM."/>
    <s v="ADM."/>
    <s v="ADM."/>
    <s v="ADM."/>
    <s v="ADM."/>
    <m/>
    <m/>
    <m/>
    <m/>
    <m/>
    <m/>
    <m/>
    <m/>
    <m/>
    <m/>
    <m/>
    <m/>
    <m/>
    <m/>
    <m/>
    <m/>
    <m/>
    <m/>
    <m/>
    <m/>
    <m/>
    <m/>
    <m/>
    <m/>
    <m/>
    <m/>
    <m/>
    <m/>
    <m/>
    <m/>
    <m/>
    <s v="NO CORRESPONDE"/>
    <m/>
  </r>
  <r>
    <s v="966876Y"/>
    <s v="IBANEZ ZUNIGA JORGE ANDRES"/>
    <n v="153747644"/>
    <s v="MANTENCIÓN DE CUARTEL"/>
    <x v="128"/>
    <s v="IBANEZ ZUNIGA JORGE ANDRES"/>
    <x v="12"/>
    <x v="0"/>
    <x v="1"/>
    <x v="4"/>
    <s v=""/>
    <x v="6"/>
    <s v="MANTENCIÓN DE CUARTEL"/>
    <m/>
    <m/>
    <m/>
    <s v="CPR"/>
    <d v="2024-04-06T00:00:00"/>
    <m/>
    <m/>
    <m/>
    <m/>
    <s v=""/>
    <n v="5"/>
    <n v="281"/>
    <n v="15"/>
    <n v="0"/>
    <s v="FER."/>
    <s v="FER."/>
    <s v="FER."/>
    <s v="ADM."/>
    <s v="ADM."/>
    <s v="ADM."/>
    <m/>
    <m/>
    <m/>
    <m/>
    <m/>
    <m/>
    <m/>
    <m/>
    <m/>
    <m/>
    <m/>
    <m/>
    <m/>
    <m/>
    <m/>
    <m/>
    <m/>
    <m/>
    <m/>
    <m/>
    <m/>
    <m/>
    <m/>
    <m/>
    <m/>
    <m/>
    <m/>
    <m/>
    <m/>
    <m/>
    <m/>
    <s v="NO CORRESPONDE"/>
    <m/>
  </r>
  <r>
    <s v="966891Q"/>
    <s v="PEREZ SALAZAR RAMON RODRIGO"/>
    <s v="13079825K"/>
    <s v="MANTENCIÓN DE CUARTEL"/>
    <x v="128"/>
    <s v="PEREZ SALAZAR RAMON RODRIGO"/>
    <x v="12"/>
    <x v="0"/>
    <x v="1"/>
    <x v="4"/>
    <s v=""/>
    <x v="6"/>
    <s v="MANTENCIÓN DE CUARTEL"/>
    <m/>
    <m/>
    <m/>
    <s v="CPR"/>
    <d v="2024-04-06T00:00:00"/>
    <m/>
    <m/>
    <m/>
    <m/>
    <s v=""/>
    <n v="5"/>
    <n v="281"/>
    <n v="15"/>
    <n v="0"/>
    <s v="ADM."/>
    <s v="ADM."/>
    <s v="ADM."/>
    <s v="ADM."/>
    <s v="ADM."/>
    <s v="ADM."/>
    <m/>
    <m/>
    <m/>
    <m/>
    <m/>
    <m/>
    <m/>
    <m/>
    <m/>
    <m/>
    <m/>
    <m/>
    <m/>
    <m/>
    <m/>
    <m/>
    <m/>
    <m/>
    <m/>
    <m/>
    <m/>
    <m/>
    <m/>
    <m/>
    <m/>
    <m/>
    <m/>
    <m/>
    <m/>
    <m/>
    <m/>
    <s v="NO CORRESPONDE"/>
    <m/>
  </r>
  <r>
    <s v="030637V "/>
    <s v="QUEZADA SILVA BARBARA ARLINE"/>
    <n v="193035760"/>
    <s v="OF. PARTES"/>
    <x v="129"/>
    <s v="QUEZADA SILVA BARBARA ARLINE"/>
    <x v="12"/>
    <x v="1"/>
    <x v="1"/>
    <x v="4"/>
    <s v=""/>
    <x v="6"/>
    <s v="OF. PARTES"/>
    <m/>
    <m/>
    <m/>
    <s v="CPR"/>
    <d v="2024-04-06T00:00:00"/>
    <m/>
    <m/>
    <m/>
    <m/>
    <s v=""/>
    <n v="5"/>
    <n v="283"/>
    <n v="15"/>
    <n v="0"/>
    <s v="ADM."/>
    <s v="ADM."/>
    <s v="ADM."/>
    <s v="ADM."/>
    <s v="ADM."/>
    <s v="ADM."/>
    <m/>
    <m/>
    <m/>
    <m/>
    <m/>
    <m/>
    <m/>
    <m/>
    <m/>
    <m/>
    <m/>
    <m/>
    <m/>
    <m/>
    <m/>
    <m/>
    <m/>
    <m/>
    <m/>
    <m/>
    <m/>
    <m/>
    <m/>
    <m/>
    <m/>
    <m/>
    <m/>
    <m/>
    <m/>
    <m/>
    <m/>
    <s v="NO CORRESPONDE"/>
    <m/>
  </r>
  <r>
    <s v="030636U"/>
    <s v="ORELLANA ROCHA ROSA ALEJANDRA"/>
    <n v="118481860"/>
    <s v="OF. PARTES"/>
    <x v="130"/>
    <s v="ORELLANA ROCHA ROSA ALEJANDRA"/>
    <x v="12"/>
    <x v="1"/>
    <x v="1"/>
    <x v="4"/>
    <s v=""/>
    <x v="6"/>
    <s v="INVENTARIO"/>
    <m/>
    <m/>
    <m/>
    <s v="CPR"/>
    <d v="2024-04-06T00:00:00"/>
    <m/>
    <m/>
    <m/>
    <m/>
    <s v=""/>
    <n v="5"/>
    <n v="284"/>
    <n v="15"/>
    <n v="0"/>
    <s v="ADM."/>
    <s v="ADM."/>
    <s v="ADM."/>
    <s v="ADM."/>
    <s v="ADM."/>
    <s v="ADM."/>
    <m/>
    <m/>
    <m/>
    <m/>
    <m/>
    <m/>
    <m/>
    <m/>
    <m/>
    <m/>
    <m/>
    <m/>
    <m/>
    <m/>
    <m/>
    <m/>
    <m/>
    <m/>
    <m/>
    <m/>
    <m/>
    <m/>
    <m/>
    <m/>
    <m/>
    <m/>
    <m/>
    <m/>
    <m/>
    <m/>
    <m/>
    <s v="NO CORRESPONDE"/>
    <m/>
  </r>
  <r>
    <s v="974247H"/>
    <s v="PINTO ARANCIBIA JUAN LUIS"/>
    <n v="108821035"/>
    <s v="ECONOMATO"/>
    <x v="134"/>
    <s v="PINTO ARANCIBIA JUAN LUIS"/>
    <x v="12"/>
    <x v="0"/>
    <x v="1"/>
    <x v="4"/>
    <s v=""/>
    <x v="6"/>
    <s v="ECONOMATO"/>
    <m/>
    <m/>
    <m/>
    <s v="CPR"/>
    <d v="2024-04-06T00:00:00"/>
    <m/>
    <m/>
    <m/>
    <m/>
    <s v=""/>
    <n v="5"/>
    <n v="289"/>
    <n v="15"/>
    <n v="0"/>
    <s v="ADM."/>
    <s v="ADM."/>
    <s v="ADM."/>
    <s v="ADM."/>
    <s v="ADM."/>
    <s v="ADM."/>
    <m/>
    <m/>
    <m/>
    <m/>
    <m/>
    <m/>
    <m/>
    <m/>
    <m/>
    <m/>
    <m/>
    <m/>
    <m/>
    <m/>
    <m/>
    <m/>
    <m/>
    <m/>
    <m/>
    <m/>
    <m/>
    <m/>
    <m/>
    <m/>
    <m/>
    <m/>
    <m/>
    <m/>
    <m/>
    <m/>
    <m/>
    <s v="NO CORRESPONDE"/>
    <m/>
  </r>
  <r>
    <s v="971170D"/>
    <s v="GAJARDO NAVARRETE RAFAEL ANTONIO"/>
    <n v="107280391"/>
    <s v="RANCHO"/>
    <x v="135"/>
    <s v="GAJARDO NAVARRETE RAFAEL ANTONIO"/>
    <x v="12"/>
    <x v="0"/>
    <x v="1"/>
    <x v="4"/>
    <s v=""/>
    <x v="6"/>
    <s v="RANCHO"/>
    <m/>
    <m/>
    <m/>
    <s v="CPR"/>
    <d v="2024-04-06T00:00:00"/>
    <m/>
    <m/>
    <m/>
    <m/>
    <s v=""/>
    <n v="5"/>
    <n v="290"/>
    <n v="15"/>
    <n v="0"/>
    <s v="ADM."/>
    <s v="ADM."/>
    <s v="ADM."/>
    <s v="ADM."/>
    <s v="ADM."/>
    <s v="ADM."/>
    <m/>
    <m/>
    <m/>
    <m/>
    <m/>
    <m/>
    <m/>
    <m/>
    <m/>
    <m/>
    <m/>
    <m/>
    <m/>
    <m/>
    <m/>
    <m/>
    <m/>
    <m/>
    <m/>
    <m/>
    <m/>
    <m/>
    <m/>
    <m/>
    <m/>
    <m/>
    <m/>
    <m/>
    <m/>
    <m/>
    <m/>
    <s v="NO CORRESPONDE"/>
    <m/>
  </r>
  <r>
    <s v="031371X"/>
    <s v="GONZALEZ GONZALEZ JUAN ALBERTO"/>
    <s v="16974663K"/>
    <s v="RANCHO"/>
    <x v="135"/>
    <s v="GONZALEZ GONZALEZ JUAN ALBERTO"/>
    <x v="12"/>
    <x v="0"/>
    <x v="1"/>
    <x v="4"/>
    <s v=""/>
    <x v="6"/>
    <s v="RANCHO"/>
    <m/>
    <m/>
    <m/>
    <s v="CPR"/>
    <d v="2024-04-06T00:00:00"/>
    <m/>
    <m/>
    <m/>
    <m/>
    <s v=""/>
    <n v="5"/>
    <n v="290"/>
    <n v="15"/>
    <n v="0"/>
    <s v="ADM."/>
    <s v="ADM."/>
    <s v="ADM."/>
    <s v="ADM."/>
    <s v="ADM."/>
    <s v="ADM."/>
    <m/>
    <m/>
    <m/>
    <m/>
    <m/>
    <m/>
    <m/>
    <m/>
    <m/>
    <m/>
    <m/>
    <m/>
    <m/>
    <m/>
    <m/>
    <m/>
    <m/>
    <m/>
    <m/>
    <m/>
    <m/>
    <m/>
    <m/>
    <m/>
    <m/>
    <m/>
    <m/>
    <m/>
    <m/>
    <m/>
    <m/>
    <s v="NO CORRESPONDE"/>
    <m/>
  </r>
  <r>
    <s v="030638E "/>
    <s v="GONZALEZ ROMERO ADOLFO ENRIQUE"/>
    <n v="122443752"/>
    <s v="GARZON"/>
    <x v="154"/>
    <s v="GONZALEZ ROMERO ADOLFO ENRIQUE"/>
    <x v="12"/>
    <x v="0"/>
    <x v="1"/>
    <x v="4"/>
    <s v=""/>
    <x v="6"/>
    <s v="GARZON"/>
    <m/>
    <m/>
    <m/>
    <s v="CPR"/>
    <d v="2024-04-06T00:00:00"/>
    <m/>
    <m/>
    <m/>
    <m/>
    <s v=""/>
    <n v="5"/>
    <n v="291"/>
    <n v="15"/>
    <n v="0"/>
    <s v="ADM."/>
    <s v="ADM."/>
    <s v="ADM."/>
    <s v="ADM."/>
    <s v="ADM."/>
    <s v="ADM."/>
    <m/>
    <m/>
    <m/>
    <m/>
    <m/>
    <m/>
    <m/>
    <m/>
    <m/>
    <m/>
    <m/>
    <m/>
    <m/>
    <m/>
    <m/>
    <m/>
    <m/>
    <m/>
    <m/>
    <m/>
    <m/>
    <m/>
    <m/>
    <m/>
    <m/>
    <m/>
    <m/>
    <m/>
    <m/>
    <m/>
    <m/>
    <s v="NO CORRESPONDE"/>
    <m/>
  </r>
  <r>
    <s v="964439Y"/>
    <s v="ROJAS TAPIA JAIME MAURICIO"/>
    <n v="109150967"/>
    <s v="GARZON"/>
    <x v="154"/>
    <s v="ROJAS TAPIA JAIME MAURICIO"/>
    <x v="12"/>
    <x v="0"/>
    <x v="1"/>
    <x v="4"/>
    <s v=""/>
    <x v="6"/>
    <s v="GARZON"/>
    <m/>
    <m/>
    <m/>
    <s v="CPR"/>
    <d v="2024-04-06T00:00:00"/>
    <m/>
    <m/>
    <m/>
    <m/>
    <s v=""/>
    <n v="5"/>
    <n v="291"/>
    <n v="15"/>
    <n v="0"/>
    <s v="ADM."/>
    <s v="ADM."/>
    <s v="ADM."/>
    <s v="ADM."/>
    <s v="ADM."/>
    <s v="ADM."/>
    <m/>
    <m/>
    <m/>
    <m/>
    <m/>
    <m/>
    <m/>
    <m/>
    <m/>
    <m/>
    <m/>
    <m/>
    <m/>
    <m/>
    <m/>
    <m/>
    <m/>
    <m/>
    <m/>
    <m/>
    <m/>
    <m/>
    <m/>
    <m/>
    <m/>
    <m/>
    <m/>
    <m/>
    <m/>
    <m/>
    <m/>
    <s v="NO CORRESPONDE"/>
    <m/>
  </r>
  <r>
    <s v="971062Y"/>
    <s v="MEZA CERON GONZALO ARIEL"/>
    <s v="15408200K"/>
    <s v="MECANICO"/>
    <x v="152"/>
    <s v="MEZA CERON GONZALO ARIEL"/>
    <x v="12"/>
    <x v="0"/>
    <x v="1"/>
    <x v="4"/>
    <s v=""/>
    <x v="6"/>
    <s v="MECANICO"/>
    <m/>
    <m/>
    <m/>
    <s v="CPR"/>
    <d v="2024-04-06T00:00:00"/>
    <m/>
    <m/>
    <m/>
    <m/>
    <s v=""/>
    <n v="5"/>
    <n v="295"/>
    <n v="15"/>
    <n v="0"/>
    <s v="ADM."/>
    <s v="ADM."/>
    <s v="ADM."/>
    <s v="ADM."/>
    <s v="ADM."/>
    <s v="ADM."/>
    <m/>
    <m/>
    <m/>
    <m/>
    <m/>
    <m/>
    <m/>
    <m/>
    <m/>
    <m/>
    <m/>
    <m/>
    <m/>
    <m/>
    <m/>
    <m/>
    <m/>
    <m/>
    <m/>
    <m/>
    <m/>
    <m/>
    <m/>
    <m/>
    <m/>
    <m/>
    <m/>
    <m/>
    <m/>
    <m/>
    <m/>
    <s v="NO CORRESPONDE"/>
    <m/>
  </r>
  <r>
    <s v="031516H"/>
    <s v="OLMEDO GARCIA GASPAR "/>
    <n v="195031606"/>
    <s v="MECANICO"/>
    <x v="152"/>
    <s v="OLMEDO GARCIA GASPAR"/>
    <x v="12"/>
    <x v="0"/>
    <x v="1"/>
    <x v="4"/>
    <s v=""/>
    <x v="6"/>
    <s v="MECANICO"/>
    <m/>
    <m/>
    <m/>
    <s v="CPR"/>
    <d v="2024-04-06T00:00:00"/>
    <m/>
    <m/>
    <m/>
    <m/>
    <s v=""/>
    <n v="5"/>
    <n v="295"/>
    <n v="15"/>
    <n v="0"/>
    <s v="ADM."/>
    <s v="ADM."/>
    <s v="ADM."/>
    <s v="ADM."/>
    <s v="ADM."/>
    <s v="ADM."/>
    <m/>
    <m/>
    <m/>
    <m/>
    <m/>
    <m/>
    <m/>
    <m/>
    <m/>
    <m/>
    <m/>
    <m/>
    <m/>
    <m/>
    <m/>
    <m/>
    <m/>
    <m/>
    <m/>
    <m/>
    <m/>
    <m/>
    <m/>
    <m/>
    <m/>
    <m/>
    <m/>
    <m/>
    <m/>
    <m/>
    <m/>
    <s v="NO CORRESPONDE"/>
    <m/>
  </r>
  <r>
    <s v="965572W"/>
    <s v="VALDIVIA CACERES DANIEL GUILLERMO"/>
    <n v="128975748"/>
    <s v="MECANICO"/>
    <x v="152"/>
    <s v="VALDIVIA CACERES DANIEL GUILLERMO"/>
    <x v="12"/>
    <x v="0"/>
    <x v="1"/>
    <x v="4"/>
    <s v=""/>
    <x v="6"/>
    <s v="MECANICO"/>
    <m/>
    <m/>
    <m/>
    <s v="CPR"/>
    <d v="2024-04-06T00:00:00"/>
    <m/>
    <m/>
    <m/>
    <m/>
    <s v=""/>
    <n v="5"/>
    <n v="295"/>
    <n v="15"/>
    <n v="0"/>
    <s v="ADM."/>
    <s v="ADM."/>
    <s v="ADM."/>
    <s v="ADM."/>
    <s v="ADM."/>
    <s v="ADM."/>
    <m/>
    <m/>
    <m/>
    <m/>
    <m/>
    <m/>
    <m/>
    <m/>
    <m/>
    <m/>
    <m/>
    <m/>
    <m/>
    <m/>
    <m/>
    <m/>
    <m/>
    <m/>
    <m/>
    <m/>
    <m/>
    <m/>
    <m/>
    <m/>
    <m/>
    <m/>
    <m/>
    <m/>
    <m/>
    <m/>
    <m/>
    <s v="NO CORRESPONDE"/>
    <m/>
  </r>
  <r>
    <s v="997876Q"/>
    <s v="SAN MARTIN NEIRA SILVIA DEL CARMEN"/>
    <n v="98184759"/>
    <s v="PELUQUERÍA"/>
    <x v="155"/>
    <s v="SAN MARTIN NEIRA SILVIA DEL CARMEN"/>
    <x v="12"/>
    <x v="1"/>
    <x v="1"/>
    <x v="4"/>
    <s v=""/>
    <x v="6"/>
    <s v="PELUQUERÍA"/>
    <m/>
    <m/>
    <m/>
    <s v="CPR"/>
    <d v="2024-04-06T00:00:00"/>
    <m/>
    <m/>
    <m/>
    <m/>
    <s v=""/>
    <n v="5"/>
    <n v="296"/>
    <n v="15"/>
    <n v="0"/>
    <s v="ADM."/>
    <s v="ADM."/>
    <s v="ADM."/>
    <s v="ADM."/>
    <s v="ADM."/>
    <s v="ADM."/>
    <m/>
    <m/>
    <m/>
    <m/>
    <m/>
    <m/>
    <m/>
    <m/>
    <m/>
    <m/>
    <m/>
    <m/>
    <m/>
    <m/>
    <m/>
    <m/>
    <m/>
    <m/>
    <m/>
    <m/>
    <m/>
    <m/>
    <m/>
    <m/>
    <m/>
    <m/>
    <m/>
    <m/>
    <m/>
    <m/>
    <m/>
    <s v="NO CORRESPONDE"/>
    <m/>
  </r>
  <r>
    <s v="114990R"/>
    <s v="BREVIS GALVARINO VICTOR HUMBERTO"/>
    <n v="69788726"/>
    <s v="MANTENCIÓN DE CUARTEL"/>
    <x v="140"/>
    <s v="BREVIS GALVARINO VICTOR HUMBERTO"/>
    <x v="12"/>
    <x v="0"/>
    <x v="1"/>
    <x v="4"/>
    <s v=""/>
    <x v="11"/>
    <s v="LICENCIA MEDICA PENDIENTE"/>
    <m/>
    <m/>
    <m/>
    <s v="CPR"/>
    <d v="2024-04-06T00:00:00"/>
    <m/>
    <m/>
    <d v="2024-04-03T00:00:00"/>
    <m/>
    <s v=""/>
    <n v="5"/>
    <n v="298"/>
    <n v="15"/>
    <n v="0"/>
    <s v="ADM."/>
    <s v="LIC."/>
    <s v="LIC."/>
    <s v="LIC."/>
    <s v="LIC."/>
    <s v="LIC."/>
    <m/>
    <m/>
    <m/>
    <m/>
    <m/>
    <m/>
    <m/>
    <m/>
    <m/>
    <m/>
    <m/>
    <m/>
    <m/>
    <m/>
    <m/>
    <m/>
    <m/>
    <m/>
    <m/>
    <m/>
    <m/>
    <m/>
    <m/>
    <m/>
    <m/>
    <m/>
    <m/>
    <m/>
    <m/>
    <m/>
    <m/>
    <s v="NO CORRESPONDE"/>
    <m/>
  </r>
  <r>
    <s v="971050G"/>
    <s v="ARANCIBIA GONZALEZ ALEJANDRO ANDRES"/>
    <n v="151094899"/>
    <s v="ARCHIVERO"/>
    <x v="156"/>
    <s v="ARANCIBIA GONZALEZ ALEJANDRO ANDRES"/>
    <x v="12"/>
    <x v="0"/>
    <x v="1"/>
    <x v="4"/>
    <s v=""/>
    <x v="6"/>
    <s v="ARCHIVERO"/>
    <m/>
    <m/>
    <m/>
    <s v="CPR"/>
    <d v="2024-04-06T00:00:00"/>
    <m/>
    <m/>
    <m/>
    <m/>
    <s v=""/>
    <n v="5"/>
    <n v="320"/>
    <n v="15"/>
    <n v="0"/>
    <s v="ADM."/>
    <s v="ADM."/>
    <s v="ADM."/>
    <s v="ADM."/>
    <s v="ADM."/>
    <s v="ADM."/>
    <m/>
    <m/>
    <m/>
    <m/>
    <m/>
    <m/>
    <m/>
    <m/>
    <m/>
    <m/>
    <m/>
    <m/>
    <m/>
    <m/>
    <m/>
    <m/>
    <m/>
    <m/>
    <m/>
    <m/>
    <m/>
    <m/>
    <m/>
    <m/>
    <m/>
    <m/>
    <m/>
    <m/>
    <m/>
    <m/>
    <m/>
    <s v="NO CORRESPONDE"/>
    <m/>
  </r>
  <r>
    <s v="964074V"/>
    <s v="CRUCES TAPIA MIGUEL ANGEL"/>
    <n v="129104562"/>
    <s v="LAVANDERÍA"/>
    <x v="157"/>
    <s v="CRUCES TAPIA MIGUEL ANGEL"/>
    <x v="12"/>
    <x v="0"/>
    <x v="1"/>
    <x v="4"/>
    <s v=""/>
    <x v="6"/>
    <s v="LAVANDERÍA"/>
    <m/>
    <m/>
    <m/>
    <s v="CPR"/>
    <d v="2024-04-06T00:00:00"/>
    <m/>
    <m/>
    <m/>
    <m/>
    <s v=""/>
    <n v="5"/>
    <n v="327"/>
    <n v="15"/>
    <n v="0"/>
    <s v="ADM."/>
    <s v="ADM."/>
    <s v="ADM."/>
    <s v="ADM."/>
    <s v="ADM."/>
    <s v="ADM."/>
    <m/>
    <m/>
    <m/>
    <m/>
    <m/>
    <m/>
    <m/>
    <m/>
    <m/>
    <m/>
    <m/>
    <m/>
    <m/>
    <m/>
    <m/>
    <m/>
    <m/>
    <m/>
    <m/>
    <m/>
    <m/>
    <m/>
    <m/>
    <m/>
    <m/>
    <m/>
    <m/>
    <m/>
    <m/>
    <m/>
    <m/>
    <s v="NO CORRESPONDE"/>
    <m/>
  </r>
  <r>
    <s v="973958H"/>
    <s v="ARAYA QUIJADA JACQUELINE DEL CARMEN"/>
    <n v="117555178"/>
    <s v="OF. DE ENLACE FINANCIERO"/>
    <x v="158"/>
    <s v="ARAYA QUIJADA JACQUELINE DEL CARMEN"/>
    <x v="12"/>
    <x v="1"/>
    <x v="1"/>
    <x v="4"/>
    <s v=""/>
    <x v="6"/>
    <s v="OF. DE ENLACE FINANCIERO"/>
    <m/>
    <m/>
    <m/>
    <s v="CPR"/>
    <d v="2024-04-06T00:00:00"/>
    <m/>
    <m/>
    <m/>
    <m/>
    <s v=""/>
    <n v="5"/>
    <n v="330"/>
    <n v="15"/>
    <n v="0"/>
    <s v="ADM."/>
    <s v="ADM."/>
    <s v="ADM."/>
    <s v="ADM."/>
    <s v="ADM."/>
    <s v="ADM."/>
    <m/>
    <m/>
    <m/>
    <m/>
    <m/>
    <m/>
    <m/>
    <m/>
    <m/>
    <m/>
    <m/>
    <m/>
    <m/>
    <m/>
    <m/>
    <m/>
    <m/>
    <m/>
    <m/>
    <m/>
    <m/>
    <m/>
    <m/>
    <m/>
    <m/>
    <m/>
    <m/>
    <m/>
    <m/>
    <m/>
    <m/>
    <s v="NO CORRESPONDE"/>
    <m/>
  </r>
  <r>
    <s v="030635T"/>
    <s v="FERNANDEZ LA REGLA DANIEL ELIAS"/>
    <n v="112749217"/>
    <s v="OF. DE ENLACE FINANCIERO"/>
    <x v="158"/>
    <s v="FERNANDEZ LA REGLA DANIEL ELIAS"/>
    <x v="12"/>
    <x v="0"/>
    <x v="0"/>
    <x v="4"/>
    <s v=""/>
    <x v="6"/>
    <s v="OF. DE ENLACE FINANCIERO"/>
    <m/>
    <m/>
    <m/>
    <s v="CPR"/>
    <d v="2024-04-06T00:00:00"/>
    <m/>
    <m/>
    <m/>
    <m/>
    <s v=""/>
    <n v="5"/>
    <n v="330"/>
    <n v="15"/>
    <n v="0"/>
    <s v="ADM."/>
    <s v="ADM."/>
    <s v="ADM."/>
    <s v="ADM."/>
    <s v="ADM."/>
    <s v="ADM."/>
    <m/>
    <m/>
    <m/>
    <m/>
    <m/>
    <m/>
    <m/>
    <m/>
    <m/>
    <m/>
    <m/>
    <m/>
    <m/>
    <m/>
    <m/>
    <m/>
    <m/>
    <m/>
    <m/>
    <m/>
    <m/>
    <m/>
    <m/>
    <m/>
    <m/>
    <m/>
    <m/>
    <m/>
    <m/>
    <m/>
    <m/>
    <s v="NO CORRESPONDE"/>
    <m/>
  </r>
  <r>
    <s v="001831Q"/>
    <s v="AGUILAR GONZALEZ ASTRID PAULINA"/>
    <n v="142989220"/>
    <s v="OF. PSICOLOGÍA PREF."/>
    <x v="159"/>
    <s v="AGUILAR GONZALEZ ASTRID PAULINA"/>
    <x v="12"/>
    <x v="1"/>
    <x v="0"/>
    <x v="4"/>
    <s v=""/>
    <x v="6"/>
    <s v="OF. PSICOLOGÍA PREF."/>
    <m/>
    <m/>
    <m/>
    <s v="CPR"/>
    <d v="2024-04-06T00:00:00"/>
    <m/>
    <m/>
    <m/>
    <m/>
    <s v=""/>
    <n v="5"/>
    <n v="332"/>
    <n v="15"/>
    <n v="0"/>
    <s v="ADM."/>
    <s v="ADM."/>
    <s v="ADM."/>
    <s v="ADM."/>
    <s v="ADM."/>
    <s v="ADM."/>
    <m/>
    <m/>
    <m/>
    <m/>
    <m/>
    <m/>
    <m/>
    <m/>
    <m/>
    <m/>
    <m/>
    <m/>
    <m/>
    <m/>
    <m/>
    <m/>
    <m/>
    <m/>
    <m/>
    <m/>
    <m/>
    <m/>
    <m/>
    <m/>
    <m/>
    <m/>
    <m/>
    <m/>
    <m/>
    <m/>
    <m/>
    <s v="NO CORRESPONDE"/>
    <m/>
  </r>
  <r>
    <s v="003977U"/>
    <s v="FUENTES BRAVO MARIA ALEJANDRA"/>
    <n v="138974960"/>
    <s v="OF. PSICOLOGÍA PREF."/>
    <x v="159"/>
    <s v="FUENTES BRAVO MARIA ALEJANDRA"/>
    <x v="12"/>
    <x v="1"/>
    <x v="0"/>
    <x v="4"/>
    <s v=""/>
    <x v="6"/>
    <s v="OF. PSICOLOGÍA PREF."/>
    <m/>
    <m/>
    <m/>
    <s v="CPR"/>
    <d v="2024-04-06T00:00:00"/>
    <m/>
    <s v="DOE 198380009"/>
    <m/>
    <m/>
    <s v=""/>
    <n v="5"/>
    <n v="332"/>
    <n v="15"/>
    <n v="0"/>
    <s v="ADM."/>
    <s v="ADM."/>
    <s v="ADM."/>
    <s v="ADM."/>
    <s v="ADM."/>
    <s v="ADM."/>
    <m/>
    <m/>
    <m/>
    <m/>
    <m/>
    <m/>
    <m/>
    <m/>
    <m/>
    <m/>
    <m/>
    <m/>
    <m/>
    <m/>
    <m/>
    <m/>
    <m/>
    <m/>
    <m/>
    <m/>
    <m/>
    <m/>
    <m/>
    <m/>
    <m/>
    <m/>
    <m/>
    <m/>
    <m/>
    <m/>
    <m/>
    <s v="NO CORRESPONDE"/>
    <m/>
  </r>
  <r>
    <s v="991801Q"/>
    <s v="ZAMORA CLIFT JAVIER IGNACIO"/>
    <n v="168130317"/>
    <s v="PROF. EDUCACIÓN FÍSICA"/>
    <x v="160"/>
    <s v="ZAMORA CLIFT JAVIER IGNACIO"/>
    <x v="12"/>
    <x v="0"/>
    <x v="0"/>
    <x v="4"/>
    <s v=""/>
    <x v="6"/>
    <s v="PROF. EDUCACIÓN FÍSICA"/>
    <m/>
    <m/>
    <m/>
    <s v="CPR"/>
    <d v="2024-04-06T00:00:00"/>
    <m/>
    <m/>
    <m/>
    <m/>
    <s v=""/>
    <n v="5"/>
    <n v="334"/>
    <n v="15"/>
    <n v="0"/>
    <s v="ADM."/>
    <s v="ADM."/>
    <s v="ADM."/>
    <s v="ADM."/>
    <s v="ADM."/>
    <s v="ADM."/>
    <m/>
    <m/>
    <m/>
    <m/>
    <m/>
    <m/>
    <m/>
    <m/>
    <m/>
    <m/>
    <m/>
    <m/>
    <m/>
    <m/>
    <m/>
    <m/>
    <m/>
    <m/>
    <m/>
    <m/>
    <m/>
    <m/>
    <m/>
    <m/>
    <m/>
    <m/>
    <m/>
    <m/>
    <m/>
    <m/>
    <m/>
    <s v="NO CORRESPONDE"/>
    <m/>
  </r>
  <r>
    <s v="964460H"/>
    <s v="OLIVARES MUÑOZ VICTOR MANUEL"/>
    <n v="133554823"/>
    <s v="TELEFONISTA"/>
    <x v="161"/>
    <s v="OLIVARES MUÑOZ VICTOR MANUEL"/>
    <x v="12"/>
    <x v="0"/>
    <x v="1"/>
    <x v="4"/>
    <s v=""/>
    <x v="6"/>
    <s v="TELEFONISTA"/>
    <m/>
    <m/>
    <m/>
    <s v="CPR"/>
    <d v="2024-04-06T00:00:00"/>
    <m/>
    <m/>
    <m/>
    <m/>
    <s v=""/>
    <n v="5"/>
    <n v="336"/>
    <n v="15"/>
    <n v="0"/>
    <s v="ADM."/>
    <s v="ADM."/>
    <s v="ADM."/>
    <s v="ADM."/>
    <s v="ADM."/>
    <s v="ADM."/>
    <m/>
    <m/>
    <m/>
    <m/>
    <m/>
    <m/>
    <m/>
    <m/>
    <m/>
    <m/>
    <m/>
    <m/>
    <m/>
    <m/>
    <m/>
    <m/>
    <m/>
    <m/>
    <m/>
    <m/>
    <m/>
    <m/>
    <m/>
    <m/>
    <m/>
    <m/>
    <m/>
    <m/>
    <m/>
    <m/>
    <m/>
    <s v="NO CORRESPONDE"/>
    <m/>
  </r>
  <r>
    <s v="025183E"/>
    <s v="CUMSILLE QUINTANILLA MIGUEL EDUARDO JACOB"/>
    <n v="170493036"/>
    <s v="AGREGADOS"/>
    <x v="151"/>
    <s v="CUMSILLE QUINTANILLA MIGUEL EDUARDO JACOB"/>
    <x v="12"/>
    <x v="0"/>
    <x v="0"/>
    <x v="4"/>
    <s v=""/>
    <x v="14"/>
    <s v="AGREGADOS"/>
    <m/>
    <m/>
    <m/>
    <s v="CPR"/>
    <d v="1988-09-15T00:00:00"/>
    <m/>
    <m/>
    <m/>
    <m/>
    <s v=""/>
    <n v="5"/>
    <n v="341"/>
    <n v="15"/>
    <n v="0"/>
    <s v="AG."/>
    <s v="AG."/>
    <s v="AG."/>
    <s v="AG."/>
    <s v="AG."/>
    <s v="AG."/>
    <m/>
    <m/>
    <m/>
    <m/>
    <m/>
    <m/>
    <m/>
    <m/>
    <m/>
    <m/>
    <m/>
    <m/>
    <m/>
    <m/>
    <m/>
    <m/>
    <m/>
    <m/>
    <m/>
    <m/>
    <m/>
    <m/>
    <m/>
    <m/>
    <m/>
    <m/>
    <m/>
    <m/>
    <m/>
    <m/>
    <m/>
    <m/>
    <m/>
  </r>
  <r>
    <s v="960715C"/>
    <s v="TORRES BISSO PAULA ALEJANDRA"/>
    <n v="128524282"/>
    <s v="ASISTENTE SOCIAL"/>
    <x v="162"/>
    <s v="TORRES BISSO PAULA ALEJANDRA"/>
    <x v="13"/>
    <x v="1"/>
    <x v="0"/>
    <x v="5"/>
    <s v=""/>
    <x v="6"/>
    <s v="ASISTENTE SOCIAL"/>
    <m/>
    <m/>
    <m/>
    <s v="CIVIL GRADO EQUIVALENTE"/>
    <d v="2024-04-06T00:00:00"/>
    <m/>
    <m/>
    <m/>
    <m/>
    <s v=""/>
    <n v="6"/>
    <n v="12"/>
    <n v="14"/>
    <n v="0"/>
    <s v="ADM."/>
    <s v="ADM."/>
    <s v="ADM."/>
    <s v="ADM."/>
    <s v="ADM."/>
    <s v="ADM."/>
    <m/>
    <m/>
    <m/>
    <m/>
    <m/>
    <m/>
    <m/>
    <m/>
    <m/>
    <m/>
    <m/>
    <m/>
    <m/>
    <m/>
    <m/>
    <m/>
    <m/>
    <m/>
    <m/>
    <m/>
    <m/>
    <m/>
    <m/>
    <m/>
    <m/>
    <m/>
    <m/>
    <m/>
    <m/>
    <m/>
    <m/>
    <s v="NO CORRESPOND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TablaDinámica2"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1:D204" firstHeaderRow="1" firstDataRow="2" firstDataCol="1"/>
  <pivotFields count="66">
    <pivotField showAll="0"/>
    <pivotField showAll="0"/>
    <pivotField showAll="0"/>
    <pivotField showAll="0"/>
    <pivotField axis="axisRow" dataField="1" showAll="0">
      <items count="166">
        <item x="156"/>
        <item x="162"/>
        <item x="8"/>
        <item x="10"/>
        <item x="12"/>
        <item x="147"/>
        <item x="134"/>
        <item x="139"/>
        <item x="0"/>
        <item x="2"/>
        <item x="4"/>
        <item x="6"/>
        <item x="154"/>
        <item x="28"/>
        <item x="34"/>
        <item x="14"/>
        <item x="15"/>
        <item x="16"/>
        <item x="18"/>
        <item x="19"/>
        <item x="20"/>
        <item x="21"/>
        <item x="104"/>
        <item x="54"/>
        <item x="62"/>
        <item x="66"/>
        <item x="72"/>
        <item x="78"/>
        <item x="80"/>
        <item x="141"/>
        <item x="142"/>
        <item x="143"/>
        <item x="128"/>
        <item x="152"/>
        <item x="153"/>
        <item x="158"/>
        <item x="123"/>
        <item x="159"/>
        <item x="148"/>
        <item x="23"/>
        <item x="24"/>
        <item x="25"/>
        <item x="155"/>
        <item x="126"/>
        <item x="160"/>
        <item x="124"/>
        <item x="135"/>
        <item x="55"/>
        <item x="61"/>
        <item x="63"/>
        <item x="65"/>
        <item x="67"/>
        <item x="69"/>
        <item x="71"/>
        <item x="73"/>
        <item x="77"/>
        <item x="79"/>
        <item x="81"/>
        <item x="83"/>
        <item x="85"/>
        <item x="161"/>
        <item x="114"/>
        <item x="151"/>
        <item x="121"/>
        <item x="113"/>
        <item x="129"/>
        <item x="132"/>
        <item x="136"/>
        <item x="137"/>
        <item x="138"/>
        <item x="1"/>
        <item x="5"/>
        <item x="9"/>
        <item x="3"/>
        <item x="7"/>
        <item m="1" x="164"/>
        <item x="40"/>
        <item x="150"/>
        <item x="119"/>
        <item x="70"/>
        <item x="84"/>
        <item x="118"/>
        <item m="1" x="163"/>
        <item x="22"/>
        <item x="145"/>
        <item x="58"/>
        <item x="59"/>
        <item x="75"/>
        <item x="68"/>
        <item x="157"/>
        <item x="130"/>
        <item x="144"/>
        <item x="11"/>
        <item x="89"/>
        <item x="38"/>
        <item x="76"/>
        <item x="29"/>
        <item x="91"/>
        <item x="116"/>
        <item x="39"/>
        <item x="90"/>
        <item x="110"/>
        <item x="53"/>
        <item x="57"/>
        <item x="109"/>
        <item x="115"/>
        <item x="36"/>
        <item x="35"/>
        <item x="122"/>
        <item x="120"/>
        <item x="149"/>
        <item x="86"/>
        <item x="87"/>
        <item x="117"/>
        <item x="125"/>
        <item x="98"/>
        <item x="99"/>
        <item x="52"/>
        <item x="93"/>
        <item x="95"/>
        <item x="97"/>
        <item x="107"/>
        <item x="51"/>
        <item x="88"/>
        <item x="102"/>
        <item x="13"/>
        <item x="106"/>
        <item x="30"/>
        <item x="32"/>
        <item x="31"/>
        <item x="33"/>
        <item x="105"/>
        <item x="103"/>
        <item x="133"/>
        <item x="37"/>
        <item x="82"/>
        <item x="131"/>
        <item x="60"/>
        <item x="27"/>
        <item x="94"/>
        <item x="96"/>
        <item x="140"/>
        <item x="46"/>
        <item x="47"/>
        <item x="74"/>
        <item x="101"/>
        <item x="108"/>
        <item x="111"/>
        <item x="112"/>
        <item x="48"/>
        <item x="49"/>
        <item x="41"/>
        <item x="64"/>
        <item x="42"/>
        <item x="92"/>
        <item x="146"/>
        <item x="50"/>
        <item x="26"/>
        <item x="43"/>
        <item x="44"/>
        <item x="45"/>
        <item x="56"/>
        <item x="17"/>
        <item x="127"/>
        <item x="100"/>
        <item t="default"/>
      </items>
    </pivotField>
    <pivotField showAll="0"/>
    <pivotField showAll="0"/>
    <pivotField showAll="0"/>
    <pivotField showAll="0"/>
    <pivotField axis="axisCol" multipleItemSelectionAllowed="1" showAll="0">
      <items count="9">
        <item h="1" x="3"/>
        <item h="1" x="4"/>
        <item h="1" m="1" x="7"/>
        <item x="1"/>
        <item x="0"/>
        <item h="1" x="2"/>
        <item h="1" m="1" x="6"/>
        <item h="1" x="5"/>
        <item t="default"/>
      </items>
    </pivotField>
    <pivotField showAll="0"/>
    <pivotField axis="axisRow" showAll="0">
      <items count="17">
        <item m="1" x="15"/>
        <item x="1"/>
        <item x="14"/>
        <item x="11"/>
        <item x="6"/>
        <item x="2"/>
        <item x="10"/>
        <item x="5"/>
        <item x="13"/>
        <item x="0"/>
        <item x="7"/>
        <item x="9"/>
        <item x="3"/>
        <item x="4"/>
        <item x="12"/>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1"/>
    <field x="4"/>
  </rowFields>
  <rowItems count="172">
    <i>
      <x v="1"/>
    </i>
    <i r="1">
      <x v="2"/>
    </i>
    <i r="1">
      <x v="11"/>
    </i>
    <i r="1">
      <x v="13"/>
    </i>
    <i r="1">
      <x v="23"/>
    </i>
    <i r="1">
      <x v="26"/>
    </i>
    <i r="1">
      <x v="32"/>
    </i>
    <i r="1">
      <x v="43"/>
    </i>
    <i r="1">
      <x v="47"/>
    </i>
    <i r="1">
      <x v="53"/>
    </i>
    <i r="1">
      <x v="54"/>
    </i>
    <i r="1">
      <x v="63"/>
    </i>
    <i r="1">
      <x v="67"/>
    </i>
    <i r="1">
      <x v="72"/>
    </i>
    <i r="1">
      <x v="74"/>
    </i>
    <i r="1">
      <x v="79"/>
    </i>
    <i r="1">
      <x v="83"/>
    </i>
    <i r="1">
      <x v="87"/>
    </i>
    <i r="1">
      <x v="90"/>
    </i>
    <i r="1">
      <x v="96"/>
    </i>
    <i r="1">
      <x v="98"/>
    </i>
    <i r="1">
      <x v="102"/>
    </i>
    <i r="1">
      <x v="103"/>
    </i>
    <i r="1">
      <x v="105"/>
    </i>
    <i r="1">
      <x v="108"/>
    </i>
    <i r="1">
      <x v="109"/>
    </i>
    <i r="1">
      <x v="113"/>
    </i>
    <i r="1">
      <x v="117"/>
    </i>
    <i r="1">
      <x v="126"/>
    </i>
    <i r="1">
      <x v="128"/>
    </i>
    <i r="1">
      <x v="130"/>
    </i>
    <i r="1">
      <x v="131"/>
    </i>
    <i r="1">
      <x v="133"/>
    </i>
    <i r="1">
      <x v="138"/>
    </i>
    <i r="1">
      <x v="142"/>
    </i>
    <i r="1">
      <x v="143"/>
    </i>
    <i r="1">
      <x v="144"/>
    </i>
    <i r="1">
      <x v="145"/>
    </i>
    <i r="1">
      <x v="149"/>
    </i>
    <i r="1">
      <x v="150"/>
    </i>
    <i r="1">
      <x v="161"/>
    </i>
    <i r="1">
      <x v="164"/>
    </i>
    <i>
      <x v="2"/>
    </i>
    <i r="1">
      <x v="62"/>
    </i>
    <i>
      <x v="3"/>
    </i>
    <i r="1">
      <x v="29"/>
    </i>
    <i r="1">
      <x v="30"/>
    </i>
    <i r="1">
      <x v="31"/>
    </i>
    <i r="1">
      <x v="84"/>
    </i>
    <i r="1">
      <x v="91"/>
    </i>
    <i r="1">
      <x v="141"/>
    </i>
    <i>
      <x v="4"/>
    </i>
    <i r="1">
      <x v="5"/>
    </i>
    <i r="1">
      <x v="6"/>
    </i>
    <i r="1">
      <x v="32"/>
    </i>
    <i r="1">
      <x v="36"/>
    </i>
    <i r="1">
      <x v="38"/>
    </i>
    <i r="1">
      <x v="43"/>
    </i>
    <i r="1">
      <x v="45"/>
    </i>
    <i r="1">
      <x v="46"/>
    </i>
    <i r="1">
      <x v="65"/>
    </i>
    <i r="1">
      <x v="66"/>
    </i>
    <i r="1">
      <x v="78"/>
    </i>
    <i r="1">
      <x v="110"/>
    </i>
    <i r="1">
      <x v="114"/>
    </i>
    <i r="1">
      <x v="136"/>
    </i>
    <i r="1">
      <x v="157"/>
    </i>
    <i>
      <x v="5"/>
    </i>
    <i r="1">
      <x v="16"/>
    </i>
    <i r="1">
      <x v="21"/>
    </i>
    <i r="1">
      <x v="22"/>
    </i>
    <i r="1">
      <x v="25"/>
    </i>
    <i r="1">
      <x v="40"/>
    </i>
    <i r="1">
      <x v="50"/>
    </i>
    <i r="1">
      <x v="51"/>
    </i>
    <i r="1">
      <x v="52"/>
    </i>
    <i r="1">
      <x v="88"/>
    </i>
    <i r="1">
      <x v="106"/>
    </i>
    <i r="1">
      <x v="134"/>
    </i>
    <i r="1">
      <x v="152"/>
    </i>
    <i>
      <x v="6"/>
    </i>
    <i r="1">
      <x v="7"/>
    </i>
    <i>
      <x v="7"/>
    </i>
    <i r="1">
      <x v="14"/>
    </i>
    <i r="1">
      <x v="39"/>
    </i>
    <i r="1">
      <x v="43"/>
    </i>
    <i r="1">
      <x v="48"/>
    </i>
    <i r="1">
      <x v="107"/>
    </i>
    <i r="1">
      <x v="124"/>
    </i>
    <i r="1">
      <x v="132"/>
    </i>
    <i r="1">
      <x v="137"/>
    </i>
    <i>
      <x v="8"/>
    </i>
    <i r="1">
      <x v="77"/>
    </i>
    <i>
      <x v="9"/>
    </i>
    <i r="1">
      <x v="3"/>
    </i>
    <i r="1">
      <x v="4"/>
    </i>
    <i r="1">
      <x v="8"/>
    </i>
    <i r="1">
      <x v="9"/>
    </i>
    <i r="1">
      <x v="10"/>
    </i>
    <i r="1">
      <x v="15"/>
    </i>
    <i r="1">
      <x v="18"/>
    </i>
    <i r="1">
      <x v="41"/>
    </i>
    <i r="1">
      <x v="58"/>
    </i>
    <i r="1">
      <x v="59"/>
    </i>
    <i r="1">
      <x v="61"/>
    </i>
    <i r="1">
      <x v="64"/>
    </i>
    <i r="1">
      <x v="70"/>
    </i>
    <i r="1">
      <x v="71"/>
    </i>
    <i r="1">
      <x v="73"/>
    </i>
    <i r="1">
      <x v="76"/>
    </i>
    <i r="1">
      <x v="80"/>
    </i>
    <i r="1">
      <x v="81"/>
    </i>
    <i r="1">
      <x v="92"/>
    </i>
    <i r="1">
      <x v="93"/>
    </i>
    <i r="1">
      <x v="97"/>
    </i>
    <i r="1">
      <x v="100"/>
    </i>
    <i r="1">
      <x v="101"/>
    </i>
    <i r="1">
      <x v="104"/>
    </i>
    <i r="1">
      <x v="111"/>
    </i>
    <i r="1">
      <x v="112"/>
    </i>
    <i r="1">
      <x v="115"/>
    </i>
    <i r="1">
      <x v="116"/>
    </i>
    <i r="1">
      <x v="122"/>
    </i>
    <i r="1">
      <x v="123"/>
    </i>
    <i r="1">
      <x v="125"/>
    </i>
    <i r="1">
      <x v="127"/>
    </i>
    <i r="1">
      <x v="129"/>
    </i>
    <i r="1">
      <x v="135"/>
    </i>
    <i r="1">
      <x v="138"/>
    </i>
    <i r="1">
      <x v="147"/>
    </i>
    <i r="1">
      <x v="148"/>
    </i>
    <i r="1">
      <x v="151"/>
    </i>
    <i r="1">
      <x v="156"/>
    </i>
    <i r="1">
      <x v="159"/>
    </i>
    <i r="1">
      <x v="160"/>
    </i>
    <i r="1">
      <x v="163"/>
    </i>
    <i>
      <x v="10"/>
    </i>
    <i r="1">
      <x v="27"/>
    </i>
    <i r="1">
      <x v="28"/>
    </i>
    <i r="1">
      <x v="55"/>
    </i>
    <i r="1">
      <x v="56"/>
    </i>
    <i r="1">
      <x v="57"/>
    </i>
    <i r="1">
      <x v="68"/>
    </i>
    <i r="1">
      <x v="94"/>
    </i>
    <i r="1">
      <x v="95"/>
    </i>
    <i r="1">
      <x v="99"/>
    </i>
    <i r="1">
      <x v="121"/>
    </i>
    <i r="1">
      <x v="146"/>
    </i>
    <i>
      <x v="11"/>
    </i>
    <i r="1">
      <x v="69"/>
    </i>
    <i r="1">
      <x v="118"/>
    </i>
    <i r="1">
      <x v="119"/>
    </i>
    <i r="1">
      <x v="120"/>
    </i>
    <i r="1">
      <x v="139"/>
    </i>
    <i r="1">
      <x v="140"/>
    </i>
    <i r="1">
      <x v="154"/>
    </i>
    <i>
      <x v="12"/>
    </i>
    <i r="1">
      <x v="17"/>
    </i>
    <i r="1">
      <x v="19"/>
    </i>
    <i>
      <x v="13"/>
    </i>
    <i r="1">
      <x v="20"/>
    </i>
    <i r="1">
      <x v="162"/>
    </i>
    <i>
      <x v="14"/>
    </i>
    <i r="1">
      <x v="155"/>
    </i>
    <i>
      <x v="15"/>
    </i>
    <i r="1">
      <x v="24"/>
    </i>
    <i r="1">
      <x v="49"/>
    </i>
    <i r="1">
      <x v="85"/>
    </i>
    <i r="1">
      <x v="86"/>
    </i>
    <i r="1">
      <x v="153"/>
    </i>
    <i r="1">
      <x v="158"/>
    </i>
    <i t="grand">
      <x/>
    </i>
  </rowItems>
  <colFields count="1">
    <field x="9"/>
  </colFields>
  <colItems count="3">
    <i>
      <x v="3"/>
    </i>
    <i>
      <x v="4"/>
    </i>
    <i t="grand">
      <x/>
    </i>
  </colItems>
  <dataFields count="1">
    <dataField name="Cuenta de DOTACIÓN ACTUAL" fld="4" subtotal="count" baseField="0" baseItem="0"/>
  </dataFields>
  <formats count="39">
    <format dxfId="474">
      <pivotArea type="all" dataOnly="0" outline="0" fieldPosition="0"/>
    </format>
    <format dxfId="473">
      <pivotArea outline="0" collapsedLevelsAreSubtotals="1" fieldPosition="0"/>
    </format>
    <format dxfId="472">
      <pivotArea type="origin" dataOnly="0" labelOnly="1" outline="0" fieldPosition="0"/>
    </format>
    <format dxfId="471">
      <pivotArea field="9" type="button" dataOnly="0" labelOnly="1" outline="0" axis="axisCol" fieldPosition="0"/>
    </format>
    <format dxfId="470">
      <pivotArea type="topRight" dataOnly="0" labelOnly="1" outline="0" fieldPosition="0"/>
    </format>
    <format dxfId="469">
      <pivotArea field="11" type="button" dataOnly="0" labelOnly="1" outline="0" axis="axisRow" fieldPosition="0"/>
    </format>
    <format dxfId="468">
      <pivotArea dataOnly="0" labelOnly="1" fieldPosition="0">
        <references count="1">
          <reference field="11" count="0"/>
        </references>
      </pivotArea>
    </format>
    <format dxfId="467">
      <pivotArea dataOnly="0" labelOnly="1" grandRow="1" outline="0" fieldPosition="0"/>
    </format>
    <format dxfId="466">
      <pivotArea dataOnly="0" labelOnly="1" fieldPosition="0">
        <references count="2">
          <reference field="4" count="8">
            <x v="2"/>
            <x v="3"/>
            <x v="4"/>
            <x v="9"/>
            <x v="14"/>
            <x v="25"/>
            <x v="45"/>
            <x v="51"/>
          </reference>
          <reference field="11" count="1" selected="0">
            <x v="1"/>
          </reference>
        </references>
      </pivotArea>
    </format>
    <format dxfId="465">
      <pivotArea dataOnly="0" labelOnly="1" fieldPosition="0">
        <references count="2">
          <reference field="4" count="1">
            <x v="62"/>
          </reference>
          <reference field="11" count="1" selected="0">
            <x v="2"/>
          </reference>
        </references>
      </pivotArea>
    </format>
    <format dxfId="464">
      <pivotArea dataOnly="0" labelOnly="1" fieldPosition="0">
        <references count="2">
          <reference field="4" count="2">
            <x v="29"/>
            <x v="30"/>
          </reference>
          <reference field="11" count="1" selected="0">
            <x v="3"/>
          </reference>
        </references>
      </pivotArea>
    </format>
    <format dxfId="463">
      <pivotArea dataOnly="0" labelOnly="1" fieldPosition="0">
        <references count="1">
          <reference field="9" count="0"/>
        </references>
      </pivotArea>
    </format>
    <format dxfId="462">
      <pivotArea dataOnly="0" labelOnly="1" grandCol="1" outline="0" fieldPosition="0"/>
    </format>
    <format dxfId="461">
      <pivotArea type="all" dataOnly="0" outline="0" fieldPosition="0"/>
    </format>
    <format dxfId="460">
      <pivotArea outline="0" collapsedLevelsAreSubtotals="1" fieldPosition="0"/>
    </format>
    <format dxfId="459">
      <pivotArea type="origin" dataOnly="0" labelOnly="1" outline="0" fieldPosition="0"/>
    </format>
    <format dxfId="458">
      <pivotArea field="9" type="button" dataOnly="0" labelOnly="1" outline="0" axis="axisCol" fieldPosition="0"/>
    </format>
    <format dxfId="457">
      <pivotArea type="topRight" dataOnly="0" labelOnly="1" outline="0" fieldPosition="0"/>
    </format>
    <format dxfId="456">
      <pivotArea field="11" type="button" dataOnly="0" labelOnly="1" outline="0" axis="axisRow" fieldPosition="0"/>
    </format>
    <format dxfId="455">
      <pivotArea dataOnly="0" labelOnly="1" fieldPosition="0">
        <references count="1">
          <reference field="11" count="0"/>
        </references>
      </pivotArea>
    </format>
    <format dxfId="454">
      <pivotArea dataOnly="0" labelOnly="1" grandRow="1" outline="0" fieldPosition="0"/>
    </format>
    <format dxfId="453">
      <pivotArea dataOnly="0" labelOnly="1" fieldPosition="0">
        <references count="2">
          <reference field="4" count="8">
            <x v="2"/>
            <x v="3"/>
            <x v="4"/>
            <x v="9"/>
            <x v="14"/>
            <x v="25"/>
            <x v="45"/>
            <x v="51"/>
          </reference>
          <reference field="11" count="1" selected="0">
            <x v="1"/>
          </reference>
        </references>
      </pivotArea>
    </format>
    <format dxfId="452">
      <pivotArea dataOnly="0" labelOnly="1" fieldPosition="0">
        <references count="2">
          <reference field="4" count="1">
            <x v="62"/>
          </reference>
          <reference field="11" count="1" selected="0">
            <x v="2"/>
          </reference>
        </references>
      </pivotArea>
    </format>
    <format dxfId="451">
      <pivotArea dataOnly="0" labelOnly="1" fieldPosition="0">
        <references count="2">
          <reference field="4" count="2">
            <x v="29"/>
            <x v="30"/>
          </reference>
          <reference field="11" count="1" selected="0">
            <x v="3"/>
          </reference>
        </references>
      </pivotArea>
    </format>
    <format dxfId="450">
      <pivotArea dataOnly="0" labelOnly="1" fieldPosition="0">
        <references count="1">
          <reference field="9" count="0"/>
        </references>
      </pivotArea>
    </format>
    <format dxfId="449">
      <pivotArea dataOnly="0" labelOnly="1" grandCol="1" outline="0" fieldPosition="0"/>
    </format>
    <format dxfId="448">
      <pivotArea type="all" dataOnly="0" outline="0" fieldPosition="0"/>
    </format>
    <format dxfId="447">
      <pivotArea outline="0" collapsedLevelsAreSubtotals="1" fieldPosition="0"/>
    </format>
    <format dxfId="446">
      <pivotArea type="origin" dataOnly="0" labelOnly="1" outline="0" fieldPosition="0"/>
    </format>
    <format dxfId="445">
      <pivotArea field="9" type="button" dataOnly="0" labelOnly="1" outline="0" axis="axisCol" fieldPosition="0"/>
    </format>
    <format dxfId="444">
      <pivotArea type="topRight" dataOnly="0" labelOnly="1" outline="0" fieldPosition="0"/>
    </format>
    <format dxfId="443">
      <pivotArea field="11" type="button" dataOnly="0" labelOnly="1" outline="0" axis="axisRow" fieldPosition="0"/>
    </format>
    <format dxfId="442">
      <pivotArea dataOnly="0" labelOnly="1" fieldPosition="0">
        <references count="1">
          <reference field="11" count="0"/>
        </references>
      </pivotArea>
    </format>
    <format dxfId="441">
      <pivotArea dataOnly="0" labelOnly="1" grandRow="1" outline="0" fieldPosition="0"/>
    </format>
    <format dxfId="440">
      <pivotArea dataOnly="0" labelOnly="1" fieldPosition="0">
        <references count="2">
          <reference field="4" count="3">
            <x v="2"/>
            <x v="4"/>
            <x v="13"/>
          </reference>
          <reference field="11" count="1" selected="0">
            <x v="1"/>
          </reference>
        </references>
      </pivotArea>
    </format>
    <format dxfId="439">
      <pivotArea dataOnly="0" labelOnly="1" fieldPosition="0">
        <references count="2">
          <reference field="4" count="1">
            <x v="62"/>
          </reference>
          <reference field="11" count="1" selected="0">
            <x v="2"/>
          </reference>
        </references>
      </pivotArea>
    </format>
    <format dxfId="438">
      <pivotArea dataOnly="0" labelOnly="1" fieldPosition="0">
        <references count="2">
          <reference field="4" count="2">
            <x v="29"/>
            <x v="30"/>
          </reference>
          <reference field="11" count="1" selected="0">
            <x v="3"/>
          </reference>
        </references>
      </pivotArea>
    </format>
    <format dxfId="437">
      <pivotArea dataOnly="0" labelOnly="1" fieldPosition="0">
        <references count="1">
          <reference field="9" count="0"/>
        </references>
      </pivotArea>
    </format>
    <format dxfId="436">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aDinámica5"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K4:AN21" firstHeaderRow="1" firstDataRow="2" firstDataCol="1" rowPageCount="1" colPageCount="1"/>
  <pivotFields count="66">
    <pivotField showAll="0"/>
    <pivotField showAll="0"/>
    <pivotField showAll="0"/>
    <pivotField showAll="0"/>
    <pivotField showAll="0"/>
    <pivotField showAll="0"/>
    <pivotField dataField="1" showAll="0"/>
    <pivotField showAll="0"/>
    <pivotField axis="axisCol" multipleItemSelectionAllowed="1" showAll="0">
      <items count="6">
        <item x="0"/>
        <item x="1"/>
        <item h="1" x="2"/>
        <item h="1" x="3"/>
        <item m="1" x="4"/>
        <item t="default"/>
      </items>
    </pivotField>
    <pivotField axis="axisPage" multipleItemSelectionAllowed="1" showAll="0">
      <items count="9">
        <item h="1" x="3"/>
        <item h="1" x="4"/>
        <item h="1" m="1" x="7"/>
        <item x="1"/>
        <item x="0"/>
        <item h="1" x="2"/>
        <item m="1" x="6"/>
        <item h="1" x="5"/>
        <item t="default"/>
      </items>
    </pivotField>
    <pivotField showAll="0"/>
    <pivotField axis="axisRow" showAll="0">
      <items count="17">
        <item m="1" x="15"/>
        <item x="1"/>
        <item x="6"/>
        <item x="14"/>
        <item x="11"/>
        <item x="2"/>
        <item x="10"/>
        <item x="5"/>
        <item x="13"/>
        <item x="0"/>
        <item x="7"/>
        <item x="9"/>
        <item x="3"/>
        <item x="4"/>
        <item x="12"/>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16">
    <i>
      <x v="1"/>
    </i>
    <i>
      <x v="2"/>
    </i>
    <i>
      <x v="3"/>
    </i>
    <i>
      <x v="4"/>
    </i>
    <i>
      <x v="5"/>
    </i>
    <i>
      <x v="6"/>
    </i>
    <i>
      <x v="7"/>
    </i>
    <i>
      <x v="8"/>
    </i>
    <i>
      <x v="9"/>
    </i>
    <i>
      <x v="10"/>
    </i>
    <i>
      <x v="11"/>
    </i>
    <i>
      <x v="12"/>
    </i>
    <i>
      <x v="13"/>
    </i>
    <i>
      <x v="14"/>
    </i>
    <i>
      <x v="15"/>
    </i>
    <i t="grand">
      <x/>
    </i>
  </rowItems>
  <colFields count="1">
    <field x="8"/>
  </colFields>
  <colItems count="3">
    <i>
      <x/>
    </i>
    <i>
      <x v="1"/>
    </i>
    <i t="grand">
      <x/>
    </i>
  </colItems>
  <pageFields count="1">
    <pageField fld="9" hier="-1"/>
  </pageFields>
  <dataFields count="1">
    <dataField name="Cuenta de GRADO"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TablaDinámica7"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W3:Z17" firstHeaderRow="1" firstDataRow="2" firstDataCol="1" rowPageCount="1" colPageCount="1"/>
  <pivotFields count="66">
    <pivotField showAll="0"/>
    <pivotField showAll="0"/>
    <pivotField showAll="0"/>
    <pivotField showAll="0"/>
    <pivotField showAll="0"/>
    <pivotField showAll="0"/>
    <pivotField axis="axisRow" showAll="0">
      <items count="18">
        <item x="2"/>
        <item x="7"/>
        <item x="8"/>
        <item x="10"/>
        <item m="1" x="15"/>
        <item x="11"/>
        <item x="6"/>
        <item x="3"/>
        <item x="1"/>
        <item x="4"/>
        <item x="5"/>
        <item x="9"/>
        <item x="12"/>
        <item x="0"/>
        <item m="1" x="16"/>
        <item m="1" x="14"/>
        <item x="13"/>
        <item t="default"/>
      </items>
    </pivotField>
    <pivotField showAll="0"/>
    <pivotField axis="axisPage" multipleItemSelectionAllowed="1" showAll="0">
      <items count="6">
        <item x="1"/>
        <item x="2"/>
        <item x="3"/>
        <item x="0"/>
        <item m="1" x="4"/>
        <item t="default"/>
      </items>
    </pivotField>
    <pivotField axis="axisCol" showAll="0" sortType="descending">
      <items count="9">
        <item h="1" m="1" x="6"/>
        <item h="1" x="2"/>
        <item x="0"/>
        <item x="1"/>
        <item h="1" m="1" x="7"/>
        <item h="1" x="5"/>
        <item h="1" x="3"/>
        <item h="1" x="4"/>
        <item t="default"/>
      </items>
    </pivotField>
    <pivotField showAll="0"/>
    <pivotField dataField="1" showAll="0" sortType="ascending">
      <items count="17">
        <item m="1" x="15"/>
        <item x="3"/>
        <item x="1"/>
        <item x="7"/>
        <item x="4"/>
        <item x="5"/>
        <item x="9"/>
        <item x="8"/>
        <item x="6"/>
        <item x="14"/>
        <item x="0"/>
        <item x="10"/>
        <item x="11"/>
        <item x="12"/>
        <item x="1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13">
    <i>
      <x/>
    </i>
    <i>
      <x v="1"/>
    </i>
    <i>
      <x v="2"/>
    </i>
    <i>
      <x v="3"/>
    </i>
    <i>
      <x v="5"/>
    </i>
    <i>
      <x v="6"/>
    </i>
    <i>
      <x v="7"/>
    </i>
    <i>
      <x v="8"/>
    </i>
    <i>
      <x v="9"/>
    </i>
    <i>
      <x v="10"/>
    </i>
    <i>
      <x v="11"/>
    </i>
    <i>
      <x v="13"/>
    </i>
    <i t="grand">
      <x/>
    </i>
  </rowItems>
  <colFields count="1">
    <field x="9"/>
  </colFields>
  <colItems count="3">
    <i>
      <x v="2"/>
    </i>
    <i>
      <x v="3"/>
    </i>
    <i t="grand">
      <x/>
    </i>
  </colItems>
  <pageFields count="1">
    <pageField fld="8" hier="-1"/>
  </pageFields>
  <dataFields count="1">
    <dataField name="Cuenta de TURNO" fld="11" subtotal="count" baseField="0" baseItem="0"/>
  </dataFields>
  <formats count="27">
    <format dxfId="501">
      <pivotArea type="all" dataOnly="0" outline="0" fieldPosition="0"/>
    </format>
    <format dxfId="500">
      <pivotArea outline="0" collapsedLevelsAreSubtotals="1" fieldPosition="0"/>
    </format>
    <format dxfId="499">
      <pivotArea type="origin" dataOnly="0" labelOnly="1" outline="0" fieldPosition="0"/>
    </format>
    <format dxfId="498">
      <pivotArea field="9" type="button" dataOnly="0" labelOnly="1" outline="0" axis="axisCol" fieldPosition="0"/>
    </format>
    <format dxfId="497">
      <pivotArea type="topRight" dataOnly="0" labelOnly="1" outline="0" fieldPosition="0"/>
    </format>
    <format dxfId="496">
      <pivotArea field="11" type="button" dataOnly="0" labelOnly="1" outline="0"/>
    </format>
    <format dxfId="495">
      <pivotArea dataOnly="0" labelOnly="1" grandRow="1" outline="0" fieldPosition="0"/>
    </format>
    <format dxfId="494">
      <pivotArea dataOnly="0" labelOnly="1" fieldPosition="0">
        <references count="1">
          <reference field="9" count="0"/>
        </references>
      </pivotArea>
    </format>
    <format dxfId="493">
      <pivotArea dataOnly="0" labelOnly="1" grandCol="1" outline="0" fieldPosition="0"/>
    </format>
    <format dxfId="492">
      <pivotArea type="all" dataOnly="0" outline="0" fieldPosition="0"/>
    </format>
    <format dxfId="491">
      <pivotArea outline="0" collapsedLevelsAreSubtotals="1" fieldPosition="0"/>
    </format>
    <format dxfId="490">
      <pivotArea type="origin" dataOnly="0" labelOnly="1" outline="0" fieldPosition="0"/>
    </format>
    <format dxfId="489">
      <pivotArea field="9" type="button" dataOnly="0" labelOnly="1" outline="0" axis="axisCol" fieldPosition="0"/>
    </format>
    <format dxfId="488">
      <pivotArea type="topRight" dataOnly="0" labelOnly="1" outline="0" fieldPosition="0"/>
    </format>
    <format dxfId="487">
      <pivotArea field="11" type="button" dataOnly="0" labelOnly="1" outline="0"/>
    </format>
    <format dxfId="486">
      <pivotArea dataOnly="0" labelOnly="1" grandRow="1" outline="0" fieldPosition="0"/>
    </format>
    <format dxfId="485">
      <pivotArea dataOnly="0" labelOnly="1" fieldPosition="0">
        <references count="1">
          <reference field="9" count="0"/>
        </references>
      </pivotArea>
    </format>
    <format dxfId="484">
      <pivotArea dataOnly="0" labelOnly="1" grandCol="1" outline="0" fieldPosition="0"/>
    </format>
    <format dxfId="483">
      <pivotArea type="all" dataOnly="0" outline="0" fieldPosition="0"/>
    </format>
    <format dxfId="482">
      <pivotArea outline="0" collapsedLevelsAreSubtotals="1" fieldPosition="0"/>
    </format>
    <format dxfId="481">
      <pivotArea type="origin" dataOnly="0" labelOnly="1" outline="0" fieldPosition="0"/>
    </format>
    <format dxfId="480">
      <pivotArea field="9" type="button" dataOnly="0" labelOnly="1" outline="0" axis="axisCol" fieldPosition="0"/>
    </format>
    <format dxfId="479">
      <pivotArea type="topRight" dataOnly="0" labelOnly="1" outline="0" fieldPosition="0"/>
    </format>
    <format dxfId="478">
      <pivotArea field="11" type="button" dataOnly="0" labelOnly="1" outline="0"/>
    </format>
    <format dxfId="477">
      <pivotArea dataOnly="0" labelOnly="1" grandRow="1" outline="0" fieldPosition="0"/>
    </format>
    <format dxfId="476">
      <pivotArea dataOnly="0" labelOnly="1" fieldPosition="0">
        <references count="1">
          <reference field="9" count="0"/>
        </references>
      </pivotArea>
    </format>
    <format dxfId="475">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TablaDinámica8"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B3:AE8" firstHeaderRow="1" firstDataRow="2" firstDataCol="1" rowPageCount="1" colPageCount="1"/>
  <pivotFields count="66">
    <pivotField showAll="0"/>
    <pivotField showAll="0"/>
    <pivotField showAll="0"/>
    <pivotField showAll="0"/>
    <pivotField showAll="0"/>
    <pivotField showAll="0"/>
    <pivotField showAll="0"/>
    <pivotField showAll="0"/>
    <pivotField axis="axisPage" multipleItemSelectionAllowed="1" showAll="0">
      <items count="6">
        <item h="1" x="1"/>
        <item h="1" x="2"/>
        <item h="1" x="3"/>
        <item x="0"/>
        <item m="1" x="4"/>
        <item t="default"/>
      </items>
    </pivotField>
    <pivotField axis="axisCol" showAll="0" sortType="descending">
      <items count="9">
        <item h="1" m="1" x="6"/>
        <item h="1" x="2"/>
        <item x="0"/>
        <item x="1"/>
        <item h="1" m="1" x="7"/>
        <item h="1" x="5"/>
        <item h="1" x="3"/>
        <item h="1" x="4"/>
        <item t="default"/>
      </items>
    </pivotField>
    <pivotField showAll="0"/>
    <pivotField axis="axisRow" dataField="1" showAll="0" sortType="ascending">
      <items count="17">
        <item m="1" x="15"/>
        <item x="3"/>
        <item x="1"/>
        <item x="7"/>
        <item x="4"/>
        <item x="5"/>
        <item x="9"/>
        <item x="8"/>
        <item x="6"/>
        <item x="14"/>
        <item x="0"/>
        <item x="10"/>
        <item x="11"/>
        <item x="12"/>
        <item x="1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4">
    <i>
      <x v="2"/>
    </i>
    <i>
      <x v="9"/>
    </i>
    <i>
      <x v="10"/>
    </i>
    <i t="grand">
      <x/>
    </i>
  </rowItems>
  <colFields count="1">
    <field x="9"/>
  </colFields>
  <colItems count="3">
    <i>
      <x v="2"/>
    </i>
    <i>
      <x v="3"/>
    </i>
    <i t="grand">
      <x/>
    </i>
  </colItems>
  <pageFields count="1">
    <pageField fld="8" hier="-1"/>
  </pageFields>
  <dataFields count="1">
    <dataField name="Cuenta de TURNO" fld="11" subtotal="count" baseField="0" baseItem="0"/>
  </dataFields>
  <formats count="30">
    <format dxfId="531">
      <pivotArea type="all" dataOnly="0" outline="0" fieldPosition="0"/>
    </format>
    <format dxfId="530">
      <pivotArea outline="0" collapsedLevelsAreSubtotals="1" fieldPosition="0"/>
    </format>
    <format dxfId="529">
      <pivotArea type="origin" dataOnly="0" labelOnly="1" outline="0" fieldPosition="0"/>
    </format>
    <format dxfId="528">
      <pivotArea field="9" type="button" dataOnly="0" labelOnly="1" outline="0" axis="axisCol" fieldPosition="0"/>
    </format>
    <format dxfId="527">
      <pivotArea type="topRight" dataOnly="0" labelOnly="1" outline="0" fieldPosition="0"/>
    </format>
    <format dxfId="526">
      <pivotArea field="11" type="button" dataOnly="0" labelOnly="1" outline="0" axis="axisRow" fieldPosition="0"/>
    </format>
    <format dxfId="525">
      <pivotArea dataOnly="0" labelOnly="1" fieldPosition="0">
        <references count="1">
          <reference field="11" count="0"/>
        </references>
      </pivotArea>
    </format>
    <format dxfId="524">
      <pivotArea dataOnly="0" labelOnly="1" grandRow="1" outline="0" fieldPosition="0"/>
    </format>
    <format dxfId="523">
      <pivotArea dataOnly="0" labelOnly="1" fieldPosition="0">
        <references count="1">
          <reference field="9" count="0"/>
        </references>
      </pivotArea>
    </format>
    <format dxfId="522">
      <pivotArea dataOnly="0" labelOnly="1" grandCol="1" outline="0" fieldPosition="0"/>
    </format>
    <format dxfId="521">
      <pivotArea type="all" dataOnly="0" outline="0" fieldPosition="0"/>
    </format>
    <format dxfId="520">
      <pivotArea outline="0" collapsedLevelsAreSubtotals="1" fieldPosition="0"/>
    </format>
    <format dxfId="519">
      <pivotArea type="origin" dataOnly="0" labelOnly="1" outline="0" fieldPosition="0"/>
    </format>
    <format dxfId="518">
      <pivotArea field="9" type="button" dataOnly="0" labelOnly="1" outline="0" axis="axisCol" fieldPosition="0"/>
    </format>
    <format dxfId="517">
      <pivotArea type="topRight" dataOnly="0" labelOnly="1" outline="0" fieldPosition="0"/>
    </format>
    <format dxfId="516">
      <pivotArea field="11" type="button" dataOnly="0" labelOnly="1" outline="0" axis="axisRow" fieldPosition="0"/>
    </format>
    <format dxfId="515">
      <pivotArea dataOnly="0" labelOnly="1" fieldPosition="0">
        <references count="1">
          <reference field="11" count="0"/>
        </references>
      </pivotArea>
    </format>
    <format dxfId="514">
      <pivotArea dataOnly="0" labelOnly="1" grandRow="1" outline="0" fieldPosition="0"/>
    </format>
    <format dxfId="513">
      <pivotArea dataOnly="0" labelOnly="1" fieldPosition="0">
        <references count="1">
          <reference field="9" count="0"/>
        </references>
      </pivotArea>
    </format>
    <format dxfId="512">
      <pivotArea dataOnly="0" labelOnly="1" grandCol="1" outline="0" fieldPosition="0"/>
    </format>
    <format dxfId="511">
      <pivotArea type="all" dataOnly="0" outline="0" fieldPosition="0"/>
    </format>
    <format dxfId="510">
      <pivotArea outline="0" collapsedLevelsAreSubtotals="1" fieldPosition="0"/>
    </format>
    <format dxfId="509">
      <pivotArea type="origin" dataOnly="0" labelOnly="1" outline="0" fieldPosition="0"/>
    </format>
    <format dxfId="508">
      <pivotArea field="9" type="button" dataOnly="0" labelOnly="1" outline="0" axis="axisCol" fieldPosition="0"/>
    </format>
    <format dxfId="507">
      <pivotArea type="topRight" dataOnly="0" labelOnly="1" outline="0" fieldPosition="0"/>
    </format>
    <format dxfId="506">
      <pivotArea field="11" type="button" dataOnly="0" labelOnly="1" outline="0" axis="axisRow" fieldPosition="0"/>
    </format>
    <format dxfId="505">
      <pivotArea dataOnly="0" labelOnly="1" fieldPosition="0">
        <references count="1">
          <reference field="11" count="0"/>
        </references>
      </pivotArea>
    </format>
    <format dxfId="504">
      <pivotArea dataOnly="0" labelOnly="1" grandRow="1" outline="0" fieldPosition="0"/>
    </format>
    <format dxfId="503">
      <pivotArea dataOnly="0" labelOnly="1" fieldPosition="0">
        <references count="1">
          <reference field="9" count="0"/>
        </references>
      </pivotArea>
    </format>
    <format dxfId="502">
      <pivotArea dataOnly="0" labelOnly="1" grandCol="1" outline="0" fieldPosition="0"/>
    </format>
  </formats>
  <chartFormats count="2">
    <chartFormat chart="3" format="4" series="1">
      <pivotArea type="data" outline="0" fieldPosition="0">
        <references count="2">
          <reference field="4294967294" count="1" selected="0">
            <x v="0"/>
          </reference>
          <reference field="9" count="1" selected="0">
            <x v="3"/>
          </reference>
        </references>
      </pivotArea>
    </chartFormat>
    <chartFormat chart="3" format="5"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TablaDinámica6"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P4:AS9" firstHeaderRow="1" firstDataRow="2" firstDataCol="1" rowPageCount="1" colPageCount="1"/>
  <pivotFields count="66">
    <pivotField showAll="0"/>
    <pivotField showAll="0"/>
    <pivotField showAll="0"/>
    <pivotField showAll="0"/>
    <pivotField showAll="0"/>
    <pivotField showAll="0"/>
    <pivotField dataField="1" showAll="0"/>
    <pivotField showAll="0"/>
    <pivotField axis="axisCol" multipleItemSelectionAllowed="1" showAll="0">
      <items count="6">
        <item x="1"/>
        <item h="1" x="2"/>
        <item h="1" x="3"/>
        <item x="0"/>
        <item m="1" x="4"/>
        <item t="default"/>
      </items>
    </pivotField>
    <pivotField axis="axisPage" multipleItemSelectionAllowed="1" showAll="0">
      <items count="9">
        <item h="1" x="3"/>
        <item x="4"/>
        <item h="1" m="1" x="7"/>
        <item h="1" x="1"/>
        <item h="1" x="0"/>
        <item h="1" x="2"/>
        <item m="1" x="6"/>
        <item h="1" x="5"/>
        <item t="default"/>
      </items>
    </pivotField>
    <pivotField showAll="0"/>
    <pivotField axis="axisRow" showAll="0">
      <items count="17">
        <item m="1" x="15"/>
        <item x="1"/>
        <item x="6"/>
        <item x="14"/>
        <item x="11"/>
        <item x="2"/>
        <item x="10"/>
        <item x="5"/>
        <item x="13"/>
        <item x="0"/>
        <item x="7"/>
        <item x="9"/>
        <item x="3"/>
        <item x="4"/>
        <item x="12"/>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4">
    <i>
      <x v="2"/>
    </i>
    <i>
      <x v="3"/>
    </i>
    <i>
      <x v="4"/>
    </i>
    <i t="grand">
      <x/>
    </i>
  </rowItems>
  <colFields count="1">
    <field x="8"/>
  </colFields>
  <colItems count="3">
    <i>
      <x/>
    </i>
    <i>
      <x v="3"/>
    </i>
    <i t="grand">
      <x/>
    </i>
  </colItems>
  <pageFields count="1">
    <pageField fld="9" hier="-1"/>
  </pageFields>
  <dataFields count="1">
    <dataField name="Cuenta de GRADO" fld="6" subtotal="count" baseField="0" baseItem="0"/>
  </dataFields>
  <chartFormats count="5">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8" count="1" selected="0">
            <x v="1"/>
          </reference>
        </references>
      </pivotArea>
    </chartFormat>
    <chartFormat chart="3" format="4" series="1">
      <pivotArea type="data" outline="0" fieldPosition="0">
        <references count="2">
          <reference field="4294967294" count="1" selected="0">
            <x v="0"/>
          </reference>
          <reference field="8" count="1" selected="0">
            <x v="2"/>
          </reference>
        </references>
      </pivotArea>
    </chartFormat>
    <chartFormat chart="3" format="5" series="1">
      <pivotArea type="data" outline="0" fieldPosition="0">
        <references count="2">
          <reference field="4294967294" count="1" selected="0">
            <x v="0"/>
          </reference>
          <reference field="8" count="1" selected="0">
            <x v="3"/>
          </reference>
        </references>
      </pivotArea>
    </chartFormat>
    <chartFormat chart="3" format="6" series="1">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TablaDinámica4"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
  <location ref="R4:U18" firstHeaderRow="1" firstDataRow="2" firstDataCol="1" rowPageCount="1" colPageCount="1"/>
  <pivotFields count="66">
    <pivotField showAll="0"/>
    <pivotField showAll="0"/>
    <pivotField showAll="0"/>
    <pivotField showAll="0"/>
    <pivotField showAll="0"/>
    <pivotField showAll="0"/>
    <pivotField axis="axisRow" showAll="0">
      <items count="18">
        <item x="8"/>
        <item x="7"/>
        <item x="10"/>
        <item m="1" x="15"/>
        <item x="11"/>
        <item x="6"/>
        <item x="3"/>
        <item x="1"/>
        <item x="4"/>
        <item x="5"/>
        <item x="9"/>
        <item x="12"/>
        <item x="13"/>
        <item x="0"/>
        <item m="1" x="16"/>
        <item x="2"/>
        <item m="1" x="14"/>
        <item t="default"/>
      </items>
    </pivotField>
    <pivotField axis="axisCol" dataField="1" showAll="0">
      <items count="5">
        <item x="0"/>
        <item x="1"/>
        <item m="1" x="2"/>
        <item m="1" x="3"/>
        <item t="default"/>
      </items>
    </pivotField>
    <pivotField axis="axisPage" multipleItemSelectionAllowed="1" showAll="0">
      <items count="6">
        <item x="1"/>
        <item x="2"/>
        <item x="3"/>
        <item h="1" x="0"/>
        <item m="1" x="4"/>
        <item t="default"/>
      </items>
    </pivotField>
    <pivotField axis="axisRow" multipleItemSelectionAllowed="1" showAll="0">
      <items count="9">
        <item h="1" x="3"/>
        <item h="1" x="4"/>
        <item h="1" m="1" x="7"/>
        <item x="0"/>
        <item x="1"/>
        <item h="1" x="2"/>
        <item h="1" m="1" x="6"/>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9"/>
    <field x="6"/>
  </rowFields>
  <rowItems count="13">
    <i>
      <x v="3"/>
    </i>
    <i r="1">
      <x/>
    </i>
    <i r="1">
      <x v="1"/>
    </i>
    <i r="1">
      <x v="2"/>
    </i>
    <i>
      <x v="4"/>
    </i>
    <i r="1">
      <x v="4"/>
    </i>
    <i r="1">
      <x v="5"/>
    </i>
    <i r="1">
      <x v="6"/>
    </i>
    <i r="1">
      <x v="7"/>
    </i>
    <i r="1">
      <x v="8"/>
    </i>
    <i r="1">
      <x v="9"/>
    </i>
    <i r="1">
      <x v="10"/>
    </i>
    <i t="grand">
      <x/>
    </i>
  </rowItems>
  <colFields count="1">
    <field x="7"/>
  </colFields>
  <colItems count="3">
    <i>
      <x/>
    </i>
    <i>
      <x v="1"/>
    </i>
    <i t="grand">
      <x/>
    </i>
  </colItems>
  <pageFields count="1">
    <pageField fld="8" hier="-1"/>
  </pageFields>
  <dataFields count="1">
    <dataField name="Cuenta de GENERO" fld="7" subtotal="count" baseField="0" baseItem="0"/>
  </dataFields>
  <formats count="36">
    <format dxfId="567">
      <pivotArea type="all" dataOnly="0" outline="0" fieldPosition="0"/>
    </format>
    <format dxfId="566">
      <pivotArea outline="0" collapsedLevelsAreSubtotals="1" fieldPosition="0"/>
    </format>
    <format dxfId="565">
      <pivotArea type="origin" dataOnly="0" labelOnly="1" outline="0" fieldPosition="0"/>
    </format>
    <format dxfId="564">
      <pivotArea field="7" type="button" dataOnly="0" labelOnly="1" outline="0" axis="axisCol" fieldPosition="0"/>
    </format>
    <format dxfId="563">
      <pivotArea type="topRight" dataOnly="0" labelOnly="1" outline="0" fieldPosition="0"/>
    </format>
    <format dxfId="562">
      <pivotArea field="9" type="button" dataOnly="0" labelOnly="1" outline="0" axis="axisRow" fieldPosition="0"/>
    </format>
    <format dxfId="561">
      <pivotArea dataOnly="0" labelOnly="1" fieldPosition="0">
        <references count="1">
          <reference field="9" count="0"/>
        </references>
      </pivotArea>
    </format>
    <format dxfId="560">
      <pivotArea dataOnly="0" labelOnly="1" grandRow="1" outline="0" fieldPosition="0"/>
    </format>
    <format dxfId="559">
      <pivotArea dataOnly="0" labelOnly="1" fieldPosition="0">
        <references count="2">
          <reference field="6" count="7">
            <x v="4"/>
            <x v="5"/>
            <x v="6"/>
            <x v="7"/>
            <x v="8"/>
            <x v="9"/>
            <x v="10"/>
          </reference>
          <reference field="9" count="1" selected="0">
            <x v="4"/>
          </reference>
        </references>
      </pivotArea>
    </format>
    <format dxfId="558">
      <pivotArea dataOnly="0" labelOnly="1" fieldPosition="0">
        <references count="2">
          <reference field="6" count="3">
            <x v="0"/>
            <x v="2"/>
            <x v="3"/>
          </reference>
          <reference field="9" count="1" selected="0">
            <x v="3"/>
          </reference>
        </references>
      </pivotArea>
    </format>
    <format dxfId="557">
      <pivotArea dataOnly="0" labelOnly="1" fieldPosition="0">
        <references count="1">
          <reference field="7" count="0"/>
        </references>
      </pivotArea>
    </format>
    <format dxfId="556">
      <pivotArea dataOnly="0" labelOnly="1" grandCol="1" outline="0" fieldPosition="0"/>
    </format>
    <format dxfId="555">
      <pivotArea type="all" dataOnly="0" outline="0" fieldPosition="0"/>
    </format>
    <format dxfId="554">
      <pivotArea outline="0" collapsedLevelsAreSubtotals="1" fieldPosition="0"/>
    </format>
    <format dxfId="553">
      <pivotArea type="origin" dataOnly="0" labelOnly="1" outline="0" fieldPosition="0"/>
    </format>
    <format dxfId="552">
      <pivotArea field="7" type="button" dataOnly="0" labelOnly="1" outline="0" axis="axisCol" fieldPosition="0"/>
    </format>
    <format dxfId="551">
      <pivotArea type="topRight" dataOnly="0" labelOnly="1" outline="0" fieldPosition="0"/>
    </format>
    <format dxfId="550">
      <pivotArea field="9" type="button" dataOnly="0" labelOnly="1" outline="0" axis="axisRow" fieldPosition="0"/>
    </format>
    <format dxfId="549">
      <pivotArea dataOnly="0" labelOnly="1" fieldPosition="0">
        <references count="1">
          <reference field="9" count="0"/>
        </references>
      </pivotArea>
    </format>
    <format dxfId="548">
      <pivotArea dataOnly="0" labelOnly="1" grandRow="1" outline="0" fieldPosition="0"/>
    </format>
    <format dxfId="547">
      <pivotArea dataOnly="0" labelOnly="1" fieldPosition="0">
        <references count="2">
          <reference field="6" count="7">
            <x v="4"/>
            <x v="5"/>
            <x v="6"/>
            <x v="7"/>
            <x v="8"/>
            <x v="9"/>
            <x v="10"/>
          </reference>
          <reference field="9" count="1" selected="0">
            <x v="4"/>
          </reference>
        </references>
      </pivotArea>
    </format>
    <format dxfId="546">
      <pivotArea dataOnly="0" labelOnly="1" fieldPosition="0">
        <references count="2">
          <reference field="6" count="3">
            <x v="0"/>
            <x v="2"/>
            <x v="3"/>
          </reference>
          <reference field="9" count="1" selected="0">
            <x v="3"/>
          </reference>
        </references>
      </pivotArea>
    </format>
    <format dxfId="545">
      <pivotArea dataOnly="0" labelOnly="1" fieldPosition="0">
        <references count="1">
          <reference field="7" count="0"/>
        </references>
      </pivotArea>
    </format>
    <format dxfId="544">
      <pivotArea dataOnly="0" labelOnly="1" grandCol="1" outline="0" fieldPosition="0"/>
    </format>
    <format dxfId="543">
      <pivotArea type="all" dataOnly="0" outline="0" fieldPosition="0"/>
    </format>
    <format dxfId="542">
      <pivotArea outline="0" collapsedLevelsAreSubtotals="1" fieldPosition="0"/>
    </format>
    <format dxfId="541">
      <pivotArea type="origin" dataOnly="0" labelOnly="1" outline="0" fieldPosition="0"/>
    </format>
    <format dxfId="540">
      <pivotArea field="7" type="button" dataOnly="0" labelOnly="1" outline="0" axis="axisCol" fieldPosition="0"/>
    </format>
    <format dxfId="539">
      <pivotArea type="topRight" dataOnly="0" labelOnly="1" outline="0" fieldPosition="0"/>
    </format>
    <format dxfId="538">
      <pivotArea field="9" type="button" dataOnly="0" labelOnly="1" outline="0" axis="axisRow" fieldPosition="0"/>
    </format>
    <format dxfId="537">
      <pivotArea dataOnly="0" labelOnly="1" fieldPosition="0">
        <references count="1">
          <reference field="9" count="0"/>
        </references>
      </pivotArea>
    </format>
    <format dxfId="536">
      <pivotArea dataOnly="0" labelOnly="1" grandRow="1" outline="0" fieldPosition="0"/>
    </format>
    <format dxfId="535">
      <pivotArea dataOnly="0" labelOnly="1" fieldPosition="0">
        <references count="2">
          <reference field="6" count="7">
            <x v="4"/>
            <x v="5"/>
            <x v="6"/>
            <x v="7"/>
            <x v="8"/>
            <x v="9"/>
            <x v="10"/>
          </reference>
          <reference field="9" count="1" selected="0">
            <x v="4"/>
          </reference>
        </references>
      </pivotArea>
    </format>
    <format dxfId="534">
      <pivotArea dataOnly="0" labelOnly="1" fieldPosition="0">
        <references count="2">
          <reference field="6" count="3">
            <x v="0"/>
            <x v="2"/>
            <x v="3"/>
          </reference>
          <reference field="9" count="1" selected="0">
            <x v="3"/>
          </reference>
        </references>
      </pivotArea>
    </format>
    <format dxfId="533">
      <pivotArea dataOnly="0" labelOnly="1" fieldPosition="0">
        <references count="1">
          <reference field="7" count="0"/>
        </references>
      </pivotArea>
    </format>
    <format dxfId="532">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TablaDinámica1"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0">
  <location ref="A3:D20" firstHeaderRow="1" firstDataRow="2" firstDataCol="1" rowPageCount="1" colPageCount="1"/>
  <pivotFields count="66">
    <pivotField showAll="0"/>
    <pivotField showAll="0"/>
    <pivotField showAll="0"/>
    <pivotField showAll="0"/>
    <pivotField showAll="0"/>
    <pivotField showAll="0"/>
    <pivotField showAll="0"/>
    <pivotField showAll="0"/>
    <pivotField axis="axisPage" multipleItemSelectionAllowed="1" showAll="0">
      <items count="6">
        <item x="1"/>
        <item x="2"/>
        <item x="3"/>
        <item h="1" x="0"/>
        <item h="1" m="1" x="4"/>
        <item t="default"/>
      </items>
    </pivotField>
    <pivotField axis="axisCol" showAll="0" sortType="descending">
      <items count="9">
        <item h="1" m="1" x="6"/>
        <item h="1" x="2"/>
        <item x="0"/>
        <item x="1"/>
        <item h="1" m="1" x="7"/>
        <item h="1" x="5"/>
        <item h="1" x="3"/>
        <item h="1" x="4"/>
        <item t="default"/>
      </items>
    </pivotField>
    <pivotField showAll="0"/>
    <pivotField axis="axisRow" dataField="1" showAll="0">
      <items count="17">
        <item m="1" x="15"/>
        <item x="1"/>
        <item x="11"/>
        <item x="14"/>
        <item x="6"/>
        <item x="2"/>
        <item x="10"/>
        <item x="5"/>
        <item x="13"/>
        <item x="0"/>
        <item x="7"/>
        <item x="9"/>
        <item x="3"/>
        <item x="4"/>
        <item x="12"/>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16">
    <i>
      <x v="1"/>
    </i>
    <i>
      <x v="2"/>
    </i>
    <i>
      <x v="3"/>
    </i>
    <i>
      <x v="4"/>
    </i>
    <i>
      <x v="5"/>
    </i>
    <i>
      <x v="6"/>
    </i>
    <i>
      <x v="7"/>
    </i>
    <i>
      <x v="8"/>
    </i>
    <i>
      <x v="9"/>
    </i>
    <i>
      <x v="10"/>
    </i>
    <i>
      <x v="11"/>
    </i>
    <i>
      <x v="12"/>
    </i>
    <i>
      <x v="13"/>
    </i>
    <i>
      <x v="14"/>
    </i>
    <i>
      <x v="15"/>
    </i>
    <i t="grand">
      <x/>
    </i>
  </rowItems>
  <colFields count="1">
    <field x="9"/>
  </colFields>
  <colItems count="3">
    <i>
      <x v="2"/>
    </i>
    <i>
      <x v="3"/>
    </i>
    <i t="grand">
      <x/>
    </i>
  </colItems>
  <pageFields count="1">
    <pageField fld="8" hier="-1"/>
  </pageFields>
  <dataFields count="1">
    <dataField name="Cuenta de TURNO" fld="11" subtotal="count" baseField="0" baseItem="0"/>
  </dataFields>
  <formats count="67">
    <format dxfId="634">
      <pivotArea type="all" dataOnly="0" outline="0" fieldPosition="0"/>
    </format>
    <format dxfId="633">
      <pivotArea outline="0" collapsedLevelsAreSubtotals="1" fieldPosition="0"/>
    </format>
    <format dxfId="632">
      <pivotArea type="origin" dataOnly="0" labelOnly="1" outline="0" fieldPosition="0"/>
    </format>
    <format dxfId="631">
      <pivotArea field="8" type="button" dataOnly="0" labelOnly="1" outline="0" axis="axisPage" fieldPosition="0"/>
    </format>
    <format dxfId="630">
      <pivotArea field="9" type="button" dataOnly="0" labelOnly="1" outline="0" axis="axisCol" fieldPosition="0"/>
    </format>
    <format dxfId="629">
      <pivotArea type="topRight" dataOnly="0" labelOnly="1" outline="0" fieldPosition="0"/>
    </format>
    <format dxfId="628">
      <pivotArea dataOnly="0" labelOnly="1" grandRow="1" outline="0" fieldPosition="0"/>
    </format>
    <format dxfId="627">
      <pivotArea dataOnly="0" labelOnly="1" grandCol="1" outline="0" fieldPosition="0"/>
    </format>
    <format dxfId="626">
      <pivotArea type="all" dataOnly="0" outline="0" fieldPosition="0"/>
    </format>
    <format dxfId="625">
      <pivotArea outline="0" collapsedLevelsAreSubtotals="1" fieldPosition="0"/>
    </format>
    <format dxfId="624">
      <pivotArea type="origin" dataOnly="0" labelOnly="1" outline="0" fieldPosition="0"/>
    </format>
    <format dxfId="623">
      <pivotArea field="8" type="button" dataOnly="0" labelOnly="1" outline="0" axis="axisPage" fieldPosition="0"/>
    </format>
    <format dxfId="622">
      <pivotArea type="topRight" dataOnly="0" labelOnly="1" outline="0" fieldPosition="0"/>
    </format>
    <format dxfId="621">
      <pivotArea dataOnly="0" labelOnly="1" grandRow="1" outline="0" fieldPosition="0"/>
    </format>
    <format dxfId="620">
      <pivotArea dataOnly="0" labelOnly="1" grandCol="1" outline="0" fieldPosition="0"/>
    </format>
    <format dxfId="619">
      <pivotArea type="all" dataOnly="0" outline="0" fieldPosition="0"/>
    </format>
    <format dxfId="618">
      <pivotArea outline="0" collapsedLevelsAreSubtotals="1" fieldPosition="0"/>
    </format>
    <format dxfId="617">
      <pivotArea type="origin" dataOnly="0" labelOnly="1" outline="0" fieldPosition="0"/>
    </format>
    <format dxfId="616">
      <pivotArea field="8" type="button" dataOnly="0" labelOnly="1" outline="0" axis="axisPage" fieldPosition="0"/>
    </format>
    <format dxfId="615">
      <pivotArea type="topRight" dataOnly="0" labelOnly="1" outline="0" fieldPosition="0"/>
    </format>
    <format dxfId="614">
      <pivotArea dataOnly="0" labelOnly="1" grandRow="1" outline="0" fieldPosition="0"/>
    </format>
    <format dxfId="613">
      <pivotArea dataOnly="0" labelOnly="1" grandCol="1" outline="0" fieldPosition="0"/>
    </format>
    <format dxfId="612">
      <pivotArea type="all" dataOnly="0" outline="0" fieldPosition="0"/>
    </format>
    <format dxfId="611">
      <pivotArea outline="0" collapsedLevelsAreSubtotals="1" fieldPosition="0"/>
    </format>
    <format dxfId="610">
      <pivotArea type="origin" dataOnly="0" labelOnly="1" outline="0" fieldPosition="0"/>
    </format>
    <format dxfId="609">
      <pivotArea field="8" type="button" dataOnly="0" labelOnly="1" outline="0" axis="axisPage" fieldPosition="0"/>
    </format>
    <format dxfId="608">
      <pivotArea type="topRight" dataOnly="0" labelOnly="1" outline="0" fieldPosition="0"/>
    </format>
    <format dxfId="607">
      <pivotArea dataOnly="0" labelOnly="1" grandRow="1" outline="0" fieldPosition="0"/>
    </format>
    <format dxfId="606">
      <pivotArea dataOnly="0" labelOnly="1" grandCol="1" outline="0" fieldPosition="0"/>
    </format>
    <format dxfId="605">
      <pivotArea type="all" dataOnly="0" outline="0" fieldPosition="0"/>
    </format>
    <format dxfId="604">
      <pivotArea outline="0" collapsedLevelsAreSubtotals="1" fieldPosition="0"/>
    </format>
    <format dxfId="603">
      <pivotArea type="origin" dataOnly="0" labelOnly="1" outline="0" fieldPosition="0"/>
    </format>
    <format dxfId="602">
      <pivotArea field="11" type="button" dataOnly="0" labelOnly="1" outline="0" axis="axisRow" fieldPosition="0"/>
    </format>
    <format dxfId="601">
      <pivotArea type="topRight" dataOnly="0" labelOnly="1" outline="0" fieldPosition="0"/>
    </format>
    <format dxfId="600">
      <pivotArea field="8" type="button" dataOnly="0" labelOnly="1" outline="0" axis="axisPage" fieldPosition="0"/>
    </format>
    <format dxfId="599">
      <pivotArea dataOnly="0" labelOnly="1" grandRow="1" outline="0" fieldPosition="0"/>
    </format>
    <format dxfId="598">
      <pivotArea dataOnly="0" labelOnly="1" grandCol="1" outline="0" fieldPosition="0"/>
    </format>
    <format dxfId="597">
      <pivotArea type="all" dataOnly="0" outline="0" fieldPosition="0"/>
    </format>
    <format dxfId="596">
      <pivotArea outline="0" collapsedLevelsAreSubtotals="1" fieldPosition="0"/>
    </format>
    <format dxfId="595">
      <pivotArea type="origin" dataOnly="0" labelOnly="1" outline="0" fieldPosition="0"/>
    </format>
    <format dxfId="594">
      <pivotArea field="9" type="button" dataOnly="0" labelOnly="1" outline="0" axis="axisCol" fieldPosition="0"/>
    </format>
    <format dxfId="593">
      <pivotArea type="topRight" dataOnly="0" labelOnly="1" outline="0" fieldPosition="0"/>
    </format>
    <format dxfId="592">
      <pivotArea field="11" type="button" dataOnly="0" labelOnly="1" outline="0" axis="axisRow" fieldPosition="0"/>
    </format>
    <format dxfId="591">
      <pivotArea dataOnly="0" labelOnly="1" fieldPosition="0">
        <references count="1">
          <reference field="11" count="0"/>
        </references>
      </pivotArea>
    </format>
    <format dxfId="590">
      <pivotArea dataOnly="0" labelOnly="1" grandRow="1" outline="0" fieldPosition="0"/>
    </format>
    <format dxfId="589">
      <pivotArea dataOnly="0" labelOnly="1" fieldPosition="0">
        <references count="1">
          <reference field="9" count="0"/>
        </references>
      </pivotArea>
    </format>
    <format dxfId="588">
      <pivotArea dataOnly="0" labelOnly="1" grandCol="1" outline="0" fieldPosition="0"/>
    </format>
    <format dxfId="587">
      <pivotArea type="all" dataOnly="0" outline="0" fieldPosition="0"/>
    </format>
    <format dxfId="586">
      <pivotArea outline="0" collapsedLevelsAreSubtotals="1" fieldPosition="0"/>
    </format>
    <format dxfId="585">
      <pivotArea type="origin" dataOnly="0" labelOnly="1" outline="0" fieldPosition="0"/>
    </format>
    <format dxfId="584">
      <pivotArea field="9" type="button" dataOnly="0" labelOnly="1" outline="0" axis="axisCol" fieldPosition="0"/>
    </format>
    <format dxfId="583">
      <pivotArea type="topRight" dataOnly="0" labelOnly="1" outline="0" fieldPosition="0"/>
    </format>
    <format dxfId="582">
      <pivotArea field="11" type="button" dataOnly="0" labelOnly="1" outline="0" axis="axisRow" fieldPosition="0"/>
    </format>
    <format dxfId="581">
      <pivotArea dataOnly="0" labelOnly="1" fieldPosition="0">
        <references count="1">
          <reference field="11" count="0"/>
        </references>
      </pivotArea>
    </format>
    <format dxfId="580">
      <pivotArea dataOnly="0" labelOnly="1" grandRow="1" outline="0" fieldPosition="0"/>
    </format>
    <format dxfId="579">
      <pivotArea dataOnly="0" labelOnly="1" fieldPosition="0">
        <references count="1">
          <reference field="9" count="0"/>
        </references>
      </pivotArea>
    </format>
    <format dxfId="578">
      <pivotArea dataOnly="0" labelOnly="1" grandCol="1" outline="0" fieldPosition="0"/>
    </format>
    <format dxfId="577">
      <pivotArea type="all" dataOnly="0" outline="0" fieldPosition="0"/>
    </format>
    <format dxfId="576">
      <pivotArea outline="0" collapsedLevelsAreSubtotals="1" fieldPosition="0"/>
    </format>
    <format dxfId="575">
      <pivotArea type="origin" dataOnly="0" labelOnly="1" outline="0" fieldPosition="0"/>
    </format>
    <format dxfId="574">
      <pivotArea field="9" type="button" dataOnly="0" labelOnly="1" outline="0" axis="axisCol" fieldPosition="0"/>
    </format>
    <format dxfId="573">
      <pivotArea type="topRight" dataOnly="0" labelOnly="1" outline="0" fieldPosition="0"/>
    </format>
    <format dxfId="572">
      <pivotArea field="11" type="button" dataOnly="0" labelOnly="1" outline="0" axis="axisRow" fieldPosition="0"/>
    </format>
    <format dxfId="571">
      <pivotArea dataOnly="0" labelOnly="1" fieldPosition="0">
        <references count="1">
          <reference field="11" count="0"/>
        </references>
      </pivotArea>
    </format>
    <format dxfId="570">
      <pivotArea dataOnly="0" labelOnly="1" grandRow="1" outline="0" fieldPosition="0"/>
    </format>
    <format dxfId="569">
      <pivotArea dataOnly="0" labelOnly="1" fieldPosition="0">
        <references count="1">
          <reference field="9" count="0"/>
        </references>
      </pivotArea>
    </format>
    <format dxfId="568">
      <pivotArea dataOnly="0" labelOnly="1" grandCol="1" outline="0" fieldPosition="0"/>
    </format>
  </formats>
  <chartFormats count="2">
    <chartFormat chart="2" format="2" series="1">
      <pivotArea type="data" outline="0" fieldPosition="0">
        <references count="2">
          <reference field="4294967294" count="1" selected="0">
            <x v="0"/>
          </reference>
          <reference field="9" count="1" selected="0">
            <x v="3"/>
          </reference>
        </references>
      </pivotArea>
    </chartFormat>
    <chartFormat chart="2" format="3"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TablaDinámica3"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1:M36" firstHeaderRow="1" firstDataRow="2" firstDataCol="1" rowPageCount="1" colPageCount="1"/>
  <pivotFields count="66">
    <pivotField showAll="0"/>
    <pivotField showAll="0"/>
    <pivotField showAll="0"/>
    <pivotField showAll="0"/>
    <pivotField showAll="0"/>
    <pivotField showAll="0"/>
    <pivotField showAll="0"/>
    <pivotField showAll="0"/>
    <pivotField axis="axisRow" showAll="0">
      <items count="6">
        <item x="1"/>
        <item x="2"/>
        <item x="3"/>
        <item x="0"/>
        <item m="1" x="4"/>
        <item t="default"/>
      </items>
    </pivotField>
    <pivotField axis="axisCol" showAll="0">
      <items count="9">
        <item x="3"/>
        <item x="4"/>
        <item m="1" x="7"/>
        <item x="1"/>
        <item x="0"/>
        <item x="2"/>
        <item m="1" x="6"/>
        <item x="5"/>
        <item t="default"/>
      </items>
    </pivotField>
    <pivotField showAll="0"/>
    <pivotField axis="axisPage" dataField="1" multipleItemSelectionAllowed="1" showAll="0">
      <items count="17">
        <item m="1" x="15"/>
        <item h="1" x="1"/>
        <item x="14"/>
        <item h="1" x="11"/>
        <item h="1" x="6"/>
        <item h="1" x="2"/>
        <item h="1" x="10"/>
        <item h="1" x="5"/>
        <item h="1" x="13"/>
        <item h="1" x="0"/>
        <item h="1" x="7"/>
        <item h="1" x="9"/>
        <item h="1" x="3"/>
        <item h="1" x="4"/>
        <item h="1" x="12"/>
        <item h="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4">
    <i>
      <x v="1"/>
    </i>
    <i>
      <x v="2"/>
    </i>
    <i>
      <x v="3"/>
    </i>
    <i t="grand">
      <x/>
    </i>
  </rowItems>
  <colFields count="1">
    <field x="9"/>
  </colFields>
  <colItems count="5">
    <i>
      <x/>
    </i>
    <i>
      <x v="1"/>
    </i>
    <i>
      <x v="3"/>
    </i>
    <i>
      <x v="5"/>
    </i>
    <i t="grand">
      <x/>
    </i>
  </colItems>
  <pageFields count="1">
    <pageField fld="11" hier="-1"/>
  </pageFields>
  <dataFields count="1">
    <dataField name="Cuenta de TURNO" fld="11" subtotal="count" baseField="0" baseItem="0"/>
  </dataFields>
  <formats count="30">
    <format dxfId="664">
      <pivotArea type="all" dataOnly="0" outline="0" fieldPosition="0"/>
    </format>
    <format dxfId="663">
      <pivotArea outline="0" collapsedLevelsAreSubtotals="1" fieldPosition="0"/>
    </format>
    <format dxfId="662">
      <pivotArea type="origin" dataOnly="0" labelOnly="1" outline="0" fieldPosition="0"/>
    </format>
    <format dxfId="661">
      <pivotArea field="9" type="button" dataOnly="0" labelOnly="1" outline="0" axis="axisCol" fieldPosition="0"/>
    </format>
    <format dxfId="660">
      <pivotArea type="topRight" dataOnly="0" labelOnly="1" outline="0" fieldPosition="0"/>
    </format>
    <format dxfId="659">
      <pivotArea field="8" type="button" dataOnly="0" labelOnly="1" outline="0" axis="axisRow" fieldPosition="0"/>
    </format>
    <format dxfId="658">
      <pivotArea dataOnly="0" labelOnly="1" fieldPosition="0">
        <references count="1">
          <reference field="8" count="3">
            <x v="1"/>
            <x v="2"/>
            <x v="3"/>
          </reference>
        </references>
      </pivotArea>
    </format>
    <format dxfId="657">
      <pivotArea dataOnly="0" labelOnly="1" grandRow="1" outline="0" fieldPosition="0"/>
    </format>
    <format dxfId="656">
      <pivotArea dataOnly="0" labelOnly="1" fieldPosition="0">
        <references count="1">
          <reference field="9" count="3">
            <x v="3"/>
            <x v="4"/>
            <x v="5"/>
          </reference>
        </references>
      </pivotArea>
    </format>
    <format dxfId="655">
      <pivotArea dataOnly="0" labelOnly="1" grandCol="1" outline="0" fieldPosition="0"/>
    </format>
    <format dxfId="654">
      <pivotArea type="all" dataOnly="0" outline="0" fieldPosition="0"/>
    </format>
    <format dxfId="653">
      <pivotArea outline="0" collapsedLevelsAreSubtotals="1" fieldPosition="0"/>
    </format>
    <format dxfId="652">
      <pivotArea type="origin" dataOnly="0" labelOnly="1" outline="0" fieldPosition="0"/>
    </format>
    <format dxfId="651">
      <pivotArea field="9" type="button" dataOnly="0" labelOnly="1" outline="0" axis="axisCol" fieldPosition="0"/>
    </format>
    <format dxfId="650">
      <pivotArea type="topRight" dataOnly="0" labelOnly="1" outline="0" fieldPosition="0"/>
    </format>
    <format dxfId="649">
      <pivotArea field="8" type="button" dataOnly="0" labelOnly="1" outline="0" axis="axisRow" fieldPosition="0"/>
    </format>
    <format dxfId="648">
      <pivotArea dataOnly="0" labelOnly="1" fieldPosition="0">
        <references count="1">
          <reference field="8" count="3">
            <x v="1"/>
            <x v="2"/>
            <x v="3"/>
          </reference>
        </references>
      </pivotArea>
    </format>
    <format dxfId="647">
      <pivotArea dataOnly="0" labelOnly="1" grandRow="1" outline="0" fieldPosition="0"/>
    </format>
    <format dxfId="646">
      <pivotArea dataOnly="0" labelOnly="1" fieldPosition="0">
        <references count="1">
          <reference field="9" count="3">
            <x v="3"/>
            <x v="4"/>
            <x v="5"/>
          </reference>
        </references>
      </pivotArea>
    </format>
    <format dxfId="645">
      <pivotArea dataOnly="0" labelOnly="1" grandCol="1" outline="0" fieldPosition="0"/>
    </format>
    <format dxfId="644">
      <pivotArea type="all" dataOnly="0" outline="0" fieldPosition="0"/>
    </format>
    <format dxfId="643">
      <pivotArea outline="0" collapsedLevelsAreSubtotals="1" fieldPosition="0"/>
    </format>
    <format dxfId="642">
      <pivotArea type="origin" dataOnly="0" labelOnly="1" outline="0" fieldPosition="0"/>
    </format>
    <format dxfId="641">
      <pivotArea field="9" type="button" dataOnly="0" labelOnly="1" outline="0" axis="axisCol" fieldPosition="0"/>
    </format>
    <format dxfId="640">
      <pivotArea type="topRight" dataOnly="0" labelOnly="1" outline="0" fieldPosition="0"/>
    </format>
    <format dxfId="639">
      <pivotArea field="8" type="button" dataOnly="0" labelOnly="1" outline="0" axis="axisRow" fieldPosition="0"/>
    </format>
    <format dxfId="638">
      <pivotArea dataOnly="0" labelOnly="1" fieldPosition="0">
        <references count="1">
          <reference field="8" count="3">
            <x v="1"/>
            <x v="2"/>
            <x v="3"/>
          </reference>
        </references>
      </pivotArea>
    </format>
    <format dxfId="637">
      <pivotArea dataOnly="0" labelOnly="1" grandRow="1" outline="0" fieldPosition="0"/>
    </format>
    <format dxfId="636">
      <pivotArea dataOnly="0" labelOnly="1" fieldPosition="0">
        <references count="1">
          <reference field="9" count="3">
            <x v="3"/>
            <x v="4"/>
            <x v="5"/>
          </reference>
        </references>
      </pivotArea>
    </format>
    <format dxfId="635">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F00-000008000000}" name="TablaDinámica1" cacheId="3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
  <location ref="AM4:AN15" firstHeaderRow="1" firstDataRow="1" firstDataCol="1" rowPageCount="2" colPageCount="1"/>
  <pivotFields count="66">
    <pivotField showAll="0"/>
    <pivotField showAll="0"/>
    <pivotField showAll="0"/>
    <pivotField showAll="0"/>
    <pivotField showAll="0"/>
    <pivotField showAll="0"/>
    <pivotField axis="axisRow" dataField="1" showAll="0">
      <items count="18">
        <item x="7"/>
        <item x="8"/>
        <item x="10"/>
        <item m="1" x="15"/>
        <item x="11"/>
        <item x="6"/>
        <item x="3"/>
        <item x="1"/>
        <item x="4"/>
        <item x="5"/>
        <item x="9"/>
        <item x="0"/>
        <item x="12"/>
        <item m="1" x="16"/>
        <item x="2"/>
        <item m="1" x="14"/>
        <item x="13"/>
        <item t="default"/>
      </items>
    </pivotField>
    <pivotField showAll="0"/>
    <pivotField axis="axisPage" multipleItemSelectionAllowed="1" showAll="0">
      <items count="6">
        <item x="1"/>
        <item x="2"/>
        <item x="3"/>
        <item h="1" x="0"/>
        <item m="1" x="4"/>
        <item t="default"/>
      </items>
    </pivotField>
    <pivotField axis="axisPage" multipleItemSelectionAllowed="1" showAll="0">
      <items count="9">
        <item h="1" x="3"/>
        <item h="1" x="4"/>
        <item h="1" m="1" x="7"/>
        <item x="1"/>
        <item x="0"/>
        <item h="1" x="2"/>
        <item h="1" m="1" x="6"/>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11">
    <i>
      <x/>
    </i>
    <i>
      <x v="1"/>
    </i>
    <i>
      <x v="2"/>
    </i>
    <i>
      <x v="4"/>
    </i>
    <i>
      <x v="5"/>
    </i>
    <i>
      <x v="6"/>
    </i>
    <i>
      <x v="7"/>
    </i>
    <i>
      <x v="8"/>
    </i>
    <i>
      <x v="9"/>
    </i>
    <i>
      <x v="10"/>
    </i>
    <i t="grand">
      <x/>
    </i>
  </rowItems>
  <colItems count="1">
    <i/>
  </colItems>
  <pageFields count="2">
    <pageField fld="8" hier="-1"/>
    <pageField fld="9" hier="-1"/>
  </pageFields>
  <dataFields count="1">
    <dataField name="Cuenta de GRADO"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SECCIONES" displayName="SECCIONES" ref="C52:L109" totalsRowShown="0" headerRowDxfId="435" dataDxfId="433" headerRowBorderDxfId="434" tableBorderDxfId="432" totalsRowBorderDxfId="431" headerRowCellStyle="Normal 7">
  <autoFilter ref="C52:L109" xr:uid="{00000000-0009-0000-0100-000004000000}"/>
  <sortState xmlns:xlrd2="http://schemas.microsoft.com/office/spreadsheetml/2017/richdata2" ref="C53:L109">
    <sortCondition ref="C52:C109"/>
  </sortState>
  <tableColumns count="10">
    <tableColumn id="1" xr3:uid="{00000000-0010-0000-0000-000001000000}" name="SIGLA" dataDxfId="430" dataCellStyle="Moneda 2 3 3 3 2 2 3 2 2"/>
    <tableColumn id="2" xr3:uid="{00000000-0010-0000-0000-000002000000}" name="FUNCIONARIO A CARGO" dataDxfId="429">
      <calculatedColumnFormula>IFERROR(VLOOKUP("JEFE/"&amp;SECCIONES[[#This Row],[SIGLA]],JEFES_1,3,FALSE)&amp;" "&amp;VLOOKUP("JEFE/"&amp;SECCIONES[[#This Row],[SIGLA]],JEFES_1,2,FALSE),"-")</calculatedColumnFormula>
    </tableColumn>
    <tableColumn id="3" xr3:uid="{00000000-0010-0000-0000-000003000000}" name="VEH." dataDxfId="428"/>
    <tableColumn id="4" xr3:uid="{00000000-0010-0000-0000-000004000000}" name="TURNO" dataDxfId="427" dataCellStyle="Normal 7">
      <calculatedColumnFormula>VLOOKUP(C53,'Tabla de Servicio'!$DX$8:$DY$150,2,0)</calculatedColumnFormula>
    </tableColumn>
    <tableColumn id="5" xr3:uid="{00000000-0010-0000-0000-000005000000}" name="SERVICIO" dataDxfId="426" dataCellStyle="Normal 7">
      <calculatedColumnFormula>VLOOKUP(C53,'Tabla de Servicio'!$DX$8:$DZ$150,3,0)</calculatedColumnFormula>
    </tableColumn>
    <tableColumn id="6" xr3:uid="{00000000-0010-0000-0000-000006000000}" name="H.I." dataDxfId="425"/>
    <tableColumn id="7" xr3:uid="{00000000-0010-0000-0000-000007000000}" name="H.T." dataDxfId="424"/>
    <tableColumn id="8" xr3:uid="{00000000-0010-0000-0000-000008000000}" name="F.E." dataDxfId="423">
      <calculatedColumnFormula>COUNTIF(BD_PRINCIPAL[DOTACIÓN ACTUAL],SECCIONES[[#This Row],[SIGLA]])+COUNTIF(BD_PRINCIPAL[DOTACIÓN ACTUAL],"JEFE/"&amp;SECCIONES[[#This Row],[SIGLA]])</calculatedColumnFormula>
    </tableColumn>
    <tableColumn id="9" xr3:uid="{00000000-0010-0000-0000-000009000000}" name="OBSERVACIÓN" dataDxfId="422"/>
    <tableColumn id="10" xr3:uid="{00000000-0010-0000-0000-00000A000000}" name="ESCUADRON " dataDxfId="42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PTL" displayName="PTL" ref="C111:L134" totalsRowShown="0" headerRowDxfId="420" dataDxfId="418" headerRowBorderDxfId="419" tableBorderDxfId="417" totalsRowBorderDxfId="416" headerRowCellStyle="Normal 7" dataCellStyle="Normal 7">
  <autoFilter ref="C111:L134" xr:uid="{00000000-0009-0000-0100-000001000000}"/>
  <sortState xmlns:xlrd2="http://schemas.microsoft.com/office/spreadsheetml/2017/richdata2" ref="C112:L134">
    <sortCondition ref="C111:C134"/>
  </sortState>
  <tableColumns count="10">
    <tableColumn id="1" xr3:uid="{00000000-0010-0000-0100-000001000000}" name="SIGLA" dataDxfId="415" dataCellStyle="Normal 7"/>
    <tableColumn id="2" xr3:uid="{00000000-0010-0000-0100-000002000000}" name="FUNCIONARIO A CARGO" dataDxfId="414" dataCellStyle="Normal 7">
      <calculatedColumnFormula>IFERROR(VLOOKUP("JEFE/"&amp;PTL[[#This Row],[SIGLA]],JEFES_1,3,FALSE)&amp;" "&amp;VLOOKUP("JEFE/"&amp;PTL[[#This Row],[SIGLA]],JEFES_1,2,FALSE),"-")</calculatedColumnFormula>
    </tableColumn>
    <tableColumn id="3" xr3:uid="{00000000-0010-0000-0100-000003000000}" name="VEH." dataDxfId="413" dataCellStyle="Normal 7"/>
    <tableColumn id="4" xr3:uid="{00000000-0010-0000-0100-000004000000}" name="TURNO" dataDxfId="412" dataCellStyle="Normal 7">
      <calculatedColumnFormula>VLOOKUP(C112,'Tabla de Servicio'!$DX$8:$DY$150,2,0)</calculatedColumnFormula>
    </tableColumn>
    <tableColumn id="5" xr3:uid="{00000000-0010-0000-0100-000005000000}" name="SERVICIO" dataDxfId="411" dataCellStyle="Normal 7">
      <calculatedColumnFormula>VLOOKUP(C112,'Tabla de Servicio'!$DX$8:$DZ$150,3,0)</calculatedColumnFormula>
    </tableColumn>
    <tableColumn id="6" xr3:uid="{00000000-0010-0000-0100-000006000000}" name="H.I." dataDxfId="410" dataCellStyle="Normal 7"/>
    <tableColumn id="7" xr3:uid="{00000000-0010-0000-0100-000007000000}" name="H.T." dataDxfId="409" dataCellStyle="Normal 7"/>
    <tableColumn id="8" xr3:uid="{00000000-0010-0000-0100-000008000000}" name="F.E." dataDxfId="408" dataCellStyle="Normal 7">
      <calculatedColumnFormula>COUNTIF(BD_PRINCIPAL[DOTACIÓN ACTUAL],PTL[[#This Row],[SIGLA]])+COUNTIF(BD_PRINCIPAL[DOTACIÓN ACTUAL],"JEFE/"&amp;PTL[[#This Row],[SIGLA]])</calculatedColumnFormula>
    </tableColumn>
    <tableColumn id="9" xr3:uid="{00000000-0010-0000-0100-000009000000}" name="OBSERVACIÓN" dataDxfId="407" dataCellStyle="Normal 7"/>
    <tableColumn id="10" xr3:uid="{00000000-0010-0000-0100-00000A000000}" name="ESCUADRON" dataDxfId="406" dataCellStyle="Normal 7"/>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MANDO_REPARTICION" displayName="MANDO_REPARTICION" ref="C6:K11" totalsRowShown="0" headerRowDxfId="405" dataDxfId="403" headerRowBorderDxfId="404" tableBorderDxfId="402" totalsRowBorderDxfId="401" headerRowCellStyle="Normal 7" dataCellStyle="Normal 7">
  <autoFilter ref="C6:K11" xr:uid="{00000000-0009-0000-0100-000002000000}"/>
  <tableColumns count="9">
    <tableColumn id="1" xr3:uid="{00000000-0010-0000-0200-000001000000}" name="SIGLA" dataDxfId="400" dataCellStyle="Normal 7"/>
    <tableColumn id="2" xr3:uid="{00000000-0010-0000-0200-000002000000}" name="FUNCIONARIO A CARGO" dataDxfId="399" dataCellStyle="Normal 7">
      <calculatedColumnFormula>IFERROR(VLOOKUP(MANDO_REPARTICION[[#This Row],[SIGLA]],JEFES_1,3,FALSE)&amp;" "&amp;VLOOKUP(MANDO_REPARTICION[[#This Row],[SIGLA]],JEFES_1,2,FALSE),"-")</calculatedColumnFormula>
    </tableColumn>
    <tableColumn id="3" xr3:uid="{00000000-0010-0000-0200-000003000000}" name="VEH." dataDxfId="398" dataCellStyle="Normal 7"/>
    <tableColumn id="4" xr3:uid="{00000000-0010-0000-0200-000004000000}" name="TURNO" dataDxfId="397" dataCellStyle="Normal 7">
      <calculatedColumnFormula>VLOOKUP(C7,'Tabla de Servicio'!$DX$8:$DY$150,2,0)</calculatedColumnFormula>
    </tableColumn>
    <tableColumn id="5" xr3:uid="{00000000-0010-0000-0200-000005000000}" name="SERVICIO" dataDxfId="396" dataCellStyle="Normal 7">
      <calculatedColumnFormula>VLOOKUP(C7,'Tabla de Servicio'!$DX$8:$DZ$150,3,0)</calculatedColumnFormula>
    </tableColumn>
    <tableColumn id="6" xr3:uid="{00000000-0010-0000-0200-000006000000}" name="H. I." dataDxfId="395" dataCellStyle="Normal 7"/>
    <tableColumn id="7" xr3:uid="{00000000-0010-0000-0200-000007000000}" name="H.T." dataDxfId="394" dataCellStyle="Normal 7"/>
    <tableColumn id="8" xr3:uid="{00000000-0010-0000-0200-000008000000}" name="F.E." dataDxfId="393" dataCellStyle="Normal 7">
      <calculatedColumnFormula>COUNTIF(BD_PRINCIPAL[DOTACIÓN ACTUAL],MANDO_REPARTICION[[#This Row],[SIGLA]])+COUNTIF(BD_PRINCIPAL[DOTACIÓN ACTUAL],VLOOKUP(MANDO_REPARTICION[[#This Row],[SIGLA]],ENCUADRE_PTR,2,0))</calculatedColumnFormula>
    </tableColumn>
    <tableColumn id="9" xr3:uid="{00000000-0010-0000-0200-000009000000}" name="OBSERVACIÓN" dataDxfId="392" dataCellStyle="Normal 7"/>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ANDO_UNIDAD" displayName="MANDO_UNIDAD" ref="C13:K18" totalsRowShown="0" headerRowDxfId="391" dataDxfId="389" headerRowBorderDxfId="390" tableBorderDxfId="388" totalsRowBorderDxfId="387" headerRowCellStyle="Normal 7" dataCellStyle="Normal 7">
  <autoFilter ref="C13:K18" xr:uid="{00000000-0009-0000-0100-000005000000}"/>
  <sortState xmlns:xlrd2="http://schemas.microsoft.com/office/spreadsheetml/2017/richdata2" ref="C14:K18">
    <sortCondition ref="C8:C12" customList="G1-E,PTR-1,G2-E,PTR-2,G3-E,PTR-3,G4-E,PTR-4,A/J,ARMERO ARTIFICIERO,O.P.U. PREFECTURA,ASISTENTE SOCIAL,C40,PTR-5,JO-40,PTR-6,C40-A,PTR-7,C40-B,PTR-8,C40-C,PTR-9,GUARDIA CUARTEL 1,GUARDIA CUARTEL 2,GUARDIA CUARTEL 3,GUARDIA CUARTEL 4,INTERNO 1,INTERNO 2,INTERNO 3,INTERNO 4,P.F. ROBERTO DEL RIO 1,P.F. ROBERTO DEL RIO 2,P.F. ROBERTO DEL RIO 3,P.F. ROBERTO DEL RIO 4,PRACTICA DE TIRO,ESC. COND.,CONDUCTOR DISPONIBLE,GRIFO 11,PTR-G-11,GRIFO 12,PTR-G-12,GRIFO 13,PTR-G-13,GRIFO 14,PTR-G-14,GRIFO 15,PTR-G-15,GRIFO 16,PTR-G-16,GRIFO 17,PTR-G-17,GRIFO 18,PTR-G-18,GRIFO 19,PTR-G-19,GRIFO 20,PTR-G-20,GRIFO 21,PTR-G-21,GRIFO 22,PTR-G-22,GRIFO 23,PTR-G-23,GRIFO 24,PTR-G-24,GRIFO 25,PTR-G-25,GRIFO 26,PTR-G-26,GRIFO 27,PTR-G-27,GRIFO 28,PTR-G-28,JEFE/S-30,S-30,JEFE/S-31,S-31,JEFE/S-32,S-32,JEFE/S-33,S-33,JEFE/S-34,S-34,JEFE/S-35,S-35,JEFE/S-36,S-36,JEFE/S-37,S-37,JEFE/S-38,S-38,JEFE/S-39,S-39,JEFE/S-40,S-40,JEFE/S-41,S-41,JEFE/S-42,S-42,JEFE/S-43,S-43,JEFE/S-44,S-44,JEFE/S-45,S-45,JEFE/S-46,S-46,JEFE/S-47,S-47,JEFE/S-48,S-48,JEFE/S-49,S-49,JEFE/S-EV,S-EV,JEFE/S-EV-2,S-EV-2,JEFE/PTL-11,PTL-11,JEFE/PTL-12,PTL-12,JEFE/PTL-13,PTL-13,JEFE/PTL-14,PTL-14,JEFE/PTL-15,PTL-15,JEFE/PTL-16,PTL-16,JEFE/PTL-17,PTL-17,JEFE/PTL-18,PTL-18,JEFE/PTL-19,PTL-19,JEFE/PTL-20,PTL-20,JEFE/PTL-21,PTL-21,JEFE/PTL-22,PTL-22,JEFE/PTL-EV,PTL-EV,JEFE/PTL-EV-2,PTL-EV-2,JEFE/PTI-1,PTI-1,JEFE/PTI-2,PTI-2,MOVILIZACIÓN,PATRULLA DE RESCATE,SERVICIO MEDICO,OF. OPERACIONES,PROSERVIPOL,REGIMEN INTERNO,APOYO REGIMEN INTERNO,MANTENCION DE CUARTEL,GIMNASIO,S.O.M. ORDENES (OF. PARTES),INVENTARIO,OF. ADMINISTRATIVA,SALA DE ARMAS (LL.SS.),PATRULLA AMUNICIONADORA,OF. COMUNICACIONES Y AUDIOVISUALES,ECONOMATO,SECCIÓN REJAS Y CORDELES,PELUQUERÍA,MECANICO,COCINERO"/>
  </sortState>
  <tableColumns count="9">
    <tableColumn id="1" xr3:uid="{00000000-0010-0000-0300-000001000000}" name="SIGLA" dataDxfId="386" dataCellStyle="Normal 7"/>
    <tableColumn id="2" xr3:uid="{00000000-0010-0000-0300-000002000000}" name="FUNCIONARIO A CARGO" dataDxfId="385" dataCellStyle="Normal 7">
      <calculatedColumnFormula>IFERROR(VLOOKUP(MANDO_UNIDAD[[#This Row],[SIGLA]],JEFES_1,3,FALSE)&amp;" "&amp;VLOOKUP(MANDO_UNIDAD[[#This Row],[SIGLA]],JEFES_1,2,FALSE),"-")</calculatedColumnFormula>
    </tableColumn>
    <tableColumn id="3" xr3:uid="{00000000-0010-0000-0300-000003000000}" name="VEH." dataDxfId="384" dataCellStyle="Normal 7"/>
    <tableColumn id="4" xr3:uid="{00000000-0010-0000-0300-000004000000}" name="TURNO" dataDxfId="383" dataCellStyle="Normal 7">
      <calculatedColumnFormula>VLOOKUP(C14,'Tabla de Servicio'!$DX$8:$DY$150,2,0)</calculatedColumnFormula>
    </tableColumn>
    <tableColumn id="5" xr3:uid="{00000000-0010-0000-0300-000005000000}" name="SERVICIO" dataDxfId="382" dataCellStyle="Normal 7">
      <calculatedColumnFormula>VLOOKUP(C14,'Tabla de Servicio'!$DX$8:$DZ$150,3,0)</calculatedColumnFormula>
    </tableColumn>
    <tableColumn id="6" xr3:uid="{00000000-0010-0000-0300-000006000000}" name="H. I." dataDxfId="381" dataCellStyle="Normal 7"/>
    <tableColumn id="7" xr3:uid="{00000000-0010-0000-0300-000007000000}" name="H.T." dataDxfId="380" dataCellStyle="Normal 7"/>
    <tableColumn id="8" xr3:uid="{00000000-0010-0000-0300-000008000000}" name="F.E." dataDxfId="379" dataCellStyle="Normal 7">
      <calculatedColumnFormula>COUNTIF(BD_PRINCIPAL[DOTACIÓN ACTUAL],MANDO_UNIDAD[[#This Row],[SIGLA]])+COUNTIF(BD_PRINCIPAL[DOTACIÓN ACTUAL],VLOOKUP(MANDO_UNIDAD[[#This Row],[SIGLA]],ENCUADRE_PTR,2,0))</calculatedColumnFormula>
    </tableColumn>
    <tableColumn id="9" xr3:uid="{00000000-0010-0000-0300-000009000000}" name=" " dataDxfId="378" dataCellStyle="Normal 7"/>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OFICIALES" displayName="OFICIALES" ref="C20:L50" totalsRowShown="0" headerRowDxfId="377" dataDxfId="375" headerRowBorderDxfId="376" tableBorderDxfId="374" totalsRowBorderDxfId="373" headerRowCellStyle="Normal 7" dataCellStyle="Normal 7">
  <autoFilter ref="C20:L50" xr:uid="{00000000-0009-0000-0100-000007000000}"/>
  <sortState xmlns:xlrd2="http://schemas.microsoft.com/office/spreadsheetml/2017/richdata2" ref="C21:L50">
    <sortCondition ref="C20:C50"/>
  </sortState>
  <tableColumns count="10">
    <tableColumn id="1" xr3:uid="{00000000-0010-0000-0400-000001000000}" name="SIGLA" dataDxfId="372" dataCellStyle="Normal 7"/>
    <tableColumn id="2" xr3:uid="{00000000-0010-0000-0400-000002000000}" name="FUNCIONARIO A CARGO" dataDxfId="371" dataCellStyle="Normal 7">
      <calculatedColumnFormula>IFERROR(VLOOKUP(OFICIALES[[#This Row],[SIGLA]],JEFES_1,3,FALSE)&amp;" "&amp;VLOOKUP(OFICIALES[[#This Row],[SIGLA]],JEFES_1,2,FALSE),"-")</calculatedColumnFormula>
    </tableColumn>
    <tableColumn id="3" xr3:uid="{00000000-0010-0000-0400-000003000000}" name="VEH." dataDxfId="370" dataCellStyle="Normal 7"/>
    <tableColumn id="4" xr3:uid="{00000000-0010-0000-0400-000004000000}" name="TURNO" dataDxfId="369" dataCellStyle="Normal 7">
      <calculatedColumnFormula>VLOOKUP(C21,'Tabla de Servicio'!$DX$8:$DY$150,2,0)</calculatedColumnFormula>
    </tableColumn>
    <tableColumn id="5" xr3:uid="{00000000-0010-0000-0400-000005000000}" name="SERVICIO" dataDxfId="368" dataCellStyle="Normal 7">
      <calculatedColumnFormula>VLOOKUP(C21,'Tabla de Servicio'!$DX$8:$DZ$150,3,0)</calculatedColumnFormula>
    </tableColumn>
    <tableColumn id="6" xr3:uid="{00000000-0010-0000-0400-000006000000}" name="H. I." dataDxfId="367" dataCellStyle="Normal 7"/>
    <tableColumn id="7" xr3:uid="{00000000-0010-0000-0400-000007000000}" name="H.T." dataDxfId="366" dataCellStyle="Normal 7"/>
    <tableColumn id="8" xr3:uid="{00000000-0010-0000-0400-000008000000}" name="F.E." dataDxfId="365" dataCellStyle="Normal 7">
      <calculatedColumnFormula>COUNTIF(BD_PRINCIPAL[DOTACIÓN ACTUAL],OFICIALES[[#This Row],[SIGLA]])+COUNTIF(BD_PRINCIPAL[DOTACIÓN ACTUAL],VLOOKUP(OFICIALES[[#This Row],[SIGLA]],ENCUADRE_PTR,2,0))</calculatedColumnFormula>
    </tableColumn>
    <tableColumn id="9" xr3:uid="{00000000-0010-0000-0400-000009000000}" name="OBSERVACIÓN" dataDxfId="364" dataCellStyle="Normal 7"/>
    <tableColumn id="10" xr3:uid="{00000000-0010-0000-0400-00000A000000}" name="ESCUADRON " dataDxfId="363" dataCellStyle="Normal 7"/>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PTL_9" displayName="PTL_9" ref="C136:K143" totalsRowShown="0" headerRowDxfId="362" dataDxfId="360" headerRowBorderDxfId="361" tableBorderDxfId="359" totalsRowBorderDxfId="358" headerRowCellStyle="Normal 7" dataCellStyle="Normal 7">
  <autoFilter ref="C136:K143" xr:uid="{00000000-0009-0000-0100-000008000000}"/>
  <sortState xmlns:xlrd2="http://schemas.microsoft.com/office/spreadsheetml/2017/richdata2" ref="C137:K140">
    <sortCondition descending="1" ref="H136:H140"/>
  </sortState>
  <tableColumns count="9">
    <tableColumn id="1" xr3:uid="{00000000-0010-0000-0500-000001000000}" name="SIGLA" dataDxfId="357" dataCellStyle="Normal 7"/>
    <tableColumn id="2" xr3:uid="{00000000-0010-0000-0500-000002000000}" name="FUNCIONARIO A CARGO" dataDxfId="356" dataCellStyle="Normal 7">
      <calculatedColumnFormula>IFERROR(VLOOKUP(PTL_9[[#This Row],[SIGLA]],JEFES_1,3,FALSE)&amp;" "&amp;VLOOKUP(PTL_9[[#This Row],[SIGLA]],JEFES_1,2,FALSE),"-")</calculatedColumnFormula>
    </tableColumn>
    <tableColumn id="3" xr3:uid="{00000000-0010-0000-0500-000003000000}" name="VEH." dataDxfId="355" dataCellStyle="Normal 7"/>
    <tableColumn id="4" xr3:uid="{00000000-0010-0000-0500-000004000000}" name="TURNO" dataDxfId="354" dataCellStyle="Normal 7"/>
    <tableColumn id="5" xr3:uid="{00000000-0010-0000-0500-000005000000}" name="SERVICIO" dataDxfId="353" dataCellStyle="Normal 7"/>
    <tableColumn id="6" xr3:uid="{00000000-0010-0000-0500-000006000000}" name="H.I." dataDxfId="352" dataCellStyle="Normal 7"/>
    <tableColumn id="7" xr3:uid="{00000000-0010-0000-0500-000007000000}" name="H.T." dataDxfId="351" dataCellStyle="Normal 7"/>
    <tableColumn id="8" xr3:uid="{00000000-0010-0000-0500-000008000000}" name="F.E." dataDxfId="350" dataCellStyle="Normal 7">
      <calculatedColumnFormula>COUNTIF(BD_PRINCIPAL[DOTACIÓN ACTUAL],PTL_9[[#This Row],[SIGLA]])+COUNTIF(BD_PRINCIPAL[DOTACIÓN ACTUAL],"JEFE/"&amp;PTL_9[[#This Row],[SIGLA]])</calculatedColumnFormula>
    </tableColumn>
    <tableColumn id="9" xr3:uid="{00000000-0010-0000-0500-000009000000}" name="OBSERVACIÓN" dataDxfId="349" dataCellStyle="Normal 7"/>
  </tableColumns>
  <tableStyleInfo name="TableStyleMedium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PTL_911" displayName="PTL_911" ref="C145:K157" totalsRowShown="0" headerRowDxfId="348" dataDxfId="346" headerRowBorderDxfId="347" tableBorderDxfId="345" totalsRowBorderDxfId="344" headerRowCellStyle="Normal 7" dataCellStyle="Normal 7">
  <autoFilter ref="C145:K157" xr:uid="{00000000-0009-0000-0100-00000A000000}"/>
  <sortState xmlns:xlrd2="http://schemas.microsoft.com/office/spreadsheetml/2017/richdata2" ref="C146:K149">
    <sortCondition descending="1" ref="H136:H140"/>
  </sortState>
  <tableColumns count="9">
    <tableColumn id="1" xr3:uid="{00000000-0010-0000-0600-000001000000}" name="SIGLA" dataDxfId="343" dataCellStyle="Normal 7"/>
    <tableColumn id="2" xr3:uid="{00000000-0010-0000-0600-000002000000}" name="FUNCIONARIO A CARGO" dataDxfId="342" dataCellStyle="Normal 7">
      <calculatedColumnFormula>IFERROR(VLOOKUP(PTL_911[[#This Row],[SIGLA]],JEFES_1,3,FALSE)&amp;" "&amp;VLOOKUP(PTL_911[[#This Row],[SIGLA]],JEFES_1,2,FALSE),"-")</calculatedColumnFormula>
    </tableColumn>
    <tableColumn id="3" xr3:uid="{00000000-0010-0000-0600-000003000000}" name="VEH." dataDxfId="341" dataCellStyle="Normal 7"/>
    <tableColumn id="4" xr3:uid="{00000000-0010-0000-0600-000004000000}" name="TURNO" dataDxfId="340" dataCellStyle="Normal 7">
      <calculatedColumnFormula>VLOOKUP(C146,'Tabla de Servicio'!$DX$8:$DY$150,2,0)</calculatedColumnFormula>
    </tableColumn>
    <tableColumn id="5" xr3:uid="{00000000-0010-0000-0600-000005000000}" name="SERVICIO" dataDxfId="339" dataCellStyle="Normal 7">
      <calculatedColumnFormula>VLOOKUP(C146,'Tabla de Servicio'!$DX$8:$DZ$150,3,0)</calculatedColumnFormula>
    </tableColumn>
    <tableColumn id="6" xr3:uid="{00000000-0010-0000-0600-000006000000}" name="H.I." dataDxfId="338" dataCellStyle="Normal 7">
      <calculatedColumnFormula>IFERROR(_xlfn.IFS(PTL_911[[#This Row],[TURNO]]="1G","08:00",PTL_911[[#This Row],[TURNO]]="2G","20:00",PTL_911[[#This Row],[TURNO]]="1P","08:00",PTL_911[[#This Row],[TURNO]]="2P","20:00",PTL_911[[#This Row],[TURNO]]="1T","08:00",PTL_911[[#This Row],[TURNO]]="2T","14:00",PTL_911[[#This Row],[TURNO]]="3T","20:00"),"-")</calculatedColumnFormula>
    </tableColumn>
    <tableColumn id="7" xr3:uid="{00000000-0010-0000-0600-000007000000}" name="H.T." dataDxfId="337" dataCellStyle="Normal 7">
      <calculatedColumnFormula>IFERROR(_xlfn.IFS(PTL_911[[#This Row],[TURNO]]="1G","20:00",PTL_911[[#This Row],[TURNO]]="2G","08:00",PTL_911[[#This Row],[TURNO]]="1P","20:00",PTL_911[[#This Row],[TURNO]]="2P","08:00",PTL_911[[#This Row],[TURNO]]="1T","14:00",PTL_911[[#This Row],[TURNO]]="2T","20:00",PTL_911[[#This Row],[TURNO]]="3T","08:00"),"-")</calculatedColumnFormula>
    </tableColumn>
    <tableColumn id="8" xr3:uid="{00000000-0010-0000-0600-000008000000}" name="F.E." dataDxfId="336" dataCellStyle="Normal 7">
      <calculatedColumnFormula>COUNTIF(BD_PRINCIPAL[DOTACIÓN ACTUAL],PTL_911[[#This Row],[SIGLA]])+COUNTIF(BD_PRINCIPAL[DOTACIÓN ACTUAL],"JEFE/"&amp;PTL_911[[#This Row],[SIGLA]])</calculatedColumnFormula>
    </tableColumn>
    <tableColumn id="9" xr3:uid="{00000000-0010-0000-0600-000009000000}" name="OBSERVACIÓN" dataDxfId="335" dataCellStyle="Normal 7"/>
  </tableColumns>
  <tableStyleInfo name="TableStyleMedium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PTL_91110" displayName="PTL_91110" ref="C159:K162" totalsRowShown="0" headerRowDxfId="334" dataDxfId="332" headerRowBorderDxfId="333" tableBorderDxfId="331" totalsRowBorderDxfId="330" headerRowCellStyle="Normal 7" dataCellStyle="Normal 7">
  <autoFilter ref="C159:K162" xr:uid="{00000000-0009-0000-0100-000009000000}"/>
  <tableColumns count="9">
    <tableColumn id="1" xr3:uid="{00000000-0010-0000-0700-000001000000}" name="SIGLA" dataDxfId="329" dataCellStyle="Normal 7"/>
    <tableColumn id="2" xr3:uid="{00000000-0010-0000-0700-000002000000}" name="FUNCIONARIO A CARGO" dataDxfId="328" dataCellStyle="Normal 7">
      <calculatedColumnFormula>IFERROR(VLOOKUP(PTL_91110[[#This Row],[SIGLA]],JEFES_1,3,FALSE)&amp;" "&amp;VLOOKUP(PTL_91110[[#This Row],[SIGLA]],JEFES_1,2,FALSE),"-")</calculatedColumnFormula>
    </tableColumn>
    <tableColumn id="3" xr3:uid="{00000000-0010-0000-0700-000003000000}" name="VEH." dataDxfId="327" dataCellStyle="Normal 7"/>
    <tableColumn id="4" xr3:uid="{00000000-0010-0000-0700-000004000000}" name="TURNO" dataDxfId="326" dataCellStyle="Normal 7"/>
    <tableColumn id="5" xr3:uid="{00000000-0010-0000-0700-000005000000}" name="SERVICIO" dataDxfId="325" dataCellStyle="Normal 7">
      <calculatedColumnFormula>PTL_91110[[#This Row],[SIGLA]]</calculatedColumnFormula>
    </tableColumn>
    <tableColumn id="6" xr3:uid="{00000000-0010-0000-0700-000006000000}" name="H.I." dataDxfId="324" dataCellStyle="Normal 7"/>
    <tableColumn id="7" xr3:uid="{00000000-0010-0000-0700-000007000000}" name="H.T." dataDxfId="323" dataCellStyle="Normal 7"/>
    <tableColumn id="8" xr3:uid="{00000000-0010-0000-0700-000008000000}" name="F.E." dataDxfId="322" dataCellStyle="Normal 7">
      <calculatedColumnFormula>COUNTIF(BD_PRINCIPAL[DOTACIÓN ACTUAL],PTL_91110[[#This Row],[SIGLA]])+COUNTIF(BD_PRINCIPAL[DOTACIÓN ACTUAL],"JEFE/"&amp;PTL_91110[[#This Row],[SIGLA]])</calculatedColumnFormula>
    </tableColumn>
    <tableColumn id="9" xr3:uid="{00000000-0010-0000-0700-000009000000}" name="OBSERVACIÓN" dataDxfId="321" dataCellStyle="Normal 7"/>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BD_PRINCIPAL" displayName="BD_PRINCIPAL" ref="A3:BN481" totalsRowShown="0" headerRowDxfId="320" dataDxfId="318" headerRowBorderDxfId="319" tableBorderDxfId="317" totalsRowBorderDxfId="316">
  <autoFilter ref="A3:BN481" xr:uid="{00000000-0009-0000-0100-000003000000}"/>
  <sortState xmlns:xlrd2="http://schemas.microsoft.com/office/spreadsheetml/2017/richdata2" ref="A4:BN481">
    <sortCondition ref="X3:X481"/>
    <sortCondition ref="Y3:Y481"/>
    <sortCondition ref="Z3:Z481"/>
    <sortCondition ref="F3:F481"/>
  </sortState>
  <tableColumns count="66">
    <tableColumn id="1" xr3:uid="{00000000-0010-0000-0800-000001000000}" name="C/F" dataDxfId="315"/>
    <tableColumn id="5" xr3:uid="{00000000-0010-0000-0800-000005000000}" name="NOMBRE RESPALDO" dataDxfId="314"/>
    <tableColumn id="2" xr3:uid="{00000000-0010-0000-0800-000002000000}" name="RUT" dataDxfId="313"/>
    <tableColumn id="17" xr3:uid="{00000000-0010-0000-0800-000011000000}" name="DOTACIÓN" dataDxfId="2"/>
    <tableColumn id="16" xr3:uid="{00000000-0010-0000-0800-000010000000}" name="DOTACIÓN ACTUAL" dataDxfId="0"/>
    <tableColumn id="15" xr3:uid="{00000000-0010-0000-0800-00000F000000}" name="APELLIDOS Y NOMBRES" dataDxfId="1"/>
    <tableColumn id="3" xr3:uid="{00000000-0010-0000-0800-000003000000}" name="GRADO" dataDxfId="312" dataCellStyle="Normal 2"/>
    <tableColumn id="4" xr3:uid="{00000000-0010-0000-0800-000004000000}" name="GENERO" dataDxfId="311"/>
    <tableColumn id="6" xr3:uid="{00000000-0010-0000-0800-000006000000}" name="REPARTICIÓN" dataDxfId="310"/>
    <tableColumn id="8" xr3:uid="{00000000-0010-0000-0800-000008000000}" name="ESC." dataDxfId="11" dataCellStyle="Normal 2"/>
    <tableColumn id="9" xr3:uid="{00000000-0010-0000-0800-000009000000}" name="SEMEP" dataDxfId="10"/>
    <tableColumn id="10" xr3:uid="{00000000-0010-0000-0800-00000A000000}" name="TURNO" dataDxfId="8" dataCellStyle="Normal 3"/>
    <tableColumn id="11" xr3:uid="{00000000-0010-0000-0800-00000B000000}" name="SERVICIO" dataDxfId="6"/>
    <tableColumn id="12" xr3:uid="{00000000-0010-0000-0800-00000C000000}" name="Columna1" dataDxfId="7"/>
    <tableColumn id="31" xr3:uid="{00000000-0010-0000-0800-00001F000000}" name="FORMULA TURNO" dataDxfId="9"/>
    <tableColumn id="30" xr3:uid="{00000000-0010-0000-0800-00001E000000}" name="FORMULA SERVICIO" dataDxfId="5"/>
    <tableColumn id="29" xr3:uid="{00000000-0010-0000-0800-00001D000000}" name="ENCUADRE. ESC." dataDxfId="3"/>
    <tableColumn id="28" xr3:uid="{00000000-0010-0000-0800-00001C000000}" name="F. NAC." dataDxfId="4">
      <calculatedColumnFormula>$B$1</calculatedColumnFormula>
    </tableColumn>
    <tableColumn id="13" xr3:uid="{00000000-0010-0000-0800-00000D000000}" name="OBSERVACIÓN DISTRIBUCIÓN" dataDxfId="309"/>
    <tableColumn id="14" xr3:uid="{00000000-0010-0000-0800-00000E000000}" name="OBSERVACIÓN 2" dataDxfId="308"/>
    <tableColumn id="21" xr3:uid="{00000000-0010-0000-0800-000015000000}" name="DESDE" dataDxfId="307"/>
    <tableColumn id="20" xr3:uid="{00000000-0010-0000-0800-000014000000}" name="HASTA" dataDxfId="306"/>
    <tableColumn id="35" xr3:uid="{00000000-0010-0000-0800-000023000000}" name="CALCULO DIAS" dataDxfId="305">
      <calculatedColumnFormula>IFERROR(IF(AND(BD_PRINCIPAL[[#This Row],[DESDE]]&lt;&gt;"",BD_PRINCIPAL[[#This Row],[HASTA]]&lt;&gt;""),_xlfn.DAYS(BD_PRINCIPAL[[#This Row],[HASTA]],BD_PRINCIPAL[[#This Row],[DESDE]]),"")+1,"")</calculatedColumnFormula>
    </tableColumn>
    <tableColumn id="22" xr3:uid="{00000000-0010-0000-0800-000016000000}" name="ORDEN1" dataDxfId="304">
      <calculatedColumnFormula>VLOOKUP(BD_PRINCIPAL[[#This Row],[ENCUADRE. ESC.]],ORDEN1,2,FALSE)</calculatedColumnFormula>
    </tableColumn>
    <tableColumn id="24" xr3:uid="{00000000-0010-0000-0800-000018000000}" name="ORDEN2" dataDxfId="303">
      <calculatedColumnFormula>VLOOKUP(BD_PRINCIPAL[[#This Row],[DOTACIÓN ACTUAL]],ORDEN2,4,FALSE)</calculatedColumnFormula>
    </tableColumn>
    <tableColumn id="23" xr3:uid="{00000000-0010-0000-0800-000017000000}" name="ORDEN3" dataDxfId="302">
      <calculatedColumnFormula>VLOOKUP(BD_PRINCIPAL[[#This Row],[GRADO]],ORDEN3,2,FALSE)</calculatedColumnFormula>
    </tableColumn>
    <tableColumn id="25" xr3:uid="{00000000-0010-0000-0800-000019000000}" name="ORDEN4" dataDxfId="301">
      <calculatedColumnFormula>IFERROR(VLOOKUP(BD_PRINCIPAL[[#This Row],[DOTACIÓN ACTUAL]],ORDEN2,3,FALSE),0)</calculatedColumnFormula>
    </tableColumn>
    <tableColumn id="62" xr3:uid="{00000000-0010-0000-0800-00003E000000}" name="1" dataDxfId="300"/>
    <tableColumn id="63" xr3:uid="{00000000-0010-0000-0800-00003F000000}" name="2" dataDxfId="299"/>
    <tableColumn id="64" xr3:uid="{00000000-0010-0000-0800-000040000000}" name="3" dataDxfId="298"/>
    <tableColumn id="65" xr3:uid="{00000000-0010-0000-0800-000041000000}" name="4" dataDxfId="297"/>
    <tableColumn id="66" xr3:uid="{00000000-0010-0000-0800-000042000000}" name="5" dataDxfId="296"/>
    <tableColumn id="67" xr3:uid="{00000000-0010-0000-0800-000043000000}" name="6" dataDxfId="295"/>
    <tableColumn id="68" xr3:uid="{00000000-0010-0000-0800-000044000000}" name="7" dataDxfId="294"/>
    <tableColumn id="69" xr3:uid="{00000000-0010-0000-0800-000045000000}" name="8" dataDxfId="293"/>
    <tableColumn id="18" xr3:uid="{00000000-0010-0000-0800-000012000000}" name="9" dataDxfId="292"/>
    <tableColumn id="19" xr3:uid="{00000000-0010-0000-0800-000013000000}" name="10" dataDxfId="291"/>
    <tableColumn id="26" xr3:uid="{00000000-0010-0000-0800-00001A000000}" name="11" dataDxfId="290"/>
    <tableColumn id="27" xr3:uid="{00000000-0010-0000-0800-00001B000000}" name="12" dataDxfId="289"/>
    <tableColumn id="32" xr3:uid="{00000000-0010-0000-0800-000020000000}" name="13" dataDxfId="288"/>
    <tableColumn id="33" xr3:uid="{00000000-0010-0000-0800-000021000000}" name="14" dataDxfId="287"/>
    <tableColumn id="34" xr3:uid="{00000000-0010-0000-0800-000022000000}" name="15" dataDxfId="286"/>
    <tableColumn id="36" xr3:uid="{00000000-0010-0000-0800-000024000000}" name="16" dataDxfId="285"/>
    <tableColumn id="37" xr3:uid="{00000000-0010-0000-0800-000025000000}" name="17" dataDxfId="284"/>
    <tableColumn id="38" xr3:uid="{00000000-0010-0000-0800-000026000000}" name="18" dataDxfId="283"/>
    <tableColumn id="39" xr3:uid="{00000000-0010-0000-0800-000027000000}" name="19" dataDxfId="282"/>
    <tableColumn id="40" xr3:uid="{00000000-0010-0000-0800-000028000000}" name="20" dataDxfId="281"/>
    <tableColumn id="41" xr3:uid="{00000000-0010-0000-0800-000029000000}" name="21" dataDxfId="280"/>
    <tableColumn id="42" xr3:uid="{00000000-0010-0000-0800-00002A000000}" name="22" dataDxfId="279"/>
    <tableColumn id="43" xr3:uid="{00000000-0010-0000-0800-00002B000000}" name="23" dataDxfId="278"/>
    <tableColumn id="44" xr3:uid="{00000000-0010-0000-0800-00002C000000}" name="24" dataDxfId="277"/>
    <tableColumn id="45" xr3:uid="{00000000-0010-0000-0800-00002D000000}" name="25" dataDxfId="276"/>
    <tableColumn id="110" xr3:uid="{00000000-0010-0000-0800-00006E000000}" name="26" dataDxfId="275"/>
    <tableColumn id="111" xr3:uid="{00000000-0010-0000-0800-00006F000000}" name="27" dataDxfId="274"/>
    <tableColumn id="112" xr3:uid="{00000000-0010-0000-0800-000070000000}" name="28" dataDxfId="273"/>
    <tableColumn id="113" xr3:uid="{00000000-0010-0000-0800-000071000000}" name="29" dataDxfId="272"/>
    <tableColumn id="114" xr3:uid="{00000000-0010-0000-0800-000072000000}" name="30" dataDxfId="271"/>
    <tableColumn id="115" xr3:uid="{00000000-0010-0000-0800-000073000000}" name="31" dataDxfId="270"/>
    <tableColumn id="49" xr3:uid="{00000000-0010-0000-0800-000031000000}" name="32" dataDxfId="269"/>
    <tableColumn id="79" xr3:uid="{00000000-0010-0000-0800-00004F000000}" name="33" dataDxfId="268"/>
    <tableColumn id="7" xr3:uid="{00000000-0010-0000-0800-000007000000}" name="34" dataDxfId="267"/>
    <tableColumn id="46" xr3:uid="{00000000-0010-0000-0800-00002E000000}" name="35" dataDxfId="266"/>
    <tableColumn id="187" xr3:uid="{00000000-0010-0000-0800-0000BB000000}" name="36" dataDxfId="265"/>
    <tableColumn id="188" xr3:uid="{00000000-0010-0000-0800-0000BC000000}" name="37" dataDxfId="264"/>
    <tableColumn id="47" xr3:uid="{00000000-0010-0000-0800-00002F000000}" name="CER. PISTOLA" dataDxfId="263"/>
    <tableColumn id="48" xr3:uid="{00000000-0010-0000-0800-000030000000}" name="CER. ESCOPETA" dataDxfId="262"/>
  </tableColumns>
  <tableStyleInfo name="TableStyleDark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MatrizIngreso" displayName="MatrizIngreso" ref="A1:D10" totalsRowShown="0">
  <autoFilter ref="A1:D10" xr:uid="{00000000-0009-0000-0100-000006000000}"/>
  <sortState xmlns:xlrd2="http://schemas.microsoft.com/office/spreadsheetml/2017/richdata2" ref="A2:D8">
    <sortCondition ref="C1:C8"/>
  </sortState>
  <tableColumns count="4">
    <tableColumn id="1" xr3:uid="{00000000-0010-0000-0900-000001000000}" name="CODIGO" dataDxfId="261"/>
    <tableColumn id="2" xr3:uid="{00000000-0010-0000-0900-000002000000}" name="CONTRASEÑA" dataDxfId="260"/>
    <tableColumn id="3" xr3:uid="{00000000-0010-0000-0900-000003000000}" name="NOMBRE" dataDxfId="259"/>
    <tableColumn id="4" xr3:uid="{00000000-0010-0000-0900-000004000000}" name="DEPENDENCIA" dataDxfId="258"/>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3.xml"/><Relationship Id="rId17" Type="http://schemas.openxmlformats.org/officeDocument/2006/relationships/table" Target="../tables/table8.xml"/><Relationship Id="rId2" Type="http://schemas.openxmlformats.org/officeDocument/2006/relationships/drawing" Target="../drawings/drawing2.xml"/><Relationship Id="rId16" Type="http://schemas.openxmlformats.org/officeDocument/2006/relationships/table" Target="../tables/table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table" Target="../tables/table2.xml"/><Relationship Id="rId5" Type="http://schemas.openxmlformats.org/officeDocument/2006/relationships/ctrlProp" Target="../ctrlProps/ctrlProp2.xml"/><Relationship Id="rId15" Type="http://schemas.openxmlformats.org/officeDocument/2006/relationships/table" Target="../tables/table6.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4.bin"/><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6.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8">
    <tabColor rgb="FF00B050"/>
  </sheetPr>
  <dimension ref="A2:Q100"/>
  <sheetViews>
    <sheetView topLeftCell="D4" workbookViewId="0">
      <selection activeCell="D452" sqref="D452"/>
    </sheetView>
  </sheetViews>
  <sheetFormatPr baseColWidth="10" defaultRowHeight="14.4" x14ac:dyDescent="0.3"/>
  <cols>
    <col min="1" max="3" width="11.5546875" hidden="1" customWidth="1"/>
    <col min="8" max="8" width="10.109375" bestFit="1" customWidth="1"/>
    <col min="9" max="9" width="38.6640625" bestFit="1" customWidth="1"/>
    <col min="15" max="15" width="20.88671875" bestFit="1" customWidth="1"/>
    <col min="16" max="16" width="23.33203125" bestFit="1" customWidth="1"/>
    <col min="17" max="17" width="13.33203125" bestFit="1" customWidth="1"/>
  </cols>
  <sheetData>
    <row r="2" spans="1:17" x14ac:dyDescent="0.3">
      <c r="A2" s="770" t="str">
        <f>'Panel de Trabajo'!E7</f>
        <v xml:space="preserve"> </v>
      </c>
      <c r="B2" s="62" t="str">
        <f>'Panel de Trabajo'!C7</f>
        <v>G1-E</v>
      </c>
      <c r="E2" s="1059" t="s">
        <v>2379</v>
      </c>
      <c r="F2" s="1059"/>
      <c r="G2" s="1059"/>
      <c r="H2" s="1059"/>
      <c r="I2" s="1059"/>
      <c r="J2" s="1059"/>
      <c r="K2" s="1059"/>
      <c r="L2" s="1059"/>
      <c r="M2" s="1059"/>
      <c r="N2" s="1059"/>
      <c r="O2" s="1059"/>
      <c r="P2" s="1059"/>
      <c r="Q2" s="1059"/>
    </row>
    <row r="3" spans="1:17" x14ac:dyDescent="0.3">
      <c r="A3" s="770" t="str">
        <f>'Panel de Trabajo'!E8</f>
        <v xml:space="preserve"> </v>
      </c>
      <c r="B3" s="62" t="str">
        <f>'Panel de Trabajo'!C8</f>
        <v>G2-E</v>
      </c>
      <c r="I3" s="1"/>
      <c r="L3" s="1"/>
    </row>
    <row r="4" spans="1:17" x14ac:dyDescent="0.3">
      <c r="A4" s="770" t="str">
        <f>'Panel de Trabajo'!E9</f>
        <v xml:space="preserve"> </v>
      </c>
      <c r="B4" s="62" t="str">
        <f>'Panel de Trabajo'!C9</f>
        <v>G3-E</v>
      </c>
      <c r="H4" s="1060" t="s">
        <v>2380</v>
      </c>
      <c r="I4" s="1060"/>
      <c r="J4" s="1060"/>
      <c r="K4" s="1060" t="s">
        <v>2381</v>
      </c>
      <c r="L4" s="1060"/>
      <c r="M4" s="1060" t="s">
        <v>2382</v>
      </c>
      <c r="N4" s="1060"/>
      <c r="O4" s="62"/>
    </row>
    <row r="5" spans="1:17" x14ac:dyDescent="0.3">
      <c r="A5" s="770" t="str">
        <f>'Panel de Trabajo'!E10</f>
        <v>J-1230</v>
      </c>
      <c r="B5" s="62" t="str">
        <f>'Panel de Trabajo'!C10</f>
        <v>G4-E</v>
      </c>
      <c r="E5" s="762" t="s">
        <v>2383</v>
      </c>
      <c r="F5" s="762" t="s">
        <v>1190</v>
      </c>
      <c r="G5" s="762" t="s">
        <v>2384</v>
      </c>
      <c r="H5" s="762" t="s">
        <v>0</v>
      </c>
      <c r="I5" s="762" t="s">
        <v>2385</v>
      </c>
      <c r="J5" s="762" t="s">
        <v>2386</v>
      </c>
      <c r="K5" s="762" t="s">
        <v>886</v>
      </c>
      <c r="L5" s="762" t="s">
        <v>2387</v>
      </c>
      <c r="M5" s="762" t="s">
        <v>927</v>
      </c>
      <c r="N5" s="762" t="s">
        <v>928</v>
      </c>
      <c r="O5" s="762" t="s">
        <v>2388</v>
      </c>
      <c r="P5" s="762" t="s">
        <v>2389</v>
      </c>
      <c r="Q5" s="762" t="s">
        <v>2390</v>
      </c>
    </row>
    <row r="6" spans="1:17" x14ac:dyDescent="0.3">
      <c r="A6" s="770">
        <f>'Panel de Trabajo'!E11</f>
        <v>0</v>
      </c>
      <c r="B6" s="62" t="str">
        <f>'Panel de Trabajo'!C11</f>
        <v>A/J</v>
      </c>
      <c r="D6" s="761" t="str">
        <f t="shared" ref="D6:D32" si="0">IFERROR(VLOOKUP(K6,VEHICULOS_BLINDADOS,2,FALSE),"-")</f>
        <v>-</v>
      </c>
      <c r="E6" s="761">
        <v>1</v>
      </c>
      <c r="F6" s="761" t="s">
        <v>2084</v>
      </c>
      <c r="G6" s="761" t="s">
        <v>2391</v>
      </c>
      <c r="H6" s="761" t="str">
        <f t="shared" ref="H6:H32" si="1">IFERROR(VLOOKUP(D6,JEFES_1,3,FALSE),"")</f>
        <v/>
      </c>
      <c r="I6" s="763" t="str">
        <f t="shared" ref="I6:I32" si="2">IFERROR(VLOOKUP(D6,JEFES_1,2,FALSE),"")</f>
        <v/>
      </c>
      <c r="J6" s="761"/>
      <c r="K6" s="761" t="s">
        <v>1046</v>
      </c>
      <c r="L6" s="763" t="s">
        <v>2392</v>
      </c>
      <c r="M6" s="761" t="str">
        <f>IF(
COUNTIFS(BD_PRINCIPAL[DOTACIÓN ACTUAL],D6,BD_PRINCIPAL[ESC.],"PNS O/S")+COUNTIFS(BD_PRINCIPAL[DOTACIÓN ACTUAL],"JEFE/"&amp;D6,BD_PRINCIPAL[ESC.],"PNS O/S")+COUNTIF(BD_PRINCIPAL[DOTACIÓN ACTUAL],0)
=0,
"",
COUNTIFS(BD_PRINCIPAL[DOTACIÓN ACTUAL],D6,BD_PRINCIPAL[ESC.],"PNS O/S")+COUNTIFS(BD_PRINCIPAL[DOTACIÓN ACTUAL],"JEFE/"&amp;D6,BD_PRINCIPAL[ESC.],"PNS O/S")+COUNTIF(BD_PRINCIPAL[DOTACIÓN ACTUAL],0)
)</f>
        <v/>
      </c>
      <c r="N6" s="761" t="str">
        <f>IF(
COUNTIFS(BD_PRINCIPAL[DOTACIÓN ACTUAL],D6,BD_PRINCIPAL[ESC.],"PNI O/S")+COUNTIFS(BD_PRINCIPAL[DOTACIÓN ACTUAL],"JEFE/"&amp;D6,BD_PRINCIPAL[ESC.],"PNI O/S")+COUNTIF(BD_PRINCIPAL[DOTACIÓN ACTUAL],VLOOKUP(D6,ENCUADRE_PTR,2,0))
=0,
"",
COUNTIFS(BD_PRINCIPAL[DOTACIÓN ACTUAL],D6,BD_PRINCIPAL[ESC.],"PNI O/S")+COUNTIFS(BD_PRINCIPAL[DOTACIÓN ACTUAL],"JEFE/"&amp;D6,BD_PRINCIPAL[ESC.],"PNI O/S")+COUNTIF(BD_PRINCIPAL[DOTACIÓN ACTUAL],VLOOKUP(D6,ENCUADRE_PTR,2,0))
)</f>
        <v/>
      </c>
      <c r="O6" s="761" t="str">
        <f t="shared" ref="O6:O32" si="3">IFERROR(IF(TEXT(VLOOKUP(D6,TURNOS_SERVICIOS,6,FALSE),"HH:MM")&amp;" A "&amp;TEXT(VLOOKUP(D6,TURNOS_SERVICIOS,7,FALSE),"HH:MM")="00:00 A 00:00","-",TEXT(VLOOKUP(D6,TURNOS_SERVICIOS,6,FALSE),"HH:MM")&amp;" A "&amp;TEXT(VLOOKUP(D6,TURNOS_SERVICIOS,7,FALSE),"HH:MM")),"")</f>
        <v/>
      </c>
      <c r="P6" s="761" t="str">
        <f t="shared" ref="P6:P32" si="4">IFERROR(IF(VLOOKUP(D6,TURNOS_SERVICIOS,5,FALSE)=0,"-",VLOOKUP(D6,TURNOS_SERVICIOS,5,FALSE)),"")</f>
        <v/>
      </c>
      <c r="Q6" s="761"/>
    </row>
    <row r="7" spans="1:17" x14ac:dyDescent="0.3">
      <c r="A7" s="770" t="str">
        <f>'Panel de Trabajo'!E12</f>
        <v>MANDO UNIDAD</v>
      </c>
      <c r="B7" s="62">
        <f>'Panel de Trabajo'!C12</f>
        <v>0</v>
      </c>
      <c r="D7" s="761" t="str">
        <f t="shared" si="0"/>
        <v>GRIFO 15</v>
      </c>
      <c r="E7" s="761">
        <v>2</v>
      </c>
      <c r="F7" s="761" t="s">
        <v>2084</v>
      </c>
      <c r="G7" s="761" t="s">
        <v>2391</v>
      </c>
      <c r="H7" s="761" t="str">
        <f t="shared" si="1"/>
        <v>TENIENTE</v>
      </c>
      <c r="I7" s="763" t="str">
        <f t="shared" si="2"/>
        <v>PALAVECINO LLANOS CAROLINA VIVIANA</v>
      </c>
      <c r="J7" s="761"/>
      <c r="K7" s="761" t="s">
        <v>1047</v>
      </c>
      <c r="L7" s="763" t="s">
        <v>1084</v>
      </c>
      <c r="M7" s="761">
        <f>IF(
COUNTIFS(BD_PRINCIPAL[DOTACIÓN ACTUAL],D7,BD_PRINCIPAL[ESC.],"PNS O/S")+COUNTIFS(BD_PRINCIPAL[DOTACIÓN ACTUAL],"JEFE/"&amp;D7,BD_PRINCIPAL[ESC.],"PNS O/S")+COUNTIF(BD_PRINCIPAL[DOTACIÓN ACTUAL],0)
=0,
"",
COUNTIFS(BD_PRINCIPAL[DOTACIÓN ACTUAL],D7,BD_PRINCIPAL[ESC.],"PNS O/S")+COUNTIFS(BD_PRINCIPAL[DOTACIÓN ACTUAL],"JEFE/"&amp;D7,BD_PRINCIPAL[ESC.],"PNS O/S")+COUNTIF(BD_PRINCIPAL[DOTACIÓN ACTUAL],0)
)</f>
        <v>1</v>
      </c>
      <c r="N7" s="761">
        <f>IF(
COUNTIFS(BD_PRINCIPAL[DOTACIÓN ACTUAL],D7,BD_PRINCIPAL[ESC.],"PNI O/S")+COUNTIFS(BD_PRINCIPAL[DOTACIÓN ACTUAL],"JEFE/"&amp;D7,BD_PRINCIPAL[ESC.],"PNI O/S")+COUNTIF(BD_PRINCIPAL[DOTACIÓN ACTUAL],VLOOKUP(D7,ENCUADRE_PTR,2,0))
=0,
"",
COUNTIFS(BD_PRINCIPAL[DOTACIÓN ACTUAL],D7,BD_PRINCIPAL[ESC.],"PNI O/S")+COUNTIFS(BD_PRINCIPAL[DOTACIÓN ACTUAL],"JEFE/"&amp;D7,BD_PRINCIPAL[ESC.],"PNI O/S")+COUNTIF(BD_PRINCIPAL[DOTACIÓN ACTUAL],VLOOKUP(D7,ENCUADRE_PTR,2,0))
)</f>
        <v>2</v>
      </c>
      <c r="O7" s="761" t="str">
        <f t="shared" si="3"/>
        <v xml:space="preserve">  A  </v>
      </c>
      <c r="P7" s="761" t="str">
        <f t="shared" si="4"/>
        <v>SALIENTE DE SERVICIO</v>
      </c>
      <c r="Q7" s="761"/>
    </row>
    <row r="8" spans="1:17" x14ac:dyDescent="0.3">
      <c r="A8" s="770" t="str">
        <f>'Panel de Trabajo'!E13</f>
        <v>VEH.</v>
      </c>
      <c r="B8" s="62" t="str">
        <f>'Panel de Trabajo'!C13</f>
        <v>SIGLA</v>
      </c>
      <c r="D8" s="761" t="str">
        <f t="shared" si="0"/>
        <v>-</v>
      </c>
      <c r="E8" s="761">
        <v>3</v>
      </c>
      <c r="F8" s="761" t="s">
        <v>2084</v>
      </c>
      <c r="G8" s="761" t="s">
        <v>2391</v>
      </c>
      <c r="H8" s="761" t="str">
        <f t="shared" si="1"/>
        <v/>
      </c>
      <c r="I8" s="763" t="str">
        <f t="shared" si="2"/>
        <v/>
      </c>
      <c r="J8" s="764"/>
      <c r="K8" s="766" t="s">
        <v>894</v>
      </c>
      <c r="L8" s="769" t="s">
        <v>1084</v>
      </c>
      <c r="M8" s="761" t="str">
        <f>IF(
COUNTIFS(BD_PRINCIPAL[DOTACIÓN ACTUAL],D8,BD_PRINCIPAL[ESC.],"PNS O/S")+COUNTIFS(BD_PRINCIPAL[DOTACIÓN ACTUAL],"JEFE/"&amp;D8,BD_PRINCIPAL[ESC.],"PNS O/S")+COUNTIF(BD_PRINCIPAL[DOTACIÓN ACTUAL],0)
=0,
"",
COUNTIFS(BD_PRINCIPAL[DOTACIÓN ACTUAL],D8,BD_PRINCIPAL[ESC.],"PNS O/S")+COUNTIFS(BD_PRINCIPAL[DOTACIÓN ACTUAL],"JEFE/"&amp;D8,BD_PRINCIPAL[ESC.],"PNS O/S")+COUNTIF(BD_PRINCIPAL[DOTACIÓN ACTUAL],0)
)</f>
        <v/>
      </c>
      <c r="N8" s="761" t="str">
        <f>IF(
COUNTIFS(BD_PRINCIPAL[DOTACIÓN ACTUAL],D8,BD_PRINCIPAL[ESC.],"PNI O/S")+COUNTIFS(BD_PRINCIPAL[DOTACIÓN ACTUAL],"JEFE/"&amp;D8,BD_PRINCIPAL[ESC.],"PNI O/S")+COUNTIF(BD_PRINCIPAL[DOTACIÓN ACTUAL],VLOOKUP(D8,ENCUADRE_PTR,2,0))
=0,
"",
COUNTIFS(BD_PRINCIPAL[DOTACIÓN ACTUAL],D8,BD_PRINCIPAL[ESC.],"PNI O/S")+COUNTIFS(BD_PRINCIPAL[DOTACIÓN ACTUAL],"JEFE/"&amp;D8,BD_PRINCIPAL[ESC.],"PNI O/S")+COUNTIF(BD_PRINCIPAL[DOTACIÓN ACTUAL],VLOOKUP(D8,ENCUADRE_PTR,2,0))
)</f>
        <v/>
      </c>
      <c r="O8" s="761" t="str">
        <f t="shared" si="3"/>
        <v/>
      </c>
      <c r="P8" s="761" t="str">
        <f t="shared" si="4"/>
        <v/>
      </c>
      <c r="Q8" s="764"/>
    </row>
    <row r="9" spans="1:17" x14ac:dyDescent="0.3">
      <c r="A9" s="770" t="str">
        <f>'Panel de Trabajo'!E14</f>
        <v>J-1227</v>
      </c>
      <c r="B9" s="62" t="str">
        <f>'Panel de Trabajo'!C14</f>
        <v>C40</v>
      </c>
      <c r="D9" s="761" t="str">
        <f t="shared" si="0"/>
        <v>-</v>
      </c>
      <c r="E9" s="761">
        <v>4</v>
      </c>
      <c r="F9" s="761" t="s">
        <v>2084</v>
      </c>
      <c r="G9" s="761" t="s">
        <v>2391</v>
      </c>
      <c r="H9" s="761" t="str">
        <f t="shared" si="1"/>
        <v/>
      </c>
      <c r="I9" s="763" t="str">
        <f t="shared" si="2"/>
        <v/>
      </c>
      <c r="J9" s="764"/>
      <c r="K9" s="767" t="s">
        <v>1048</v>
      </c>
      <c r="L9" s="769" t="s">
        <v>1084</v>
      </c>
      <c r="M9" s="761" t="str">
        <f>IF(
COUNTIFS(BD_PRINCIPAL[DOTACIÓN ACTUAL],D9,BD_PRINCIPAL[ESC.],"PNS O/S")+COUNTIFS(BD_PRINCIPAL[DOTACIÓN ACTUAL],"JEFE/"&amp;D9,BD_PRINCIPAL[ESC.],"PNS O/S")+COUNTIF(BD_PRINCIPAL[DOTACIÓN ACTUAL],0)
=0,
"",
COUNTIFS(BD_PRINCIPAL[DOTACIÓN ACTUAL],D9,BD_PRINCIPAL[ESC.],"PNS O/S")+COUNTIFS(BD_PRINCIPAL[DOTACIÓN ACTUAL],"JEFE/"&amp;D9,BD_PRINCIPAL[ESC.],"PNS O/S")+COUNTIF(BD_PRINCIPAL[DOTACIÓN ACTUAL],0)
)</f>
        <v/>
      </c>
      <c r="N9" s="761" t="str">
        <f>IF(
COUNTIFS(BD_PRINCIPAL[DOTACIÓN ACTUAL],D9,BD_PRINCIPAL[ESC.],"PNI O/S")+COUNTIFS(BD_PRINCIPAL[DOTACIÓN ACTUAL],"JEFE/"&amp;D9,BD_PRINCIPAL[ESC.],"PNI O/S")+COUNTIF(BD_PRINCIPAL[DOTACIÓN ACTUAL],VLOOKUP(D9,ENCUADRE_PTR,2,0))
=0,
"",
COUNTIFS(BD_PRINCIPAL[DOTACIÓN ACTUAL],D9,BD_PRINCIPAL[ESC.],"PNI O/S")+COUNTIFS(BD_PRINCIPAL[DOTACIÓN ACTUAL],"JEFE/"&amp;D9,BD_PRINCIPAL[ESC.],"PNI O/S")+COUNTIF(BD_PRINCIPAL[DOTACIÓN ACTUAL],VLOOKUP(D9,ENCUADRE_PTR,2,0))
)</f>
        <v/>
      </c>
      <c r="O9" s="761" t="str">
        <f t="shared" si="3"/>
        <v/>
      </c>
      <c r="P9" s="761" t="str">
        <f t="shared" si="4"/>
        <v/>
      </c>
      <c r="Q9" s="764"/>
    </row>
    <row r="10" spans="1:17" x14ac:dyDescent="0.3">
      <c r="A10" s="770">
        <f>'Panel de Trabajo'!E15</f>
        <v>0</v>
      </c>
      <c r="B10" s="62" t="str">
        <f>'Panel de Trabajo'!C15</f>
        <v>JO-40</v>
      </c>
      <c r="D10" s="761" t="str">
        <f t="shared" si="0"/>
        <v>-</v>
      </c>
      <c r="E10" s="761">
        <v>5</v>
      </c>
      <c r="F10" s="761" t="s">
        <v>2084</v>
      </c>
      <c r="G10" s="761" t="s">
        <v>2391</v>
      </c>
      <c r="H10" s="761" t="str">
        <f t="shared" si="1"/>
        <v/>
      </c>
      <c r="I10" s="763" t="str">
        <f t="shared" si="2"/>
        <v/>
      </c>
      <c r="J10" s="764"/>
      <c r="K10" s="766" t="s">
        <v>1049</v>
      </c>
      <c r="L10" s="769" t="s">
        <v>1084</v>
      </c>
      <c r="M10" s="761" t="str">
        <f>IF(
COUNTIFS(BD_PRINCIPAL[DOTACIÓN ACTUAL],D10,BD_PRINCIPAL[ESC.],"PNS O/S")+COUNTIFS(BD_PRINCIPAL[DOTACIÓN ACTUAL],"JEFE/"&amp;D10,BD_PRINCIPAL[ESC.],"PNS O/S")+COUNTIF(BD_PRINCIPAL[DOTACIÓN ACTUAL],0)
=0,
"",
COUNTIFS(BD_PRINCIPAL[DOTACIÓN ACTUAL],D10,BD_PRINCIPAL[ESC.],"PNS O/S")+COUNTIFS(BD_PRINCIPAL[DOTACIÓN ACTUAL],"JEFE/"&amp;D10,BD_PRINCIPAL[ESC.],"PNS O/S")+COUNTIF(BD_PRINCIPAL[DOTACIÓN ACTUAL],0)
)</f>
        <v/>
      </c>
      <c r="N10" s="761" t="str">
        <f>IF(
COUNTIFS(BD_PRINCIPAL[DOTACIÓN ACTUAL],D10,BD_PRINCIPAL[ESC.],"PNI O/S")+COUNTIFS(BD_PRINCIPAL[DOTACIÓN ACTUAL],"JEFE/"&amp;D10,BD_PRINCIPAL[ESC.],"PNI O/S")+COUNTIF(BD_PRINCIPAL[DOTACIÓN ACTUAL],VLOOKUP(D10,ENCUADRE_PTR,2,0))
=0,
"",
COUNTIFS(BD_PRINCIPAL[DOTACIÓN ACTUAL],D10,BD_PRINCIPAL[ESC.],"PNI O/S")+COUNTIFS(BD_PRINCIPAL[DOTACIÓN ACTUAL],"JEFE/"&amp;D10,BD_PRINCIPAL[ESC.],"PNI O/S")+COUNTIF(BD_PRINCIPAL[DOTACIÓN ACTUAL],VLOOKUP(D10,ENCUADRE_PTR,2,0))
)</f>
        <v/>
      </c>
      <c r="O10" s="761" t="str">
        <f t="shared" si="3"/>
        <v/>
      </c>
      <c r="P10" s="761" t="str">
        <f t="shared" si="4"/>
        <v/>
      </c>
      <c r="Q10" s="764"/>
    </row>
    <row r="11" spans="1:17" x14ac:dyDescent="0.3">
      <c r="A11" s="770">
        <f>'Panel de Trabajo'!E16</f>
        <v>0</v>
      </c>
      <c r="B11" s="62" t="str">
        <f>'Panel de Trabajo'!C16</f>
        <v>C40-A</v>
      </c>
      <c r="D11" s="761" t="str">
        <f t="shared" si="0"/>
        <v>-</v>
      </c>
      <c r="E11" s="761">
        <v>6</v>
      </c>
      <c r="F11" s="761" t="s">
        <v>2084</v>
      </c>
      <c r="G11" s="761" t="s">
        <v>2391</v>
      </c>
      <c r="H11" s="761" t="str">
        <f t="shared" si="1"/>
        <v/>
      </c>
      <c r="I11" s="763" t="str">
        <f t="shared" si="2"/>
        <v/>
      </c>
      <c r="J11" s="764"/>
      <c r="K11" s="767" t="s">
        <v>1050</v>
      </c>
      <c r="L11" s="769" t="s">
        <v>1084</v>
      </c>
      <c r="M11" s="761" t="str">
        <f>IF(
COUNTIFS(BD_PRINCIPAL[DOTACIÓN ACTUAL],D11,BD_PRINCIPAL[ESC.],"PNS O/S")+COUNTIFS(BD_PRINCIPAL[DOTACIÓN ACTUAL],"JEFE/"&amp;D11,BD_PRINCIPAL[ESC.],"PNS O/S")+COUNTIF(BD_PRINCIPAL[DOTACIÓN ACTUAL],0)
=0,
"",
COUNTIFS(BD_PRINCIPAL[DOTACIÓN ACTUAL],D11,BD_PRINCIPAL[ESC.],"PNS O/S")+COUNTIFS(BD_PRINCIPAL[DOTACIÓN ACTUAL],"JEFE/"&amp;D11,BD_PRINCIPAL[ESC.],"PNS O/S")+COUNTIF(BD_PRINCIPAL[DOTACIÓN ACTUAL],0)
)</f>
        <v/>
      </c>
      <c r="N11" s="761" t="str">
        <f>IF(
COUNTIFS(BD_PRINCIPAL[DOTACIÓN ACTUAL],D11,BD_PRINCIPAL[ESC.],"PNI O/S")+COUNTIFS(BD_PRINCIPAL[DOTACIÓN ACTUAL],"JEFE/"&amp;D11,BD_PRINCIPAL[ESC.],"PNI O/S")+COUNTIF(BD_PRINCIPAL[DOTACIÓN ACTUAL],VLOOKUP(D11,ENCUADRE_PTR,2,0))
=0,
"",
COUNTIFS(BD_PRINCIPAL[DOTACIÓN ACTUAL],D11,BD_PRINCIPAL[ESC.],"PNI O/S")+COUNTIFS(BD_PRINCIPAL[DOTACIÓN ACTUAL],"JEFE/"&amp;D11,BD_PRINCIPAL[ESC.],"PNI O/S")+COUNTIF(BD_PRINCIPAL[DOTACIÓN ACTUAL],VLOOKUP(D11,ENCUADRE_PTR,2,0))
)</f>
        <v/>
      </c>
      <c r="O11" s="761" t="str">
        <f t="shared" si="3"/>
        <v/>
      </c>
      <c r="P11" s="761" t="str">
        <f t="shared" si="4"/>
        <v/>
      </c>
      <c r="Q11" s="764"/>
    </row>
    <row r="12" spans="1:17" x14ac:dyDescent="0.3">
      <c r="A12" s="770" t="str">
        <f>'Panel de Trabajo'!E17</f>
        <v xml:space="preserve"> </v>
      </c>
      <c r="B12" s="62" t="str">
        <f>'Panel de Trabajo'!C17</f>
        <v>C40-B</v>
      </c>
      <c r="D12" s="761" t="str">
        <f t="shared" si="0"/>
        <v>GRIFO 14</v>
      </c>
      <c r="E12" s="761">
        <v>7</v>
      </c>
      <c r="F12" s="761" t="s">
        <v>2084</v>
      </c>
      <c r="G12" s="761" t="s">
        <v>2391</v>
      </c>
      <c r="H12" s="761" t="str">
        <f t="shared" si="1"/>
        <v>TENIENTE</v>
      </c>
      <c r="I12" s="763" t="str">
        <f t="shared" si="2"/>
        <v>ZULOAGA MUÑOZ SEBASTIAN ALEJANDRO</v>
      </c>
      <c r="J12" s="764"/>
      <c r="K12" s="766" t="s">
        <v>1051</v>
      </c>
      <c r="L12" s="769" t="s">
        <v>2392</v>
      </c>
      <c r="M12" s="761">
        <f>IF(
COUNTIFS(BD_PRINCIPAL[DOTACIÓN ACTUAL],D12,BD_PRINCIPAL[ESC.],"PNS O/S")+COUNTIFS(BD_PRINCIPAL[DOTACIÓN ACTUAL],"JEFE/"&amp;D12,BD_PRINCIPAL[ESC.],"PNS O/S")+COUNTIF(BD_PRINCIPAL[DOTACIÓN ACTUAL],0)
=0,
"",
COUNTIFS(BD_PRINCIPAL[DOTACIÓN ACTUAL],D12,BD_PRINCIPAL[ESC.],"PNS O/S")+COUNTIFS(BD_PRINCIPAL[DOTACIÓN ACTUAL],"JEFE/"&amp;D12,BD_PRINCIPAL[ESC.],"PNS O/S")+COUNTIF(BD_PRINCIPAL[DOTACIÓN ACTUAL],0)
)</f>
        <v>1</v>
      </c>
      <c r="N12" s="761">
        <f>IF(
COUNTIFS(BD_PRINCIPAL[DOTACIÓN ACTUAL],D12,BD_PRINCIPAL[ESC.],"PNI O/S")+COUNTIFS(BD_PRINCIPAL[DOTACIÓN ACTUAL],"JEFE/"&amp;D12,BD_PRINCIPAL[ESC.],"PNI O/S")+COUNTIF(BD_PRINCIPAL[DOTACIÓN ACTUAL],VLOOKUP(D12,ENCUADRE_PTR,2,0))
=0,
"",
COUNTIFS(BD_PRINCIPAL[DOTACIÓN ACTUAL],D12,BD_PRINCIPAL[ESC.],"PNI O/S")+COUNTIFS(BD_PRINCIPAL[DOTACIÓN ACTUAL],"JEFE/"&amp;D12,BD_PRINCIPAL[ESC.],"PNI O/S")+COUNTIF(BD_PRINCIPAL[DOTACIÓN ACTUAL],VLOOKUP(D12,ENCUADRE_PTR,2,0))
)</f>
        <v>2</v>
      </c>
      <c r="O12" s="761" t="str">
        <f t="shared" si="3"/>
        <v>20:00 A 08:00</v>
      </c>
      <c r="P12" s="761" t="str">
        <f t="shared" si="4"/>
        <v>ARIETE NOCTURNO</v>
      </c>
      <c r="Q12" s="764"/>
    </row>
    <row r="13" spans="1:17" x14ac:dyDescent="0.3">
      <c r="A13" s="770">
        <f>'Panel de Trabajo'!E18</f>
        <v>0</v>
      </c>
      <c r="B13" s="62" t="str">
        <f>'Panel de Trabajo'!C18</f>
        <v>C40-C</v>
      </c>
      <c r="D13" s="761" t="str">
        <f t="shared" si="0"/>
        <v>-</v>
      </c>
      <c r="E13" s="761">
        <v>8</v>
      </c>
      <c r="F13" s="761" t="s">
        <v>2084</v>
      </c>
      <c r="G13" s="761" t="s">
        <v>2391</v>
      </c>
      <c r="H13" s="761" t="str">
        <f t="shared" si="1"/>
        <v/>
      </c>
      <c r="I13" s="763" t="str">
        <f t="shared" si="2"/>
        <v/>
      </c>
      <c r="J13" s="764"/>
      <c r="K13" s="766" t="s">
        <v>1053</v>
      </c>
      <c r="L13" s="769" t="s">
        <v>2392</v>
      </c>
      <c r="M13" s="761" t="str">
        <f>IF(
COUNTIFS(BD_PRINCIPAL[DOTACIÓN ACTUAL],D13,BD_PRINCIPAL[ESC.],"PNS O/S")+COUNTIFS(BD_PRINCIPAL[DOTACIÓN ACTUAL],"JEFE/"&amp;D13,BD_PRINCIPAL[ESC.],"PNS O/S")+COUNTIF(BD_PRINCIPAL[DOTACIÓN ACTUAL],0)
=0,
"",
COUNTIFS(BD_PRINCIPAL[DOTACIÓN ACTUAL],D13,BD_PRINCIPAL[ESC.],"PNS O/S")+COUNTIFS(BD_PRINCIPAL[DOTACIÓN ACTUAL],"JEFE/"&amp;D13,BD_PRINCIPAL[ESC.],"PNS O/S")+COUNTIF(BD_PRINCIPAL[DOTACIÓN ACTUAL],0)
)</f>
        <v/>
      </c>
      <c r="N13" s="761" t="str">
        <f>IF(
COUNTIFS(BD_PRINCIPAL[DOTACIÓN ACTUAL],D13,BD_PRINCIPAL[ESC.],"PNI O/S")+COUNTIFS(BD_PRINCIPAL[DOTACIÓN ACTUAL],"JEFE/"&amp;D13,BD_PRINCIPAL[ESC.],"PNI O/S")+COUNTIF(BD_PRINCIPAL[DOTACIÓN ACTUAL],VLOOKUP(D13,ENCUADRE_PTR,2,0))
=0,
"",
COUNTIFS(BD_PRINCIPAL[DOTACIÓN ACTUAL],D13,BD_PRINCIPAL[ESC.],"PNI O/S")+COUNTIFS(BD_PRINCIPAL[DOTACIÓN ACTUAL],"JEFE/"&amp;D13,BD_PRINCIPAL[ESC.],"PNI O/S")+COUNTIF(BD_PRINCIPAL[DOTACIÓN ACTUAL],VLOOKUP(D13,ENCUADRE_PTR,2,0))
)</f>
        <v/>
      </c>
      <c r="O13" s="761" t="str">
        <f t="shared" si="3"/>
        <v/>
      </c>
      <c r="P13" s="761" t="str">
        <f t="shared" si="4"/>
        <v/>
      </c>
      <c r="Q13" s="764"/>
    </row>
    <row r="14" spans="1:17" x14ac:dyDescent="0.3">
      <c r="A14" s="770" t="str">
        <f>'Panel de Trabajo'!E19</f>
        <v>OFICIALES</v>
      </c>
      <c r="B14" s="62">
        <f>'Panel de Trabajo'!C19</f>
        <v>0</v>
      </c>
      <c r="D14" s="761" t="str">
        <f t="shared" si="0"/>
        <v>-</v>
      </c>
      <c r="E14" s="761">
        <v>9</v>
      </c>
      <c r="F14" s="761" t="s">
        <v>2084</v>
      </c>
      <c r="G14" s="761" t="s">
        <v>2391</v>
      </c>
      <c r="H14" s="761" t="str">
        <f t="shared" si="1"/>
        <v/>
      </c>
      <c r="I14" s="763" t="str">
        <f t="shared" si="2"/>
        <v/>
      </c>
      <c r="J14" s="764"/>
      <c r="K14" s="766" t="s">
        <v>1407</v>
      </c>
      <c r="L14" s="769" t="s">
        <v>2392</v>
      </c>
      <c r="M14" s="761" t="str">
        <f>IF(
COUNTIFS(BD_PRINCIPAL[DOTACIÓN ACTUAL],D14,BD_PRINCIPAL[ESC.],"PNS O/S")+COUNTIFS(BD_PRINCIPAL[DOTACIÓN ACTUAL],"JEFE/"&amp;D14,BD_PRINCIPAL[ESC.],"PNS O/S")+COUNTIF(BD_PRINCIPAL[DOTACIÓN ACTUAL],0)
=0,
"",
COUNTIFS(BD_PRINCIPAL[DOTACIÓN ACTUAL],D14,BD_PRINCIPAL[ESC.],"PNS O/S")+COUNTIFS(BD_PRINCIPAL[DOTACIÓN ACTUAL],"JEFE/"&amp;D14,BD_PRINCIPAL[ESC.],"PNS O/S")+COUNTIF(BD_PRINCIPAL[DOTACIÓN ACTUAL],0)
)</f>
        <v/>
      </c>
      <c r="N14" s="761" t="str">
        <f>IF(
COUNTIFS(BD_PRINCIPAL[DOTACIÓN ACTUAL],D14,BD_PRINCIPAL[ESC.],"PNI O/S")+COUNTIFS(BD_PRINCIPAL[DOTACIÓN ACTUAL],"JEFE/"&amp;D14,BD_PRINCIPAL[ESC.],"PNI O/S")+COUNTIF(BD_PRINCIPAL[DOTACIÓN ACTUAL],VLOOKUP(D14,ENCUADRE_PTR,2,0))
=0,
"",
COUNTIFS(BD_PRINCIPAL[DOTACIÓN ACTUAL],D14,BD_PRINCIPAL[ESC.],"PNI O/S")+COUNTIFS(BD_PRINCIPAL[DOTACIÓN ACTUAL],"JEFE/"&amp;D14,BD_PRINCIPAL[ESC.],"PNI O/S")+COUNTIF(BD_PRINCIPAL[DOTACIÓN ACTUAL],VLOOKUP(D14,ENCUADRE_PTR,2,0))
)</f>
        <v/>
      </c>
      <c r="O14" s="761" t="str">
        <f t="shared" si="3"/>
        <v/>
      </c>
      <c r="P14" s="761" t="str">
        <f t="shared" si="4"/>
        <v/>
      </c>
      <c r="Q14" s="764"/>
    </row>
    <row r="15" spans="1:17" x14ac:dyDescent="0.3">
      <c r="A15" s="770" t="str">
        <f>'Panel de Trabajo'!E20</f>
        <v>VEH.</v>
      </c>
      <c r="B15" s="62" t="str">
        <f>'Panel de Trabajo'!C20</f>
        <v>SIGLA</v>
      </c>
      <c r="D15" s="761" t="str">
        <f t="shared" si="0"/>
        <v>-</v>
      </c>
      <c r="E15" s="761">
        <v>10</v>
      </c>
      <c r="F15" s="761" t="s">
        <v>2084</v>
      </c>
      <c r="G15" s="761" t="s">
        <v>2391</v>
      </c>
      <c r="H15" s="761" t="str">
        <f t="shared" si="1"/>
        <v/>
      </c>
      <c r="I15" s="763" t="str">
        <f t="shared" si="2"/>
        <v/>
      </c>
      <c r="J15" s="765"/>
      <c r="K15" s="766" t="s">
        <v>892</v>
      </c>
      <c r="L15" s="769" t="s">
        <v>1084</v>
      </c>
      <c r="M15" s="761" t="str">
        <f>IF(
COUNTIFS(BD_PRINCIPAL[DOTACIÓN ACTUAL],D15,BD_PRINCIPAL[ESC.],"PNS O/S")+COUNTIFS(BD_PRINCIPAL[DOTACIÓN ACTUAL],"JEFE/"&amp;D15,BD_PRINCIPAL[ESC.],"PNS O/S")+COUNTIF(BD_PRINCIPAL[DOTACIÓN ACTUAL],0)
=0,
"",
COUNTIFS(BD_PRINCIPAL[DOTACIÓN ACTUAL],D15,BD_PRINCIPAL[ESC.],"PNS O/S")+COUNTIFS(BD_PRINCIPAL[DOTACIÓN ACTUAL],"JEFE/"&amp;D15,BD_PRINCIPAL[ESC.],"PNS O/S")+COUNTIF(BD_PRINCIPAL[DOTACIÓN ACTUAL],0)
)</f>
        <v/>
      </c>
      <c r="N15" s="761" t="str">
        <f>IF(
COUNTIFS(BD_PRINCIPAL[DOTACIÓN ACTUAL],D15,BD_PRINCIPAL[ESC.],"PNI O/S")+COUNTIFS(BD_PRINCIPAL[DOTACIÓN ACTUAL],"JEFE/"&amp;D15,BD_PRINCIPAL[ESC.],"PNI O/S")+COUNTIF(BD_PRINCIPAL[DOTACIÓN ACTUAL],VLOOKUP(D15,ENCUADRE_PTR,2,0))
=0,
"",
COUNTIFS(BD_PRINCIPAL[DOTACIÓN ACTUAL],D15,BD_PRINCIPAL[ESC.],"PNI O/S")+COUNTIFS(BD_PRINCIPAL[DOTACIÓN ACTUAL],"JEFE/"&amp;D15,BD_PRINCIPAL[ESC.],"PNI O/S")+COUNTIF(BD_PRINCIPAL[DOTACIÓN ACTUAL],VLOOKUP(D15,ENCUADRE_PTR,2,0))
)</f>
        <v/>
      </c>
      <c r="O15" s="761" t="str">
        <f t="shared" si="3"/>
        <v/>
      </c>
      <c r="P15" s="761" t="str">
        <f t="shared" si="4"/>
        <v/>
      </c>
      <c r="Q15" s="764"/>
    </row>
    <row r="16" spans="1:17" x14ac:dyDescent="0.3">
      <c r="A16" s="770" t="str">
        <f>'Panel de Trabajo'!E21</f>
        <v>B-646</v>
      </c>
      <c r="B16" s="62" t="str">
        <f>'Panel de Trabajo'!C21</f>
        <v>GRIFO 11</v>
      </c>
      <c r="D16" s="761" t="str">
        <f t="shared" si="0"/>
        <v>C40</v>
      </c>
      <c r="E16" s="761">
        <v>11</v>
      </c>
      <c r="F16" s="761" t="s">
        <v>2084</v>
      </c>
      <c r="G16" s="761" t="s">
        <v>2391</v>
      </c>
      <c r="H16" s="761" t="str">
        <f t="shared" si="1"/>
        <v>MAYOR</v>
      </c>
      <c r="I16" s="763" t="str">
        <f t="shared" si="2"/>
        <v>NAZAR OSSA JOAQUIN PAULO</v>
      </c>
      <c r="J16" s="764"/>
      <c r="K16" s="766" t="s">
        <v>1054</v>
      </c>
      <c r="L16" s="769" t="s">
        <v>1084</v>
      </c>
      <c r="M16" s="761">
        <f>IF(
COUNTIFS(BD_PRINCIPAL[DOTACIÓN ACTUAL],D16,BD_PRINCIPAL[ESC.],"PNS O/S")+COUNTIFS(BD_PRINCIPAL[DOTACIÓN ACTUAL],"JEFE/"&amp;D16,BD_PRINCIPAL[ESC.],"PNS O/S")+COUNTIF(BD_PRINCIPAL[DOTACIÓN ACTUAL],0)
=0,
"",
COUNTIFS(BD_PRINCIPAL[DOTACIÓN ACTUAL],D16,BD_PRINCIPAL[ESC.],"PNS O/S")+COUNTIFS(BD_PRINCIPAL[DOTACIÓN ACTUAL],"JEFE/"&amp;D16,BD_PRINCIPAL[ESC.],"PNS O/S")+COUNTIF(BD_PRINCIPAL[DOTACIÓN ACTUAL],0)
)</f>
        <v>1</v>
      </c>
      <c r="N16" s="761">
        <f>IF(
COUNTIFS(BD_PRINCIPAL[DOTACIÓN ACTUAL],D16,BD_PRINCIPAL[ESC.],"PNI O/S")+COUNTIFS(BD_PRINCIPAL[DOTACIÓN ACTUAL],"JEFE/"&amp;D16,BD_PRINCIPAL[ESC.],"PNI O/S")+COUNTIF(BD_PRINCIPAL[DOTACIÓN ACTUAL],VLOOKUP(D16,ENCUADRE_PTR,2,0))
=0,
"",
COUNTIFS(BD_PRINCIPAL[DOTACIÓN ACTUAL],D16,BD_PRINCIPAL[ESC.],"PNI O/S")+COUNTIFS(BD_PRINCIPAL[DOTACIÓN ACTUAL],"JEFE/"&amp;D16,BD_PRINCIPAL[ESC.],"PNI O/S")+COUNTIF(BD_PRINCIPAL[DOTACIÓN ACTUAL],VLOOKUP(D16,ENCUADRE_PTR,2,0))
)</f>
        <v>3</v>
      </c>
      <c r="O16" s="761" t="str">
        <f t="shared" si="3"/>
        <v>08:00 A NORM.</v>
      </c>
      <c r="P16" s="761" t="str">
        <f t="shared" si="4"/>
        <v>COMISARIO</v>
      </c>
      <c r="Q16" s="764"/>
    </row>
    <row r="17" spans="1:17" x14ac:dyDescent="0.3">
      <c r="A17" s="770" t="str">
        <f>'Panel de Trabajo'!E22</f>
        <v xml:space="preserve"> </v>
      </c>
      <c r="B17" s="62" t="str">
        <f>'Panel de Trabajo'!C22</f>
        <v>GRIFO 12</v>
      </c>
      <c r="D17" s="761" t="str">
        <f t="shared" si="0"/>
        <v>GRIFO 13</v>
      </c>
      <c r="E17" s="761">
        <v>12</v>
      </c>
      <c r="F17" s="761" t="s">
        <v>2084</v>
      </c>
      <c r="G17" s="761" t="s">
        <v>2391</v>
      </c>
      <c r="H17" s="761" t="str">
        <f t="shared" si="1"/>
        <v>TENIENTE</v>
      </c>
      <c r="I17" s="763" t="str">
        <f t="shared" si="2"/>
        <v>NAVARRO VELASQUEZ RODOLFO</v>
      </c>
      <c r="J17" s="764"/>
      <c r="K17" s="766" t="s">
        <v>1055</v>
      </c>
      <c r="L17" s="769" t="s">
        <v>1084</v>
      </c>
      <c r="M17" s="761">
        <f>IF(
COUNTIFS(BD_PRINCIPAL[DOTACIÓN ACTUAL],D17,BD_PRINCIPAL[ESC.],"PNS O/S")+COUNTIFS(BD_PRINCIPAL[DOTACIÓN ACTUAL],"JEFE/"&amp;D17,BD_PRINCIPAL[ESC.],"PNS O/S")+COUNTIF(BD_PRINCIPAL[DOTACIÓN ACTUAL],0)
=0,
"",
COUNTIFS(BD_PRINCIPAL[DOTACIÓN ACTUAL],D17,BD_PRINCIPAL[ESC.],"PNS O/S")+COUNTIFS(BD_PRINCIPAL[DOTACIÓN ACTUAL],"JEFE/"&amp;D17,BD_PRINCIPAL[ESC.],"PNS O/S")+COUNTIF(BD_PRINCIPAL[DOTACIÓN ACTUAL],0)
)</f>
        <v>1</v>
      </c>
      <c r="N17" s="761">
        <f>IF(
COUNTIFS(BD_PRINCIPAL[DOTACIÓN ACTUAL],D17,BD_PRINCIPAL[ESC.],"PNI O/S")+COUNTIFS(BD_PRINCIPAL[DOTACIÓN ACTUAL],"JEFE/"&amp;D17,BD_PRINCIPAL[ESC.],"PNI O/S")+COUNTIF(BD_PRINCIPAL[DOTACIÓN ACTUAL],VLOOKUP(D17,ENCUADRE_PTR,2,0))
=0,
"",
COUNTIFS(BD_PRINCIPAL[DOTACIÓN ACTUAL],D17,BD_PRINCIPAL[ESC.],"PNI O/S")+COUNTIFS(BD_PRINCIPAL[DOTACIÓN ACTUAL],"JEFE/"&amp;D17,BD_PRINCIPAL[ESC.],"PNI O/S")+COUNTIF(BD_PRINCIPAL[DOTACIÓN ACTUAL],VLOOKUP(D17,ENCUADRE_PTR,2,0))
)</f>
        <v>2</v>
      </c>
      <c r="O17" s="761" t="str">
        <f t="shared" si="3"/>
        <v>08:00 A 20:00</v>
      </c>
      <c r="P17" s="761" t="str">
        <f t="shared" si="4"/>
        <v>BAQUEDANO</v>
      </c>
      <c r="Q17" s="764"/>
    </row>
    <row r="18" spans="1:17" x14ac:dyDescent="0.3">
      <c r="A18" s="770" t="str">
        <f>'Panel de Trabajo'!E23</f>
        <v>J-1228</v>
      </c>
      <c r="B18" s="62" t="str">
        <f>'Panel de Trabajo'!C23</f>
        <v>GRIFO 13</v>
      </c>
      <c r="D18" s="761" t="str">
        <f t="shared" si="0"/>
        <v>-</v>
      </c>
      <c r="E18" s="761">
        <v>13</v>
      </c>
      <c r="F18" s="761" t="s">
        <v>2084</v>
      </c>
      <c r="G18" s="761" t="s">
        <v>2391</v>
      </c>
      <c r="H18" s="761" t="str">
        <f t="shared" si="1"/>
        <v/>
      </c>
      <c r="I18" s="763" t="str">
        <f t="shared" si="2"/>
        <v/>
      </c>
      <c r="J18" s="764"/>
      <c r="K18" s="766" t="s">
        <v>1056</v>
      </c>
      <c r="L18" s="769" t="s">
        <v>1084</v>
      </c>
      <c r="M18" s="761" t="str">
        <f>IF(
COUNTIFS(BD_PRINCIPAL[DOTACIÓN ACTUAL],D18,BD_PRINCIPAL[ESC.],"PNS O/S")+COUNTIFS(BD_PRINCIPAL[DOTACIÓN ACTUAL],"JEFE/"&amp;D18,BD_PRINCIPAL[ESC.],"PNS O/S")+COUNTIF(BD_PRINCIPAL[DOTACIÓN ACTUAL],0)
=0,
"",
COUNTIFS(BD_PRINCIPAL[DOTACIÓN ACTUAL],D18,BD_PRINCIPAL[ESC.],"PNS O/S")+COUNTIFS(BD_PRINCIPAL[DOTACIÓN ACTUAL],"JEFE/"&amp;D18,BD_PRINCIPAL[ESC.],"PNS O/S")+COUNTIF(BD_PRINCIPAL[DOTACIÓN ACTUAL],0)
)</f>
        <v/>
      </c>
      <c r="N18" s="761" t="str">
        <f>IF(
COUNTIFS(BD_PRINCIPAL[DOTACIÓN ACTUAL],D18,BD_PRINCIPAL[ESC.],"PNI O/S")+COUNTIFS(BD_PRINCIPAL[DOTACIÓN ACTUAL],"JEFE/"&amp;D18,BD_PRINCIPAL[ESC.],"PNI O/S")+COUNTIF(BD_PRINCIPAL[DOTACIÓN ACTUAL],VLOOKUP(D18,ENCUADRE_PTR,2,0))
=0,
"",
COUNTIFS(BD_PRINCIPAL[DOTACIÓN ACTUAL],D18,BD_PRINCIPAL[ESC.],"PNI O/S")+COUNTIFS(BD_PRINCIPAL[DOTACIÓN ACTUAL],"JEFE/"&amp;D18,BD_PRINCIPAL[ESC.],"PNI O/S")+COUNTIF(BD_PRINCIPAL[DOTACIÓN ACTUAL],VLOOKUP(D18,ENCUADRE_PTR,2,0))
)</f>
        <v/>
      </c>
      <c r="O18" s="761" t="str">
        <f t="shared" si="3"/>
        <v/>
      </c>
      <c r="P18" s="761" t="str">
        <f t="shared" si="4"/>
        <v/>
      </c>
      <c r="Q18" s="764"/>
    </row>
    <row r="19" spans="1:17" x14ac:dyDescent="0.3">
      <c r="A19" s="770" t="str">
        <f>'Panel de Trabajo'!E24</f>
        <v>J-032</v>
      </c>
      <c r="B19" s="62" t="str">
        <f>'Panel de Trabajo'!C24</f>
        <v>GRIFO 14</v>
      </c>
      <c r="D19" s="761" t="str">
        <f t="shared" si="0"/>
        <v>G4-E</v>
      </c>
      <c r="E19" s="761">
        <v>14</v>
      </c>
      <c r="F19" s="761" t="s">
        <v>2084</v>
      </c>
      <c r="G19" s="761" t="s">
        <v>2391</v>
      </c>
      <c r="H19" s="761" t="str">
        <f t="shared" si="1"/>
        <v>TTE. CRL.</v>
      </c>
      <c r="I19" s="763" t="str">
        <f t="shared" si="2"/>
        <v>FEBRE SANTIS FRANCISCO JAVIER</v>
      </c>
      <c r="J19" s="764"/>
      <c r="K19" s="766" t="s">
        <v>893</v>
      </c>
      <c r="L19" s="769" t="s">
        <v>1084</v>
      </c>
      <c r="M19" s="761">
        <f>IF(
COUNTIFS(BD_PRINCIPAL[DOTACIÓN ACTUAL],D19,BD_PRINCIPAL[ESC.],"PNS O/S")+COUNTIFS(BD_PRINCIPAL[DOTACIÓN ACTUAL],"JEFE/"&amp;D19,BD_PRINCIPAL[ESC.],"PNS O/S")+COUNTIF(BD_PRINCIPAL[DOTACIÓN ACTUAL],0)
=0,
"",
COUNTIFS(BD_PRINCIPAL[DOTACIÓN ACTUAL],D19,BD_PRINCIPAL[ESC.],"PNS O/S")+COUNTIFS(BD_PRINCIPAL[DOTACIÓN ACTUAL],"JEFE/"&amp;D19,BD_PRINCIPAL[ESC.],"PNS O/S")+COUNTIF(BD_PRINCIPAL[DOTACIÓN ACTUAL],0)
)</f>
        <v>1</v>
      </c>
      <c r="N19" s="761">
        <f>IF(
COUNTIFS(BD_PRINCIPAL[DOTACIÓN ACTUAL],D19,BD_PRINCIPAL[ESC.],"PNI O/S")+COUNTIFS(BD_PRINCIPAL[DOTACIÓN ACTUAL],"JEFE/"&amp;D19,BD_PRINCIPAL[ESC.],"PNI O/S")+COUNTIF(BD_PRINCIPAL[DOTACIÓN ACTUAL],VLOOKUP(D19,ENCUADRE_PTR,2,0))
=0,
"",
COUNTIFS(BD_PRINCIPAL[DOTACIÓN ACTUAL],D19,BD_PRINCIPAL[ESC.],"PNI O/S")+COUNTIFS(BD_PRINCIPAL[DOTACIÓN ACTUAL],"JEFE/"&amp;D19,BD_PRINCIPAL[ESC.],"PNI O/S")+COUNTIF(BD_PRINCIPAL[DOTACIÓN ACTUAL],VLOOKUP(D19,ENCUADRE_PTR,2,0))
)</f>
        <v>2</v>
      </c>
      <c r="O19" s="761" t="str">
        <f t="shared" si="3"/>
        <v>08:00 A NORM.</v>
      </c>
      <c r="P19" s="761" t="str">
        <f t="shared" si="4"/>
        <v>SUBPREF. ADM.</v>
      </c>
      <c r="Q19" s="764"/>
    </row>
    <row r="20" spans="1:17" x14ac:dyDescent="0.3">
      <c r="A20" s="770" t="str">
        <f>'Panel de Trabajo'!E32</f>
        <v>J-010</v>
      </c>
      <c r="B20" s="62" t="str">
        <f>'Panel de Trabajo'!C25</f>
        <v>GRIFO 15</v>
      </c>
      <c r="D20" s="761" t="str">
        <f t="shared" si="0"/>
        <v>-</v>
      </c>
      <c r="E20" s="761">
        <v>15</v>
      </c>
      <c r="F20" s="761" t="s">
        <v>2084</v>
      </c>
      <c r="G20" s="761" t="s">
        <v>2391</v>
      </c>
      <c r="H20" s="761" t="str">
        <f t="shared" si="1"/>
        <v/>
      </c>
      <c r="I20" s="763" t="str">
        <f t="shared" si="2"/>
        <v/>
      </c>
      <c r="J20" s="764"/>
      <c r="K20" s="766" t="s">
        <v>1057</v>
      </c>
      <c r="L20" s="769" t="s">
        <v>1084</v>
      </c>
      <c r="M20" s="761" t="str">
        <f>IF(
COUNTIFS(BD_PRINCIPAL[DOTACIÓN ACTUAL],D20,BD_PRINCIPAL[ESC.],"PNS O/S")+COUNTIFS(BD_PRINCIPAL[DOTACIÓN ACTUAL],"JEFE/"&amp;D20,BD_PRINCIPAL[ESC.],"PNS O/S")+COUNTIF(BD_PRINCIPAL[DOTACIÓN ACTUAL],0)
=0,
"",
COUNTIFS(BD_PRINCIPAL[DOTACIÓN ACTUAL],D20,BD_PRINCIPAL[ESC.],"PNS O/S")+COUNTIFS(BD_PRINCIPAL[DOTACIÓN ACTUAL],"JEFE/"&amp;D20,BD_PRINCIPAL[ESC.],"PNS O/S")+COUNTIF(BD_PRINCIPAL[DOTACIÓN ACTUAL],0)
)</f>
        <v/>
      </c>
      <c r="N20" s="761" t="str">
        <f>IF(
COUNTIFS(BD_PRINCIPAL[DOTACIÓN ACTUAL],D20,BD_PRINCIPAL[ESC.],"PNI O/S")+COUNTIFS(BD_PRINCIPAL[DOTACIÓN ACTUAL],"JEFE/"&amp;D20,BD_PRINCIPAL[ESC.],"PNI O/S")+COUNTIF(BD_PRINCIPAL[DOTACIÓN ACTUAL],VLOOKUP(D20,ENCUADRE_PTR,2,0))
=0,
"",
COUNTIFS(BD_PRINCIPAL[DOTACIÓN ACTUAL],D20,BD_PRINCIPAL[ESC.],"PNI O/S")+COUNTIFS(BD_PRINCIPAL[DOTACIÓN ACTUAL],"JEFE/"&amp;D20,BD_PRINCIPAL[ESC.],"PNI O/S")+COUNTIF(BD_PRINCIPAL[DOTACIÓN ACTUAL],VLOOKUP(D20,ENCUADRE_PTR,2,0))
)</f>
        <v/>
      </c>
      <c r="O20" s="761" t="str">
        <f t="shared" si="3"/>
        <v/>
      </c>
      <c r="P20" s="761" t="str">
        <f t="shared" si="4"/>
        <v/>
      </c>
      <c r="Q20" s="764"/>
    </row>
    <row r="21" spans="1:17" x14ac:dyDescent="0.3">
      <c r="A21" s="770">
        <f>'Panel de Trabajo'!E26</f>
        <v>0</v>
      </c>
      <c r="B21" s="62" t="str">
        <f>'Panel de Trabajo'!C26</f>
        <v>GRIFO 16</v>
      </c>
      <c r="D21" s="761" t="str">
        <f t="shared" si="0"/>
        <v>-</v>
      </c>
      <c r="E21" s="761">
        <v>16</v>
      </c>
      <c r="F21" s="761" t="s">
        <v>2084</v>
      </c>
      <c r="G21" s="761" t="s">
        <v>2391</v>
      </c>
      <c r="H21" s="761" t="str">
        <f t="shared" si="1"/>
        <v/>
      </c>
      <c r="I21" s="763" t="str">
        <f t="shared" si="2"/>
        <v/>
      </c>
      <c r="J21" s="764"/>
      <c r="K21" s="766" t="s">
        <v>1058</v>
      </c>
      <c r="L21" s="769" t="s">
        <v>1084</v>
      </c>
      <c r="M21" s="761" t="str">
        <f>IF(
COUNTIFS(BD_PRINCIPAL[DOTACIÓN ACTUAL],D21,BD_PRINCIPAL[ESC.],"PNS O/S")+COUNTIFS(BD_PRINCIPAL[DOTACIÓN ACTUAL],"JEFE/"&amp;D21,BD_PRINCIPAL[ESC.],"PNS O/S")+COUNTIF(BD_PRINCIPAL[DOTACIÓN ACTUAL],0)
=0,
"",
COUNTIFS(BD_PRINCIPAL[DOTACIÓN ACTUAL],D21,BD_PRINCIPAL[ESC.],"PNS O/S")+COUNTIFS(BD_PRINCIPAL[DOTACIÓN ACTUAL],"JEFE/"&amp;D21,BD_PRINCIPAL[ESC.],"PNS O/S")+COUNTIF(BD_PRINCIPAL[DOTACIÓN ACTUAL],0)
)</f>
        <v/>
      </c>
      <c r="N21" s="761" t="str">
        <f>IF(
COUNTIFS(BD_PRINCIPAL[DOTACIÓN ACTUAL],D21,BD_PRINCIPAL[ESC.],"PNI O/S")+COUNTIFS(BD_PRINCIPAL[DOTACIÓN ACTUAL],"JEFE/"&amp;D21,BD_PRINCIPAL[ESC.],"PNI O/S")+COUNTIF(BD_PRINCIPAL[DOTACIÓN ACTUAL],VLOOKUP(D21,ENCUADRE_PTR,2,0))
=0,
"",
COUNTIFS(BD_PRINCIPAL[DOTACIÓN ACTUAL],D21,BD_PRINCIPAL[ESC.],"PNI O/S")+COUNTIFS(BD_PRINCIPAL[DOTACIÓN ACTUAL],"JEFE/"&amp;D21,BD_PRINCIPAL[ESC.],"PNI O/S")+COUNTIF(BD_PRINCIPAL[DOTACIÓN ACTUAL],VLOOKUP(D21,ENCUADRE_PTR,2,0))
)</f>
        <v/>
      </c>
      <c r="O21" s="761" t="str">
        <f t="shared" si="3"/>
        <v/>
      </c>
      <c r="P21" s="761" t="str">
        <f t="shared" si="4"/>
        <v/>
      </c>
      <c r="Q21" s="764"/>
    </row>
    <row r="22" spans="1:17" x14ac:dyDescent="0.3">
      <c r="A22" s="770">
        <f>'Panel de Trabajo'!E27</f>
        <v>0</v>
      </c>
      <c r="B22" s="62" t="str">
        <f>'Panel de Trabajo'!C27</f>
        <v>GRIFO 17</v>
      </c>
      <c r="D22" s="761" t="str">
        <f t="shared" si="0"/>
        <v>PTL-23</v>
      </c>
      <c r="E22" s="761">
        <v>17</v>
      </c>
      <c r="F22" s="761" t="s">
        <v>2084</v>
      </c>
      <c r="G22" s="761" t="s">
        <v>2391</v>
      </c>
      <c r="H22" s="761" t="str">
        <f t="shared" si="1"/>
        <v>SGTO 2DO.</v>
      </c>
      <c r="I22" s="763" t="str">
        <f t="shared" si="2"/>
        <v>CASTILLO SANTOS GERMAN ANDRES ALEXIS</v>
      </c>
      <c r="J22" s="764"/>
      <c r="K22" s="766" t="s">
        <v>1059</v>
      </c>
      <c r="L22" s="769" t="s">
        <v>1084</v>
      </c>
      <c r="M22" s="761" t="str">
        <f>IF(
COUNTIFS(BD_PRINCIPAL[DOTACIÓN ACTUAL],D22,BD_PRINCIPAL[ESC.],"PNS O/S")+COUNTIFS(BD_PRINCIPAL[DOTACIÓN ACTUAL],"JEFE/"&amp;D22,BD_PRINCIPAL[ESC.],"PNS O/S")+COUNTIF(BD_PRINCIPAL[DOTACIÓN ACTUAL],0)
=0,
"",
COUNTIFS(BD_PRINCIPAL[DOTACIÓN ACTUAL],D22,BD_PRINCIPAL[ESC.],"PNS O/S")+COUNTIFS(BD_PRINCIPAL[DOTACIÓN ACTUAL],"JEFE/"&amp;D22,BD_PRINCIPAL[ESC.],"PNS O/S")+COUNTIF(BD_PRINCIPAL[DOTACIÓN ACTUAL],0)
)</f>
        <v/>
      </c>
      <c r="N22" s="761">
        <f>IF(
COUNTIFS(BD_PRINCIPAL[DOTACIÓN ACTUAL],D22,BD_PRINCIPAL[ESC.],"PNI O/S")+COUNTIFS(BD_PRINCIPAL[DOTACIÓN ACTUAL],"JEFE/"&amp;D22,BD_PRINCIPAL[ESC.],"PNI O/S")+COUNTIF(BD_PRINCIPAL[DOTACIÓN ACTUAL],VLOOKUP(D22,ENCUADRE_PTR,2,0))
=0,
"",
COUNTIFS(BD_PRINCIPAL[DOTACIÓN ACTUAL],D22,BD_PRINCIPAL[ESC.],"PNI O/S")+COUNTIFS(BD_PRINCIPAL[DOTACIÓN ACTUAL],"JEFE/"&amp;D22,BD_PRINCIPAL[ESC.],"PNI O/S")+COUNTIF(BD_PRINCIPAL[DOTACIÓN ACTUAL],VLOOKUP(D22,ENCUADRE_PTR,2,0))
)</f>
        <v>5</v>
      </c>
      <c r="O22" s="761" t="str">
        <f t="shared" si="3"/>
        <v>08:00 A NORM.</v>
      </c>
      <c r="P22" s="761" t="str">
        <f t="shared" si="4"/>
        <v>ARIETE 23</v>
      </c>
      <c r="Q22" s="764"/>
    </row>
    <row r="23" spans="1:17" x14ac:dyDescent="0.3">
      <c r="A23" s="770" t="str">
        <f>'Panel de Trabajo'!E28</f>
        <v xml:space="preserve"> </v>
      </c>
      <c r="B23" s="62" t="str">
        <f>'Panel de Trabajo'!C28</f>
        <v>GRIFO 18</v>
      </c>
      <c r="D23" s="761" t="str">
        <f t="shared" si="0"/>
        <v>-</v>
      </c>
      <c r="E23" s="761">
        <v>18</v>
      </c>
      <c r="F23" s="761" t="s">
        <v>2084</v>
      </c>
      <c r="G23" s="761" t="s">
        <v>2391</v>
      </c>
      <c r="H23" s="761" t="str">
        <f t="shared" si="1"/>
        <v/>
      </c>
      <c r="I23" s="763" t="str">
        <f t="shared" si="2"/>
        <v/>
      </c>
      <c r="J23" s="764"/>
      <c r="K23" s="767" t="s">
        <v>903</v>
      </c>
      <c r="L23" s="769" t="s">
        <v>2392</v>
      </c>
      <c r="M23" s="761" t="str">
        <f>IF(
COUNTIFS(BD_PRINCIPAL[DOTACIÓN ACTUAL],D23,BD_PRINCIPAL[ESC.],"PNS O/S")+COUNTIFS(BD_PRINCIPAL[DOTACIÓN ACTUAL],"JEFE/"&amp;D23,BD_PRINCIPAL[ESC.],"PNS O/S")+COUNTIF(BD_PRINCIPAL[DOTACIÓN ACTUAL],0)
=0,
"",
COUNTIFS(BD_PRINCIPAL[DOTACIÓN ACTUAL],D23,BD_PRINCIPAL[ESC.],"PNS O/S")+COUNTIFS(BD_PRINCIPAL[DOTACIÓN ACTUAL],"JEFE/"&amp;D23,BD_PRINCIPAL[ESC.],"PNS O/S")+COUNTIF(BD_PRINCIPAL[DOTACIÓN ACTUAL],0)
)</f>
        <v/>
      </c>
      <c r="N23" s="761" t="str">
        <f>IF(
COUNTIFS(BD_PRINCIPAL[DOTACIÓN ACTUAL],D23,BD_PRINCIPAL[ESC.],"PNI O/S")+COUNTIFS(BD_PRINCIPAL[DOTACIÓN ACTUAL],"JEFE/"&amp;D23,BD_PRINCIPAL[ESC.],"PNI O/S")+COUNTIF(BD_PRINCIPAL[DOTACIÓN ACTUAL],VLOOKUP(D23,ENCUADRE_PTR,2,0))
=0,
"",
COUNTIFS(BD_PRINCIPAL[DOTACIÓN ACTUAL],D23,BD_PRINCIPAL[ESC.],"PNI O/S")+COUNTIFS(BD_PRINCIPAL[DOTACIÓN ACTUAL],"JEFE/"&amp;D23,BD_PRINCIPAL[ESC.],"PNI O/S")+COUNTIF(BD_PRINCIPAL[DOTACIÓN ACTUAL],VLOOKUP(D23,ENCUADRE_PTR,2,0))
)</f>
        <v/>
      </c>
      <c r="O23" s="761" t="str">
        <f t="shared" si="3"/>
        <v/>
      </c>
      <c r="P23" s="761" t="str">
        <f t="shared" si="4"/>
        <v/>
      </c>
      <c r="Q23" s="764"/>
    </row>
    <row r="24" spans="1:17" x14ac:dyDescent="0.3">
      <c r="A24" s="770">
        <f>'Panel de Trabajo'!E29</f>
        <v>0</v>
      </c>
      <c r="B24" s="62" t="str">
        <f>'Panel de Trabajo'!C29</f>
        <v>GRIFO 19</v>
      </c>
      <c r="D24" s="761" t="str">
        <f t="shared" si="0"/>
        <v>PTL-13</v>
      </c>
      <c r="E24" s="761">
        <v>19</v>
      </c>
      <c r="F24" s="761" t="s">
        <v>2084</v>
      </c>
      <c r="G24" s="761" t="s">
        <v>2391</v>
      </c>
      <c r="H24" s="761" t="str">
        <f t="shared" si="1"/>
        <v>CABO 1RO.</v>
      </c>
      <c r="I24" s="763" t="str">
        <f t="shared" si="2"/>
        <v>CARES CONTRERAS LUIS ALBERTO           (L - P - T)</v>
      </c>
      <c r="J24" s="764"/>
      <c r="K24" s="767" t="s">
        <v>904</v>
      </c>
      <c r="L24" s="769" t="s">
        <v>2393</v>
      </c>
      <c r="M24" s="761" t="str">
        <f>IF(
COUNTIFS(BD_PRINCIPAL[DOTACIÓN ACTUAL],D24,BD_PRINCIPAL[ESC.],"PNS O/S")+COUNTIFS(BD_PRINCIPAL[DOTACIÓN ACTUAL],"JEFE/"&amp;D24,BD_PRINCIPAL[ESC.],"PNS O/S")+COUNTIF(BD_PRINCIPAL[DOTACIÓN ACTUAL],0)
=0,
"",
COUNTIFS(BD_PRINCIPAL[DOTACIÓN ACTUAL],D24,BD_PRINCIPAL[ESC.],"PNS O/S")+COUNTIFS(BD_PRINCIPAL[DOTACIÓN ACTUAL],"JEFE/"&amp;D24,BD_PRINCIPAL[ESC.],"PNS O/S")+COUNTIF(BD_PRINCIPAL[DOTACIÓN ACTUAL],0)
)</f>
        <v/>
      </c>
      <c r="N24" s="761">
        <f>IF(
COUNTIFS(BD_PRINCIPAL[DOTACIÓN ACTUAL],D24,BD_PRINCIPAL[ESC.],"PNI O/S")+COUNTIFS(BD_PRINCIPAL[DOTACIÓN ACTUAL],"JEFE/"&amp;D24,BD_PRINCIPAL[ESC.],"PNI O/S")+COUNTIF(BD_PRINCIPAL[DOTACIÓN ACTUAL],VLOOKUP(D24,ENCUADRE_PTR,2,0))
=0,
"",
COUNTIFS(BD_PRINCIPAL[DOTACIÓN ACTUAL],D24,BD_PRINCIPAL[ESC.],"PNI O/S")+COUNTIFS(BD_PRINCIPAL[DOTACIÓN ACTUAL],"JEFE/"&amp;D24,BD_PRINCIPAL[ESC.],"PNI O/S")+COUNTIF(BD_PRINCIPAL[DOTACIÓN ACTUAL],VLOOKUP(D24,ENCUADRE_PTR,2,0))
)</f>
        <v>2</v>
      </c>
      <c r="O24" s="761" t="str">
        <f t="shared" si="3"/>
        <v>08:00 A 20:00</v>
      </c>
      <c r="P24" s="761" t="str">
        <f t="shared" si="4"/>
        <v>BAQUEDANO</v>
      </c>
      <c r="Q24" s="764"/>
    </row>
    <row r="25" spans="1:17" x14ac:dyDescent="0.3">
      <c r="A25" s="770" t="str">
        <f>'Panel de Trabajo'!E30</f>
        <v>B-687</v>
      </c>
      <c r="B25" s="62" t="str">
        <f>'Panel de Trabajo'!C30</f>
        <v>GRIFO 20</v>
      </c>
      <c r="D25" s="761" t="str">
        <f t="shared" si="0"/>
        <v>PTL-16</v>
      </c>
      <c r="E25" s="761">
        <v>20</v>
      </c>
      <c r="F25" s="761" t="s">
        <v>2084</v>
      </c>
      <c r="G25" s="761" t="s">
        <v>2391</v>
      </c>
      <c r="H25" s="761" t="str">
        <f t="shared" si="1"/>
        <v>SGTO 2DO.</v>
      </c>
      <c r="I25" s="763" t="str">
        <f t="shared" si="2"/>
        <v>SANDOVAL CARO FELIPE ISAAC</v>
      </c>
      <c r="J25" s="764"/>
      <c r="K25" s="767" t="s">
        <v>905</v>
      </c>
      <c r="L25" s="769" t="s">
        <v>1084</v>
      </c>
      <c r="M25" s="761" t="str">
        <f>IF(
COUNTIFS(BD_PRINCIPAL[DOTACIÓN ACTUAL],D25,BD_PRINCIPAL[ESC.],"PNS O/S")+COUNTIFS(BD_PRINCIPAL[DOTACIÓN ACTUAL],"JEFE/"&amp;D25,BD_PRINCIPAL[ESC.],"PNS O/S")+COUNTIF(BD_PRINCIPAL[DOTACIÓN ACTUAL],0)
=0,
"",
COUNTIFS(BD_PRINCIPAL[DOTACIÓN ACTUAL],D25,BD_PRINCIPAL[ESC.],"PNS O/S")+COUNTIFS(BD_PRINCIPAL[DOTACIÓN ACTUAL],"JEFE/"&amp;D25,BD_PRINCIPAL[ESC.],"PNS O/S")+COUNTIF(BD_PRINCIPAL[DOTACIÓN ACTUAL],0)
)</f>
        <v/>
      </c>
      <c r="N25" s="761">
        <f>IF(
COUNTIFS(BD_PRINCIPAL[DOTACIÓN ACTUAL],D25,BD_PRINCIPAL[ESC.],"PNI O/S")+COUNTIFS(BD_PRINCIPAL[DOTACIÓN ACTUAL],"JEFE/"&amp;D25,BD_PRINCIPAL[ESC.],"PNI O/S")+COUNTIF(BD_PRINCIPAL[DOTACIÓN ACTUAL],VLOOKUP(D25,ENCUADRE_PTR,2,0))
=0,
"",
COUNTIFS(BD_PRINCIPAL[DOTACIÓN ACTUAL],D25,BD_PRINCIPAL[ESC.],"PNI O/S")+COUNTIFS(BD_PRINCIPAL[DOTACIÓN ACTUAL],"JEFE/"&amp;D25,BD_PRINCIPAL[ESC.],"PNI O/S")+COUNTIF(BD_PRINCIPAL[DOTACIÓN ACTUAL],VLOOKUP(D25,ENCUADRE_PTR,2,0))
)</f>
        <v>2</v>
      </c>
      <c r="O25" s="761" t="str">
        <f t="shared" si="3"/>
        <v>08:00 A NORM.</v>
      </c>
      <c r="P25" s="761" t="str">
        <f t="shared" si="4"/>
        <v>ARIETE 22</v>
      </c>
      <c r="Q25" s="764"/>
    </row>
    <row r="26" spans="1:17" x14ac:dyDescent="0.3">
      <c r="A26" s="770" t="str">
        <f>'Panel de Trabajo'!E31</f>
        <v xml:space="preserve"> </v>
      </c>
      <c r="B26" s="62" t="str">
        <f>'Panel de Trabajo'!C31</f>
        <v>GRIFO 21</v>
      </c>
      <c r="D26" s="761" t="str">
        <f t="shared" si="0"/>
        <v>PTL-14</v>
      </c>
      <c r="E26" s="761">
        <v>21</v>
      </c>
      <c r="F26" s="761" t="s">
        <v>2084</v>
      </c>
      <c r="G26" s="761" t="s">
        <v>2391</v>
      </c>
      <c r="H26" s="761" t="str">
        <f t="shared" si="1"/>
        <v>SGTO 2DO.</v>
      </c>
      <c r="I26" s="763" t="str">
        <f t="shared" si="2"/>
        <v>ORTIZ NOVA PATRICIO EDUARDO (L - P - T)</v>
      </c>
      <c r="J26" s="764"/>
      <c r="K26" s="766" t="s">
        <v>906</v>
      </c>
      <c r="L26" s="769" t="s">
        <v>2392</v>
      </c>
      <c r="M26" s="761" t="str">
        <f>IF(
COUNTIFS(BD_PRINCIPAL[DOTACIÓN ACTUAL],D26,BD_PRINCIPAL[ESC.],"PNS O/S")+COUNTIFS(BD_PRINCIPAL[DOTACIÓN ACTUAL],"JEFE/"&amp;D26,BD_PRINCIPAL[ESC.],"PNS O/S")+COUNTIF(BD_PRINCIPAL[DOTACIÓN ACTUAL],0)
=0,
"",
COUNTIFS(BD_PRINCIPAL[DOTACIÓN ACTUAL],D26,BD_PRINCIPAL[ESC.],"PNS O/S")+COUNTIFS(BD_PRINCIPAL[DOTACIÓN ACTUAL],"JEFE/"&amp;D26,BD_PRINCIPAL[ESC.],"PNS O/S")+COUNTIF(BD_PRINCIPAL[DOTACIÓN ACTUAL],0)
)</f>
        <v/>
      </c>
      <c r="N26" s="761">
        <f>IF(
COUNTIFS(BD_PRINCIPAL[DOTACIÓN ACTUAL],D26,BD_PRINCIPAL[ESC.],"PNI O/S")+COUNTIFS(BD_PRINCIPAL[DOTACIÓN ACTUAL],"JEFE/"&amp;D26,BD_PRINCIPAL[ESC.],"PNI O/S")+COUNTIF(BD_PRINCIPAL[DOTACIÓN ACTUAL],VLOOKUP(D26,ENCUADRE_PTR,2,0))
=0,
"",
COUNTIFS(BD_PRINCIPAL[DOTACIÓN ACTUAL],D26,BD_PRINCIPAL[ESC.],"PNI O/S")+COUNTIFS(BD_PRINCIPAL[DOTACIÓN ACTUAL],"JEFE/"&amp;D26,BD_PRINCIPAL[ESC.],"PNI O/S")+COUNTIF(BD_PRINCIPAL[DOTACIÓN ACTUAL],VLOOKUP(D26,ENCUADRE_PTR,2,0))
)</f>
        <v>2</v>
      </c>
      <c r="O26" s="761" t="str">
        <f t="shared" si="3"/>
        <v>20:00 A 08:00</v>
      </c>
      <c r="P26" s="761" t="str">
        <f t="shared" si="4"/>
        <v>ARIETE NOCTURNO</v>
      </c>
      <c r="Q26" s="764"/>
    </row>
    <row r="27" spans="1:17" x14ac:dyDescent="0.3">
      <c r="A27" s="770" t="e">
        <f>'Panel de Trabajo'!#REF!</f>
        <v>#REF!</v>
      </c>
      <c r="B27" s="62" t="str">
        <f>'Panel de Trabajo'!C32</f>
        <v>GRIFO 22</v>
      </c>
      <c r="D27" s="761" t="str">
        <f t="shared" si="0"/>
        <v>PTL-17</v>
      </c>
      <c r="E27" s="761">
        <v>22</v>
      </c>
      <c r="F27" s="761" t="s">
        <v>2084</v>
      </c>
      <c r="G27" s="761" t="s">
        <v>2391</v>
      </c>
      <c r="H27" s="761" t="str">
        <f t="shared" si="1"/>
        <v>SGTO 2DO.</v>
      </c>
      <c r="I27" s="763" t="str">
        <f t="shared" si="2"/>
        <v>SEPULVEDA GUZMAN SERGIO ALEJANDRO</v>
      </c>
      <c r="J27" s="764"/>
      <c r="K27" s="766" t="s">
        <v>1060</v>
      </c>
      <c r="L27" s="769" t="s">
        <v>1084</v>
      </c>
      <c r="M27" s="761" t="str">
        <f>IF(
COUNTIFS(BD_PRINCIPAL[DOTACIÓN ACTUAL],D27,BD_PRINCIPAL[ESC.],"PNS O/S")+COUNTIFS(BD_PRINCIPAL[DOTACIÓN ACTUAL],"JEFE/"&amp;D27,BD_PRINCIPAL[ESC.],"PNS O/S")+COUNTIF(BD_PRINCIPAL[DOTACIÓN ACTUAL],0)
=0,
"",
COUNTIFS(BD_PRINCIPAL[DOTACIÓN ACTUAL],D27,BD_PRINCIPAL[ESC.],"PNS O/S")+COUNTIFS(BD_PRINCIPAL[DOTACIÓN ACTUAL],"JEFE/"&amp;D27,BD_PRINCIPAL[ESC.],"PNS O/S")+COUNTIF(BD_PRINCIPAL[DOTACIÓN ACTUAL],0)
)</f>
        <v/>
      </c>
      <c r="N27" s="761">
        <f>IF(
COUNTIFS(BD_PRINCIPAL[DOTACIÓN ACTUAL],D27,BD_PRINCIPAL[ESC.],"PNI O/S")+COUNTIFS(BD_PRINCIPAL[DOTACIÓN ACTUAL],"JEFE/"&amp;D27,BD_PRINCIPAL[ESC.],"PNI O/S")+COUNTIF(BD_PRINCIPAL[DOTACIÓN ACTUAL],VLOOKUP(D27,ENCUADRE_PTR,2,0))
=0,
"",
COUNTIFS(BD_PRINCIPAL[DOTACIÓN ACTUAL],D27,BD_PRINCIPAL[ESC.],"PNI O/S")+COUNTIFS(BD_PRINCIPAL[DOTACIÓN ACTUAL],"JEFE/"&amp;D27,BD_PRINCIPAL[ESC.],"PNI O/S")+COUNTIF(BD_PRINCIPAL[DOTACIÓN ACTUAL],VLOOKUP(D27,ENCUADRE_PTR,2,0))
)</f>
        <v>2</v>
      </c>
      <c r="O27" s="761" t="str">
        <f t="shared" si="3"/>
        <v>08:00 A 14:00</v>
      </c>
      <c r="P27" s="761" t="str">
        <f t="shared" si="4"/>
        <v>APRESTO</v>
      </c>
      <c r="Q27" s="764"/>
    </row>
    <row r="28" spans="1:17" x14ac:dyDescent="0.3">
      <c r="A28" s="770">
        <f>'Panel de Trabajo'!E40</f>
        <v>0</v>
      </c>
      <c r="B28" s="62" t="str">
        <f>'Panel de Trabajo'!C40</f>
        <v>GRIFO 30</v>
      </c>
      <c r="D28" s="761" t="str">
        <f t="shared" si="0"/>
        <v>-</v>
      </c>
      <c r="E28" s="761">
        <v>23</v>
      </c>
      <c r="F28" s="761" t="s">
        <v>2084</v>
      </c>
      <c r="G28" s="761" t="s">
        <v>2391</v>
      </c>
      <c r="H28" s="761" t="str">
        <f t="shared" si="1"/>
        <v/>
      </c>
      <c r="I28" s="763" t="str">
        <f t="shared" si="2"/>
        <v/>
      </c>
      <c r="J28" s="764"/>
      <c r="K28" s="766" t="s">
        <v>907</v>
      </c>
      <c r="L28" s="769" t="s">
        <v>2392</v>
      </c>
      <c r="M28" s="761" t="str">
        <f>IF(
COUNTIFS(BD_PRINCIPAL[DOTACIÓN ACTUAL],D28,BD_PRINCIPAL[ESC.],"PNS O/S")+COUNTIFS(BD_PRINCIPAL[DOTACIÓN ACTUAL],"JEFE/"&amp;D28,BD_PRINCIPAL[ESC.],"PNS O/S")+COUNTIF(BD_PRINCIPAL[DOTACIÓN ACTUAL],0)
=0,
"",
COUNTIFS(BD_PRINCIPAL[DOTACIÓN ACTUAL],D28,BD_PRINCIPAL[ESC.],"PNS O/S")+COUNTIFS(BD_PRINCIPAL[DOTACIÓN ACTUAL],"JEFE/"&amp;D28,BD_PRINCIPAL[ESC.],"PNS O/S")+COUNTIF(BD_PRINCIPAL[DOTACIÓN ACTUAL],0)
)</f>
        <v/>
      </c>
      <c r="N28" s="761" t="str">
        <f>IF(
COUNTIFS(BD_PRINCIPAL[DOTACIÓN ACTUAL],D28,BD_PRINCIPAL[ESC.],"PNI O/S")+COUNTIFS(BD_PRINCIPAL[DOTACIÓN ACTUAL],"JEFE/"&amp;D28,BD_PRINCIPAL[ESC.],"PNI O/S")+COUNTIF(BD_PRINCIPAL[DOTACIÓN ACTUAL],VLOOKUP(D28,ENCUADRE_PTR,2,0))
=0,
"",
COUNTIFS(BD_PRINCIPAL[DOTACIÓN ACTUAL],D28,BD_PRINCIPAL[ESC.],"PNI O/S")+COUNTIFS(BD_PRINCIPAL[DOTACIÓN ACTUAL],"JEFE/"&amp;D28,BD_PRINCIPAL[ESC.],"PNI O/S")+COUNTIF(BD_PRINCIPAL[DOTACIÓN ACTUAL],VLOOKUP(D28,ENCUADRE_PTR,2,0))
)</f>
        <v/>
      </c>
      <c r="O28" s="761" t="str">
        <f t="shared" si="3"/>
        <v/>
      </c>
      <c r="P28" s="761" t="str">
        <f t="shared" si="4"/>
        <v/>
      </c>
      <c r="Q28" s="764"/>
    </row>
    <row r="29" spans="1:17" x14ac:dyDescent="0.3">
      <c r="A29" s="770">
        <f>'Panel de Trabajo'!E47</f>
        <v>0</v>
      </c>
      <c r="B29" s="62" t="str">
        <f>'Panel de Trabajo'!C47</f>
        <v>SSOO 7</v>
      </c>
      <c r="D29" s="761" t="str">
        <f t="shared" si="0"/>
        <v>-</v>
      </c>
      <c r="E29" s="761">
        <v>24</v>
      </c>
      <c r="F29" s="761" t="s">
        <v>2084</v>
      </c>
      <c r="G29" s="761" t="s">
        <v>2391</v>
      </c>
      <c r="H29" s="761" t="str">
        <f t="shared" si="1"/>
        <v/>
      </c>
      <c r="I29" s="763" t="str">
        <f t="shared" si="2"/>
        <v/>
      </c>
      <c r="J29" s="764"/>
      <c r="K29" s="766" t="s">
        <v>908</v>
      </c>
      <c r="L29" s="769" t="s">
        <v>1084</v>
      </c>
      <c r="M29" s="761" t="str">
        <f>IF(
COUNTIFS(BD_PRINCIPAL[DOTACIÓN ACTUAL],D29,BD_PRINCIPAL[ESC.],"PNS O/S")+COUNTIFS(BD_PRINCIPAL[DOTACIÓN ACTUAL],"JEFE/"&amp;D29,BD_PRINCIPAL[ESC.],"PNS O/S")+COUNTIF(BD_PRINCIPAL[DOTACIÓN ACTUAL],0)
=0,
"",
COUNTIFS(BD_PRINCIPAL[DOTACIÓN ACTUAL],D29,BD_PRINCIPAL[ESC.],"PNS O/S")+COUNTIFS(BD_PRINCIPAL[DOTACIÓN ACTUAL],"JEFE/"&amp;D29,BD_PRINCIPAL[ESC.],"PNS O/S")+COUNTIF(BD_PRINCIPAL[DOTACIÓN ACTUAL],0)
)</f>
        <v/>
      </c>
      <c r="N29" s="761" t="str">
        <f>IF(
COUNTIFS(BD_PRINCIPAL[DOTACIÓN ACTUAL],D29,BD_PRINCIPAL[ESC.],"PNI O/S")+COUNTIFS(BD_PRINCIPAL[DOTACIÓN ACTUAL],"JEFE/"&amp;D29,BD_PRINCIPAL[ESC.],"PNI O/S")+COUNTIF(BD_PRINCIPAL[DOTACIÓN ACTUAL],VLOOKUP(D29,ENCUADRE_PTR,2,0))
=0,
"",
COUNTIFS(BD_PRINCIPAL[DOTACIÓN ACTUAL],D29,BD_PRINCIPAL[ESC.],"PNI O/S")+COUNTIFS(BD_PRINCIPAL[DOTACIÓN ACTUAL],"JEFE/"&amp;D29,BD_PRINCIPAL[ESC.],"PNI O/S")+COUNTIF(BD_PRINCIPAL[DOTACIÓN ACTUAL],VLOOKUP(D29,ENCUADRE_PTR,2,0))
)</f>
        <v/>
      </c>
      <c r="O29" s="761" t="str">
        <f t="shared" si="3"/>
        <v/>
      </c>
      <c r="P29" s="761" t="str">
        <f t="shared" si="4"/>
        <v/>
      </c>
      <c r="Q29" s="764"/>
    </row>
    <row r="30" spans="1:17" x14ac:dyDescent="0.3">
      <c r="A30" s="770">
        <f>'Panel de Trabajo'!E48</f>
        <v>0</v>
      </c>
      <c r="B30" s="62" t="str">
        <f>'Panel de Trabajo'!C48</f>
        <v>SSOO 8</v>
      </c>
      <c r="D30" s="761" t="str">
        <f t="shared" si="0"/>
        <v>-</v>
      </c>
      <c r="E30" s="761">
        <v>25</v>
      </c>
      <c r="F30" s="761" t="s">
        <v>2084</v>
      </c>
      <c r="G30" s="761" t="s">
        <v>2391</v>
      </c>
      <c r="H30" s="761" t="str">
        <f t="shared" si="1"/>
        <v/>
      </c>
      <c r="I30" s="763" t="str">
        <f t="shared" si="2"/>
        <v/>
      </c>
      <c r="J30" s="389"/>
      <c r="K30" s="768" t="s">
        <v>2394</v>
      </c>
      <c r="L30" s="769" t="s">
        <v>1084</v>
      </c>
      <c r="M30" s="761" t="str">
        <f>IF(
COUNTIFS(BD_PRINCIPAL[DOTACIÓN ACTUAL],D30,BD_PRINCIPAL[ESC.],"PNS O/S")+COUNTIFS(BD_PRINCIPAL[DOTACIÓN ACTUAL],"JEFE/"&amp;D30,BD_PRINCIPAL[ESC.],"PNS O/S")+COUNTIF(BD_PRINCIPAL[DOTACIÓN ACTUAL],0)
=0,
"",
COUNTIFS(BD_PRINCIPAL[DOTACIÓN ACTUAL],D30,BD_PRINCIPAL[ESC.],"PNS O/S")+COUNTIFS(BD_PRINCIPAL[DOTACIÓN ACTUAL],"JEFE/"&amp;D30,BD_PRINCIPAL[ESC.],"PNS O/S")+COUNTIF(BD_PRINCIPAL[DOTACIÓN ACTUAL],0)
)</f>
        <v/>
      </c>
      <c r="N30" s="761" t="str">
        <f>IF(
COUNTIFS(BD_PRINCIPAL[DOTACIÓN ACTUAL],D30,BD_PRINCIPAL[ESC.],"PNI O/S")+COUNTIFS(BD_PRINCIPAL[DOTACIÓN ACTUAL],"JEFE/"&amp;D30,BD_PRINCIPAL[ESC.],"PNI O/S")+COUNTIF(BD_PRINCIPAL[DOTACIÓN ACTUAL],VLOOKUP(D30,ENCUADRE_PTR,2,0))
=0,
"",
COUNTIFS(BD_PRINCIPAL[DOTACIÓN ACTUAL],D30,BD_PRINCIPAL[ESC.],"PNI O/S")+COUNTIFS(BD_PRINCIPAL[DOTACIÓN ACTUAL],"JEFE/"&amp;D30,BD_PRINCIPAL[ESC.],"PNI O/S")+COUNTIF(BD_PRINCIPAL[DOTACIÓN ACTUAL],VLOOKUP(D30,ENCUADRE_PTR,2,0))
)</f>
        <v/>
      </c>
      <c r="O30" s="761" t="str">
        <f t="shared" si="3"/>
        <v/>
      </c>
      <c r="P30" s="761" t="str">
        <f t="shared" si="4"/>
        <v/>
      </c>
      <c r="Q30" s="389"/>
    </row>
    <row r="31" spans="1:17" x14ac:dyDescent="0.3">
      <c r="A31" s="770">
        <f>'Panel de Trabajo'!E49</f>
        <v>0</v>
      </c>
      <c r="B31" s="62" t="str">
        <f>'Panel de Trabajo'!C49</f>
        <v>SSOO 9</v>
      </c>
      <c r="D31" s="761" t="str">
        <f t="shared" si="0"/>
        <v>-</v>
      </c>
      <c r="E31" s="761">
        <v>26</v>
      </c>
      <c r="F31" s="761" t="s">
        <v>2084</v>
      </c>
      <c r="G31" s="761" t="s">
        <v>2391</v>
      </c>
      <c r="H31" s="761" t="str">
        <f t="shared" si="1"/>
        <v/>
      </c>
      <c r="I31" s="763" t="str">
        <f t="shared" si="2"/>
        <v/>
      </c>
      <c r="J31" s="389"/>
      <c r="K31" s="768" t="s">
        <v>2395</v>
      </c>
      <c r="L31" s="769" t="s">
        <v>2392</v>
      </c>
      <c r="M31" s="761" t="str">
        <f>IF(
COUNTIFS(BD_PRINCIPAL[DOTACIÓN ACTUAL],D31,BD_PRINCIPAL[ESC.],"PNS O/S")+COUNTIFS(BD_PRINCIPAL[DOTACIÓN ACTUAL],"JEFE/"&amp;D31,BD_PRINCIPAL[ESC.],"PNS O/S")+COUNTIF(BD_PRINCIPAL[DOTACIÓN ACTUAL],0)
=0,
"",
COUNTIFS(BD_PRINCIPAL[DOTACIÓN ACTUAL],D31,BD_PRINCIPAL[ESC.],"PNS O/S")+COUNTIFS(BD_PRINCIPAL[DOTACIÓN ACTUAL],"JEFE/"&amp;D31,BD_PRINCIPAL[ESC.],"PNS O/S")+COUNTIF(BD_PRINCIPAL[DOTACIÓN ACTUAL],0)
)</f>
        <v/>
      </c>
      <c r="N31" s="761" t="str">
        <f>IF(
COUNTIFS(BD_PRINCIPAL[DOTACIÓN ACTUAL],D31,BD_PRINCIPAL[ESC.],"PNI O/S")+COUNTIFS(BD_PRINCIPAL[DOTACIÓN ACTUAL],"JEFE/"&amp;D31,BD_PRINCIPAL[ESC.],"PNI O/S")+COUNTIF(BD_PRINCIPAL[DOTACIÓN ACTUAL],VLOOKUP(D31,ENCUADRE_PTR,2,0))
=0,
"",
COUNTIFS(BD_PRINCIPAL[DOTACIÓN ACTUAL],D31,BD_PRINCIPAL[ESC.],"PNI O/S")+COUNTIFS(BD_PRINCIPAL[DOTACIÓN ACTUAL],"JEFE/"&amp;D31,BD_PRINCIPAL[ESC.],"PNI O/S")+COUNTIF(BD_PRINCIPAL[DOTACIÓN ACTUAL],VLOOKUP(D31,ENCUADRE_PTR,2,0))
)</f>
        <v/>
      </c>
      <c r="O31" s="761" t="str">
        <f t="shared" si="3"/>
        <v/>
      </c>
      <c r="P31" s="761" t="str">
        <f t="shared" si="4"/>
        <v/>
      </c>
      <c r="Q31" s="389"/>
    </row>
    <row r="32" spans="1:17" x14ac:dyDescent="0.3">
      <c r="A32" s="770">
        <f>'Panel de Trabajo'!E50</f>
        <v>0</v>
      </c>
      <c r="B32" s="62" t="str">
        <f>'Panel de Trabajo'!C50</f>
        <v>SSOO 10</v>
      </c>
      <c r="D32" s="761" t="str">
        <f t="shared" si="0"/>
        <v>-</v>
      </c>
      <c r="E32" s="761">
        <v>27</v>
      </c>
      <c r="F32" s="761" t="s">
        <v>2084</v>
      </c>
      <c r="G32" s="761" t="s">
        <v>2391</v>
      </c>
      <c r="H32" s="761" t="str">
        <f t="shared" si="1"/>
        <v/>
      </c>
      <c r="I32" s="763" t="str">
        <f t="shared" si="2"/>
        <v/>
      </c>
      <c r="J32" s="389"/>
      <c r="K32" s="768" t="s">
        <v>2396</v>
      </c>
      <c r="L32" s="769" t="s">
        <v>2392</v>
      </c>
      <c r="M32" s="761" t="str">
        <f>IF(
COUNTIFS(BD_PRINCIPAL[DOTACIÓN ACTUAL],D32,BD_PRINCIPAL[ESC.],"PNS O/S")+COUNTIFS(BD_PRINCIPAL[DOTACIÓN ACTUAL],"JEFE/"&amp;D32,BD_PRINCIPAL[ESC.],"PNS O/S")+COUNTIF(BD_PRINCIPAL[DOTACIÓN ACTUAL],0)
=0,
"",
COUNTIFS(BD_PRINCIPAL[DOTACIÓN ACTUAL],D32,BD_PRINCIPAL[ESC.],"PNS O/S")+COUNTIFS(BD_PRINCIPAL[DOTACIÓN ACTUAL],"JEFE/"&amp;D32,BD_PRINCIPAL[ESC.],"PNS O/S")+COUNTIF(BD_PRINCIPAL[DOTACIÓN ACTUAL],0)
)</f>
        <v/>
      </c>
      <c r="N32" s="761" t="str">
        <f>IF(
COUNTIFS(BD_PRINCIPAL[DOTACIÓN ACTUAL],D32,BD_PRINCIPAL[ESC.],"PNI O/S")+COUNTIFS(BD_PRINCIPAL[DOTACIÓN ACTUAL],"JEFE/"&amp;D32,BD_PRINCIPAL[ESC.],"PNI O/S")+COUNTIF(BD_PRINCIPAL[DOTACIÓN ACTUAL],VLOOKUP(D32,ENCUADRE_PTR,2,0))
=0,
"",
COUNTIFS(BD_PRINCIPAL[DOTACIÓN ACTUAL],D32,BD_PRINCIPAL[ESC.],"PNI O/S")+COUNTIFS(BD_PRINCIPAL[DOTACIÓN ACTUAL],"JEFE/"&amp;D32,BD_PRINCIPAL[ESC.],"PNI O/S")+COUNTIF(BD_PRINCIPAL[DOTACIÓN ACTUAL],VLOOKUP(D32,ENCUADRE_PTR,2,0))
)</f>
        <v/>
      </c>
      <c r="O32" s="761" t="str">
        <f t="shared" si="3"/>
        <v/>
      </c>
      <c r="P32" s="761" t="str">
        <f t="shared" si="4"/>
        <v/>
      </c>
      <c r="Q32" s="389"/>
    </row>
    <row r="33" spans="1:2" x14ac:dyDescent="0.3">
      <c r="A33" s="770" t="e">
        <f>'Panel de Trabajo'!#REF!</f>
        <v>#REF!</v>
      </c>
      <c r="B33" s="62" t="e">
        <f>'Panel de Trabajo'!#REF!</f>
        <v>#REF!</v>
      </c>
    </row>
    <row r="34" spans="1:2" x14ac:dyDescent="0.3">
      <c r="A34" s="770" t="e">
        <f>'Panel de Trabajo'!#REF!</f>
        <v>#REF!</v>
      </c>
      <c r="B34" s="62" t="e">
        <f>'Panel de Trabajo'!#REF!</f>
        <v>#REF!</v>
      </c>
    </row>
    <row r="35" spans="1:2" x14ac:dyDescent="0.3">
      <c r="A35" s="770">
        <f>'Panel de Trabajo'!E51</f>
        <v>0</v>
      </c>
      <c r="B35" s="62">
        <f>'Panel de Trabajo'!C51</f>
        <v>0</v>
      </c>
    </row>
    <row r="36" spans="1:2" x14ac:dyDescent="0.3">
      <c r="A36" s="770" t="str">
        <f>'Panel de Trabajo'!E52</f>
        <v>VEH.</v>
      </c>
      <c r="B36" s="62" t="str">
        <f>'Panel de Trabajo'!C52</f>
        <v>SIGLA</v>
      </c>
    </row>
    <row r="37" spans="1:2" x14ac:dyDescent="0.3">
      <c r="A37" s="770" t="str">
        <f>'Panel de Trabajo'!E53</f>
        <v>B-645</v>
      </c>
      <c r="B37" s="62" t="str">
        <f>'Panel de Trabajo'!C53</f>
        <v>S-30</v>
      </c>
    </row>
    <row r="38" spans="1:2" x14ac:dyDescent="0.3">
      <c r="A38" s="770">
        <f>'Panel de Trabajo'!E54</f>
        <v>0</v>
      </c>
      <c r="B38" s="62" t="str">
        <f>'Panel de Trabajo'!C54</f>
        <v>S-30-B</v>
      </c>
    </row>
    <row r="39" spans="1:2" x14ac:dyDescent="0.3">
      <c r="A39" s="770" t="str">
        <f>'Panel de Trabajo'!E55</f>
        <v>B-647</v>
      </c>
      <c r="B39" s="62" t="str">
        <f>'Panel de Trabajo'!C55</f>
        <v>S-31</v>
      </c>
    </row>
    <row r="40" spans="1:2" x14ac:dyDescent="0.3">
      <c r="A40" s="770">
        <f>'Panel de Trabajo'!E56</f>
        <v>0</v>
      </c>
      <c r="B40" s="62" t="str">
        <f>'Panel de Trabajo'!C56</f>
        <v>S-31-B</v>
      </c>
    </row>
    <row r="41" spans="1:2" x14ac:dyDescent="0.3">
      <c r="A41" s="770" t="str">
        <f>'Panel de Trabajo'!E57</f>
        <v>B-499</v>
      </c>
      <c r="B41" s="62" t="str">
        <f>'Panel de Trabajo'!C57</f>
        <v>S-32</v>
      </c>
    </row>
    <row r="42" spans="1:2" x14ac:dyDescent="0.3">
      <c r="A42" s="770">
        <f>'Panel de Trabajo'!E58</f>
        <v>0</v>
      </c>
      <c r="B42" s="62" t="str">
        <f>'Panel de Trabajo'!C58</f>
        <v>S-32-B</v>
      </c>
    </row>
    <row r="43" spans="1:2" x14ac:dyDescent="0.3">
      <c r="A43" s="770" t="str">
        <f>'Panel de Trabajo'!E59</f>
        <v>B-681</v>
      </c>
      <c r="B43" s="62" t="str">
        <f>'Panel de Trabajo'!C59</f>
        <v>S-33</v>
      </c>
    </row>
    <row r="44" spans="1:2" x14ac:dyDescent="0.3">
      <c r="A44" s="770">
        <f>'Panel de Trabajo'!E60</f>
        <v>0</v>
      </c>
      <c r="B44" s="62" t="str">
        <f>'Panel de Trabajo'!C60</f>
        <v>S-33-B</v>
      </c>
    </row>
    <row r="45" spans="1:2" x14ac:dyDescent="0.3">
      <c r="A45" s="770" t="str">
        <f>'Panel de Trabajo'!E61</f>
        <v>B-686</v>
      </c>
      <c r="B45" s="62" t="str">
        <f>'Panel de Trabajo'!C61</f>
        <v>S-34</v>
      </c>
    </row>
    <row r="46" spans="1:2" x14ac:dyDescent="0.3">
      <c r="A46" s="770">
        <f>'Panel de Trabajo'!E62</f>
        <v>0</v>
      </c>
      <c r="B46" s="62" t="str">
        <f>'Panel de Trabajo'!C62</f>
        <v>S-34-B</v>
      </c>
    </row>
    <row r="47" spans="1:2" x14ac:dyDescent="0.3">
      <c r="A47" s="770" t="str">
        <f>'Panel de Trabajo'!E63</f>
        <v>B-499</v>
      </c>
      <c r="B47" s="62" t="str">
        <f>'Panel de Trabajo'!C63</f>
        <v>S-35</v>
      </c>
    </row>
    <row r="48" spans="1:2" x14ac:dyDescent="0.3">
      <c r="A48" s="770">
        <f>'Panel de Trabajo'!E64</f>
        <v>0</v>
      </c>
      <c r="B48" s="62" t="str">
        <f>'Panel de Trabajo'!C64</f>
        <v>S-35-B</v>
      </c>
    </row>
    <row r="49" spans="1:2" x14ac:dyDescent="0.3">
      <c r="A49" s="770">
        <f>'Panel de Trabajo'!E65</f>
        <v>0</v>
      </c>
      <c r="B49" s="62" t="str">
        <f>'Panel de Trabajo'!C65</f>
        <v>S-36</v>
      </c>
    </row>
    <row r="50" spans="1:2" x14ac:dyDescent="0.3">
      <c r="A50" s="770">
        <f>'Panel de Trabajo'!E66</f>
        <v>0</v>
      </c>
      <c r="B50" s="62" t="str">
        <f>'Panel de Trabajo'!C66</f>
        <v>S-36-B</v>
      </c>
    </row>
    <row r="51" spans="1:2" x14ac:dyDescent="0.3">
      <c r="A51" s="770">
        <f>'Panel de Trabajo'!E67</f>
        <v>0</v>
      </c>
      <c r="B51" s="62" t="str">
        <f>'Panel de Trabajo'!C67</f>
        <v>S-37</v>
      </c>
    </row>
    <row r="52" spans="1:2" x14ac:dyDescent="0.3">
      <c r="A52" s="770">
        <f>'Panel de Trabajo'!E68</f>
        <v>0</v>
      </c>
      <c r="B52" s="62" t="str">
        <f>'Panel de Trabajo'!C68</f>
        <v>S-37-B</v>
      </c>
    </row>
    <row r="53" spans="1:2" x14ac:dyDescent="0.3">
      <c r="A53" s="770">
        <f>'Panel de Trabajo'!E69</f>
        <v>0</v>
      </c>
      <c r="B53" s="62" t="str">
        <f>'Panel de Trabajo'!C69</f>
        <v>S-38</v>
      </c>
    </row>
    <row r="54" spans="1:2" x14ac:dyDescent="0.3">
      <c r="A54" s="770">
        <f>'Panel de Trabajo'!E70</f>
        <v>0</v>
      </c>
      <c r="B54" s="62" t="str">
        <f>'Panel de Trabajo'!C70</f>
        <v>S-38-B</v>
      </c>
    </row>
    <row r="55" spans="1:2" x14ac:dyDescent="0.3">
      <c r="A55" s="770">
        <f>'Panel de Trabajo'!E82</f>
        <v>0</v>
      </c>
      <c r="B55" s="62" t="str">
        <f>'Panel de Trabajo'!C71</f>
        <v>S-39</v>
      </c>
    </row>
    <row r="56" spans="1:2" x14ac:dyDescent="0.3">
      <c r="A56" s="770">
        <f>'Panel de Trabajo'!E72</f>
        <v>0</v>
      </c>
      <c r="B56" s="62" t="str">
        <f>'Panel de Trabajo'!C72</f>
        <v>S-39-B</v>
      </c>
    </row>
    <row r="57" spans="1:2" x14ac:dyDescent="0.3">
      <c r="A57" s="770" t="str">
        <f>'Panel de Trabajo'!E73</f>
        <v>B-683</v>
      </c>
      <c r="B57" s="62" t="str">
        <f>'Panel de Trabajo'!C73</f>
        <v>S-40</v>
      </c>
    </row>
    <row r="58" spans="1:2" x14ac:dyDescent="0.3">
      <c r="A58" s="770">
        <f>'Panel de Trabajo'!E74</f>
        <v>0</v>
      </c>
      <c r="B58" s="62" t="str">
        <f>'Panel de Trabajo'!C74</f>
        <v>S-40-B</v>
      </c>
    </row>
    <row r="59" spans="1:2" x14ac:dyDescent="0.3">
      <c r="A59" s="770" t="str">
        <f>'Panel de Trabajo'!E75</f>
        <v xml:space="preserve"> B-684</v>
      </c>
      <c r="B59" s="62" t="str">
        <f>'Panel de Trabajo'!C75</f>
        <v>S-41</v>
      </c>
    </row>
    <row r="60" spans="1:2" x14ac:dyDescent="0.3">
      <c r="A60" s="770">
        <f>'Panel de Trabajo'!E76</f>
        <v>0</v>
      </c>
      <c r="B60" s="62" t="str">
        <f>'Panel de Trabajo'!C76</f>
        <v>S-41-B</v>
      </c>
    </row>
    <row r="61" spans="1:2" x14ac:dyDescent="0.3">
      <c r="A61" s="770" t="str">
        <f>'Panel de Trabajo'!E77</f>
        <v>AB-365</v>
      </c>
      <c r="B61" s="62" t="str">
        <f>'Panel de Trabajo'!C77</f>
        <v>S-42</v>
      </c>
    </row>
    <row r="62" spans="1:2" x14ac:dyDescent="0.3">
      <c r="A62" s="770">
        <f>'Panel de Trabajo'!E78</f>
        <v>0</v>
      </c>
      <c r="B62" s="62" t="str">
        <f>'Panel de Trabajo'!C78</f>
        <v>S-42-B</v>
      </c>
    </row>
    <row r="63" spans="1:2" x14ac:dyDescent="0.3">
      <c r="A63" s="770" t="str">
        <f>'Panel de Trabajo'!E79</f>
        <v>AB-365</v>
      </c>
      <c r="B63" s="62" t="str">
        <f>'Panel de Trabajo'!C79</f>
        <v>S-43</v>
      </c>
    </row>
    <row r="64" spans="1:2" x14ac:dyDescent="0.3">
      <c r="A64" s="770">
        <f>'Panel de Trabajo'!E80</f>
        <v>0</v>
      </c>
      <c r="B64" s="62" t="str">
        <f>'Panel de Trabajo'!C80</f>
        <v>S-43-B</v>
      </c>
    </row>
    <row r="65" spans="1:2" x14ac:dyDescent="0.3">
      <c r="A65" s="770" t="str">
        <f>'Panel de Trabajo'!E81</f>
        <v>B-685</v>
      </c>
      <c r="B65" s="62" t="str">
        <f>'Panel de Trabajo'!C81</f>
        <v>S-44</v>
      </c>
    </row>
    <row r="66" spans="1:2" x14ac:dyDescent="0.3">
      <c r="A66" s="770" t="e">
        <f>'Panel de Trabajo'!#REF!</f>
        <v>#REF!</v>
      </c>
      <c r="B66" s="62" t="str">
        <f>'Panel de Trabajo'!C82</f>
        <v>S-44-B</v>
      </c>
    </row>
    <row r="67" spans="1:2" x14ac:dyDescent="0.3">
      <c r="A67" s="770">
        <f>'Panel de Trabajo'!E83</f>
        <v>0</v>
      </c>
      <c r="B67" s="62" t="str">
        <f>'Panel de Trabajo'!C83</f>
        <v>S-45</v>
      </c>
    </row>
    <row r="68" spans="1:2" x14ac:dyDescent="0.3">
      <c r="A68" s="770">
        <f>'Panel de Trabajo'!E84</f>
        <v>0</v>
      </c>
      <c r="B68" s="62" t="str">
        <f>'Panel de Trabajo'!C84</f>
        <v>S-45-B</v>
      </c>
    </row>
    <row r="69" spans="1:2" x14ac:dyDescent="0.3">
      <c r="A69" s="770">
        <f>'Panel de Trabajo'!E85</f>
        <v>0</v>
      </c>
      <c r="B69" s="62" t="str">
        <f>'Panel de Trabajo'!C85</f>
        <v>S-46</v>
      </c>
    </row>
    <row r="70" spans="1:2" x14ac:dyDescent="0.3">
      <c r="A70" s="770">
        <f>'Panel de Trabajo'!E86</f>
        <v>0</v>
      </c>
      <c r="B70" s="62" t="str">
        <f>'Panel de Trabajo'!C86</f>
        <v>S-46-B</v>
      </c>
    </row>
    <row r="71" spans="1:2" x14ac:dyDescent="0.3">
      <c r="A71" s="770">
        <f>'Panel de Trabajo'!E87</f>
        <v>0</v>
      </c>
      <c r="B71" s="62" t="str">
        <f>'Panel de Trabajo'!C87</f>
        <v>S-47</v>
      </c>
    </row>
    <row r="72" spans="1:2" x14ac:dyDescent="0.3">
      <c r="A72" s="770">
        <f>'Panel de Trabajo'!E88</f>
        <v>0</v>
      </c>
      <c r="B72" s="62" t="str">
        <f>'Panel de Trabajo'!C88</f>
        <v>S-47-B</v>
      </c>
    </row>
    <row r="73" spans="1:2" x14ac:dyDescent="0.3">
      <c r="A73" s="770">
        <f>'Panel de Trabajo'!E89</f>
        <v>0</v>
      </c>
      <c r="B73" s="62" t="str">
        <f>'Panel de Trabajo'!C89</f>
        <v>S-48</v>
      </c>
    </row>
    <row r="74" spans="1:2" x14ac:dyDescent="0.3">
      <c r="A74" s="770">
        <f>'Panel de Trabajo'!E90</f>
        <v>0</v>
      </c>
      <c r="B74" s="62" t="str">
        <f>'Panel de Trabajo'!C90</f>
        <v>S-48-B</v>
      </c>
    </row>
    <row r="75" spans="1:2" x14ac:dyDescent="0.3">
      <c r="A75" s="770">
        <f>'Panel de Trabajo'!E91</f>
        <v>0</v>
      </c>
      <c r="B75" s="62" t="str">
        <f>'Panel de Trabajo'!C91</f>
        <v>S-49</v>
      </c>
    </row>
    <row r="76" spans="1:2" x14ac:dyDescent="0.3">
      <c r="A76" s="770">
        <f>'Panel de Trabajo'!E92</f>
        <v>0</v>
      </c>
      <c r="B76" s="62" t="str">
        <f>'Panel de Trabajo'!C92</f>
        <v>S-49-B</v>
      </c>
    </row>
    <row r="77" spans="1:2" x14ac:dyDescent="0.3">
      <c r="A77" s="770">
        <f>'Panel de Trabajo'!E93</f>
        <v>0</v>
      </c>
      <c r="B77" s="62" t="str">
        <f>'Panel de Trabajo'!C93</f>
        <v>S-50</v>
      </c>
    </row>
    <row r="78" spans="1:2" x14ac:dyDescent="0.3">
      <c r="A78" s="770">
        <f>'Panel de Trabajo'!E94</f>
        <v>0</v>
      </c>
      <c r="B78" s="62" t="str">
        <f>'Panel de Trabajo'!C94</f>
        <v>S-50-B</v>
      </c>
    </row>
    <row r="79" spans="1:2" x14ac:dyDescent="0.3">
      <c r="A79" s="770">
        <f>'Panel de Trabajo'!E95</f>
        <v>0</v>
      </c>
      <c r="B79" s="62" t="str">
        <f>'Panel de Trabajo'!C95</f>
        <v>S-EV</v>
      </c>
    </row>
    <row r="80" spans="1:2" x14ac:dyDescent="0.3">
      <c r="A80" s="770">
        <f>'Panel de Trabajo'!E96</f>
        <v>0</v>
      </c>
      <c r="B80" s="62" t="str">
        <f>'Panel de Trabajo'!C96</f>
        <v>S-EV-2</v>
      </c>
    </row>
    <row r="81" spans="1:2" x14ac:dyDescent="0.3">
      <c r="A81" s="770">
        <f>'Panel de Trabajo'!E97</f>
        <v>0</v>
      </c>
      <c r="B81" s="62" t="str">
        <f>'Panel de Trabajo'!C97</f>
        <v>S-EV-3</v>
      </c>
    </row>
    <row r="82" spans="1:2" x14ac:dyDescent="0.3">
      <c r="A82" s="770" t="e">
        <f>'Panel de Trabajo'!#REF!</f>
        <v>#REF!</v>
      </c>
      <c r="B82" s="62" t="e">
        <f>'Panel de Trabajo'!#REF!</f>
        <v>#REF!</v>
      </c>
    </row>
    <row r="83" spans="1:2" x14ac:dyDescent="0.3">
      <c r="A83" s="770">
        <f>'Panel de Trabajo'!E110</f>
        <v>0</v>
      </c>
      <c r="B83" s="62">
        <f>'Panel de Trabajo'!C110</f>
        <v>0</v>
      </c>
    </row>
    <row r="84" spans="1:2" x14ac:dyDescent="0.3">
      <c r="A84" s="770" t="str">
        <f>'Panel de Trabajo'!E111</f>
        <v>VEH.</v>
      </c>
      <c r="B84" s="62" t="str">
        <f>'Panel de Trabajo'!C111</f>
        <v>SIGLA</v>
      </c>
    </row>
    <row r="85" spans="1:2" x14ac:dyDescent="0.3">
      <c r="A85" s="770">
        <f>'Panel de Trabajo'!E112</f>
        <v>0</v>
      </c>
      <c r="B85" s="62" t="str">
        <f>'Panel de Trabajo'!C112</f>
        <v>PTL-11</v>
      </c>
    </row>
    <row r="86" spans="1:2" x14ac:dyDescent="0.3">
      <c r="A86" s="770" t="str">
        <f>'Panel de Trabajo'!E113</f>
        <v xml:space="preserve"> </v>
      </c>
      <c r="B86" s="62" t="str">
        <f>'Panel de Trabajo'!C113</f>
        <v>PTL-12</v>
      </c>
    </row>
    <row r="87" spans="1:2" x14ac:dyDescent="0.3">
      <c r="A87" s="770" t="str">
        <f>'Panel de Trabajo'!E114</f>
        <v>LA-060</v>
      </c>
      <c r="B87" s="62" t="str">
        <f>'Panel de Trabajo'!C114</f>
        <v>PTL-13</v>
      </c>
    </row>
    <row r="88" spans="1:2" x14ac:dyDescent="0.3">
      <c r="A88" s="770" t="str">
        <f>'Panel de Trabajo'!E115</f>
        <v>LA-062</v>
      </c>
      <c r="B88" s="62" t="str">
        <f>'Panel de Trabajo'!C115</f>
        <v>PTL-14</v>
      </c>
    </row>
    <row r="89" spans="1:2" x14ac:dyDescent="0.3">
      <c r="A89" s="770" t="str">
        <f>'Panel de Trabajo'!E116</f>
        <v xml:space="preserve"> </v>
      </c>
      <c r="B89" s="62" t="str">
        <f>'Panel de Trabajo'!C116</f>
        <v>PTL-15</v>
      </c>
    </row>
    <row r="90" spans="1:2" x14ac:dyDescent="0.3">
      <c r="A90" s="770" t="str">
        <f>'Panel de Trabajo'!E117</f>
        <v>LA-061</v>
      </c>
      <c r="B90" s="62" t="str">
        <f>'Panel de Trabajo'!C117</f>
        <v>PTL-16</v>
      </c>
    </row>
    <row r="91" spans="1:2" x14ac:dyDescent="0.3">
      <c r="A91" s="770" t="str">
        <f>'Panel de Trabajo'!E118</f>
        <v>LA-064</v>
      </c>
      <c r="B91" s="62" t="str">
        <f>'Panel de Trabajo'!C118</f>
        <v>PTL-17</v>
      </c>
    </row>
    <row r="92" spans="1:2" x14ac:dyDescent="0.3">
      <c r="A92" s="770" t="str">
        <f>'Panel de Trabajo'!E119</f>
        <v xml:space="preserve"> </v>
      </c>
      <c r="B92" s="62" t="str">
        <f>'Panel de Trabajo'!C119</f>
        <v>PTL-18</v>
      </c>
    </row>
    <row r="93" spans="1:2" x14ac:dyDescent="0.3">
      <c r="A93" s="770">
        <f>'Panel de Trabajo'!E120</f>
        <v>0</v>
      </c>
      <c r="B93" s="62" t="str">
        <f>'Panel de Trabajo'!C120</f>
        <v>PTL-19</v>
      </c>
    </row>
    <row r="94" spans="1:2" x14ac:dyDescent="0.3">
      <c r="A94" s="770">
        <f>'Panel de Trabajo'!E121</f>
        <v>0</v>
      </c>
      <c r="B94" s="62" t="str">
        <f>'Panel de Trabajo'!C121</f>
        <v>PTL-20</v>
      </c>
    </row>
    <row r="95" spans="1:2" x14ac:dyDescent="0.3">
      <c r="A95" s="770" t="str">
        <f>'Panel de Trabajo'!E122</f>
        <v xml:space="preserve"> </v>
      </c>
      <c r="B95" s="62" t="str">
        <f>'Panel de Trabajo'!C122</f>
        <v>PTL-21</v>
      </c>
    </row>
    <row r="96" spans="1:2" x14ac:dyDescent="0.3">
      <c r="A96" s="770" t="str">
        <f>'Panel de Trabajo'!E123</f>
        <v xml:space="preserve"> </v>
      </c>
      <c r="B96" s="62" t="str">
        <f>'Panel de Trabajo'!C123</f>
        <v>PTL-22</v>
      </c>
    </row>
    <row r="97" spans="1:2" x14ac:dyDescent="0.3">
      <c r="A97" s="770" t="str">
        <f>'Panel de Trabajo'!E124</f>
        <v>LA-044</v>
      </c>
      <c r="B97" s="62" t="str">
        <f>'Panel de Trabajo'!C124</f>
        <v>PTL-23</v>
      </c>
    </row>
    <row r="98" spans="1:2" x14ac:dyDescent="0.3">
      <c r="A98" s="770">
        <f>'Panel de Trabajo'!E125</f>
        <v>0</v>
      </c>
      <c r="B98" s="62" t="str">
        <f>'Panel de Trabajo'!C125</f>
        <v>PTL-EV</v>
      </c>
    </row>
    <row r="99" spans="1:2" x14ac:dyDescent="0.3">
      <c r="A99" s="770" t="e">
        <f>'Panel de Trabajo'!#REF!</f>
        <v>#REF!</v>
      </c>
      <c r="B99" s="62" t="e">
        <f>'Panel de Trabajo'!#REF!</f>
        <v>#REF!</v>
      </c>
    </row>
    <row r="100" spans="1:2" x14ac:dyDescent="0.3">
      <c r="A100" s="770" t="e">
        <f>'Panel de Trabajo'!#REF!</f>
        <v>#REF!</v>
      </c>
      <c r="B100" s="62" t="e">
        <f>'Panel de Trabajo'!#REF!</f>
        <v>#REF!</v>
      </c>
    </row>
  </sheetData>
  <mergeCells count="4">
    <mergeCell ref="E2:Q2"/>
    <mergeCell ref="H4:J4"/>
    <mergeCell ref="K4:L4"/>
    <mergeCell ref="M4:N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A1:AW225"/>
  <sheetViews>
    <sheetView topLeftCell="L1" zoomScale="70" zoomScaleNormal="70" workbookViewId="0">
      <selection activeCell="R27" sqref="R27"/>
    </sheetView>
  </sheetViews>
  <sheetFormatPr baseColWidth="10" defaultColWidth="11.5546875" defaultRowHeight="14.4" x14ac:dyDescent="0.3"/>
  <cols>
    <col min="1" max="1" width="18" style="1" bestFit="1" customWidth="1"/>
    <col min="2" max="2" width="23" style="1" bestFit="1" customWidth="1"/>
    <col min="3" max="3" width="7.88671875" style="1" bestFit="1" customWidth="1"/>
    <col min="4" max="4" width="12.33203125" style="1" bestFit="1" customWidth="1"/>
    <col min="5" max="5" width="8.44140625" style="1" bestFit="1" customWidth="1"/>
    <col min="6" max="6" width="19.6640625" style="1" bestFit="1" customWidth="1"/>
    <col min="7" max="7" width="9.5546875" style="1" customWidth="1"/>
    <col min="8" max="8" width="18" style="1" bestFit="1" customWidth="1"/>
    <col min="9" max="9" width="23" style="1" bestFit="1" customWidth="1"/>
    <col min="10" max="10" width="4.44140625" style="1" bestFit="1" customWidth="1"/>
    <col min="11" max="11" width="7.88671875" style="1" bestFit="1" customWidth="1"/>
    <col min="12" max="12" width="4.6640625" style="1" bestFit="1" customWidth="1"/>
    <col min="13" max="15" width="12.33203125" style="1" bestFit="1" customWidth="1"/>
    <col min="16" max="16" width="10.5546875" style="1" customWidth="1"/>
    <col min="17" max="17" width="16.33203125" style="1" bestFit="1" customWidth="1"/>
    <col min="18" max="18" width="18" style="1" bestFit="1" customWidth="1"/>
    <col min="19" max="19" width="23" style="1" bestFit="1" customWidth="1"/>
    <col min="20" max="20" width="6.88671875" style="1" bestFit="1" customWidth="1"/>
    <col min="21" max="22" width="12.33203125" style="1" bestFit="1" customWidth="1"/>
    <col min="23" max="23" width="18" style="1" bestFit="1" customWidth="1"/>
    <col min="24" max="24" width="23" style="1" bestFit="1" customWidth="1"/>
    <col min="25" max="25" width="7.88671875" style="1" bestFit="1" customWidth="1"/>
    <col min="26" max="26" width="12.33203125" style="1" bestFit="1" customWidth="1"/>
    <col min="27" max="27" width="12.33203125" style="1" customWidth="1"/>
    <col min="28" max="28" width="18" style="1" bestFit="1" customWidth="1"/>
    <col min="29" max="29" width="23" style="1" bestFit="1" customWidth="1"/>
    <col min="30" max="30" width="7.88671875" style="1" bestFit="1" customWidth="1"/>
    <col min="31" max="31" width="12.33203125" style="1" bestFit="1" customWidth="1"/>
    <col min="32" max="32" width="4.33203125" style="1" bestFit="1" customWidth="1"/>
    <col min="33" max="33" width="12.44140625" style="1" bestFit="1" customWidth="1"/>
    <col min="34" max="34" width="8.109375" style="1" bestFit="1" customWidth="1"/>
    <col min="35" max="36" width="8.109375" style="1" customWidth="1"/>
    <col min="37" max="37" width="18" style="1" bestFit="1" customWidth="1"/>
    <col min="38" max="38" width="23" style="1" bestFit="1" customWidth="1"/>
    <col min="39" max="39" width="18.5546875" style="1" bestFit="1" customWidth="1"/>
    <col min="40" max="40" width="12.33203125" style="1" bestFit="1" customWidth="1"/>
    <col min="41" max="41" width="16.5546875" style="1" bestFit="1" customWidth="1"/>
    <col min="42" max="42" width="18" style="1" bestFit="1" customWidth="1"/>
    <col min="43" max="43" width="23" style="1" bestFit="1" customWidth="1"/>
    <col min="44" max="44" width="16" style="1" bestFit="1" customWidth="1"/>
    <col min="45" max="45" width="12.33203125" style="1" bestFit="1" customWidth="1"/>
    <col min="46" max="46" width="12.33203125" style="1" customWidth="1"/>
    <col min="47" max="47" width="12.33203125" style="1" bestFit="1" customWidth="1"/>
    <col min="48" max="48" width="18" style="1" bestFit="1" customWidth="1"/>
    <col min="49" max="49" width="16" style="1" bestFit="1" customWidth="1"/>
    <col min="50" max="65" width="9.33203125" style="1" bestFit="1" customWidth="1"/>
    <col min="66" max="66" width="5.6640625" style="1" bestFit="1" customWidth="1"/>
    <col min="67" max="67" width="12.44140625" style="1" bestFit="1" customWidth="1"/>
    <col min="68" max="68" width="39.44140625" style="1" bestFit="1" customWidth="1"/>
    <col min="69" max="69" width="51.88671875" style="1" bestFit="1" customWidth="1"/>
    <col min="70" max="70" width="42.33203125" style="1" bestFit="1" customWidth="1"/>
    <col min="71" max="71" width="35.109375" style="1" bestFit="1" customWidth="1"/>
    <col min="72" max="72" width="31.44140625" style="1" bestFit="1" customWidth="1"/>
    <col min="73" max="73" width="30.33203125" style="1" bestFit="1" customWidth="1"/>
    <col min="74" max="74" width="38.5546875" style="1" bestFit="1" customWidth="1"/>
    <col min="75" max="75" width="34.88671875" style="1" bestFit="1" customWidth="1"/>
    <col min="76" max="76" width="25.5546875" style="1" bestFit="1" customWidth="1"/>
    <col min="77" max="77" width="41.33203125" style="1" bestFit="1" customWidth="1"/>
    <col min="78" max="78" width="25" style="1" bestFit="1" customWidth="1"/>
    <col min="79" max="79" width="10.5546875" style="1" bestFit="1" customWidth="1"/>
    <col min="80" max="80" width="14.109375" style="1" bestFit="1" customWidth="1"/>
    <col min="81" max="81" width="18.33203125" style="1" bestFit="1" customWidth="1"/>
    <col min="82" max="82" width="20" style="1" bestFit="1" customWidth="1"/>
    <col min="83" max="83" width="35.33203125" style="1" bestFit="1" customWidth="1"/>
    <col min="84" max="84" width="37.6640625" style="1" bestFit="1" customWidth="1"/>
    <col min="85" max="85" width="25.5546875" style="1" bestFit="1" customWidth="1"/>
    <col min="86" max="86" width="17.109375" style="1" bestFit="1" customWidth="1"/>
    <col min="87" max="87" width="33.6640625" style="1" bestFit="1" customWidth="1"/>
    <col min="88" max="89" width="20.5546875" style="1" bestFit="1" customWidth="1"/>
    <col min="90" max="90" width="16.109375" style="1" bestFit="1" customWidth="1"/>
    <col min="91" max="94" width="22.33203125" style="1" bestFit="1" customWidth="1"/>
    <col min="95" max="95" width="28.33203125" style="1" bestFit="1" customWidth="1"/>
    <col min="96" max="96" width="21.33203125" style="1" bestFit="1" customWidth="1"/>
    <col min="97" max="97" width="12.109375" style="1" bestFit="1" customWidth="1"/>
    <col min="98" max="98" width="25.5546875" style="1" bestFit="1" customWidth="1"/>
    <col min="99" max="99" width="52.88671875" style="1" bestFit="1" customWidth="1"/>
    <col min="100" max="100" width="49.6640625" style="1" bestFit="1" customWidth="1"/>
    <col min="101" max="101" width="33.33203125" style="1" bestFit="1" customWidth="1"/>
    <col min="102" max="102" width="37.109375" style="1" bestFit="1" customWidth="1"/>
    <col min="103" max="103" width="26.6640625" style="1" bestFit="1" customWidth="1"/>
    <col min="104" max="104" width="21.6640625" style="1" bestFit="1" customWidth="1"/>
    <col min="105" max="105" width="17.33203125" style="1" bestFit="1" customWidth="1"/>
    <col min="106" max="106" width="23.33203125" style="1" bestFit="1" customWidth="1"/>
    <col min="107" max="107" width="13.33203125" style="1" bestFit="1" customWidth="1"/>
    <col min="108" max="109" width="5.33203125" style="1" bestFit="1" customWidth="1"/>
    <col min="110" max="119" width="6.6640625" style="1" bestFit="1" customWidth="1"/>
    <col min="120" max="127" width="6" style="1" bestFit="1" customWidth="1"/>
    <col min="128" max="136" width="9" style="1" bestFit="1" customWidth="1"/>
    <col min="137" max="137" width="8.5546875" style="1" bestFit="1" customWidth="1"/>
    <col min="138" max="138" width="18" style="1" bestFit="1" customWidth="1"/>
    <col min="139" max="139" width="28.33203125" style="1" bestFit="1" customWidth="1"/>
    <col min="140" max="159" width="4.6640625" style="1" bestFit="1" customWidth="1"/>
    <col min="160" max="160" width="22.5546875" style="1" bestFit="1" customWidth="1"/>
    <col min="161" max="161" width="27.44140625" style="1" bestFit="1" customWidth="1"/>
    <col min="162" max="162" width="25.5546875" style="1" bestFit="1" customWidth="1"/>
    <col min="163" max="163" width="12.6640625" style="1" bestFit="1" customWidth="1"/>
    <col min="164" max="164" width="10.6640625" style="1" bestFit="1" customWidth="1"/>
    <col min="165" max="165" width="11" style="1" bestFit="1" customWidth="1"/>
    <col min="166" max="166" width="12.6640625" style="1" bestFit="1" customWidth="1"/>
    <col min="167" max="16384" width="11.5546875" style="1"/>
  </cols>
  <sheetData>
    <row r="1" spans="1:49" x14ac:dyDescent="0.3">
      <c r="A1" s="1321" t="s">
        <v>870</v>
      </c>
      <c r="B1" s="1322" t="s">
        <v>1403</v>
      </c>
      <c r="W1" s="493" t="s">
        <v>870</v>
      </c>
      <c r="X1" s="1" t="s">
        <v>2130</v>
      </c>
      <c r="Y1"/>
      <c r="Z1"/>
      <c r="AA1"/>
      <c r="AB1" s="493" t="s">
        <v>870</v>
      </c>
      <c r="AC1" s="1" t="s">
        <v>871</v>
      </c>
      <c r="AD1"/>
      <c r="AE1"/>
      <c r="AK1"/>
      <c r="AL1"/>
      <c r="AM1"/>
    </row>
    <row r="2" spans="1:49" x14ac:dyDescent="0.3">
      <c r="R2" s="493" t="s">
        <v>870</v>
      </c>
      <c r="S2" s="1" t="s">
        <v>1403</v>
      </c>
      <c r="W2"/>
      <c r="X2"/>
      <c r="Y2"/>
      <c r="Z2"/>
      <c r="AA2"/>
      <c r="AB2"/>
      <c r="AC2"/>
      <c r="AD2"/>
      <c r="AE2"/>
      <c r="AK2" s="63" t="s">
        <v>837</v>
      </c>
      <c r="AL2" t="s">
        <v>1403</v>
      </c>
      <c r="AM2"/>
      <c r="AN2" s="494"/>
      <c r="AO2" s="494"/>
      <c r="AP2" s="63" t="s">
        <v>837</v>
      </c>
      <c r="AQ2" t="s">
        <v>818</v>
      </c>
      <c r="AR2"/>
      <c r="AS2" s="494"/>
      <c r="AT2" s="494"/>
      <c r="AV2" s="1" t="s">
        <v>872</v>
      </c>
      <c r="AW2" s="1" t="s">
        <v>871</v>
      </c>
    </row>
    <row r="3" spans="1:49" x14ac:dyDescent="0.3">
      <c r="A3" s="1321" t="s">
        <v>1168</v>
      </c>
      <c r="B3" s="1321" t="s">
        <v>1082</v>
      </c>
      <c r="C3" s="1322"/>
      <c r="D3" s="1322"/>
      <c r="K3" s="1" t="s">
        <v>927</v>
      </c>
      <c r="L3" s="1" t="s">
        <v>928</v>
      </c>
      <c r="W3" s="493" t="s">
        <v>1168</v>
      </c>
      <c r="X3" s="493" t="s">
        <v>1082</v>
      </c>
      <c r="AB3" s="493" t="s">
        <v>1168</v>
      </c>
      <c r="AC3" s="493" t="s">
        <v>1082</v>
      </c>
      <c r="AG3" s="688" t="s">
        <v>853</v>
      </c>
      <c r="AH3" s="495">
        <f>IFERROR(GETPIVOTDATA("TURNO",$AB$3,"ESC.","PNS O/S","TURNO",AG3),0)</f>
        <v>1</v>
      </c>
      <c r="AI3" s="497">
        <f>IFERROR(GETPIVOTDATA("TURNO",$AB$3,"ESC.","PNI O/S","TURNO",AG3),0)</f>
        <v>0</v>
      </c>
      <c r="AK3"/>
      <c r="AL3"/>
      <c r="AM3"/>
      <c r="AN3" s="494"/>
      <c r="AO3" s="494"/>
      <c r="AP3"/>
      <c r="AQ3"/>
      <c r="AR3"/>
      <c r="AS3" s="494"/>
      <c r="AT3" s="494"/>
      <c r="AU3" s="1" t="s">
        <v>853</v>
      </c>
      <c r="AV3" s="1">
        <f>IFERROR(GETPIVOTDATA("GRADO",$AP$4,"REPARTICIÓN","40° COMISARIA COP","TURNO",AU3),0)</f>
        <v>0</v>
      </c>
      <c r="AW3" s="1">
        <f>IFERROR(GETPIVOTDATA("GRADO",$AP$4,"REPARTICIÓN","PREFECTURA COP","TURNO",AU3),0)</f>
        <v>0</v>
      </c>
    </row>
    <row r="4" spans="1:49" s="496" customFormat="1" x14ac:dyDescent="0.3">
      <c r="A4" s="1321" t="s">
        <v>914</v>
      </c>
      <c r="B4" s="1322" t="s">
        <v>918</v>
      </c>
      <c r="C4" s="1322" t="s">
        <v>917</v>
      </c>
      <c r="D4" s="1322" t="s">
        <v>915</v>
      </c>
      <c r="E4" s="1"/>
      <c r="F4" s="742" t="s">
        <v>853</v>
      </c>
      <c r="G4" s="743">
        <f>IFERROR(GETPIVOTDATA("TURNO",$A$3,"ESC.","PNS O/S","TURNO",F4),0)</f>
        <v>7</v>
      </c>
      <c r="H4" s="743">
        <f>IFERROR(GETPIVOTDATA("TURNO",$A$3,"ESC.","PNI O/S","TURNO",F4),0)</f>
        <v>86</v>
      </c>
      <c r="J4" s="744" t="s">
        <v>1527</v>
      </c>
      <c r="K4" s="744">
        <f>IFERROR(GETPIVOTDATA("DOTACIÓN ACTUAL",$A$31,"DOTACIÓN ACTUAL",J4,"ESC.","PNS O/S","TURNO","LIC."),0)</f>
        <v>0</v>
      </c>
      <c r="L4" s="744">
        <f>IFERROR(GETPIVOTDATA("DOTACIÓN ACTUAL",$A$31,"DOTACIÓN ACTUAL",J4,"ESC.","PNI O/S","TURNO","LIC."),0)</f>
        <v>2</v>
      </c>
      <c r="R4" s="493" t="s">
        <v>1528</v>
      </c>
      <c r="S4" s="493" t="s">
        <v>1082</v>
      </c>
      <c r="T4" s="1"/>
      <c r="U4" s="1"/>
      <c r="V4"/>
      <c r="W4" s="493" t="s">
        <v>914</v>
      </c>
      <c r="X4" s="1" t="s">
        <v>918</v>
      </c>
      <c r="Y4" s="1" t="s">
        <v>917</v>
      </c>
      <c r="Z4" s="1" t="s">
        <v>915</v>
      </c>
      <c r="AA4" s="1"/>
      <c r="AB4" s="493" t="s">
        <v>914</v>
      </c>
      <c r="AC4" s="1" t="s">
        <v>918</v>
      </c>
      <c r="AD4" s="1" t="s">
        <v>917</v>
      </c>
      <c r="AE4" s="1" t="s">
        <v>915</v>
      </c>
      <c r="AF4" s="1"/>
      <c r="AG4" s="688" t="s">
        <v>854</v>
      </c>
      <c r="AH4" s="495">
        <f t="shared" ref="AH4:AH21" si="0">IFERROR(GETPIVOTDATA("TURNO",$AB$3,"ESC.","PNS O/S","TURNO",AG4),0)</f>
        <v>0</v>
      </c>
      <c r="AI4" s="497">
        <f t="shared" ref="AI4:AI21" si="1">IFERROR(GETPIVOTDATA("TURNO",$AB$3,"ESC.","PNI O/S","TURNO",AG4),0)</f>
        <v>0</v>
      </c>
      <c r="AJ4" s="1"/>
      <c r="AK4" s="63" t="s">
        <v>1963</v>
      </c>
      <c r="AL4" s="63" t="s">
        <v>1082</v>
      </c>
      <c r="AM4"/>
      <c r="AN4"/>
      <c r="AO4"/>
      <c r="AP4" s="63" t="s">
        <v>1963</v>
      </c>
      <c r="AQ4" s="63" t="s">
        <v>1082</v>
      </c>
      <c r="AR4"/>
      <c r="AS4"/>
      <c r="AT4"/>
      <c r="AU4" t="s">
        <v>854</v>
      </c>
      <c r="AV4" s="1">
        <f t="shared" ref="AV4:AV21" si="2">IFERROR(GETPIVOTDATA("GRADO",$AP$4,"REPARTICIÓN","40° COMISARIA COP","TURNO",AU4),0)</f>
        <v>0</v>
      </c>
      <c r="AW4" s="1">
        <f t="shared" ref="AW4:AW21" si="3">IFERROR(GETPIVOTDATA("GRADO",$AP$4,"REPARTICIÓN","PREFECTURA COP","TURNO",AU4),0)</f>
        <v>0</v>
      </c>
    </row>
    <row r="5" spans="1:49" s="496" customFormat="1" x14ac:dyDescent="0.3">
      <c r="A5" s="1322" t="s">
        <v>853</v>
      </c>
      <c r="B5" s="1323">
        <v>7</v>
      </c>
      <c r="C5" s="1323">
        <v>86</v>
      </c>
      <c r="D5" s="1323">
        <v>93</v>
      </c>
      <c r="E5" s="1"/>
      <c r="F5" s="742" t="s">
        <v>854</v>
      </c>
      <c r="G5" s="743">
        <f t="shared" ref="G5:G22" si="4">IFERROR(GETPIVOTDATA("TURNO",$A$3,"ESC.","PNS O/S","TURNO",F5),0)</f>
        <v>1</v>
      </c>
      <c r="H5" s="743">
        <f t="shared" ref="H5:H22" si="5">IFERROR(GETPIVOTDATA("TURNO",$A$3,"ESC.","PNI O/S","TURNO",F5),0)</f>
        <v>12</v>
      </c>
      <c r="J5" s="745" t="s">
        <v>807</v>
      </c>
      <c r="K5" s="745">
        <f t="shared" ref="K5:K17" si="6">IFERROR(GETPIVOTDATA("DOTACIÓN ACTUAL",$A$31,"DOTACIÓN ACTUAL",J5,"ESC.","PNS O/S","TURNO","LIC."),0)</f>
        <v>0</v>
      </c>
      <c r="L5" s="745">
        <f t="shared" ref="L5:L17" si="7">IFERROR(GETPIVOTDATA("DOTACIÓN ACTUAL",$A$31,"DOTACIÓN ACTUAL",J5,"ESC.","PNI O/S","TURNO","LIC."),0)</f>
        <v>8</v>
      </c>
      <c r="R5" s="493" t="s">
        <v>914</v>
      </c>
      <c r="S5" s="1" t="s">
        <v>816</v>
      </c>
      <c r="T5" s="1" t="s">
        <v>817</v>
      </c>
      <c r="U5" s="1" t="s">
        <v>915</v>
      </c>
      <c r="V5"/>
      <c r="W5" s="1" t="s">
        <v>119</v>
      </c>
      <c r="X5" s="1320">
        <v>3</v>
      </c>
      <c r="Y5" s="1320"/>
      <c r="Z5" s="1320">
        <v>3</v>
      </c>
      <c r="AA5" s="1"/>
      <c r="AB5" s="1" t="s">
        <v>853</v>
      </c>
      <c r="AC5" s="1320">
        <v>1</v>
      </c>
      <c r="AD5" s="1320"/>
      <c r="AE5" s="1320">
        <v>1</v>
      </c>
      <c r="AF5" s="1"/>
      <c r="AG5" s="688" t="s">
        <v>2</v>
      </c>
      <c r="AH5" s="495">
        <f t="shared" si="0"/>
        <v>0</v>
      </c>
      <c r="AI5" s="497">
        <f t="shared" si="1"/>
        <v>0</v>
      </c>
      <c r="AJ5" s="1"/>
      <c r="AK5" s="63" t="s">
        <v>914</v>
      </c>
      <c r="AL5" t="s">
        <v>871</v>
      </c>
      <c r="AM5" t="s">
        <v>872</v>
      </c>
      <c r="AN5" t="s">
        <v>915</v>
      </c>
      <c r="AO5"/>
      <c r="AP5" s="63" t="s">
        <v>914</v>
      </c>
      <c r="AQ5" t="s">
        <v>872</v>
      </c>
      <c r="AR5" t="s">
        <v>871</v>
      </c>
      <c r="AS5" t="s">
        <v>915</v>
      </c>
      <c r="AT5"/>
      <c r="AU5" t="s">
        <v>2</v>
      </c>
      <c r="AV5" s="1">
        <f t="shared" si="2"/>
        <v>0</v>
      </c>
      <c r="AW5" s="1">
        <f t="shared" si="3"/>
        <v>0</v>
      </c>
    </row>
    <row r="6" spans="1:49" s="496" customFormat="1" x14ac:dyDescent="0.3">
      <c r="A6" s="1322" t="s">
        <v>909</v>
      </c>
      <c r="B6" s="1323">
        <v>2</v>
      </c>
      <c r="C6" s="1323">
        <v>38</v>
      </c>
      <c r="D6" s="1323">
        <v>40</v>
      </c>
      <c r="E6" s="1"/>
      <c r="F6" s="742" t="s">
        <v>2</v>
      </c>
      <c r="G6" s="743">
        <f t="shared" si="4"/>
        <v>1</v>
      </c>
      <c r="H6" s="743">
        <f t="shared" si="5"/>
        <v>32</v>
      </c>
      <c r="J6" s="744" t="s">
        <v>809</v>
      </c>
      <c r="K6" s="744">
        <f t="shared" si="6"/>
        <v>2</v>
      </c>
      <c r="L6" s="744">
        <f t="shared" si="7"/>
        <v>25</v>
      </c>
      <c r="R6" s="1" t="s">
        <v>918</v>
      </c>
      <c r="S6" s="1320">
        <v>16</v>
      </c>
      <c r="T6" s="1320">
        <v>3</v>
      </c>
      <c r="U6" s="1320">
        <v>19</v>
      </c>
      <c r="V6"/>
      <c r="W6" s="1" t="s">
        <v>1650</v>
      </c>
      <c r="X6" s="1320">
        <v>2</v>
      </c>
      <c r="Y6" s="1320"/>
      <c r="Z6" s="1320">
        <v>2</v>
      </c>
      <c r="AA6" s="1"/>
      <c r="AB6" s="1" t="s">
        <v>962</v>
      </c>
      <c r="AC6" s="1320"/>
      <c r="AD6" s="1320">
        <v>1</v>
      </c>
      <c r="AE6" s="1320">
        <v>1</v>
      </c>
      <c r="AF6" s="1"/>
      <c r="AG6" s="688" t="s">
        <v>1</v>
      </c>
      <c r="AH6" s="495">
        <f t="shared" si="0"/>
        <v>0</v>
      </c>
      <c r="AI6" s="497">
        <f t="shared" si="1"/>
        <v>0</v>
      </c>
      <c r="AJ6" s="1"/>
      <c r="AK6" s="1" t="s">
        <v>853</v>
      </c>
      <c r="AL6" s="1319">
        <v>1</v>
      </c>
      <c r="AM6" s="1319">
        <v>93</v>
      </c>
      <c r="AN6" s="1319">
        <v>94</v>
      </c>
      <c r="AO6"/>
      <c r="AP6" s="1" t="s">
        <v>1075</v>
      </c>
      <c r="AQ6" s="1319">
        <v>19</v>
      </c>
      <c r="AR6" s="1319">
        <v>5</v>
      </c>
      <c r="AS6" s="1319">
        <v>24</v>
      </c>
      <c r="AT6"/>
      <c r="AU6" t="s">
        <v>1</v>
      </c>
      <c r="AV6" s="1">
        <f t="shared" si="2"/>
        <v>0</v>
      </c>
      <c r="AW6" s="1">
        <f t="shared" si="3"/>
        <v>0</v>
      </c>
    </row>
    <row r="7" spans="1:49" s="496" customFormat="1" x14ac:dyDescent="0.3">
      <c r="A7" s="1322" t="s">
        <v>962</v>
      </c>
      <c r="B7" s="1323"/>
      <c r="C7" s="1323">
        <v>23</v>
      </c>
      <c r="D7" s="1323">
        <v>23</v>
      </c>
      <c r="E7" s="1"/>
      <c r="F7" s="742" t="s">
        <v>1</v>
      </c>
      <c r="G7" s="743">
        <f t="shared" si="4"/>
        <v>0</v>
      </c>
      <c r="H7" s="743">
        <f t="shared" si="5"/>
        <v>38</v>
      </c>
      <c r="J7" s="744" t="s">
        <v>810</v>
      </c>
      <c r="K7" s="744">
        <f t="shared" si="6"/>
        <v>0</v>
      </c>
      <c r="L7" s="744">
        <f t="shared" si="7"/>
        <v>1</v>
      </c>
      <c r="R7" s="1" t="s">
        <v>672</v>
      </c>
      <c r="S7" s="1320">
        <v>4</v>
      </c>
      <c r="T7" s="1320"/>
      <c r="U7" s="1320">
        <v>4</v>
      </c>
      <c r="V7"/>
      <c r="W7" s="1" t="s">
        <v>672</v>
      </c>
      <c r="X7" s="1320">
        <v>4</v>
      </c>
      <c r="Y7" s="1320"/>
      <c r="Z7" s="1320">
        <v>4</v>
      </c>
      <c r="AA7" s="1"/>
      <c r="AB7" s="1" t="s">
        <v>855</v>
      </c>
      <c r="AC7" s="1320">
        <v>3</v>
      </c>
      <c r="AD7" s="1320"/>
      <c r="AE7" s="1320">
        <v>3</v>
      </c>
      <c r="AF7" s="1"/>
      <c r="AG7" s="688" t="s">
        <v>6</v>
      </c>
      <c r="AH7" s="495">
        <f t="shared" si="0"/>
        <v>0</v>
      </c>
      <c r="AI7" s="497">
        <f t="shared" si="1"/>
        <v>0</v>
      </c>
      <c r="AJ7" s="1"/>
      <c r="AK7" s="1" t="s">
        <v>1075</v>
      </c>
      <c r="AL7" s="1319"/>
      <c r="AM7" s="1319">
        <v>34</v>
      </c>
      <c r="AN7" s="1319">
        <v>34</v>
      </c>
      <c r="AO7"/>
      <c r="AP7" s="1" t="s">
        <v>962</v>
      </c>
      <c r="AQ7" s="1319"/>
      <c r="AR7" s="1319">
        <v>1</v>
      </c>
      <c r="AS7" s="1319">
        <v>1</v>
      </c>
      <c r="AT7"/>
      <c r="AU7" t="s">
        <v>6</v>
      </c>
      <c r="AV7" s="1">
        <f t="shared" si="2"/>
        <v>0</v>
      </c>
      <c r="AW7" s="1">
        <f t="shared" si="3"/>
        <v>0</v>
      </c>
    </row>
    <row r="8" spans="1:49" s="496" customFormat="1" x14ac:dyDescent="0.3">
      <c r="A8" s="1322" t="s">
        <v>1075</v>
      </c>
      <c r="B8" s="1323"/>
      <c r="C8" s="1323">
        <v>34</v>
      </c>
      <c r="D8" s="1323">
        <v>34</v>
      </c>
      <c r="E8" s="1"/>
      <c r="F8" s="742" t="s">
        <v>6</v>
      </c>
      <c r="G8" s="743">
        <f t="shared" si="4"/>
        <v>1</v>
      </c>
      <c r="H8" s="743">
        <f t="shared" si="5"/>
        <v>17</v>
      </c>
      <c r="J8" s="744" t="s">
        <v>797</v>
      </c>
      <c r="K8" s="744">
        <f>IFERROR(GETPIVOTDATA("DOTACIÓN ACTUAL",$A$31,"DOTACIÓN ACTUAL",J8,"ESC.","PNS O/S","TURNO","LIC."),0)</f>
        <v>0</v>
      </c>
      <c r="L8" s="744">
        <f t="shared" si="7"/>
        <v>0</v>
      </c>
      <c r="R8" s="1" t="s">
        <v>1650</v>
      </c>
      <c r="S8" s="1320">
        <v>2</v>
      </c>
      <c r="T8" s="1320"/>
      <c r="U8" s="1320">
        <v>2</v>
      </c>
      <c r="V8"/>
      <c r="W8" s="1" t="s">
        <v>10</v>
      </c>
      <c r="X8" s="1320">
        <v>13</v>
      </c>
      <c r="Y8" s="1320"/>
      <c r="Z8" s="1320">
        <v>13</v>
      </c>
      <c r="AA8"/>
      <c r="AB8" s="1" t="s">
        <v>915</v>
      </c>
      <c r="AC8" s="1320">
        <v>4</v>
      </c>
      <c r="AD8" s="1320">
        <v>1</v>
      </c>
      <c r="AE8" s="1320">
        <v>5</v>
      </c>
      <c r="AF8" s="1"/>
      <c r="AG8" s="688" t="s">
        <v>855</v>
      </c>
      <c r="AH8" s="495">
        <f t="shared" si="0"/>
        <v>3</v>
      </c>
      <c r="AI8" s="497">
        <f t="shared" si="1"/>
        <v>0</v>
      </c>
      <c r="AJ8" s="1"/>
      <c r="AK8" s="1" t="s">
        <v>962</v>
      </c>
      <c r="AL8" s="1319">
        <v>1</v>
      </c>
      <c r="AM8" s="1319"/>
      <c r="AN8" s="1319">
        <v>1</v>
      </c>
      <c r="AO8"/>
      <c r="AP8" s="1" t="s">
        <v>909</v>
      </c>
      <c r="AQ8" s="1319">
        <v>1</v>
      </c>
      <c r="AR8" s="1319"/>
      <c r="AS8" s="1319">
        <v>1</v>
      </c>
      <c r="AT8"/>
      <c r="AU8" t="s">
        <v>855</v>
      </c>
      <c r="AV8" s="1">
        <f t="shared" si="2"/>
        <v>0</v>
      </c>
      <c r="AW8" s="1">
        <f t="shared" si="3"/>
        <v>0</v>
      </c>
    </row>
    <row r="9" spans="1:49" s="496" customFormat="1" x14ac:dyDescent="0.3">
      <c r="A9" s="1322" t="s">
        <v>2125</v>
      </c>
      <c r="B9" s="1323">
        <v>1</v>
      </c>
      <c r="C9" s="1323">
        <v>35</v>
      </c>
      <c r="D9" s="1323">
        <v>36</v>
      </c>
      <c r="E9" s="1"/>
      <c r="F9" s="742" t="s">
        <v>855</v>
      </c>
      <c r="G9" s="743">
        <f t="shared" si="4"/>
        <v>6</v>
      </c>
      <c r="H9" s="743">
        <f t="shared" si="5"/>
        <v>86</v>
      </c>
      <c r="J9" s="744" t="s">
        <v>798</v>
      </c>
      <c r="K9" s="744">
        <f t="shared" si="6"/>
        <v>0</v>
      </c>
      <c r="L9" s="744">
        <f t="shared" si="7"/>
        <v>1</v>
      </c>
      <c r="R9" s="1" t="s">
        <v>10</v>
      </c>
      <c r="S9" s="1320">
        <v>10</v>
      </c>
      <c r="T9" s="1320">
        <v>3</v>
      </c>
      <c r="U9" s="1320">
        <v>13</v>
      </c>
      <c r="V9"/>
      <c r="W9" s="1" t="s">
        <v>11</v>
      </c>
      <c r="X9" s="1320"/>
      <c r="Y9" s="1320">
        <v>9</v>
      </c>
      <c r="Z9" s="1320">
        <v>9</v>
      </c>
      <c r="AA9"/>
      <c r="AB9"/>
      <c r="AC9"/>
      <c r="AD9"/>
      <c r="AE9"/>
      <c r="AF9" s="1"/>
      <c r="AG9" s="688" t="s">
        <v>944</v>
      </c>
      <c r="AH9" s="495">
        <f t="shared" si="0"/>
        <v>0</v>
      </c>
      <c r="AI9" s="497">
        <f t="shared" si="1"/>
        <v>0</v>
      </c>
      <c r="AJ9" s="1"/>
      <c r="AK9" s="1" t="s">
        <v>909</v>
      </c>
      <c r="AL9" s="1319"/>
      <c r="AM9" s="1319">
        <v>40</v>
      </c>
      <c r="AN9" s="1319">
        <v>40</v>
      </c>
      <c r="AO9"/>
      <c r="AP9" s="1" t="s">
        <v>915</v>
      </c>
      <c r="AQ9" s="1319">
        <v>20</v>
      </c>
      <c r="AR9" s="1319">
        <v>6</v>
      </c>
      <c r="AS9" s="1319">
        <v>26</v>
      </c>
      <c r="AT9"/>
      <c r="AU9" t="s">
        <v>944</v>
      </c>
      <c r="AV9" s="1">
        <f t="shared" si="2"/>
        <v>0</v>
      </c>
      <c r="AW9" s="1">
        <f t="shared" si="3"/>
        <v>0</v>
      </c>
    </row>
    <row r="10" spans="1:49" s="496" customFormat="1" x14ac:dyDescent="0.3">
      <c r="A10" s="1322" t="s">
        <v>885</v>
      </c>
      <c r="B10" s="1323"/>
      <c r="C10" s="1323">
        <v>7</v>
      </c>
      <c r="D10" s="1323">
        <v>7</v>
      </c>
      <c r="E10" s="1"/>
      <c r="F10" s="742" t="s">
        <v>944</v>
      </c>
      <c r="G10" s="743">
        <f t="shared" si="4"/>
        <v>0</v>
      </c>
      <c r="H10" s="743">
        <f t="shared" si="5"/>
        <v>6</v>
      </c>
      <c r="J10" s="744" t="s">
        <v>811</v>
      </c>
      <c r="K10" s="744">
        <f t="shared" si="6"/>
        <v>0</v>
      </c>
      <c r="L10" s="744">
        <f t="shared" si="7"/>
        <v>1</v>
      </c>
      <c r="R10" s="1" t="s">
        <v>917</v>
      </c>
      <c r="S10" s="1320">
        <v>373</v>
      </c>
      <c r="T10" s="1320">
        <v>49</v>
      </c>
      <c r="U10" s="1320">
        <v>422</v>
      </c>
      <c r="V10"/>
      <c r="W10" s="1" t="s">
        <v>17</v>
      </c>
      <c r="X10" s="1320"/>
      <c r="Y10" s="1320">
        <v>28</v>
      </c>
      <c r="Z10" s="1320">
        <v>28</v>
      </c>
      <c r="AA10"/>
      <c r="AB10"/>
      <c r="AC10"/>
      <c r="AD10"/>
      <c r="AE10"/>
      <c r="AF10" s="1"/>
      <c r="AG10" s="688" t="s">
        <v>945</v>
      </c>
      <c r="AH10" s="495">
        <f t="shared" si="0"/>
        <v>0</v>
      </c>
      <c r="AI10" s="497">
        <f t="shared" si="1"/>
        <v>0</v>
      </c>
      <c r="AJ10" s="1"/>
      <c r="AK10" s="1" t="s">
        <v>2125</v>
      </c>
      <c r="AL10" s="1319"/>
      <c r="AM10" s="1319">
        <v>36</v>
      </c>
      <c r="AN10" s="1319">
        <v>36</v>
      </c>
      <c r="AO10"/>
      <c r="AP10"/>
      <c r="AQ10"/>
      <c r="AR10"/>
      <c r="AS10"/>
      <c r="AT10"/>
      <c r="AU10" t="s">
        <v>945</v>
      </c>
      <c r="AV10" s="1">
        <f t="shared" si="2"/>
        <v>0</v>
      </c>
      <c r="AW10" s="1">
        <f t="shared" si="3"/>
        <v>0</v>
      </c>
    </row>
    <row r="11" spans="1:49" s="496" customFormat="1" x14ac:dyDescent="0.3">
      <c r="A11" s="1322" t="s">
        <v>854</v>
      </c>
      <c r="B11" s="1323">
        <v>1</v>
      </c>
      <c r="C11" s="1323">
        <v>12</v>
      </c>
      <c r="D11" s="1323">
        <v>13</v>
      </c>
      <c r="E11" s="1"/>
      <c r="F11" s="742" t="s">
        <v>945</v>
      </c>
      <c r="G11" s="743">
        <f t="shared" si="4"/>
        <v>0</v>
      </c>
      <c r="H11" s="743">
        <f t="shared" si="5"/>
        <v>3</v>
      </c>
      <c r="J11" s="744" t="s">
        <v>808</v>
      </c>
      <c r="K11" s="744">
        <f t="shared" si="6"/>
        <v>0</v>
      </c>
      <c r="L11" s="744">
        <f t="shared" si="7"/>
        <v>0</v>
      </c>
      <c r="R11" s="1" t="s">
        <v>11</v>
      </c>
      <c r="S11" s="1320">
        <v>9</v>
      </c>
      <c r="T11" s="1320"/>
      <c r="U11" s="1320">
        <v>9</v>
      </c>
      <c r="V11"/>
      <c r="W11" s="1" t="s">
        <v>89</v>
      </c>
      <c r="X11" s="1320"/>
      <c r="Y11" s="1320">
        <v>49</v>
      </c>
      <c r="Z11" s="1320">
        <v>49</v>
      </c>
      <c r="AA11"/>
      <c r="AB11"/>
      <c r="AC11"/>
      <c r="AD11"/>
      <c r="AE11"/>
      <c r="AF11" s="1"/>
      <c r="AG11" s="688" t="s">
        <v>1075</v>
      </c>
      <c r="AH11" s="495">
        <f t="shared" si="0"/>
        <v>0</v>
      </c>
      <c r="AI11" s="497">
        <f t="shared" si="1"/>
        <v>0</v>
      </c>
      <c r="AJ11" s="1"/>
      <c r="AK11" s="1" t="s">
        <v>885</v>
      </c>
      <c r="AL11" s="1319"/>
      <c r="AM11" s="1319">
        <v>7</v>
      </c>
      <c r="AN11" s="1319">
        <v>7</v>
      </c>
      <c r="AO11"/>
      <c r="AP11"/>
      <c r="AQ11"/>
      <c r="AR11"/>
      <c r="AS11"/>
      <c r="AT11"/>
      <c r="AU11" t="s">
        <v>1075</v>
      </c>
      <c r="AV11" s="1">
        <f t="shared" si="2"/>
        <v>19</v>
      </c>
      <c r="AW11" s="1">
        <f t="shared" si="3"/>
        <v>5</v>
      </c>
    </row>
    <row r="12" spans="1:49" x14ac:dyDescent="0.3">
      <c r="A12" s="1322" t="s">
        <v>1083</v>
      </c>
      <c r="B12" s="1323"/>
      <c r="C12" s="1323">
        <v>1</v>
      </c>
      <c r="D12" s="1323">
        <v>1</v>
      </c>
      <c r="F12" s="742" t="s">
        <v>1075</v>
      </c>
      <c r="G12" s="743">
        <f t="shared" si="4"/>
        <v>0</v>
      </c>
      <c r="H12" s="743">
        <f t="shared" si="5"/>
        <v>34</v>
      </c>
      <c r="J12" s="744" t="s">
        <v>799</v>
      </c>
      <c r="K12" s="744">
        <f t="shared" si="6"/>
        <v>0</v>
      </c>
      <c r="L12" s="744">
        <f t="shared" si="7"/>
        <v>0</v>
      </c>
      <c r="R12" s="1" t="s">
        <v>17</v>
      </c>
      <c r="S12" s="1320">
        <v>26</v>
      </c>
      <c r="T12" s="1320">
        <v>2</v>
      </c>
      <c r="U12" s="1320">
        <v>28</v>
      </c>
      <c r="V12"/>
      <c r="W12" s="1" t="s">
        <v>209</v>
      </c>
      <c r="X12" s="1320"/>
      <c r="Y12" s="1320">
        <v>93</v>
      </c>
      <c r="Z12" s="1320">
        <v>93</v>
      </c>
      <c r="AA12"/>
      <c r="AB12"/>
      <c r="AC12"/>
      <c r="AD12"/>
      <c r="AE12"/>
      <c r="AG12" s="688" t="s">
        <v>881</v>
      </c>
      <c r="AH12" s="495">
        <f t="shared" si="0"/>
        <v>0</v>
      </c>
      <c r="AI12" s="497">
        <f t="shared" si="1"/>
        <v>0</v>
      </c>
      <c r="AK12" s="1" t="s">
        <v>854</v>
      </c>
      <c r="AL12" s="1319"/>
      <c r="AM12" s="1319">
        <v>13</v>
      </c>
      <c r="AN12" s="1319">
        <v>13</v>
      </c>
      <c r="AO12"/>
      <c r="AP12"/>
      <c r="AQ12"/>
      <c r="AR12"/>
      <c r="AS12"/>
      <c r="AT12"/>
      <c r="AU12" t="s">
        <v>881</v>
      </c>
      <c r="AV12" s="1">
        <f t="shared" si="2"/>
        <v>0</v>
      </c>
      <c r="AW12" s="1">
        <f t="shared" si="3"/>
        <v>0</v>
      </c>
    </row>
    <row r="13" spans="1:49" s="496" customFormat="1" x14ac:dyDescent="0.3">
      <c r="A13" s="1322" t="s">
        <v>855</v>
      </c>
      <c r="B13" s="1323">
        <v>6</v>
      </c>
      <c r="C13" s="1323">
        <v>86</v>
      </c>
      <c r="D13" s="1323">
        <v>92</v>
      </c>
      <c r="E13" s="1"/>
      <c r="F13" s="742" t="s">
        <v>881</v>
      </c>
      <c r="G13" s="743">
        <f t="shared" si="4"/>
        <v>0</v>
      </c>
      <c r="H13" s="743">
        <f t="shared" si="5"/>
        <v>0</v>
      </c>
      <c r="J13" s="744" t="s">
        <v>812</v>
      </c>
      <c r="K13" s="744">
        <f t="shared" si="6"/>
        <v>0</v>
      </c>
      <c r="L13" s="744">
        <f t="shared" si="7"/>
        <v>0</v>
      </c>
      <c r="R13" s="1" t="s">
        <v>89</v>
      </c>
      <c r="S13" s="1320">
        <v>47</v>
      </c>
      <c r="T13" s="1320">
        <v>2</v>
      </c>
      <c r="U13" s="1320">
        <v>49</v>
      </c>
      <c r="V13"/>
      <c r="W13" s="1" t="s">
        <v>3</v>
      </c>
      <c r="X13" s="1320"/>
      <c r="Y13" s="1320">
        <v>96</v>
      </c>
      <c r="Z13" s="1320">
        <v>96</v>
      </c>
      <c r="AA13"/>
      <c r="AB13"/>
      <c r="AC13"/>
      <c r="AD13"/>
      <c r="AE13"/>
      <c r="AF13" s="1"/>
      <c r="AG13" s="688" t="s">
        <v>962</v>
      </c>
      <c r="AH13" s="495">
        <f t="shared" si="0"/>
        <v>0</v>
      </c>
      <c r="AI13" s="497">
        <f t="shared" si="1"/>
        <v>1</v>
      </c>
      <c r="AJ13" s="1"/>
      <c r="AK13" s="1" t="s">
        <v>1083</v>
      </c>
      <c r="AL13" s="1319"/>
      <c r="AM13" s="1319">
        <v>1</v>
      </c>
      <c r="AN13" s="1319">
        <v>1</v>
      </c>
      <c r="AO13"/>
      <c r="AP13"/>
      <c r="AQ13"/>
      <c r="AR13"/>
      <c r="AS13"/>
      <c r="AT13"/>
      <c r="AU13" t="s">
        <v>962</v>
      </c>
      <c r="AV13" s="1">
        <f t="shared" si="2"/>
        <v>0</v>
      </c>
      <c r="AW13" s="1">
        <f t="shared" si="3"/>
        <v>1</v>
      </c>
    </row>
    <row r="14" spans="1:49" s="496" customFormat="1" x14ac:dyDescent="0.3">
      <c r="A14" s="1322" t="s">
        <v>2</v>
      </c>
      <c r="B14" s="1323">
        <v>1</v>
      </c>
      <c r="C14" s="1323">
        <v>32</v>
      </c>
      <c r="D14" s="1323">
        <v>33</v>
      </c>
      <c r="E14" s="1"/>
      <c r="F14" s="742" t="s">
        <v>962</v>
      </c>
      <c r="G14" s="743">
        <f t="shared" si="4"/>
        <v>0</v>
      </c>
      <c r="H14" s="743">
        <f t="shared" si="5"/>
        <v>23</v>
      </c>
      <c r="J14" s="745" t="s">
        <v>910</v>
      </c>
      <c r="K14" s="745">
        <f t="shared" si="6"/>
        <v>0</v>
      </c>
      <c r="L14" s="745">
        <f t="shared" si="7"/>
        <v>0</v>
      </c>
      <c r="R14" s="1" t="s">
        <v>209</v>
      </c>
      <c r="S14" s="1320">
        <v>89</v>
      </c>
      <c r="T14" s="1320">
        <v>3</v>
      </c>
      <c r="U14" s="1320">
        <v>92</v>
      </c>
      <c r="V14"/>
      <c r="W14" s="1" t="s">
        <v>4</v>
      </c>
      <c r="X14" s="1320"/>
      <c r="Y14" s="1320">
        <v>135</v>
      </c>
      <c r="Z14" s="1320">
        <v>135</v>
      </c>
      <c r="AA14"/>
      <c r="AB14"/>
      <c r="AC14"/>
      <c r="AD14"/>
      <c r="AE14"/>
      <c r="AF14" s="1"/>
      <c r="AG14" s="688" t="s">
        <v>1234</v>
      </c>
      <c r="AH14" s="495">
        <f t="shared" si="0"/>
        <v>0</v>
      </c>
      <c r="AI14" s="497">
        <f t="shared" si="1"/>
        <v>0</v>
      </c>
      <c r="AJ14" s="1"/>
      <c r="AK14" s="1" t="s">
        <v>855</v>
      </c>
      <c r="AL14" s="1319">
        <v>3</v>
      </c>
      <c r="AM14" s="1319">
        <v>92</v>
      </c>
      <c r="AN14" s="1319">
        <v>95</v>
      </c>
      <c r="AO14"/>
      <c r="AP14"/>
      <c r="AQ14"/>
      <c r="AR14"/>
      <c r="AS14"/>
      <c r="AT14"/>
      <c r="AU14" t="s">
        <v>1234</v>
      </c>
      <c r="AV14" s="1">
        <f t="shared" si="2"/>
        <v>0</v>
      </c>
      <c r="AW14" s="1">
        <f t="shared" si="3"/>
        <v>0</v>
      </c>
    </row>
    <row r="15" spans="1:49" x14ac:dyDescent="0.3">
      <c r="A15" s="1322" t="s">
        <v>1</v>
      </c>
      <c r="B15" s="1323"/>
      <c r="C15" s="1323">
        <v>38</v>
      </c>
      <c r="D15" s="1323">
        <v>38</v>
      </c>
      <c r="F15" s="742" t="s">
        <v>1234</v>
      </c>
      <c r="G15" s="743">
        <f t="shared" si="4"/>
        <v>0</v>
      </c>
      <c r="H15" s="743">
        <f t="shared" si="5"/>
        <v>0</v>
      </c>
      <c r="J15" s="745" t="s">
        <v>911</v>
      </c>
      <c r="K15" s="745">
        <f t="shared" si="6"/>
        <v>0</v>
      </c>
      <c r="L15" s="745">
        <f t="shared" si="7"/>
        <v>0</v>
      </c>
      <c r="R15" s="1" t="s">
        <v>3</v>
      </c>
      <c r="S15" s="1320">
        <v>84</v>
      </c>
      <c r="T15" s="1320">
        <v>12</v>
      </c>
      <c r="U15" s="1320">
        <v>96</v>
      </c>
      <c r="V15"/>
      <c r="W15" s="1" t="s">
        <v>14</v>
      </c>
      <c r="X15" s="1320"/>
      <c r="Y15" s="1320">
        <v>13</v>
      </c>
      <c r="Z15" s="1320">
        <v>13</v>
      </c>
      <c r="AA15"/>
      <c r="AB15"/>
      <c r="AC15"/>
      <c r="AD15"/>
      <c r="AE15"/>
      <c r="AG15" s="688" t="s">
        <v>883</v>
      </c>
      <c r="AH15" s="495">
        <f t="shared" si="0"/>
        <v>0</v>
      </c>
      <c r="AI15" s="497">
        <f t="shared" si="1"/>
        <v>0</v>
      </c>
      <c r="AK15" s="1" t="s">
        <v>2</v>
      </c>
      <c r="AL15" s="1319"/>
      <c r="AM15" s="1319">
        <v>33</v>
      </c>
      <c r="AN15" s="1319">
        <v>33</v>
      </c>
      <c r="AO15"/>
      <c r="AP15"/>
      <c r="AQ15"/>
      <c r="AR15"/>
      <c r="AS15"/>
      <c r="AT15"/>
      <c r="AU15" t="s">
        <v>883</v>
      </c>
      <c r="AV15" s="1">
        <f t="shared" si="2"/>
        <v>0</v>
      </c>
      <c r="AW15" s="1">
        <f t="shared" si="3"/>
        <v>0</v>
      </c>
    </row>
    <row r="16" spans="1:49" s="496" customFormat="1" x14ac:dyDescent="0.3">
      <c r="A16" s="1322" t="s">
        <v>944</v>
      </c>
      <c r="B16" s="1323"/>
      <c r="C16" s="1323">
        <v>6</v>
      </c>
      <c r="D16" s="1323">
        <v>6</v>
      </c>
      <c r="E16" s="1"/>
      <c r="F16" s="742" t="s">
        <v>883</v>
      </c>
      <c r="G16" s="743">
        <f t="shared" si="4"/>
        <v>0</v>
      </c>
      <c r="H16" s="743">
        <f t="shared" si="5"/>
        <v>0</v>
      </c>
      <c r="J16" s="744" t="s">
        <v>1636</v>
      </c>
      <c r="K16" s="744">
        <f t="shared" si="6"/>
        <v>0</v>
      </c>
      <c r="L16" s="744">
        <f t="shared" si="7"/>
        <v>0</v>
      </c>
      <c r="R16" s="1" t="s">
        <v>4</v>
      </c>
      <c r="S16" s="1320">
        <v>106</v>
      </c>
      <c r="T16" s="1320">
        <v>29</v>
      </c>
      <c r="U16" s="1320">
        <v>135</v>
      </c>
      <c r="V16"/>
      <c r="W16" s="1" t="s">
        <v>120</v>
      </c>
      <c r="X16" s="1320">
        <v>1</v>
      </c>
      <c r="Y16" s="1320"/>
      <c r="Z16" s="1320">
        <v>1</v>
      </c>
      <c r="AA16"/>
      <c r="AB16"/>
      <c r="AC16"/>
      <c r="AD16"/>
      <c r="AE16"/>
      <c r="AF16" s="1"/>
      <c r="AG16" s="688" t="s">
        <v>909</v>
      </c>
      <c r="AH16" s="495">
        <f t="shared" si="0"/>
        <v>0</v>
      </c>
      <c r="AI16" s="497">
        <f t="shared" si="1"/>
        <v>0</v>
      </c>
      <c r="AJ16" s="1"/>
      <c r="AK16" s="1" t="s">
        <v>1</v>
      </c>
      <c r="AL16" s="1319"/>
      <c r="AM16" s="1319">
        <v>38</v>
      </c>
      <c r="AN16" s="1319">
        <v>38</v>
      </c>
      <c r="AO16"/>
      <c r="AP16"/>
      <c r="AQ16"/>
      <c r="AR16"/>
      <c r="AS16"/>
      <c r="AT16"/>
      <c r="AU16" t="s">
        <v>909</v>
      </c>
      <c r="AV16" s="1">
        <f t="shared" si="2"/>
        <v>1</v>
      </c>
      <c r="AW16" s="1">
        <f t="shared" si="3"/>
        <v>0</v>
      </c>
    </row>
    <row r="17" spans="1:49" s="496" customFormat="1" x14ac:dyDescent="0.3">
      <c r="A17" s="1322" t="s">
        <v>945</v>
      </c>
      <c r="B17" s="1323"/>
      <c r="C17" s="1323">
        <v>3</v>
      </c>
      <c r="D17" s="1323">
        <v>3</v>
      </c>
      <c r="E17" s="1"/>
      <c r="F17" s="502" t="s">
        <v>909</v>
      </c>
      <c r="G17" s="501">
        <f t="shared" si="4"/>
        <v>2</v>
      </c>
      <c r="H17" s="501">
        <f t="shared" si="5"/>
        <v>38</v>
      </c>
      <c r="J17" s="744" t="s">
        <v>718</v>
      </c>
      <c r="K17" s="744">
        <f t="shared" si="6"/>
        <v>0</v>
      </c>
      <c r="L17" s="744">
        <f t="shared" si="7"/>
        <v>0</v>
      </c>
      <c r="R17" s="1" t="s">
        <v>14</v>
      </c>
      <c r="S17" s="1320">
        <v>12</v>
      </c>
      <c r="T17" s="1320">
        <v>1</v>
      </c>
      <c r="U17" s="1320">
        <v>13</v>
      </c>
      <c r="V17"/>
      <c r="W17" s="1" t="s">
        <v>915</v>
      </c>
      <c r="X17" s="1320">
        <v>23</v>
      </c>
      <c r="Y17" s="1320">
        <v>423</v>
      </c>
      <c r="Z17" s="1320">
        <v>446</v>
      </c>
      <c r="AA17"/>
      <c r="AB17"/>
      <c r="AC17"/>
      <c r="AD17"/>
      <c r="AE17"/>
      <c r="AF17" s="1"/>
      <c r="AG17" s="688" t="s">
        <v>885</v>
      </c>
      <c r="AH17" s="495">
        <f t="shared" si="0"/>
        <v>0</v>
      </c>
      <c r="AI17" s="497">
        <f t="shared" si="1"/>
        <v>0</v>
      </c>
      <c r="AJ17" s="1"/>
      <c r="AK17" s="1" t="s">
        <v>944</v>
      </c>
      <c r="AL17" s="1319"/>
      <c r="AM17" s="1319">
        <v>6</v>
      </c>
      <c r="AN17" s="1319">
        <v>6</v>
      </c>
      <c r="AO17"/>
      <c r="AP17"/>
      <c r="AQ17"/>
      <c r="AR17"/>
      <c r="AS17"/>
      <c r="AT17"/>
      <c r="AU17" t="s">
        <v>885</v>
      </c>
      <c r="AV17" s="1">
        <f t="shared" si="2"/>
        <v>0</v>
      </c>
      <c r="AW17" s="1">
        <f t="shared" si="3"/>
        <v>0</v>
      </c>
    </row>
    <row r="18" spans="1:49" s="496" customFormat="1" x14ac:dyDescent="0.3">
      <c r="A18" s="1322" t="s">
        <v>884</v>
      </c>
      <c r="B18" s="1323"/>
      <c r="C18" s="1323">
        <v>4</v>
      </c>
      <c r="D18" s="1323">
        <v>4</v>
      </c>
      <c r="E18" s="1"/>
      <c r="F18" s="742" t="s">
        <v>885</v>
      </c>
      <c r="G18" s="743">
        <f t="shared" si="4"/>
        <v>0</v>
      </c>
      <c r="H18" s="743">
        <f t="shared" si="5"/>
        <v>7</v>
      </c>
      <c r="J18" s="745" t="s">
        <v>1831</v>
      </c>
      <c r="K18" s="745">
        <f>SUM(K16:K17,K6:K13,K4)</f>
        <v>2</v>
      </c>
      <c r="L18" s="745">
        <f>SUM(L16:L17,L6:L13,L4)</f>
        <v>30</v>
      </c>
      <c r="R18" s="1" t="s">
        <v>915</v>
      </c>
      <c r="S18" s="1320">
        <v>389</v>
      </c>
      <c r="T18" s="1320">
        <v>52</v>
      </c>
      <c r="U18" s="1320">
        <v>441</v>
      </c>
      <c r="V18"/>
      <c r="W18"/>
      <c r="X18"/>
      <c r="Y18"/>
      <c r="Z18"/>
      <c r="AA18"/>
      <c r="AB18"/>
      <c r="AC18"/>
      <c r="AD18"/>
      <c r="AE18"/>
      <c r="AF18" s="1"/>
      <c r="AG18" s="688" t="s">
        <v>884</v>
      </c>
      <c r="AH18" s="495">
        <f t="shared" si="0"/>
        <v>0</v>
      </c>
      <c r="AI18" s="497">
        <f t="shared" si="1"/>
        <v>0</v>
      </c>
      <c r="AJ18" s="1"/>
      <c r="AK18" s="1" t="s">
        <v>945</v>
      </c>
      <c r="AL18" s="1319"/>
      <c r="AM18" s="1319">
        <v>3</v>
      </c>
      <c r="AN18" s="1319">
        <v>3</v>
      </c>
      <c r="AO18"/>
      <c r="AP18"/>
      <c r="AQ18"/>
      <c r="AR18"/>
      <c r="AS18"/>
      <c r="AT18"/>
      <c r="AU18" t="s">
        <v>884</v>
      </c>
      <c r="AV18" s="1">
        <f t="shared" si="2"/>
        <v>0</v>
      </c>
      <c r="AW18" s="1">
        <f t="shared" si="3"/>
        <v>0</v>
      </c>
    </row>
    <row r="19" spans="1:49" x14ac:dyDescent="0.3">
      <c r="A19" s="1322" t="s">
        <v>6</v>
      </c>
      <c r="B19" s="1323">
        <v>1</v>
      </c>
      <c r="C19" s="1323">
        <v>17</v>
      </c>
      <c r="D19" s="1323">
        <v>18</v>
      </c>
      <c r="F19" s="502" t="s">
        <v>884</v>
      </c>
      <c r="G19" s="501">
        <f t="shared" si="4"/>
        <v>0</v>
      </c>
      <c r="H19" s="501">
        <f t="shared" si="5"/>
        <v>4</v>
      </c>
      <c r="J19" s="496"/>
      <c r="K19" s="496"/>
      <c r="L19" s="496"/>
      <c r="R19"/>
      <c r="S19"/>
      <c r="T19"/>
      <c r="U19"/>
      <c r="V19"/>
      <c r="W19"/>
      <c r="X19"/>
      <c r="Y19"/>
      <c r="Z19"/>
      <c r="AA19"/>
      <c r="AB19"/>
      <c r="AC19"/>
      <c r="AD19"/>
      <c r="AE19"/>
      <c r="AG19" s="688" t="s">
        <v>1083</v>
      </c>
      <c r="AH19" s="495">
        <f t="shared" si="0"/>
        <v>0</v>
      </c>
      <c r="AI19" s="497">
        <f t="shared" si="1"/>
        <v>0</v>
      </c>
      <c r="AK19" s="1" t="s">
        <v>884</v>
      </c>
      <c r="AL19" s="1319"/>
      <c r="AM19" s="1319">
        <v>4</v>
      </c>
      <c r="AN19" s="1319">
        <v>4</v>
      </c>
      <c r="AO19"/>
      <c r="AP19"/>
      <c r="AQ19"/>
      <c r="AR19"/>
      <c r="AS19"/>
      <c r="AT19"/>
      <c r="AU19" t="s">
        <v>1083</v>
      </c>
      <c r="AV19" s="1">
        <f t="shared" si="2"/>
        <v>0</v>
      </c>
      <c r="AW19" s="1">
        <f t="shared" si="3"/>
        <v>0</v>
      </c>
    </row>
    <row r="20" spans="1:49" x14ac:dyDescent="0.3">
      <c r="A20" s="1322" t="s">
        <v>915</v>
      </c>
      <c r="B20" s="1323">
        <v>19</v>
      </c>
      <c r="C20" s="1323">
        <v>422</v>
      </c>
      <c r="D20" s="1323">
        <v>441</v>
      </c>
      <c r="F20" s="742" t="s">
        <v>1083</v>
      </c>
      <c r="G20" s="743">
        <f t="shared" si="4"/>
        <v>0</v>
      </c>
      <c r="H20" s="743">
        <f t="shared" si="5"/>
        <v>1</v>
      </c>
      <c r="J20" s="497" t="s">
        <v>874</v>
      </c>
      <c r="K20" s="495">
        <f>IFERROR(GETPIVOTDATA("TURNO",$H$31,"REPARTICIÓN","DENTRO ZONA","ESC.","PNS O/S"),0)</f>
        <v>0</v>
      </c>
      <c r="L20" s="495">
        <f>GETPIVOTDATA("TURNO",$H$31,"REPARTICIÓN","DENTRO ZONA","ESC.","PNI O/S")</f>
        <v>21</v>
      </c>
      <c r="R20"/>
      <c r="S20"/>
      <c r="T20"/>
      <c r="U20"/>
      <c r="W20"/>
      <c r="X20"/>
      <c r="Y20"/>
      <c r="Z20"/>
      <c r="AA20"/>
      <c r="AB20"/>
      <c r="AC20"/>
      <c r="AD20"/>
      <c r="AE20"/>
      <c r="AG20" s="688" t="s">
        <v>1074</v>
      </c>
      <c r="AH20" s="495">
        <f t="shared" si="0"/>
        <v>0</v>
      </c>
      <c r="AI20" s="497">
        <f t="shared" si="1"/>
        <v>0</v>
      </c>
      <c r="AK20" s="1" t="s">
        <v>6</v>
      </c>
      <c r="AL20" s="1319"/>
      <c r="AM20" s="1319">
        <v>18</v>
      </c>
      <c r="AN20" s="1319">
        <v>18</v>
      </c>
      <c r="AO20"/>
      <c r="AP20"/>
      <c r="AQ20"/>
      <c r="AR20"/>
      <c r="AS20"/>
      <c r="AT20"/>
      <c r="AU20" t="s">
        <v>1074</v>
      </c>
      <c r="AV20" s="1">
        <f t="shared" si="2"/>
        <v>0</v>
      </c>
      <c r="AW20" s="1">
        <f t="shared" si="3"/>
        <v>0</v>
      </c>
    </row>
    <row r="21" spans="1:49" x14ac:dyDescent="0.3">
      <c r="A21"/>
      <c r="B21"/>
      <c r="C21"/>
      <c r="D21"/>
      <c r="F21" s="742" t="s">
        <v>1074</v>
      </c>
      <c r="G21" s="743">
        <f t="shared" si="4"/>
        <v>0</v>
      </c>
      <c r="H21" s="743">
        <f t="shared" si="5"/>
        <v>0</v>
      </c>
      <c r="J21" s="497" t="s">
        <v>873</v>
      </c>
      <c r="K21" s="495">
        <f>IFERROR(GETPIVOTDATA("TURNO",$H$31,"REPARTICIÓN","FUERA ZONA","ESC.","PNS O/S"),0)</f>
        <v>0</v>
      </c>
      <c r="L21" s="495">
        <f>GETPIVOTDATA("TURNO",$H$31,"REPARTICIÓN","FUERA ZONA","ESC.","PNI O/S")</f>
        <v>2</v>
      </c>
      <c r="R21"/>
      <c r="S21"/>
      <c r="T21"/>
      <c r="U21"/>
      <c r="W21"/>
      <c r="X21"/>
      <c r="Y21"/>
      <c r="Z21"/>
      <c r="AA21"/>
      <c r="AB21"/>
      <c r="AC21"/>
      <c r="AD21"/>
      <c r="AE21"/>
      <c r="AG21" s="688" t="s">
        <v>2125</v>
      </c>
      <c r="AH21" s="495">
        <f t="shared" si="0"/>
        <v>0</v>
      </c>
      <c r="AI21" s="497">
        <f t="shared" si="1"/>
        <v>0</v>
      </c>
      <c r="AK21" s="1" t="s">
        <v>915</v>
      </c>
      <c r="AL21" s="1319">
        <v>5</v>
      </c>
      <c r="AM21" s="1319">
        <v>418</v>
      </c>
      <c r="AN21" s="1319">
        <v>423</v>
      </c>
      <c r="AO21"/>
      <c r="AP21"/>
      <c r="AQ21"/>
      <c r="AR21"/>
      <c r="AS21"/>
      <c r="AT21"/>
      <c r="AU21" t="s">
        <v>2125</v>
      </c>
      <c r="AV21" s="1">
        <f t="shared" si="2"/>
        <v>0</v>
      </c>
      <c r="AW21" s="1">
        <f t="shared" si="3"/>
        <v>0</v>
      </c>
    </row>
    <row r="22" spans="1:49" x14ac:dyDescent="0.3">
      <c r="A22"/>
      <c r="B22"/>
      <c r="C22"/>
      <c r="D22"/>
      <c r="F22" s="742" t="s">
        <v>2125</v>
      </c>
      <c r="G22" s="743">
        <f t="shared" si="4"/>
        <v>1</v>
      </c>
      <c r="H22" s="743">
        <f t="shared" si="5"/>
        <v>35</v>
      </c>
      <c r="R22"/>
      <c r="S22"/>
      <c r="T22"/>
      <c r="U22"/>
      <c r="W22"/>
      <c r="X22"/>
      <c r="Y22"/>
      <c r="Z22"/>
      <c r="AK22"/>
      <c r="AL22"/>
      <c r="AM22"/>
      <c r="AN22"/>
      <c r="AO22"/>
      <c r="AP22"/>
      <c r="AQ22"/>
      <c r="AR22"/>
      <c r="AS22"/>
      <c r="AT22"/>
      <c r="AU22"/>
    </row>
    <row r="23" spans="1:49" x14ac:dyDescent="0.3">
      <c r="A23"/>
      <c r="B23"/>
      <c r="C23"/>
      <c r="D23"/>
      <c r="H23" s="496"/>
      <c r="R23"/>
      <c r="S23"/>
      <c r="T23"/>
      <c r="U23"/>
      <c r="W23"/>
      <c r="X23"/>
      <c r="Y23"/>
      <c r="Z23"/>
      <c r="AG23" s="1" t="s">
        <v>927</v>
      </c>
      <c r="AH23" s="1">
        <f>GETPIVOTDATA("TURNO",$W$3,"ESC.","PNS O/S")</f>
        <v>23</v>
      </c>
      <c r="AK23"/>
      <c r="AL23"/>
      <c r="AM23"/>
      <c r="AN23"/>
      <c r="AO23" s="494"/>
      <c r="AP23" s="494"/>
      <c r="AQ23" s="494"/>
      <c r="AR23" s="494"/>
      <c r="AS23" s="494"/>
      <c r="AT23" s="494"/>
    </row>
    <row r="24" spans="1:49" x14ac:dyDescent="0.3">
      <c r="F24" s="496" t="s">
        <v>927</v>
      </c>
      <c r="G24" s="496">
        <f>GETPIVOTDATA("TURNO",$A$3,"ESC.","PNS O/S")</f>
        <v>19</v>
      </c>
      <c r="H24" s="496"/>
      <c r="R24"/>
      <c r="S24"/>
      <c r="T24"/>
      <c r="U24"/>
      <c r="W24"/>
      <c r="X24"/>
      <c r="Y24"/>
      <c r="Z24"/>
      <c r="AG24" s="1" t="s">
        <v>928</v>
      </c>
      <c r="AH24" s="1">
        <f>GETPIVOTDATA("TURNO",$W$3,"ESC.","PNI O/S")</f>
        <v>423</v>
      </c>
      <c r="AK24"/>
      <c r="AL24"/>
      <c r="AN24" s="494"/>
      <c r="AO24" s="494"/>
      <c r="AP24" s="494"/>
      <c r="AQ24" s="494"/>
      <c r="AR24" s="494"/>
      <c r="AS24" s="494"/>
      <c r="AT24" s="494"/>
    </row>
    <row r="25" spans="1:49" x14ac:dyDescent="0.3">
      <c r="F25" s="496" t="s">
        <v>928</v>
      </c>
      <c r="G25" s="496">
        <f>GETPIVOTDATA("TURNO",$A$3,"ESC.","PNI O/S")</f>
        <v>422</v>
      </c>
      <c r="R25"/>
      <c r="S25"/>
      <c r="T25"/>
      <c r="U25"/>
      <c r="W25"/>
      <c r="X25"/>
      <c r="Y25"/>
      <c r="Z25"/>
      <c r="AG25" s="1" t="s">
        <v>973</v>
      </c>
      <c r="AH25" s="1">
        <f>SUM(AH23:AH24)</f>
        <v>446</v>
      </c>
      <c r="AK25"/>
      <c r="AL25"/>
    </row>
    <row r="26" spans="1:49" x14ac:dyDescent="0.3">
      <c r="F26" s="496" t="s">
        <v>973</v>
      </c>
      <c r="G26" s="496">
        <f>SUM(G24:G25)</f>
        <v>441</v>
      </c>
      <c r="J26" s="496"/>
      <c r="K26" s="496"/>
      <c r="L26" s="496"/>
      <c r="R26"/>
      <c r="S26"/>
      <c r="T26"/>
      <c r="U26"/>
      <c r="W26"/>
      <c r="X26"/>
      <c r="Y26"/>
      <c r="Z26"/>
      <c r="AK26"/>
      <c r="AL26"/>
    </row>
    <row r="27" spans="1:49" s="496" customFormat="1" x14ac:dyDescent="0.3">
      <c r="J27" s="1"/>
      <c r="K27" s="1"/>
      <c r="L27" s="1"/>
      <c r="O27" s="1"/>
      <c r="R27"/>
      <c r="S27"/>
      <c r="T27"/>
      <c r="U27"/>
      <c r="V27" s="1"/>
      <c r="W27"/>
      <c r="X27"/>
      <c r="Y27"/>
      <c r="Z27"/>
      <c r="AK27"/>
      <c r="AL27"/>
    </row>
    <row r="28" spans="1:49" x14ac:dyDescent="0.3">
      <c r="R28"/>
      <c r="S28"/>
      <c r="T28"/>
      <c r="U28"/>
      <c r="W28"/>
      <c r="X28"/>
      <c r="Y28"/>
      <c r="Z28"/>
      <c r="AK28"/>
      <c r="AL28"/>
    </row>
    <row r="29" spans="1:49" x14ac:dyDescent="0.3">
      <c r="H29" s="493" t="s">
        <v>831</v>
      </c>
      <c r="I29" s="1" t="s">
        <v>962</v>
      </c>
      <c r="R29"/>
      <c r="S29"/>
      <c r="T29"/>
      <c r="U29"/>
      <c r="W29"/>
      <c r="X29"/>
      <c r="Y29"/>
      <c r="Z29"/>
      <c r="AK29"/>
      <c r="AL29"/>
    </row>
    <row r="30" spans="1:49" x14ac:dyDescent="0.3">
      <c r="R30"/>
      <c r="S30"/>
      <c r="T30"/>
      <c r="U30"/>
      <c r="W30"/>
      <c r="X30"/>
      <c r="Y30"/>
      <c r="Z30"/>
      <c r="AK30"/>
      <c r="AL30"/>
    </row>
    <row r="31" spans="1:49" x14ac:dyDescent="0.3">
      <c r="A31" s="493" t="s">
        <v>1233</v>
      </c>
      <c r="B31" s="493" t="s">
        <v>1082</v>
      </c>
      <c r="H31" s="493" t="s">
        <v>1168</v>
      </c>
      <c r="I31" s="493" t="s">
        <v>1082</v>
      </c>
      <c r="N31"/>
      <c r="O31"/>
      <c r="R31"/>
      <c r="S31"/>
      <c r="T31"/>
      <c r="U31"/>
      <c r="W31"/>
      <c r="X31"/>
      <c r="Y31"/>
      <c r="Z31"/>
      <c r="AK31"/>
      <c r="AL31"/>
    </row>
    <row r="32" spans="1:49" x14ac:dyDescent="0.3">
      <c r="A32" s="493" t="s">
        <v>914</v>
      </c>
      <c r="B32" s="1" t="s">
        <v>917</v>
      </c>
      <c r="C32" s="1" t="s">
        <v>918</v>
      </c>
      <c r="D32" s="1" t="s">
        <v>915</v>
      </c>
      <c r="H32" s="493" t="s">
        <v>914</v>
      </c>
      <c r="I32" s="1" t="s">
        <v>834</v>
      </c>
      <c r="J32" s="1" t="s">
        <v>818</v>
      </c>
      <c r="K32" s="1" t="s">
        <v>917</v>
      </c>
      <c r="L32" s="1" t="s">
        <v>836</v>
      </c>
      <c r="M32" s="1" t="s">
        <v>915</v>
      </c>
      <c r="N32"/>
      <c r="O32"/>
      <c r="P32" s="496"/>
      <c r="Q32" s="496"/>
      <c r="W32"/>
      <c r="X32"/>
      <c r="Y32"/>
      <c r="Z32"/>
      <c r="AK32"/>
      <c r="AL32"/>
    </row>
    <row r="33" spans="1:38" x14ac:dyDescent="0.3">
      <c r="A33" s="1" t="s">
        <v>853</v>
      </c>
      <c r="B33" s="1320">
        <v>86</v>
      </c>
      <c r="C33" s="1320">
        <v>8</v>
      </c>
      <c r="D33" s="1320">
        <v>94</v>
      </c>
      <c r="H33" s="1" t="s">
        <v>874</v>
      </c>
      <c r="I33" s="1320">
        <v>1</v>
      </c>
      <c r="J33" s="1320"/>
      <c r="K33" s="1320">
        <v>21</v>
      </c>
      <c r="L33" s="1320">
        <v>1</v>
      </c>
      <c r="M33" s="1320">
        <v>23</v>
      </c>
      <c r="N33"/>
      <c r="O33"/>
      <c r="P33" s="496"/>
      <c r="Q33" s="496"/>
      <c r="W33"/>
      <c r="X33"/>
      <c r="Y33"/>
      <c r="Z33"/>
      <c r="AK33"/>
      <c r="AL33"/>
    </row>
    <row r="34" spans="1:38" x14ac:dyDescent="0.3">
      <c r="A34" s="1" t="s">
        <v>781</v>
      </c>
      <c r="B34" s="1320"/>
      <c r="C34" s="1320">
        <v>1</v>
      </c>
      <c r="D34" s="1320">
        <v>1</v>
      </c>
      <c r="H34" s="1" t="s">
        <v>873</v>
      </c>
      <c r="I34" s="1320"/>
      <c r="J34" s="1320"/>
      <c r="K34" s="1320">
        <v>2</v>
      </c>
      <c r="L34" s="1320"/>
      <c r="M34" s="1320">
        <v>2</v>
      </c>
      <c r="N34"/>
      <c r="O34"/>
      <c r="P34" s="496"/>
      <c r="Q34" s="496"/>
      <c r="W34"/>
      <c r="X34"/>
      <c r="Y34"/>
      <c r="Z34"/>
      <c r="AK34"/>
      <c r="AL34"/>
    </row>
    <row r="35" spans="1:38" x14ac:dyDescent="0.3">
      <c r="A35" s="1" t="s">
        <v>696</v>
      </c>
      <c r="B35" s="1320"/>
      <c r="C35" s="1320">
        <v>1</v>
      </c>
      <c r="D35" s="1320">
        <v>1</v>
      </c>
      <c r="H35" s="1" t="s">
        <v>871</v>
      </c>
      <c r="I35" s="1320"/>
      <c r="J35" s="1320">
        <v>1</v>
      </c>
      <c r="K35" s="1320">
        <v>1</v>
      </c>
      <c r="L35" s="1320"/>
      <c r="M35" s="1320">
        <v>2</v>
      </c>
      <c r="N35"/>
      <c r="O35"/>
      <c r="W35"/>
      <c r="X35"/>
      <c r="Y35"/>
      <c r="Z35"/>
      <c r="AK35"/>
      <c r="AL35"/>
    </row>
    <row r="36" spans="1:38" x14ac:dyDescent="0.3">
      <c r="A36" s="1" t="s">
        <v>224</v>
      </c>
      <c r="B36" s="1320"/>
      <c r="C36" s="1320">
        <v>1</v>
      </c>
      <c r="D36" s="1320">
        <v>1</v>
      </c>
      <c r="H36" s="1" t="s">
        <v>915</v>
      </c>
      <c r="I36" s="1320">
        <v>1</v>
      </c>
      <c r="J36" s="1320">
        <v>1</v>
      </c>
      <c r="K36" s="1320">
        <v>24</v>
      </c>
      <c r="L36" s="1320">
        <v>1</v>
      </c>
      <c r="M36" s="1320">
        <v>27</v>
      </c>
      <c r="N36"/>
      <c r="O36"/>
      <c r="W36"/>
      <c r="X36"/>
      <c r="Y36"/>
      <c r="Z36"/>
      <c r="AK36"/>
      <c r="AL36"/>
    </row>
    <row r="37" spans="1:38" x14ac:dyDescent="0.3">
      <c r="A37" s="1" t="s">
        <v>728</v>
      </c>
      <c r="B37" s="1320">
        <v>1</v>
      </c>
      <c r="C37" s="1320"/>
      <c r="D37" s="1320">
        <v>1</v>
      </c>
      <c r="H37"/>
      <c r="I37"/>
      <c r="J37"/>
      <c r="K37"/>
      <c r="L37"/>
      <c r="M37"/>
      <c r="N37"/>
      <c r="O37"/>
      <c r="W37"/>
      <c r="X37"/>
      <c r="Y37"/>
      <c r="Z37"/>
      <c r="AK37"/>
      <c r="AL37"/>
    </row>
    <row r="38" spans="1:38" x14ac:dyDescent="0.3">
      <c r="A38" s="1" t="s">
        <v>751</v>
      </c>
      <c r="B38" s="1320">
        <v>1</v>
      </c>
      <c r="C38" s="1320"/>
      <c r="D38" s="1320">
        <v>1</v>
      </c>
      <c r="H38"/>
      <c r="I38"/>
      <c r="J38"/>
      <c r="K38"/>
      <c r="L38"/>
      <c r="M38"/>
      <c r="W38"/>
      <c r="X38"/>
      <c r="Y38"/>
      <c r="Z38"/>
    </row>
    <row r="39" spans="1:38" x14ac:dyDescent="0.3">
      <c r="A39" s="1" t="s">
        <v>1081</v>
      </c>
      <c r="B39" s="1320">
        <v>1</v>
      </c>
      <c r="C39" s="1320"/>
      <c r="D39" s="1320">
        <v>1</v>
      </c>
      <c r="W39"/>
      <c r="X39"/>
      <c r="Y39"/>
      <c r="Z39"/>
    </row>
    <row r="40" spans="1:38" x14ac:dyDescent="0.3">
      <c r="A40" s="1" t="s">
        <v>1000</v>
      </c>
      <c r="B40" s="1320">
        <v>3</v>
      </c>
      <c r="C40" s="1320">
        <v>1</v>
      </c>
      <c r="D40" s="1320">
        <v>4</v>
      </c>
      <c r="W40"/>
      <c r="X40"/>
      <c r="Y40"/>
      <c r="Z40"/>
    </row>
    <row r="41" spans="1:38" x14ac:dyDescent="0.3">
      <c r="A41" s="1" t="s">
        <v>726</v>
      </c>
      <c r="B41" s="1320">
        <v>7</v>
      </c>
      <c r="C41" s="1320"/>
      <c r="D41" s="1320">
        <v>7</v>
      </c>
      <c r="W41"/>
      <c r="X41"/>
      <c r="Y41"/>
      <c r="Z41"/>
    </row>
    <row r="42" spans="1:38" x14ac:dyDescent="0.3">
      <c r="A42" s="1" t="s">
        <v>750</v>
      </c>
      <c r="B42" s="1320">
        <v>10</v>
      </c>
      <c r="C42" s="1320"/>
      <c r="D42" s="1320">
        <v>10</v>
      </c>
      <c r="W42"/>
      <c r="X42"/>
      <c r="Y42"/>
      <c r="Z42"/>
    </row>
    <row r="43" spans="1:38" x14ac:dyDescent="0.3">
      <c r="A43" s="1" t="s">
        <v>715</v>
      </c>
      <c r="B43" s="1320">
        <v>7</v>
      </c>
      <c r="C43" s="1320"/>
      <c r="D43" s="1320">
        <v>7</v>
      </c>
      <c r="W43"/>
      <c r="X43"/>
      <c r="Y43"/>
      <c r="Z43"/>
    </row>
    <row r="44" spans="1:38" x14ac:dyDescent="0.3">
      <c r="A44" s="1" t="s">
        <v>1416</v>
      </c>
      <c r="B44" s="1320">
        <v>1</v>
      </c>
      <c r="C44" s="1320"/>
      <c r="D44" s="1320">
        <v>1</v>
      </c>
      <c r="W44"/>
      <c r="X44"/>
      <c r="Y44"/>
      <c r="Z44"/>
    </row>
    <row r="45" spans="1:38" x14ac:dyDescent="0.3">
      <c r="A45" s="1" t="s">
        <v>1985</v>
      </c>
      <c r="B45" s="1320">
        <v>2</v>
      </c>
      <c r="C45" s="1320"/>
      <c r="D45" s="1320">
        <v>2</v>
      </c>
      <c r="W45"/>
      <c r="X45"/>
      <c r="Y45"/>
      <c r="Z45"/>
    </row>
    <row r="46" spans="1:38" x14ac:dyDescent="0.3">
      <c r="A46" s="1" t="s">
        <v>1994</v>
      </c>
      <c r="B46" s="1320">
        <v>3</v>
      </c>
      <c r="C46" s="1320"/>
      <c r="D46" s="1320">
        <v>3</v>
      </c>
      <c r="W46"/>
      <c r="X46"/>
      <c r="Y46"/>
      <c r="Z46"/>
    </row>
    <row r="47" spans="1:38" x14ac:dyDescent="0.3">
      <c r="A47" s="1" t="s">
        <v>1993</v>
      </c>
      <c r="B47" s="1320">
        <v>2</v>
      </c>
      <c r="C47" s="1320"/>
      <c r="D47" s="1320">
        <v>2</v>
      </c>
      <c r="W47"/>
      <c r="X47"/>
      <c r="Y47"/>
      <c r="Z47"/>
    </row>
    <row r="48" spans="1:38" x14ac:dyDescent="0.3">
      <c r="A48" s="1" t="s">
        <v>749</v>
      </c>
      <c r="B48" s="1320">
        <v>1</v>
      </c>
      <c r="C48" s="1320"/>
      <c r="D48" s="1320">
        <v>1</v>
      </c>
      <c r="W48"/>
      <c r="X48"/>
      <c r="Y48"/>
      <c r="Z48"/>
    </row>
    <row r="49" spans="1:26" x14ac:dyDescent="0.3">
      <c r="A49" s="1" t="s">
        <v>821</v>
      </c>
      <c r="B49" s="1320">
        <v>2</v>
      </c>
      <c r="C49" s="1320"/>
      <c r="D49" s="1320">
        <v>2</v>
      </c>
      <c r="W49"/>
      <c r="X49"/>
      <c r="Y49"/>
      <c r="Z49"/>
    </row>
    <row r="50" spans="1:26" x14ac:dyDescent="0.3">
      <c r="A50" s="1" t="s">
        <v>711</v>
      </c>
      <c r="B50" s="1320">
        <v>6</v>
      </c>
      <c r="C50" s="1320"/>
      <c r="D50" s="1320">
        <v>6</v>
      </c>
      <c r="W50"/>
      <c r="X50"/>
      <c r="Y50"/>
      <c r="Z50"/>
    </row>
    <row r="51" spans="1:26" x14ac:dyDescent="0.3">
      <c r="A51" s="1" t="s">
        <v>72</v>
      </c>
      <c r="B51" s="1320">
        <v>1</v>
      </c>
      <c r="C51" s="1320"/>
      <c r="D51" s="1320">
        <v>1</v>
      </c>
      <c r="W51"/>
      <c r="X51"/>
      <c r="Y51"/>
      <c r="Z51"/>
    </row>
    <row r="52" spans="1:26" x14ac:dyDescent="0.3">
      <c r="A52" s="1" t="s">
        <v>719</v>
      </c>
      <c r="B52" s="1320">
        <v>2</v>
      </c>
      <c r="C52" s="1320"/>
      <c r="D52" s="1320">
        <v>2</v>
      </c>
      <c r="W52"/>
      <c r="X52"/>
      <c r="Y52"/>
      <c r="Z52"/>
    </row>
    <row r="53" spans="1:26" x14ac:dyDescent="0.3">
      <c r="A53" s="1" t="s">
        <v>2015</v>
      </c>
      <c r="B53" s="1320">
        <v>4</v>
      </c>
      <c r="C53" s="1320"/>
      <c r="D53" s="1320">
        <v>4</v>
      </c>
      <c r="W53"/>
      <c r="X53"/>
      <c r="Y53"/>
      <c r="Z53"/>
    </row>
    <row r="54" spans="1:26" x14ac:dyDescent="0.3">
      <c r="A54" s="1" t="s">
        <v>714</v>
      </c>
      <c r="B54" s="1320">
        <v>6</v>
      </c>
      <c r="C54" s="1320"/>
      <c r="D54" s="1320">
        <v>6</v>
      </c>
      <c r="W54"/>
      <c r="X54"/>
      <c r="Y54"/>
      <c r="Z54"/>
    </row>
    <row r="55" spans="1:26" x14ac:dyDescent="0.3">
      <c r="A55" s="1" t="s">
        <v>713</v>
      </c>
      <c r="B55" s="1320">
        <v>5</v>
      </c>
      <c r="C55" s="1320"/>
      <c r="D55" s="1320">
        <v>5</v>
      </c>
      <c r="W55"/>
      <c r="X55"/>
      <c r="Y55"/>
      <c r="Z55"/>
    </row>
    <row r="56" spans="1:26" x14ac:dyDescent="0.3">
      <c r="A56" s="1" t="s">
        <v>2018</v>
      </c>
      <c r="B56" s="1320">
        <v>1</v>
      </c>
      <c r="C56" s="1320"/>
      <c r="D56" s="1320">
        <v>1</v>
      </c>
      <c r="W56"/>
      <c r="X56"/>
      <c r="Y56"/>
      <c r="Z56"/>
    </row>
    <row r="57" spans="1:26" x14ac:dyDescent="0.3">
      <c r="A57" s="1" t="s">
        <v>1417</v>
      </c>
      <c r="B57" s="1320">
        <v>2</v>
      </c>
      <c r="C57" s="1320"/>
      <c r="D57" s="1320">
        <v>2</v>
      </c>
      <c r="W57"/>
      <c r="X57"/>
      <c r="Y57"/>
      <c r="Z57"/>
    </row>
    <row r="58" spans="1:26" x14ac:dyDescent="0.3">
      <c r="A58" s="1" t="s">
        <v>193</v>
      </c>
      <c r="B58" s="1320">
        <v>2</v>
      </c>
      <c r="C58" s="1320"/>
      <c r="D58" s="1320">
        <v>2</v>
      </c>
      <c r="W58"/>
      <c r="X58"/>
      <c r="Y58"/>
      <c r="Z58"/>
    </row>
    <row r="59" spans="1:26" x14ac:dyDescent="0.3">
      <c r="A59" s="1" t="s">
        <v>770</v>
      </c>
      <c r="B59" s="1320">
        <v>2</v>
      </c>
      <c r="C59" s="1320"/>
      <c r="D59" s="1320">
        <v>2</v>
      </c>
      <c r="W59"/>
      <c r="X59"/>
      <c r="Y59"/>
      <c r="Z59"/>
    </row>
    <row r="60" spans="1:26" x14ac:dyDescent="0.3">
      <c r="A60" s="1" t="s">
        <v>737</v>
      </c>
      <c r="B60" s="1320"/>
      <c r="C60" s="1320">
        <v>1</v>
      </c>
      <c r="D60" s="1320">
        <v>1</v>
      </c>
      <c r="W60"/>
      <c r="X60"/>
      <c r="Y60"/>
      <c r="Z60"/>
    </row>
    <row r="61" spans="1:26" x14ac:dyDescent="0.3">
      <c r="A61" s="1" t="s">
        <v>196</v>
      </c>
      <c r="B61" s="1320">
        <v>1</v>
      </c>
      <c r="C61" s="1320"/>
      <c r="D61" s="1320">
        <v>1</v>
      </c>
      <c r="W61"/>
      <c r="X61"/>
      <c r="Y61"/>
      <c r="Z61"/>
    </row>
    <row r="62" spans="1:26" x14ac:dyDescent="0.3">
      <c r="A62" s="1" t="s">
        <v>251</v>
      </c>
      <c r="B62" s="1320"/>
      <c r="C62" s="1320">
        <v>1</v>
      </c>
      <c r="D62" s="1320">
        <v>1</v>
      </c>
      <c r="W62"/>
      <c r="X62"/>
      <c r="Y62"/>
      <c r="Z62"/>
    </row>
    <row r="63" spans="1:26" x14ac:dyDescent="0.3">
      <c r="A63" s="1" t="s">
        <v>721</v>
      </c>
      <c r="B63" s="1320">
        <v>2</v>
      </c>
      <c r="C63" s="1320"/>
      <c r="D63" s="1320">
        <v>2</v>
      </c>
      <c r="W63"/>
      <c r="X63"/>
      <c r="Y63"/>
      <c r="Z63"/>
    </row>
    <row r="64" spans="1:26" x14ac:dyDescent="0.3">
      <c r="A64" s="1" t="s">
        <v>764</v>
      </c>
      <c r="B64" s="1320">
        <v>1</v>
      </c>
      <c r="C64" s="1320"/>
      <c r="D64" s="1320">
        <v>1</v>
      </c>
      <c r="W64"/>
      <c r="X64"/>
      <c r="Y64"/>
      <c r="Z64"/>
    </row>
    <row r="65" spans="1:26" x14ac:dyDescent="0.3">
      <c r="A65" s="1" t="s">
        <v>679</v>
      </c>
      <c r="B65" s="1320">
        <v>2</v>
      </c>
      <c r="C65" s="1320"/>
      <c r="D65" s="1320">
        <v>2</v>
      </c>
      <c r="W65"/>
      <c r="X65"/>
      <c r="Y65"/>
      <c r="Z65"/>
    </row>
    <row r="66" spans="1:26" x14ac:dyDescent="0.3">
      <c r="A66" s="1" t="s">
        <v>826</v>
      </c>
      <c r="B66" s="1320">
        <v>1</v>
      </c>
      <c r="C66" s="1320"/>
      <c r="D66" s="1320">
        <v>1</v>
      </c>
      <c r="W66"/>
      <c r="X66"/>
      <c r="Y66"/>
      <c r="Z66"/>
    </row>
    <row r="67" spans="1:26" x14ac:dyDescent="0.3">
      <c r="A67" s="1" t="s">
        <v>829</v>
      </c>
      <c r="B67" s="1320"/>
      <c r="C67" s="1320">
        <v>1</v>
      </c>
      <c r="D67" s="1320">
        <v>1</v>
      </c>
      <c r="W67"/>
      <c r="X67"/>
      <c r="Y67"/>
      <c r="Z67"/>
    </row>
    <row r="68" spans="1:26" x14ac:dyDescent="0.3">
      <c r="A68" s="1" t="s">
        <v>830</v>
      </c>
      <c r="B68" s="1320">
        <v>2</v>
      </c>
      <c r="C68" s="1320"/>
      <c r="D68" s="1320">
        <v>2</v>
      </c>
      <c r="W68"/>
      <c r="X68"/>
      <c r="Y68"/>
      <c r="Z68"/>
    </row>
    <row r="69" spans="1:26" x14ac:dyDescent="0.3">
      <c r="A69" s="1" t="s">
        <v>733</v>
      </c>
      <c r="B69" s="1320">
        <v>1</v>
      </c>
      <c r="C69" s="1320"/>
      <c r="D69" s="1320">
        <v>1</v>
      </c>
      <c r="W69"/>
      <c r="X69"/>
      <c r="Y69"/>
      <c r="Z69"/>
    </row>
    <row r="70" spans="1:26" x14ac:dyDescent="0.3">
      <c r="A70" s="1" t="s">
        <v>194</v>
      </c>
      <c r="B70" s="1320">
        <v>1</v>
      </c>
      <c r="C70" s="1320"/>
      <c r="D70" s="1320">
        <v>1</v>
      </c>
      <c r="W70"/>
      <c r="X70"/>
      <c r="Y70"/>
      <c r="Z70"/>
    </row>
    <row r="71" spans="1:26" x14ac:dyDescent="0.3">
      <c r="A71" s="1" t="s">
        <v>2051</v>
      </c>
      <c r="B71" s="1320"/>
      <c r="C71" s="1320">
        <v>1</v>
      </c>
      <c r="D71" s="1320">
        <v>1</v>
      </c>
      <c r="W71"/>
      <c r="X71"/>
      <c r="Y71"/>
      <c r="Z71"/>
    </row>
    <row r="72" spans="1:26" x14ac:dyDescent="0.3">
      <c r="A72" s="1" t="s">
        <v>2377</v>
      </c>
      <c r="B72" s="1320">
        <v>1</v>
      </c>
      <c r="C72" s="1320"/>
      <c r="D72" s="1320">
        <v>1</v>
      </c>
      <c r="W72"/>
      <c r="X72"/>
      <c r="Y72"/>
      <c r="Z72"/>
    </row>
    <row r="73" spans="1:26" x14ac:dyDescent="0.3">
      <c r="A73" s="1" t="s">
        <v>738</v>
      </c>
      <c r="B73" s="1320">
        <v>1</v>
      </c>
      <c r="C73" s="1320"/>
      <c r="D73" s="1320">
        <v>1</v>
      </c>
      <c r="W73"/>
      <c r="X73"/>
      <c r="Y73"/>
      <c r="Z73"/>
    </row>
    <row r="74" spans="1:26" x14ac:dyDescent="0.3">
      <c r="A74" s="1" t="s">
        <v>761</v>
      </c>
      <c r="B74" s="1320">
        <v>1</v>
      </c>
      <c r="C74" s="1320"/>
      <c r="D74" s="1320">
        <v>1</v>
      </c>
      <c r="W74"/>
      <c r="X74"/>
      <c r="Y74"/>
      <c r="Z74"/>
    </row>
    <row r="75" spans="1:26" x14ac:dyDescent="0.3">
      <c r="A75" s="1" t="s">
        <v>962</v>
      </c>
      <c r="B75" s="1320">
        <v>24</v>
      </c>
      <c r="C75" s="1320"/>
      <c r="D75" s="1320">
        <v>24</v>
      </c>
      <c r="W75"/>
      <c r="X75"/>
      <c r="Y75"/>
      <c r="Z75"/>
    </row>
    <row r="76" spans="1:26" x14ac:dyDescent="0.3">
      <c r="A76" s="1" t="s">
        <v>1398</v>
      </c>
      <c r="B76" s="1320">
        <v>24</v>
      </c>
      <c r="C76" s="1320"/>
      <c r="D76" s="1320">
        <v>24</v>
      </c>
      <c r="W76"/>
      <c r="X76"/>
      <c r="Y76"/>
      <c r="Z76"/>
    </row>
    <row r="77" spans="1:26" x14ac:dyDescent="0.3">
      <c r="A77" s="1" t="s">
        <v>909</v>
      </c>
      <c r="B77" s="1320">
        <v>38</v>
      </c>
      <c r="C77" s="1320">
        <v>2</v>
      </c>
      <c r="D77" s="1320">
        <v>40</v>
      </c>
      <c r="W77"/>
      <c r="X77"/>
      <c r="Y77"/>
      <c r="Z77"/>
    </row>
    <row r="78" spans="1:26" x14ac:dyDescent="0.3">
      <c r="A78" s="1" t="s">
        <v>807</v>
      </c>
      <c r="B78" s="1320">
        <v>8</v>
      </c>
      <c r="C78" s="1320"/>
      <c r="D78" s="1320">
        <v>8</v>
      </c>
      <c r="W78"/>
      <c r="X78"/>
      <c r="Y78"/>
      <c r="Z78"/>
    </row>
    <row r="79" spans="1:26" x14ac:dyDescent="0.3">
      <c r="A79" s="1" t="s">
        <v>809</v>
      </c>
      <c r="B79" s="1320">
        <v>25</v>
      </c>
      <c r="C79" s="1320">
        <v>2</v>
      </c>
      <c r="D79" s="1320">
        <v>27</v>
      </c>
      <c r="W79"/>
      <c r="X79"/>
      <c r="Y79"/>
      <c r="Z79"/>
    </row>
    <row r="80" spans="1:26" x14ac:dyDescent="0.3">
      <c r="A80" s="1" t="s">
        <v>810</v>
      </c>
      <c r="B80" s="1320">
        <v>1</v>
      </c>
      <c r="C80" s="1320"/>
      <c r="D80" s="1320">
        <v>1</v>
      </c>
      <c r="W80"/>
      <c r="X80"/>
      <c r="Y80"/>
      <c r="Z80"/>
    </row>
    <row r="81" spans="1:26" x14ac:dyDescent="0.3">
      <c r="A81" s="1" t="s">
        <v>811</v>
      </c>
      <c r="B81" s="1320">
        <v>1</v>
      </c>
      <c r="C81" s="1320"/>
      <c r="D81" s="1320">
        <v>1</v>
      </c>
      <c r="W81"/>
      <c r="X81"/>
      <c r="Y81"/>
      <c r="Z81"/>
    </row>
    <row r="82" spans="1:26" x14ac:dyDescent="0.3">
      <c r="A82" s="1" t="s">
        <v>798</v>
      </c>
      <c r="B82" s="1320">
        <v>1</v>
      </c>
      <c r="C82" s="1320"/>
      <c r="D82" s="1320">
        <v>1</v>
      </c>
      <c r="W82"/>
      <c r="X82"/>
      <c r="Y82"/>
      <c r="Z82"/>
    </row>
    <row r="83" spans="1:26" x14ac:dyDescent="0.3">
      <c r="A83" s="1" t="s">
        <v>1527</v>
      </c>
      <c r="B83" s="1320">
        <v>2</v>
      </c>
      <c r="C83" s="1320"/>
      <c r="D83" s="1320">
        <v>2</v>
      </c>
      <c r="W83"/>
      <c r="X83"/>
      <c r="Y83"/>
      <c r="Z83"/>
    </row>
    <row r="84" spans="1:26" x14ac:dyDescent="0.3">
      <c r="A84" s="1" t="s">
        <v>1075</v>
      </c>
      <c r="B84" s="1320">
        <v>34</v>
      </c>
      <c r="C84" s="1320"/>
      <c r="D84" s="1320">
        <v>34</v>
      </c>
      <c r="W84"/>
      <c r="X84"/>
      <c r="Y84"/>
      <c r="Z84"/>
    </row>
    <row r="85" spans="1:26" x14ac:dyDescent="0.3">
      <c r="A85" s="1" t="s">
        <v>775</v>
      </c>
      <c r="B85" s="1320">
        <v>2</v>
      </c>
      <c r="C85" s="1320"/>
      <c r="D85" s="1320">
        <v>2</v>
      </c>
      <c r="W85"/>
      <c r="X85"/>
      <c r="Y85"/>
      <c r="Z85"/>
    </row>
    <row r="86" spans="1:26" x14ac:dyDescent="0.3">
      <c r="A86" s="1" t="s">
        <v>83</v>
      </c>
      <c r="B86" s="1320">
        <v>3</v>
      </c>
      <c r="C86" s="1320"/>
      <c r="D86" s="1320">
        <v>3</v>
      </c>
      <c r="W86"/>
      <c r="X86"/>
      <c r="Y86"/>
      <c r="Z86"/>
    </row>
    <row r="87" spans="1:26" x14ac:dyDescent="0.3">
      <c r="A87" s="1" t="s">
        <v>1081</v>
      </c>
      <c r="B87" s="1320">
        <v>3</v>
      </c>
      <c r="C87" s="1320"/>
      <c r="D87" s="1320">
        <v>3</v>
      </c>
      <c r="W87"/>
      <c r="X87"/>
      <c r="Y87"/>
      <c r="Z87"/>
    </row>
    <row r="88" spans="1:26" x14ac:dyDescent="0.3">
      <c r="A88" s="1" t="s">
        <v>218</v>
      </c>
      <c r="B88" s="1320">
        <v>4</v>
      </c>
      <c r="C88" s="1320"/>
      <c r="D88" s="1320">
        <v>4</v>
      </c>
      <c r="W88"/>
      <c r="X88"/>
      <c r="Y88"/>
      <c r="Z88"/>
    </row>
    <row r="89" spans="1:26" x14ac:dyDescent="0.3">
      <c r="A89" s="1" t="s">
        <v>785</v>
      </c>
      <c r="B89" s="1320">
        <v>1</v>
      </c>
      <c r="C89" s="1320"/>
      <c r="D89" s="1320">
        <v>1</v>
      </c>
      <c r="W89"/>
      <c r="X89"/>
      <c r="Y89"/>
      <c r="Z89"/>
    </row>
    <row r="90" spans="1:26" x14ac:dyDescent="0.3">
      <c r="A90" s="1" t="s">
        <v>1000</v>
      </c>
      <c r="B90" s="1320">
        <v>2</v>
      </c>
      <c r="C90" s="1320"/>
      <c r="D90" s="1320">
        <v>2</v>
      </c>
      <c r="W90"/>
      <c r="X90"/>
      <c r="Y90"/>
      <c r="Z90"/>
    </row>
    <row r="91" spans="1:26" x14ac:dyDescent="0.3">
      <c r="A91" s="1" t="s">
        <v>16</v>
      </c>
      <c r="B91" s="1320">
        <v>2</v>
      </c>
      <c r="C91" s="1320"/>
      <c r="D91" s="1320">
        <v>2</v>
      </c>
      <c r="W91"/>
      <c r="X91"/>
      <c r="Y91"/>
      <c r="Z91"/>
    </row>
    <row r="92" spans="1:26" x14ac:dyDescent="0.3">
      <c r="A92" s="1" t="s">
        <v>1080</v>
      </c>
      <c r="B92" s="1320">
        <v>2</v>
      </c>
      <c r="C92" s="1320"/>
      <c r="D92" s="1320">
        <v>2</v>
      </c>
      <c r="W92"/>
      <c r="X92"/>
      <c r="Y92"/>
      <c r="Z92"/>
    </row>
    <row r="93" spans="1:26" x14ac:dyDescent="0.3">
      <c r="A93" s="1" t="s">
        <v>1532</v>
      </c>
      <c r="B93" s="1320">
        <v>5</v>
      </c>
      <c r="C93" s="1320"/>
      <c r="D93" s="1320">
        <v>5</v>
      </c>
      <c r="W93"/>
      <c r="X93"/>
      <c r="Y93"/>
      <c r="Z93"/>
    </row>
    <row r="94" spans="1:26" x14ac:dyDescent="0.3">
      <c r="A94" s="1" t="s">
        <v>1720</v>
      </c>
      <c r="B94" s="1320">
        <v>2</v>
      </c>
      <c r="C94" s="1320"/>
      <c r="D94" s="1320">
        <v>2</v>
      </c>
      <c r="W94"/>
      <c r="X94"/>
      <c r="Y94"/>
      <c r="Z94"/>
    </row>
    <row r="95" spans="1:26" x14ac:dyDescent="0.3">
      <c r="A95" s="1" t="s">
        <v>774</v>
      </c>
      <c r="B95" s="1320">
        <v>2</v>
      </c>
      <c r="C95" s="1320"/>
      <c r="D95" s="1320">
        <v>2</v>
      </c>
      <c r="W95"/>
      <c r="X95"/>
      <c r="Y95"/>
      <c r="Z95"/>
    </row>
    <row r="96" spans="1:26" x14ac:dyDescent="0.3">
      <c r="A96" s="1" t="s">
        <v>2136</v>
      </c>
      <c r="B96" s="1320">
        <v>1</v>
      </c>
      <c r="C96" s="1320"/>
      <c r="D96" s="1320">
        <v>1</v>
      </c>
      <c r="W96"/>
      <c r="X96"/>
      <c r="Y96"/>
      <c r="Z96"/>
    </row>
    <row r="97" spans="1:26" x14ac:dyDescent="0.3">
      <c r="A97" s="1" t="s">
        <v>206</v>
      </c>
      <c r="B97" s="1320">
        <v>1</v>
      </c>
      <c r="C97" s="1320"/>
      <c r="D97" s="1320">
        <v>1</v>
      </c>
      <c r="W97"/>
      <c r="X97"/>
      <c r="Y97"/>
      <c r="Z97"/>
    </row>
    <row r="98" spans="1:26" x14ac:dyDescent="0.3">
      <c r="A98" s="1" t="s">
        <v>791</v>
      </c>
      <c r="B98" s="1320">
        <v>1</v>
      </c>
      <c r="C98" s="1320"/>
      <c r="D98" s="1320">
        <v>1</v>
      </c>
      <c r="W98"/>
      <c r="X98"/>
      <c r="Y98"/>
      <c r="Z98"/>
    </row>
    <row r="99" spans="1:26" x14ac:dyDescent="0.3">
      <c r="A99" s="1" t="s">
        <v>825</v>
      </c>
      <c r="B99" s="1320">
        <v>3</v>
      </c>
      <c r="C99" s="1320"/>
      <c r="D99" s="1320">
        <v>3</v>
      </c>
      <c r="W99"/>
      <c r="X99"/>
      <c r="Y99"/>
      <c r="Z99"/>
    </row>
    <row r="100" spans="1:26" x14ac:dyDescent="0.3">
      <c r="A100" s="1" t="s">
        <v>2125</v>
      </c>
      <c r="B100" s="1320">
        <v>35</v>
      </c>
      <c r="C100" s="1320">
        <v>1</v>
      </c>
      <c r="D100" s="1320">
        <v>36</v>
      </c>
      <c r="W100"/>
      <c r="X100"/>
      <c r="Y100"/>
      <c r="Z100"/>
    </row>
    <row r="101" spans="1:26" x14ac:dyDescent="0.3">
      <c r="A101" s="1" t="s">
        <v>794</v>
      </c>
      <c r="B101" s="1320">
        <v>4</v>
      </c>
      <c r="C101" s="1320"/>
      <c r="D101" s="1320">
        <v>4</v>
      </c>
      <c r="W101"/>
      <c r="X101"/>
      <c r="Y101"/>
      <c r="Z101"/>
    </row>
    <row r="102" spans="1:26" x14ac:dyDescent="0.3">
      <c r="A102" s="1" t="s">
        <v>707</v>
      </c>
      <c r="B102" s="1320">
        <v>2</v>
      </c>
      <c r="C102" s="1320"/>
      <c r="D102" s="1320">
        <v>2</v>
      </c>
      <c r="W102"/>
      <c r="X102"/>
      <c r="Y102"/>
      <c r="Z102"/>
    </row>
    <row r="103" spans="1:26" x14ac:dyDescent="0.3">
      <c r="A103" s="1" t="s">
        <v>763</v>
      </c>
      <c r="B103" s="1320">
        <v>2</v>
      </c>
      <c r="C103" s="1320"/>
      <c r="D103" s="1320">
        <v>2</v>
      </c>
      <c r="W103"/>
      <c r="X103"/>
      <c r="Y103"/>
      <c r="Z103"/>
    </row>
    <row r="104" spans="1:26" x14ac:dyDescent="0.3">
      <c r="A104" s="1" t="s">
        <v>746</v>
      </c>
      <c r="B104" s="1320">
        <v>1</v>
      </c>
      <c r="C104" s="1320"/>
      <c r="D104" s="1320">
        <v>1</v>
      </c>
      <c r="W104"/>
      <c r="X104"/>
      <c r="Y104"/>
      <c r="Z104"/>
    </row>
    <row r="105" spans="1:26" x14ac:dyDescent="0.3">
      <c r="A105" s="1" t="s">
        <v>823</v>
      </c>
      <c r="B105" s="1320">
        <v>2</v>
      </c>
      <c r="C105" s="1320"/>
      <c r="D105" s="1320">
        <v>2</v>
      </c>
      <c r="W105"/>
      <c r="X105"/>
      <c r="Y105"/>
      <c r="Z105"/>
    </row>
    <row r="106" spans="1:26" x14ac:dyDescent="0.3">
      <c r="A106" s="1" t="s">
        <v>712</v>
      </c>
      <c r="B106" s="1320">
        <v>7</v>
      </c>
      <c r="C106" s="1320"/>
      <c r="D106" s="1320">
        <v>7</v>
      </c>
      <c r="W106"/>
      <c r="X106"/>
      <c r="Y106"/>
      <c r="Z106"/>
    </row>
    <row r="107" spans="1:26" x14ac:dyDescent="0.3">
      <c r="A107" s="1" t="s">
        <v>701</v>
      </c>
      <c r="B107" s="1320">
        <v>7</v>
      </c>
      <c r="C107" s="1320"/>
      <c r="D107" s="1320">
        <v>7</v>
      </c>
      <c r="W107"/>
      <c r="X107"/>
      <c r="Y107"/>
      <c r="Z107"/>
    </row>
    <row r="108" spans="1:26" x14ac:dyDescent="0.3">
      <c r="A108" s="1" t="s">
        <v>704</v>
      </c>
      <c r="B108" s="1320">
        <v>6</v>
      </c>
      <c r="C108" s="1320"/>
      <c r="D108" s="1320">
        <v>6</v>
      </c>
      <c r="W108"/>
      <c r="X108"/>
      <c r="Y108"/>
      <c r="Z108"/>
    </row>
    <row r="109" spans="1:26" x14ac:dyDescent="0.3">
      <c r="A109" s="1" t="s">
        <v>748</v>
      </c>
      <c r="B109" s="1320">
        <v>1</v>
      </c>
      <c r="C109" s="1320"/>
      <c r="D109" s="1320">
        <v>1</v>
      </c>
      <c r="W109"/>
      <c r="X109"/>
      <c r="Y109"/>
      <c r="Z109"/>
    </row>
    <row r="110" spans="1:26" x14ac:dyDescent="0.3">
      <c r="A110" s="1" t="s">
        <v>242</v>
      </c>
      <c r="B110" s="1320"/>
      <c r="C110" s="1320">
        <v>1</v>
      </c>
      <c r="D110" s="1320">
        <v>1</v>
      </c>
      <c r="W110"/>
      <c r="X110"/>
      <c r="Y110"/>
      <c r="Z110"/>
    </row>
    <row r="111" spans="1:26" x14ac:dyDescent="0.3">
      <c r="A111" s="1" t="s">
        <v>723</v>
      </c>
      <c r="B111" s="1320">
        <v>2</v>
      </c>
      <c r="C111" s="1320"/>
      <c r="D111" s="1320">
        <v>2</v>
      </c>
    </row>
    <row r="112" spans="1:26" x14ac:dyDescent="0.3">
      <c r="A112" s="1" t="s">
        <v>744</v>
      </c>
      <c r="B112" s="1320">
        <v>1</v>
      </c>
      <c r="C112" s="1320"/>
      <c r="D112" s="1320">
        <v>1</v>
      </c>
    </row>
    <row r="113" spans="1:4" x14ac:dyDescent="0.3">
      <c r="A113" s="1" t="s">
        <v>885</v>
      </c>
      <c r="B113" s="1320">
        <v>7</v>
      </c>
      <c r="C113" s="1320"/>
      <c r="D113" s="1320">
        <v>7</v>
      </c>
    </row>
    <row r="114" spans="1:4" x14ac:dyDescent="0.3">
      <c r="A114" s="1" t="s">
        <v>13</v>
      </c>
      <c r="B114" s="1320">
        <v>7</v>
      </c>
      <c r="C114" s="1320"/>
      <c r="D114" s="1320">
        <v>7</v>
      </c>
    </row>
    <row r="115" spans="1:4" x14ac:dyDescent="0.3">
      <c r="A115" s="1" t="s">
        <v>854</v>
      </c>
      <c r="B115" s="1320">
        <v>12</v>
      </c>
      <c r="C115" s="1320">
        <v>1</v>
      </c>
      <c r="D115" s="1320">
        <v>13</v>
      </c>
    </row>
    <row r="116" spans="1:4" x14ac:dyDescent="0.3">
      <c r="A116" s="1" t="s">
        <v>252</v>
      </c>
      <c r="B116" s="1320"/>
      <c r="C116" s="1320">
        <v>1</v>
      </c>
      <c r="D116" s="1320">
        <v>1</v>
      </c>
    </row>
    <row r="117" spans="1:4" x14ac:dyDescent="0.3">
      <c r="A117" s="1" t="s">
        <v>822</v>
      </c>
      <c r="B117" s="1320">
        <v>2</v>
      </c>
      <c r="C117" s="1320"/>
      <c r="D117" s="1320">
        <v>2</v>
      </c>
    </row>
    <row r="118" spans="1:4" x14ac:dyDescent="0.3">
      <c r="A118" s="1" t="s">
        <v>1000</v>
      </c>
      <c r="B118" s="1320">
        <v>1</v>
      </c>
      <c r="C118" s="1320"/>
      <c r="D118" s="1320">
        <v>1</v>
      </c>
    </row>
    <row r="119" spans="1:4" x14ac:dyDescent="0.3">
      <c r="A119" s="1" t="s">
        <v>702</v>
      </c>
      <c r="B119" s="1320">
        <v>4</v>
      </c>
      <c r="C119" s="1320"/>
      <c r="D119" s="1320">
        <v>4</v>
      </c>
    </row>
    <row r="120" spans="1:4" x14ac:dyDescent="0.3">
      <c r="A120" s="1" t="s">
        <v>722</v>
      </c>
      <c r="B120" s="1320">
        <v>2</v>
      </c>
      <c r="C120" s="1320"/>
      <c r="D120" s="1320">
        <v>2</v>
      </c>
    </row>
    <row r="121" spans="1:4" x14ac:dyDescent="0.3">
      <c r="A121" s="1" t="s">
        <v>762</v>
      </c>
      <c r="B121" s="1320">
        <v>1</v>
      </c>
      <c r="C121" s="1320"/>
      <c r="D121" s="1320">
        <v>1</v>
      </c>
    </row>
    <row r="122" spans="1:4" x14ac:dyDescent="0.3">
      <c r="A122" s="1" t="s">
        <v>113</v>
      </c>
      <c r="B122" s="1320">
        <v>1</v>
      </c>
      <c r="C122" s="1320"/>
      <c r="D122" s="1320">
        <v>1</v>
      </c>
    </row>
    <row r="123" spans="1:4" x14ac:dyDescent="0.3">
      <c r="A123" s="1" t="s">
        <v>734</v>
      </c>
      <c r="B123" s="1320">
        <v>1</v>
      </c>
      <c r="C123" s="1320"/>
      <c r="D123" s="1320">
        <v>1</v>
      </c>
    </row>
    <row r="124" spans="1:4" x14ac:dyDescent="0.3">
      <c r="A124" s="1" t="s">
        <v>1083</v>
      </c>
      <c r="B124" s="1320">
        <v>1</v>
      </c>
      <c r="C124" s="1320"/>
      <c r="D124" s="1320">
        <v>1</v>
      </c>
    </row>
    <row r="125" spans="1:4" x14ac:dyDescent="0.3">
      <c r="A125" s="1" t="s">
        <v>1079</v>
      </c>
      <c r="B125" s="1320">
        <v>1</v>
      </c>
      <c r="C125" s="1320"/>
      <c r="D125" s="1320">
        <v>1</v>
      </c>
    </row>
    <row r="126" spans="1:4" x14ac:dyDescent="0.3">
      <c r="A126" s="1" t="s">
        <v>855</v>
      </c>
      <c r="B126" s="1320">
        <v>86</v>
      </c>
      <c r="C126" s="1320">
        <v>9</v>
      </c>
      <c r="D126" s="1320">
        <v>95</v>
      </c>
    </row>
    <row r="127" spans="1:4" x14ac:dyDescent="0.3">
      <c r="A127" s="1" t="s">
        <v>710</v>
      </c>
      <c r="B127" s="1320"/>
      <c r="C127" s="1320">
        <v>1</v>
      </c>
      <c r="D127" s="1320">
        <v>1</v>
      </c>
    </row>
    <row r="128" spans="1:4" x14ac:dyDescent="0.3">
      <c r="A128" s="1" t="s">
        <v>698</v>
      </c>
      <c r="B128" s="1320"/>
      <c r="C128" s="1320">
        <v>1</v>
      </c>
      <c r="D128" s="1320">
        <v>1</v>
      </c>
    </row>
    <row r="129" spans="1:4" x14ac:dyDescent="0.3">
      <c r="A129" s="1" t="s">
        <v>819</v>
      </c>
      <c r="B129" s="1320"/>
      <c r="C129" s="1320">
        <v>1</v>
      </c>
      <c r="D129" s="1320">
        <v>1</v>
      </c>
    </row>
    <row r="130" spans="1:4" x14ac:dyDescent="0.3">
      <c r="A130" s="1" t="s">
        <v>694</v>
      </c>
      <c r="B130" s="1320"/>
      <c r="C130" s="1320">
        <v>1</v>
      </c>
      <c r="D130" s="1320">
        <v>1</v>
      </c>
    </row>
    <row r="131" spans="1:4" x14ac:dyDescent="0.3">
      <c r="A131" s="1" t="s">
        <v>695</v>
      </c>
      <c r="B131" s="1320"/>
      <c r="C131" s="1320">
        <v>1</v>
      </c>
      <c r="D131" s="1320">
        <v>1</v>
      </c>
    </row>
    <row r="132" spans="1:4" x14ac:dyDescent="0.3">
      <c r="A132" s="1" t="s">
        <v>793</v>
      </c>
      <c r="B132" s="1320">
        <v>4</v>
      </c>
      <c r="C132" s="1320"/>
      <c r="D132" s="1320">
        <v>4</v>
      </c>
    </row>
    <row r="133" spans="1:4" x14ac:dyDescent="0.3">
      <c r="A133" s="1" t="s">
        <v>708</v>
      </c>
      <c r="B133" s="1320">
        <v>2</v>
      </c>
      <c r="C133" s="1320"/>
      <c r="D133" s="1320">
        <v>2</v>
      </c>
    </row>
    <row r="134" spans="1:4" x14ac:dyDescent="0.3">
      <c r="A134" s="1" t="s">
        <v>824</v>
      </c>
      <c r="B134" s="1320">
        <v>2</v>
      </c>
      <c r="C134" s="1320"/>
      <c r="D134" s="1320">
        <v>2</v>
      </c>
    </row>
    <row r="135" spans="1:4" x14ac:dyDescent="0.3">
      <c r="A135" s="1" t="s">
        <v>731</v>
      </c>
      <c r="B135" s="1320">
        <v>8</v>
      </c>
      <c r="C135" s="1320"/>
      <c r="D135" s="1320">
        <v>8</v>
      </c>
    </row>
    <row r="136" spans="1:4" x14ac:dyDescent="0.3">
      <c r="A136" s="1" t="s">
        <v>717</v>
      </c>
      <c r="B136" s="1320">
        <v>6</v>
      </c>
      <c r="C136" s="1320"/>
      <c r="D136" s="1320">
        <v>6</v>
      </c>
    </row>
    <row r="137" spans="1:4" x14ac:dyDescent="0.3">
      <c r="A137" s="1" t="s">
        <v>754</v>
      </c>
      <c r="B137" s="1320">
        <v>2</v>
      </c>
      <c r="C137" s="1320"/>
      <c r="D137" s="1320">
        <v>2</v>
      </c>
    </row>
    <row r="138" spans="1:4" x14ac:dyDescent="0.3">
      <c r="A138" s="1" t="s">
        <v>864</v>
      </c>
      <c r="B138" s="1320">
        <v>1</v>
      </c>
      <c r="C138" s="1320"/>
      <c r="D138" s="1320">
        <v>1</v>
      </c>
    </row>
    <row r="139" spans="1:4" x14ac:dyDescent="0.3">
      <c r="A139" s="1" t="s">
        <v>1990</v>
      </c>
      <c r="B139" s="1320">
        <v>3</v>
      </c>
      <c r="C139" s="1320"/>
      <c r="D139" s="1320">
        <v>3</v>
      </c>
    </row>
    <row r="140" spans="1:4" x14ac:dyDescent="0.3">
      <c r="A140" s="1" t="s">
        <v>1992</v>
      </c>
      <c r="B140" s="1320">
        <v>3</v>
      </c>
      <c r="C140" s="1320"/>
      <c r="D140" s="1320">
        <v>3</v>
      </c>
    </row>
    <row r="141" spans="1:4" x14ac:dyDescent="0.3">
      <c r="A141" s="1" t="s">
        <v>1991</v>
      </c>
      <c r="B141" s="1320">
        <v>3</v>
      </c>
      <c r="C141" s="1320"/>
      <c r="D141" s="1320">
        <v>3</v>
      </c>
    </row>
    <row r="142" spans="1:4" x14ac:dyDescent="0.3">
      <c r="A142" s="1" t="s">
        <v>668</v>
      </c>
      <c r="B142" s="1320"/>
      <c r="C142" s="1320">
        <v>1</v>
      </c>
      <c r="D142" s="1320">
        <v>1</v>
      </c>
    </row>
    <row r="143" spans="1:4" x14ac:dyDescent="0.3">
      <c r="A143" s="1" t="s">
        <v>753</v>
      </c>
      <c r="B143" s="1320">
        <v>1</v>
      </c>
      <c r="C143" s="1320"/>
      <c r="D143" s="1320">
        <v>1</v>
      </c>
    </row>
    <row r="144" spans="1:4" x14ac:dyDescent="0.3">
      <c r="A144" s="1" t="s">
        <v>771</v>
      </c>
      <c r="B144" s="1320">
        <v>2</v>
      </c>
      <c r="C144" s="1320"/>
      <c r="D144" s="1320">
        <v>2</v>
      </c>
    </row>
    <row r="145" spans="1:4" x14ac:dyDescent="0.3">
      <c r="A145" s="1" t="s">
        <v>1996</v>
      </c>
      <c r="B145" s="1320">
        <v>2</v>
      </c>
      <c r="C145" s="1320"/>
      <c r="D145" s="1320">
        <v>2</v>
      </c>
    </row>
    <row r="146" spans="1:4" x14ac:dyDescent="0.3">
      <c r="A146" s="1" t="s">
        <v>730</v>
      </c>
      <c r="B146" s="1320">
        <v>9</v>
      </c>
      <c r="C146" s="1320"/>
      <c r="D146" s="1320">
        <v>9</v>
      </c>
    </row>
    <row r="147" spans="1:4" x14ac:dyDescent="0.3">
      <c r="A147" s="1" t="s">
        <v>757</v>
      </c>
      <c r="B147" s="1320">
        <v>9</v>
      </c>
      <c r="C147" s="1320"/>
      <c r="D147" s="1320">
        <v>9</v>
      </c>
    </row>
    <row r="148" spans="1:4" x14ac:dyDescent="0.3">
      <c r="A148" s="1" t="s">
        <v>758</v>
      </c>
      <c r="B148" s="1320">
        <v>1</v>
      </c>
      <c r="C148" s="1320"/>
      <c r="D148" s="1320">
        <v>1</v>
      </c>
    </row>
    <row r="149" spans="1:4" x14ac:dyDescent="0.3">
      <c r="A149" s="1" t="s">
        <v>198</v>
      </c>
      <c r="B149" s="1320">
        <v>1</v>
      </c>
      <c r="C149" s="1320"/>
      <c r="D149" s="1320">
        <v>1</v>
      </c>
    </row>
    <row r="150" spans="1:4" x14ac:dyDescent="0.3">
      <c r="A150" s="1" t="s">
        <v>765</v>
      </c>
      <c r="B150" s="1320">
        <v>1</v>
      </c>
      <c r="C150" s="1320"/>
      <c r="D150" s="1320">
        <v>1</v>
      </c>
    </row>
    <row r="151" spans="1:4" x14ac:dyDescent="0.3">
      <c r="A151" s="1" t="s">
        <v>755</v>
      </c>
      <c r="B151" s="1320">
        <v>1</v>
      </c>
      <c r="C151" s="1320"/>
      <c r="D151" s="1320">
        <v>1</v>
      </c>
    </row>
    <row r="152" spans="1:4" x14ac:dyDescent="0.3">
      <c r="A152" s="1" t="s">
        <v>703</v>
      </c>
      <c r="B152" s="1320">
        <v>8</v>
      </c>
      <c r="C152" s="1320"/>
      <c r="D152" s="1320">
        <v>8</v>
      </c>
    </row>
    <row r="153" spans="1:4" x14ac:dyDescent="0.3">
      <c r="A153" s="1" t="s">
        <v>760</v>
      </c>
      <c r="B153" s="1320">
        <v>1</v>
      </c>
      <c r="C153" s="1320"/>
      <c r="D153" s="1320">
        <v>1</v>
      </c>
    </row>
    <row r="154" spans="1:4" x14ac:dyDescent="0.3">
      <c r="A154" s="1" t="s">
        <v>66</v>
      </c>
      <c r="B154" s="1320">
        <v>2</v>
      </c>
      <c r="C154" s="1320"/>
      <c r="D154" s="1320">
        <v>2</v>
      </c>
    </row>
    <row r="155" spans="1:4" x14ac:dyDescent="0.3">
      <c r="A155" s="1" t="s">
        <v>1514</v>
      </c>
      <c r="B155" s="1320">
        <v>1</v>
      </c>
      <c r="C155" s="1320"/>
      <c r="D155" s="1320">
        <v>1</v>
      </c>
    </row>
    <row r="156" spans="1:4" x14ac:dyDescent="0.3">
      <c r="A156" s="1" t="s">
        <v>756</v>
      </c>
      <c r="B156" s="1320">
        <v>1</v>
      </c>
      <c r="C156" s="1320"/>
      <c r="D156" s="1320">
        <v>1</v>
      </c>
    </row>
    <row r="157" spans="1:4" x14ac:dyDescent="0.3">
      <c r="A157" s="1" t="s">
        <v>1997</v>
      </c>
      <c r="B157" s="1320">
        <v>2</v>
      </c>
      <c r="C157" s="1320"/>
      <c r="D157" s="1320">
        <v>2</v>
      </c>
    </row>
    <row r="158" spans="1:4" x14ac:dyDescent="0.3">
      <c r="A158" s="1" t="s">
        <v>241</v>
      </c>
      <c r="B158" s="1320"/>
      <c r="C158" s="1320">
        <v>1</v>
      </c>
      <c r="D158" s="1320">
        <v>1</v>
      </c>
    </row>
    <row r="159" spans="1:4" x14ac:dyDescent="0.3">
      <c r="A159" s="1" t="s">
        <v>720</v>
      </c>
      <c r="B159" s="1320">
        <v>2</v>
      </c>
      <c r="C159" s="1320"/>
      <c r="D159" s="1320">
        <v>2</v>
      </c>
    </row>
    <row r="160" spans="1:4" x14ac:dyDescent="0.3">
      <c r="A160" s="1" t="s">
        <v>732</v>
      </c>
      <c r="B160" s="1320">
        <v>1</v>
      </c>
      <c r="C160" s="1320"/>
      <c r="D160" s="1320">
        <v>1</v>
      </c>
    </row>
    <row r="161" spans="1:4" x14ac:dyDescent="0.3">
      <c r="A161" s="1" t="s">
        <v>826</v>
      </c>
      <c r="B161" s="1320">
        <v>1</v>
      </c>
      <c r="C161" s="1320"/>
      <c r="D161" s="1320">
        <v>1</v>
      </c>
    </row>
    <row r="162" spans="1:4" x14ac:dyDescent="0.3">
      <c r="A162" s="1" t="s">
        <v>863</v>
      </c>
      <c r="B162" s="1320">
        <v>1</v>
      </c>
      <c r="C162" s="1320"/>
      <c r="D162" s="1320">
        <v>1</v>
      </c>
    </row>
    <row r="163" spans="1:4" x14ac:dyDescent="0.3">
      <c r="A163" s="1" t="s">
        <v>680</v>
      </c>
      <c r="B163" s="1320">
        <v>1</v>
      </c>
      <c r="C163" s="1320"/>
      <c r="D163" s="1320">
        <v>1</v>
      </c>
    </row>
    <row r="164" spans="1:4" x14ac:dyDescent="0.3">
      <c r="A164" s="1" t="s">
        <v>727</v>
      </c>
      <c r="B164" s="1320">
        <v>2</v>
      </c>
      <c r="C164" s="1320"/>
      <c r="D164" s="1320">
        <v>2</v>
      </c>
    </row>
    <row r="165" spans="1:4" x14ac:dyDescent="0.3">
      <c r="A165" s="1" t="s">
        <v>2052</v>
      </c>
      <c r="B165" s="1320"/>
      <c r="C165" s="1320">
        <v>1</v>
      </c>
      <c r="D165" s="1320">
        <v>1</v>
      </c>
    </row>
    <row r="166" spans="1:4" x14ac:dyDescent="0.3">
      <c r="A166" s="1" t="s">
        <v>827</v>
      </c>
      <c r="B166" s="1320"/>
      <c r="C166" s="1320">
        <v>1</v>
      </c>
      <c r="D166" s="1320">
        <v>1</v>
      </c>
    </row>
    <row r="167" spans="1:4" x14ac:dyDescent="0.3">
      <c r="A167" s="1" t="s">
        <v>828</v>
      </c>
      <c r="B167" s="1320">
        <v>1</v>
      </c>
      <c r="C167" s="1320"/>
      <c r="D167" s="1320">
        <v>1</v>
      </c>
    </row>
    <row r="168" spans="1:4" x14ac:dyDescent="0.3">
      <c r="A168" s="1" t="s">
        <v>936</v>
      </c>
      <c r="B168" s="1320">
        <v>1</v>
      </c>
      <c r="C168" s="1320"/>
      <c r="D168" s="1320">
        <v>1</v>
      </c>
    </row>
    <row r="169" spans="1:4" x14ac:dyDescent="0.3">
      <c r="A169" s="1" t="s">
        <v>2</v>
      </c>
      <c r="B169" s="1320">
        <v>32</v>
      </c>
      <c r="C169" s="1320">
        <v>1</v>
      </c>
      <c r="D169" s="1320">
        <v>33</v>
      </c>
    </row>
    <row r="170" spans="1:4" x14ac:dyDescent="0.3">
      <c r="A170" s="1" t="s">
        <v>745</v>
      </c>
      <c r="B170" s="1320">
        <v>1</v>
      </c>
      <c r="C170" s="1320"/>
      <c r="D170" s="1320">
        <v>1</v>
      </c>
    </row>
    <row r="171" spans="1:4" x14ac:dyDescent="0.3">
      <c r="A171" s="1" t="s">
        <v>741</v>
      </c>
      <c r="B171" s="1320">
        <v>1</v>
      </c>
      <c r="C171" s="1320"/>
      <c r="D171" s="1320">
        <v>1</v>
      </c>
    </row>
    <row r="172" spans="1:4" x14ac:dyDescent="0.3">
      <c r="A172" s="1" t="s">
        <v>700</v>
      </c>
      <c r="B172" s="1320">
        <v>8</v>
      </c>
      <c r="C172" s="1320"/>
      <c r="D172" s="1320">
        <v>8</v>
      </c>
    </row>
    <row r="173" spans="1:4" x14ac:dyDescent="0.3">
      <c r="A173" s="1" t="s">
        <v>716</v>
      </c>
      <c r="B173" s="1320">
        <v>7</v>
      </c>
      <c r="C173" s="1320"/>
      <c r="D173" s="1320">
        <v>7</v>
      </c>
    </row>
    <row r="174" spans="1:4" x14ac:dyDescent="0.3">
      <c r="A174" s="1" t="s">
        <v>752</v>
      </c>
      <c r="B174" s="1320">
        <v>6</v>
      </c>
      <c r="C174" s="1320"/>
      <c r="D174" s="1320">
        <v>6</v>
      </c>
    </row>
    <row r="175" spans="1:4" x14ac:dyDescent="0.3">
      <c r="A175" s="1" t="s">
        <v>1986</v>
      </c>
      <c r="B175" s="1320">
        <v>4</v>
      </c>
      <c r="C175" s="1320"/>
      <c r="D175" s="1320">
        <v>4</v>
      </c>
    </row>
    <row r="176" spans="1:4" x14ac:dyDescent="0.3">
      <c r="A176" s="1" t="s">
        <v>667</v>
      </c>
      <c r="B176" s="1320"/>
      <c r="C176" s="1320">
        <v>1</v>
      </c>
      <c r="D176" s="1320">
        <v>1</v>
      </c>
    </row>
    <row r="177" spans="1:4" x14ac:dyDescent="0.3">
      <c r="A177" s="1" t="s">
        <v>725</v>
      </c>
      <c r="B177" s="1320">
        <v>1</v>
      </c>
      <c r="C177" s="1320"/>
      <c r="D177" s="1320">
        <v>1</v>
      </c>
    </row>
    <row r="178" spans="1:4" x14ac:dyDescent="0.3">
      <c r="A178" s="1" t="s">
        <v>729</v>
      </c>
      <c r="B178" s="1320">
        <v>2</v>
      </c>
      <c r="C178" s="1320"/>
      <c r="D178" s="1320">
        <v>2</v>
      </c>
    </row>
    <row r="179" spans="1:4" x14ac:dyDescent="0.3">
      <c r="A179" s="1" t="s">
        <v>862</v>
      </c>
      <c r="B179" s="1320">
        <v>1</v>
      </c>
      <c r="C179" s="1320"/>
      <c r="D179" s="1320">
        <v>1</v>
      </c>
    </row>
    <row r="180" spans="1:4" x14ac:dyDescent="0.3">
      <c r="A180" s="1" t="s">
        <v>197</v>
      </c>
      <c r="B180" s="1320">
        <v>1</v>
      </c>
      <c r="C180" s="1320"/>
      <c r="D180" s="1320">
        <v>1</v>
      </c>
    </row>
    <row r="181" spans="1:4" x14ac:dyDescent="0.3">
      <c r="A181" s="1" t="s">
        <v>1</v>
      </c>
      <c r="B181" s="1320">
        <v>38</v>
      </c>
      <c r="C181" s="1320"/>
      <c r="D181" s="1320">
        <v>38</v>
      </c>
    </row>
    <row r="182" spans="1:4" x14ac:dyDescent="0.3">
      <c r="A182" s="1" t="s">
        <v>1987</v>
      </c>
      <c r="B182" s="1320">
        <v>4</v>
      </c>
      <c r="C182" s="1320"/>
      <c r="D182" s="1320">
        <v>4</v>
      </c>
    </row>
    <row r="183" spans="1:4" x14ac:dyDescent="0.3">
      <c r="A183" s="1" t="s">
        <v>1676</v>
      </c>
      <c r="B183" s="1320">
        <v>11</v>
      </c>
      <c r="C183" s="1320"/>
      <c r="D183" s="1320">
        <v>11</v>
      </c>
    </row>
    <row r="184" spans="1:4" x14ac:dyDescent="0.3">
      <c r="A184" s="1" t="s">
        <v>2561</v>
      </c>
      <c r="B184" s="1320">
        <v>11</v>
      </c>
      <c r="C184" s="1320"/>
      <c r="D184" s="1320">
        <v>11</v>
      </c>
    </row>
    <row r="185" spans="1:4" x14ac:dyDescent="0.3">
      <c r="A185" s="1" t="s">
        <v>2562</v>
      </c>
      <c r="B185" s="1320">
        <v>9</v>
      </c>
      <c r="C185" s="1320"/>
      <c r="D185" s="1320">
        <v>9</v>
      </c>
    </row>
    <row r="186" spans="1:4" x14ac:dyDescent="0.3">
      <c r="A186" s="1" t="s">
        <v>2585</v>
      </c>
      <c r="B186" s="1320">
        <v>1</v>
      </c>
      <c r="C186" s="1320"/>
      <c r="D186" s="1320">
        <v>1</v>
      </c>
    </row>
    <row r="187" spans="1:4" x14ac:dyDescent="0.3">
      <c r="A187" s="1" t="s">
        <v>2586</v>
      </c>
      <c r="B187" s="1320">
        <v>1</v>
      </c>
      <c r="C187" s="1320"/>
      <c r="D187" s="1320">
        <v>1</v>
      </c>
    </row>
    <row r="188" spans="1:4" x14ac:dyDescent="0.3">
      <c r="A188" s="1" t="s">
        <v>1678</v>
      </c>
      <c r="B188" s="1320">
        <v>1</v>
      </c>
      <c r="C188" s="1320"/>
      <c r="D188" s="1320">
        <v>1</v>
      </c>
    </row>
    <row r="189" spans="1:4" x14ac:dyDescent="0.3">
      <c r="A189" s="1" t="s">
        <v>944</v>
      </c>
      <c r="B189" s="1320">
        <v>6</v>
      </c>
      <c r="C189" s="1320"/>
      <c r="D189" s="1320">
        <v>6</v>
      </c>
    </row>
    <row r="190" spans="1:4" x14ac:dyDescent="0.3">
      <c r="A190" s="1" t="s">
        <v>795</v>
      </c>
      <c r="B190" s="1320">
        <v>4</v>
      </c>
      <c r="C190" s="1320"/>
      <c r="D190" s="1320">
        <v>4</v>
      </c>
    </row>
    <row r="191" spans="1:4" x14ac:dyDescent="0.3">
      <c r="A191" s="1" t="s">
        <v>705</v>
      </c>
      <c r="B191" s="1320">
        <v>2</v>
      </c>
      <c r="C191" s="1320"/>
      <c r="D191" s="1320">
        <v>2</v>
      </c>
    </row>
    <row r="192" spans="1:4" x14ac:dyDescent="0.3">
      <c r="A192" s="1" t="s">
        <v>945</v>
      </c>
      <c r="B192" s="1320">
        <v>3</v>
      </c>
      <c r="C192" s="1320"/>
      <c r="D192" s="1320">
        <v>3</v>
      </c>
    </row>
    <row r="193" spans="1:4" x14ac:dyDescent="0.3">
      <c r="A193" s="1" t="s">
        <v>706</v>
      </c>
      <c r="B193" s="1320">
        <v>2</v>
      </c>
      <c r="C193" s="1320"/>
      <c r="D193" s="1320">
        <v>2</v>
      </c>
    </row>
    <row r="194" spans="1:4" x14ac:dyDescent="0.3">
      <c r="A194" s="1" t="s">
        <v>820</v>
      </c>
      <c r="B194" s="1320">
        <v>1</v>
      </c>
      <c r="C194" s="1320"/>
      <c r="D194" s="1320">
        <v>1</v>
      </c>
    </row>
    <row r="195" spans="1:4" x14ac:dyDescent="0.3">
      <c r="A195" s="1" t="s">
        <v>884</v>
      </c>
      <c r="B195" s="1320">
        <v>4</v>
      </c>
      <c r="C195" s="1320"/>
      <c r="D195" s="1320">
        <v>4</v>
      </c>
    </row>
    <row r="196" spans="1:4" x14ac:dyDescent="0.3">
      <c r="A196" s="1" t="s">
        <v>216</v>
      </c>
      <c r="B196" s="1320">
        <v>4</v>
      </c>
      <c r="C196" s="1320"/>
      <c r="D196" s="1320">
        <v>4</v>
      </c>
    </row>
    <row r="197" spans="1:4" x14ac:dyDescent="0.3">
      <c r="A197" s="1" t="s">
        <v>6</v>
      </c>
      <c r="B197" s="1320">
        <v>17</v>
      </c>
      <c r="C197" s="1320">
        <v>1</v>
      </c>
      <c r="D197" s="1320">
        <v>18</v>
      </c>
    </row>
    <row r="198" spans="1:4" x14ac:dyDescent="0.3">
      <c r="A198" s="1" t="s">
        <v>743</v>
      </c>
      <c r="B198" s="1320">
        <v>1</v>
      </c>
      <c r="C198" s="1320"/>
      <c r="D198" s="1320">
        <v>1</v>
      </c>
    </row>
    <row r="199" spans="1:4" x14ac:dyDescent="0.3">
      <c r="A199" s="1" t="s">
        <v>742</v>
      </c>
      <c r="B199" s="1320">
        <v>7</v>
      </c>
      <c r="C199" s="1320"/>
      <c r="D199" s="1320">
        <v>7</v>
      </c>
    </row>
    <row r="200" spans="1:4" x14ac:dyDescent="0.3">
      <c r="A200" s="1" t="s">
        <v>739</v>
      </c>
      <c r="B200" s="1320">
        <v>1</v>
      </c>
      <c r="C200" s="1320"/>
      <c r="D200" s="1320">
        <v>1</v>
      </c>
    </row>
    <row r="201" spans="1:4" x14ac:dyDescent="0.3">
      <c r="A201" s="1" t="s">
        <v>740</v>
      </c>
      <c r="B201" s="1320">
        <v>7</v>
      </c>
      <c r="C201" s="1320"/>
      <c r="D201" s="1320">
        <v>7</v>
      </c>
    </row>
    <row r="202" spans="1:4" x14ac:dyDescent="0.3">
      <c r="A202" s="1" t="s">
        <v>670</v>
      </c>
      <c r="B202" s="1320"/>
      <c r="C202" s="1320">
        <v>1</v>
      </c>
      <c r="D202" s="1320">
        <v>1</v>
      </c>
    </row>
    <row r="203" spans="1:4" x14ac:dyDescent="0.3">
      <c r="A203" s="1" t="s">
        <v>735</v>
      </c>
      <c r="B203" s="1320">
        <v>1</v>
      </c>
      <c r="C203" s="1320"/>
      <c r="D203" s="1320">
        <v>1</v>
      </c>
    </row>
    <row r="204" spans="1:4" x14ac:dyDescent="0.3">
      <c r="A204" s="1" t="s">
        <v>915</v>
      </c>
      <c r="B204" s="1320">
        <v>423</v>
      </c>
      <c r="C204" s="1320">
        <v>23</v>
      </c>
      <c r="D204" s="1320">
        <v>446</v>
      </c>
    </row>
    <row r="205" spans="1:4" x14ac:dyDescent="0.3">
      <c r="A205"/>
      <c r="B205"/>
      <c r="C205"/>
      <c r="D205"/>
    </row>
    <row r="206" spans="1:4" x14ac:dyDescent="0.3">
      <c r="A206"/>
      <c r="B206"/>
      <c r="C206"/>
      <c r="D206"/>
    </row>
    <row r="207" spans="1:4" x14ac:dyDescent="0.3">
      <c r="A207"/>
      <c r="B207"/>
      <c r="C207"/>
      <c r="D207"/>
    </row>
    <row r="208" spans="1:4" x14ac:dyDescent="0.3">
      <c r="A208"/>
      <c r="B208"/>
      <c r="C208"/>
      <c r="D208"/>
    </row>
    <row r="209" spans="1:4" x14ac:dyDescent="0.3">
      <c r="A209"/>
      <c r="B209"/>
      <c r="C209"/>
      <c r="D209"/>
    </row>
    <row r="210" spans="1:4" x14ac:dyDescent="0.3">
      <c r="A210"/>
      <c r="B210"/>
      <c r="C210"/>
      <c r="D210"/>
    </row>
    <row r="211" spans="1:4" x14ac:dyDescent="0.3">
      <c r="A211"/>
      <c r="B211"/>
      <c r="C211"/>
      <c r="D211"/>
    </row>
    <row r="212" spans="1:4" x14ac:dyDescent="0.3">
      <c r="A212"/>
      <c r="B212"/>
      <c r="C212"/>
      <c r="D212"/>
    </row>
    <row r="213" spans="1:4" x14ac:dyDescent="0.3">
      <c r="A213"/>
      <c r="B213"/>
      <c r="C213"/>
      <c r="D213"/>
    </row>
    <row r="214" spans="1:4" x14ac:dyDescent="0.3">
      <c r="A214"/>
      <c r="B214"/>
      <c r="C214"/>
      <c r="D214"/>
    </row>
    <row r="215" spans="1:4" x14ac:dyDescent="0.3">
      <c r="A215"/>
      <c r="B215"/>
      <c r="C215"/>
      <c r="D215"/>
    </row>
    <row r="216" spans="1:4" x14ac:dyDescent="0.3">
      <c r="A216"/>
      <c r="B216"/>
      <c r="C216"/>
      <c r="D216"/>
    </row>
    <row r="217" spans="1:4" x14ac:dyDescent="0.3">
      <c r="A217"/>
      <c r="B217"/>
      <c r="C217"/>
      <c r="D217"/>
    </row>
    <row r="218" spans="1:4" x14ac:dyDescent="0.3">
      <c r="A218"/>
      <c r="B218"/>
      <c r="C218"/>
      <c r="D218"/>
    </row>
    <row r="219" spans="1:4" x14ac:dyDescent="0.3">
      <c r="A219"/>
      <c r="B219"/>
      <c r="C219"/>
      <c r="D219"/>
    </row>
    <row r="220" spans="1:4" x14ac:dyDescent="0.3">
      <c r="A220"/>
      <c r="B220"/>
      <c r="C220"/>
      <c r="D220"/>
    </row>
    <row r="221" spans="1:4" x14ac:dyDescent="0.3">
      <c r="A221"/>
      <c r="B221"/>
      <c r="C221"/>
      <c r="D221"/>
    </row>
    <row r="222" spans="1:4" x14ac:dyDescent="0.3">
      <c r="A222"/>
      <c r="B222"/>
      <c r="C222"/>
      <c r="D222"/>
    </row>
    <row r="223" spans="1:4" x14ac:dyDescent="0.3">
      <c r="A223"/>
      <c r="B223"/>
      <c r="C223"/>
      <c r="D223"/>
    </row>
    <row r="224" spans="1:4" x14ac:dyDescent="0.3">
      <c r="A224"/>
      <c r="B224"/>
      <c r="C224"/>
      <c r="D224"/>
    </row>
    <row r="225" spans="1:4" x14ac:dyDescent="0.3">
      <c r="A225"/>
      <c r="B225"/>
      <c r="C225"/>
      <c r="D225"/>
    </row>
  </sheetData>
  <pageMargins left="0.70866141732283472" right="0.70866141732283472" top="0.74803149606299213" bottom="0.74803149606299213" header="0.31496062992125984" footer="0.31496062992125984"/>
  <pageSetup paperSize="5" scale="18" fitToHeight="0" orientation="landscape"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3">
    <tabColor rgb="FFFFFF00"/>
  </sheetPr>
  <dimension ref="A1:AA61"/>
  <sheetViews>
    <sheetView topLeftCell="B1" zoomScaleNormal="100" workbookViewId="0">
      <selection activeCell="D452" sqref="D452"/>
    </sheetView>
  </sheetViews>
  <sheetFormatPr baseColWidth="10" defaultColWidth="11" defaultRowHeight="14.4" x14ac:dyDescent="0.3"/>
  <cols>
    <col min="1" max="2" width="4" bestFit="1" customWidth="1"/>
    <col min="3" max="3" width="16.6640625" hidden="1" customWidth="1"/>
    <col min="4" max="4" width="40.6640625" hidden="1" customWidth="1"/>
    <col min="5" max="5" width="36.33203125" hidden="1" customWidth="1"/>
    <col min="6" max="6" width="17.6640625" bestFit="1" customWidth="1"/>
    <col min="7" max="7" width="7.6640625" bestFit="1" customWidth="1"/>
    <col min="8" max="8" width="6.88671875" bestFit="1" customWidth="1"/>
    <col min="9" max="9" width="6.88671875" customWidth="1"/>
    <col min="10" max="10" width="10" bestFit="1" customWidth="1"/>
    <col min="11" max="11" width="16.33203125" bestFit="1" customWidth="1"/>
    <col min="12" max="12" width="11.6640625" bestFit="1" customWidth="1"/>
    <col min="13" max="14" width="9.33203125" customWidth="1"/>
    <col min="15" max="15" width="3.6640625" customWidth="1"/>
    <col min="16" max="16" width="23.44140625" bestFit="1" customWidth="1"/>
    <col min="17" max="17" width="12.6640625" bestFit="1" customWidth="1"/>
    <col min="18" max="18" width="9" bestFit="1" customWidth="1"/>
    <col min="19" max="19" width="9.33203125" bestFit="1" customWidth="1"/>
    <col min="20" max="20" width="10.33203125" bestFit="1" customWidth="1"/>
    <col min="21" max="21" width="9" bestFit="1" customWidth="1"/>
    <col min="22" max="22" width="9.33203125" bestFit="1" customWidth="1"/>
    <col min="23" max="23" width="9" bestFit="1" customWidth="1"/>
    <col min="24" max="25" width="8.6640625" bestFit="1" customWidth="1"/>
    <col min="28" max="16384" width="11" style="290"/>
  </cols>
  <sheetData>
    <row r="1" spans="1:27" x14ac:dyDescent="0.3">
      <c r="A1" s="651" t="s">
        <v>663</v>
      </c>
      <c r="B1" s="651"/>
      <c r="C1" s="290"/>
      <c r="D1" s="290"/>
      <c r="E1" s="290"/>
      <c r="F1" s="290"/>
      <c r="G1" s="652" t="s">
        <v>927</v>
      </c>
      <c r="H1" s="652" t="s">
        <v>928</v>
      </c>
      <c r="I1" s="653" t="s">
        <v>818</v>
      </c>
      <c r="J1" s="653" t="s">
        <v>973</v>
      </c>
      <c r="K1" s="1063" t="s">
        <v>2079</v>
      </c>
      <c r="L1" s="1063"/>
      <c r="M1" s="1063"/>
      <c r="N1" s="290"/>
      <c r="O1" s="290"/>
      <c r="Z1" s="290"/>
      <c r="AA1" s="290"/>
    </row>
    <row r="2" spans="1:27" x14ac:dyDescent="0.3">
      <c r="A2" s="651"/>
      <c r="B2" s="651"/>
      <c r="C2" s="290"/>
      <c r="D2" s="290"/>
      <c r="E2" s="290"/>
      <c r="F2" s="290"/>
      <c r="G2" s="654">
        <f>SUM('COP ESTE'!$G$6:$G$61)</f>
        <v>23</v>
      </c>
      <c r="H2" s="654">
        <f>SUM('COP ESTE'!$H$6:$H$61)</f>
        <v>423</v>
      </c>
      <c r="I2" s="654">
        <f>SUM('COP ESTE'!$I$6:$I$61)</f>
        <v>25</v>
      </c>
      <c r="J2" s="655">
        <f>SUM('COP ESTE'!$J$6:$J$61)</f>
        <v>446</v>
      </c>
      <c r="K2" s="656" t="s">
        <v>2080</v>
      </c>
      <c r="L2" s="656" t="s">
        <v>2081</v>
      </c>
      <c r="M2" s="656" t="str">
        <f>IF(L3&lt;K3,"A Favor","En Contra")</f>
        <v>A Favor</v>
      </c>
      <c r="N2" s="290"/>
      <c r="O2" s="290"/>
      <c r="Z2" s="290"/>
      <c r="AA2" s="290"/>
    </row>
    <row r="3" spans="1:27" x14ac:dyDescent="0.3">
      <c r="A3" s="651"/>
      <c r="B3" s="651"/>
      <c r="C3" s="290"/>
      <c r="D3" s="290"/>
      <c r="E3" s="290"/>
      <c r="F3" s="290"/>
      <c r="G3" s="657"/>
      <c r="H3" s="657"/>
      <c r="I3" s="657"/>
      <c r="J3" s="657"/>
      <c r="K3" s="658">
        <v>0.1701</v>
      </c>
      <c r="L3" s="658">
        <f>IFERROR(((SUMIF(E:E,"Ausentabilidad",G:G)+SUMIF(E:E,"Ausentabilidad",H:H))*1)/J2,0)</f>
        <v>0.11434977578475336</v>
      </c>
      <c r="M3" s="659">
        <f>K3-L3</f>
        <v>5.5750224215246641E-2</v>
      </c>
      <c r="N3" s="290"/>
      <c r="O3" s="290"/>
      <c r="Z3" s="290"/>
      <c r="AA3" s="290"/>
    </row>
    <row r="4" spans="1:27" x14ac:dyDescent="0.3">
      <c r="A4" s="651"/>
      <c r="B4" s="651"/>
      <c r="C4" s="290"/>
      <c r="D4" s="290"/>
      <c r="E4" s="290"/>
      <c r="F4" s="290"/>
      <c r="G4" s="290"/>
      <c r="H4" s="290"/>
      <c r="I4" s="290"/>
      <c r="J4" s="290"/>
      <c r="K4" s="290"/>
      <c r="L4" s="290"/>
      <c r="M4" s="290"/>
      <c r="N4" s="290"/>
      <c r="O4" s="290"/>
      <c r="Z4" s="290"/>
      <c r="AA4" s="290"/>
    </row>
    <row r="5" spans="1:27" ht="15" thickBot="1" x14ac:dyDescent="0.35">
      <c r="A5" s="651"/>
      <c r="B5" s="651"/>
      <c r="C5" s="674" t="s">
        <v>870</v>
      </c>
      <c r="D5" s="674" t="s">
        <v>2082</v>
      </c>
      <c r="E5" s="674" t="s">
        <v>2083</v>
      </c>
      <c r="F5" s="674" t="s">
        <v>852</v>
      </c>
      <c r="G5" s="674" t="s">
        <v>927</v>
      </c>
      <c r="H5" s="674" t="s">
        <v>928</v>
      </c>
      <c r="I5" s="674" t="s">
        <v>818</v>
      </c>
      <c r="J5" s="675" t="s">
        <v>973</v>
      </c>
      <c r="K5" s="290"/>
      <c r="L5" s="290"/>
      <c r="M5" s="290"/>
      <c r="N5" s="290"/>
      <c r="O5" s="290"/>
      <c r="Z5" s="290"/>
      <c r="AA5" s="290"/>
    </row>
    <row r="6" spans="1:27" ht="13.8" thickBot="1" x14ac:dyDescent="0.35">
      <c r="A6" s="1064" t="s">
        <v>2084</v>
      </c>
      <c r="B6" s="1067" t="s">
        <v>2085</v>
      </c>
      <c r="C6" s="676" t="s">
        <v>2084</v>
      </c>
      <c r="D6" s="676" t="s">
        <v>2086</v>
      </c>
      <c r="E6" s="676" t="s">
        <v>2087</v>
      </c>
      <c r="F6" s="676" t="s">
        <v>2088</v>
      </c>
      <c r="G6" s="677">
        <f>'TABLAS DINAMICAS'!AH5</f>
        <v>0</v>
      </c>
      <c r="H6" s="677">
        <f>'TABLAS DINAMICAS'!AI5</f>
        <v>0</v>
      </c>
      <c r="I6" s="677"/>
      <c r="J6" s="678">
        <f t="shared" ref="J6:J61" si="0">SUM(G6:H6)</f>
        <v>0</v>
      </c>
      <c r="K6" s="1070" t="s">
        <v>2082</v>
      </c>
      <c r="L6" s="1071"/>
      <c r="M6" s="1071"/>
      <c r="N6" s="1071"/>
      <c r="O6" s="290"/>
      <c r="P6" s="660" t="s">
        <v>831</v>
      </c>
      <c r="Q6" s="660" t="s">
        <v>2089</v>
      </c>
      <c r="R6" s="660" t="s">
        <v>2090</v>
      </c>
      <c r="S6" s="660" t="s">
        <v>2091</v>
      </c>
      <c r="T6" s="660" t="s">
        <v>2092</v>
      </c>
      <c r="U6" s="660" t="s">
        <v>2093</v>
      </c>
      <c r="V6" s="660" t="s">
        <v>2094</v>
      </c>
      <c r="W6" s="660" t="s">
        <v>2095</v>
      </c>
      <c r="X6" s="660" t="s">
        <v>2096</v>
      </c>
      <c r="Y6" s="660" t="s">
        <v>2097</v>
      </c>
      <c r="Z6" s="290"/>
      <c r="AA6" s="290"/>
    </row>
    <row r="7" spans="1:27" ht="13.8" thickBot="1" x14ac:dyDescent="0.35">
      <c r="A7" s="1065"/>
      <c r="B7" s="1068"/>
      <c r="C7" s="679" t="s">
        <v>2084</v>
      </c>
      <c r="D7" s="679" t="s">
        <v>2086</v>
      </c>
      <c r="E7" s="679" t="s">
        <v>2087</v>
      </c>
      <c r="F7" s="679" t="s">
        <v>2098</v>
      </c>
      <c r="G7" s="680">
        <f>'TABLAS DINAMICAS'!AH6</f>
        <v>0</v>
      </c>
      <c r="H7" s="680">
        <f>'TABLAS DINAMICAS'!AI6</f>
        <v>0</v>
      </c>
      <c r="I7" s="680"/>
      <c r="J7" s="678">
        <f t="shared" si="0"/>
        <v>0</v>
      </c>
      <c r="K7" s="1072" t="s">
        <v>2086</v>
      </c>
      <c r="L7" s="1073"/>
      <c r="M7" s="1073"/>
      <c r="N7" s="1073"/>
      <c r="O7" s="290"/>
      <c r="P7" s="663" t="s">
        <v>2</v>
      </c>
      <c r="Q7" s="664"/>
      <c r="R7" s="664"/>
      <c r="S7" s="664"/>
      <c r="T7" s="664"/>
      <c r="U7" s="664"/>
      <c r="V7" s="664"/>
      <c r="W7" s="664"/>
      <c r="X7" s="664"/>
      <c r="Y7" s="664"/>
      <c r="Z7" s="290"/>
      <c r="AA7" s="290"/>
    </row>
    <row r="8" spans="1:27" ht="13.8" thickBot="1" x14ac:dyDescent="0.35">
      <c r="A8" s="1065"/>
      <c r="B8" s="1068"/>
      <c r="C8" s="681" t="s">
        <v>2084</v>
      </c>
      <c r="D8" s="681" t="s">
        <v>2086</v>
      </c>
      <c r="E8" s="681" t="s">
        <v>2087</v>
      </c>
      <c r="F8" s="681" t="s">
        <v>2099</v>
      </c>
      <c r="G8" s="680">
        <f>'TABLAS DINAMICAS'!AH7</f>
        <v>0</v>
      </c>
      <c r="H8" s="680">
        <f>'TABLAS DINAMICAS'!AI7</f>
        <v>0</v>
      </c>
      <c r="I8" s="680"/>
      <c r="J8" s="678">
        <f t="shared" si="0"/>
        <v>0</v>
      </c>
      <c r="K8" s="290"/>
      <c r="L8" s="652" t="s">
        <v>927</v>
      </c>
      <c r="M8" s="652" t="s">
        <v>928</v>
      </c>
      <c r="N8" s="665" t="s">
        <v>973</v>
      </c>
      <c r="O8" s="290"/>
      <c r="P8" s="666" t="s">
        <v>1</v>
      </c>
      <c r="Q8" s="667"/>
      <c r="R8" s="667"/>
      <c r="S8" s="667"/>
      <c r="T8" s="667"/>
      <c r="U8" s="667"/>
      <c r="V8" s="667"/>
      <c r="W8" s="667"/>
      <c r="X8" s="667"/>
      <c r="Y8" s="667"/>
      <c r="Z8" s="290"/>
      <c r="AA8" s="290"/>
    </row>
    <row r="9" spans="1:27" ht="13.8" thickBot="1" x14ac:dyDescent="0.35">
      <c r="A9" s="1065"/>
      <c r="B9" s="1068"/>
      <c r="C9" s="679" t="s">
        <v>2084</v>
      </c>
      <c r="D9" s="679" t="s">
        <v>2086</v>
      </c>
      <c r="E9" s="679" t="s">
        <v>2087</v>
      </c>
      <c r="F9" s="679" t="s">
        <v>2100</v>
      </c>
      <c r="G9" s="680">
        <f>'TABLAS DINAMICAS'!AH3</f>
        <v>1</v>
      </c>
      <c r="H9" s="680">
        <f>'TABLAS DINAMICAS'!AI3</f>
        <v>0</v>
      </c>
      <c r="I9" s="680"/>
      <c r="J9" s="678">
        <f t="shared" si="0"/>
        <v>1</v>
      </c>
      <c r="K9" s="668" t="s">
        <v>685</v>
      </c>
      <c r="L9" s="669">
        <v>3</v>
      </c>
      <c r="M9" s="669">
        <v>1</v>
      </c>
      <c r="N9" s="670">
        <v>4</v>
      </c>
      <c r="O9" s="290"/>
      <c r="P9" s="663" t="s">
        <v>6</v>
      </c>
      <c r="Q9" s="664"/>
      <c r="R9" s="664"/>
      <c r="S9" s="664"/>
      <c r="T9" s="664"/>
      <c r="U9" s="664"/>
      <c r="V9" s="664"/>
      <c r="W9" s="664"/>
      <c r="X9" s="664"/>
      <c r="Y9" s="664"/>
      <c r="Z9" s="290"/>
      <c r="AA9" s="290"/>
    </row>
    <row r="10" spans="1:27" ht="13.8" thickBot="1" x14ac:dyDescent="0.35">
      <c r="A10" s="1065"/>
      <c r="B10" s="1068"/>
      <c r="C10" s="681" t="s">
        <v>2084</v>
      </c>
      <c r="D10" s="681" t="s">
        <v>2086</v>
      </c>
      <c r="E10" s="681" t="s">
        <v>2087</v>
      </c>
      <c r="F10" s="681" t="s">
        <v>2101</v>
      </c>
      <c r="G10" s="680">
        <f>'TABLAS DINAMICAS'!AH4</f>
        <v>0</v>
      </c>
      <c r="H10" s="680">
        <f>'TABLAS DINAMICAS'!AI4</f>
        <v>0</v>
      </c>
      <c r="I10" s="680"/>
      <c r="J10" s="678">
        <f t="shared" si="0"/>
        <v>0</v>
      </c>
      <c r="K10" s="661" t="s">
        <v>2102</v>
      </c>
      <c r="L10" s="656">
        <f>SUMIF(D:D,K7,G:G)</f>
        <v>4</v>
      </c>
      <c r="M10" s="656">
        <v>1</v>
      </c>
      <c r="N10" s="662">
        <f>SUM(L10:M10)</f>
        <v>5</v>
      </c>
      <c r="O10" s="290"/>
      <c r="P10" s="666" t="s">
        <v>853</v>
      </c>
      <c r="Q10" s="667"/>
      <c r="R10" s="667"/>
      <c r="S10" s="667"/>
      <c r="T10" s="667"/>
      <c r="U10" s="667"/>
      <c r="V10" s="667"/>
      <c r="W10" s="667"/>
      <c r="X10" s="667"/>
      <c r="Y10" s="667"/>
      <c r="Z10" s="290"/>
      <c r="AA10" s="290"/>
    </row>
    <row r="11" spans="1:27" ht="15" thickBot="1" x14ac:dyDescent="0.35">
      <c r="A11" s="1065"/>
      <c r="B11" s="1068"/>
      <c r="C11" s="679" t="s">
        <v>2084</v>
      </c>
      <c r="D11" s="679" t="s">
        <v>2086</v>
      </c>
      <c r="E11" s="679" t="s">
        <v>2087</v>
      </c>
      <c r="F11" s="679" t="s">
        <v>2103</v>
      </c>
      <c r="G11" s="680"/>
      <c r="H11" s="680"/>
      <c r="I11" s="680"/>
      <c r="J11" s="678">
        <f t="shared" si="0"/>
        <v>0</v>
      </c>
      <c r="K11" s="290"/>
      <c r="L11" s="1061" t="s">
        <v>2104</v>
      </c>
      <c r="M11" s="1061"/>
      <c r="N11" s="15"/>
      <c r="O11" s="290"/>
      <c r="P11" s="663" t="s">
        <v>854</v>
      </c>
      <c r="Q11" s="664"/>
      <c r="R11" s="664"/>
      <c r="S11" s="664"/>
      <c r="T11" s="664"/>
      <c r="U11" s="664"/>
      <c r="V11" s="664"/>
      <c r="W11" s="664"/>
      <c r="X11" s="664"/>
      <c r="Y11" s="664"/>
      <c r="Z11" s="290"/>
      <c r="AA11" s="290"/>
    </row>
    <row r="12" spans="1:27" ht="13.8" thickBot="1" x14ac:dyDescent="0.35">
      <c r="A12" s="1065"/>
      <c r="B12" s="1068"/>
      <c r="C12" s="681" t="s">
        <v>2084</v>
      </c>
      <c r="D12" s="681" t="s">
        <v>2086</v>
      </c>
      <c r="E12" s="681" t="s">
        <v>2105</v>
      </c>
      <c r="F12" s="681" t="s">
        <v>924</v>
      </c>
      <c r="G12" s="680"/>
      <c r="H12" s="680"/>
      <c r="I12" s="680"/>
      <c r="J12" s="678">
        <f t="shared" si="0"/>
        <v>0</v>
      </c>
      <c r="K12" s="290"/>
      <c r="L12" s="289" t="str">
        <f>IF(L9=L10,"OK","X")</f>
        <v>X</v>
      </c>
      <c r="M12" s="289" t="str">
        <f>IF(M9=M10,"OK","X")</f>
        <v>OK</v>
      </c>
      <c r="N12" s="290"/>
      <c r="O12" s="290"/>
      <c r="P12" s="666" t="s">
        <v>2106</v>
      </c>
      <c r="Q12" s="667"/>
      <c r="R12" s="667"/>
      <c r="S12" s="667"/>
      <c r="T12" s="667"/>
      <c r="U12" s="667"/>
      <c r="V12" s="667"/>
      <c r="W12" s="667"/>
      <c r="X12" s="667"/>
      <c r="Y12" s="667"/>
      <c r="Z12" s="290"/>
      <c r="AA12" s="290"/>
    </row>
    <row r="13" spans="1:27" ht="13.8" thickBot="1" x14ac:dyDescent="0.35">
      <c r="A13" s="1065"/>
      <c r="B13" s="1068"/>
      <c r="C13" s="679" t="s">
        <v>2084</v>
      </c>
      <c r="D13" s="679" t="s">
        <v>2086</v>
      </c>
      <c r="E13" s="679" t="s">
        <v>2087</v>
      </c>
      <c r="F13" s="679" t="s">
        <v>2107</v>
      </c>
      <c r="G13" s="680"/>
      <c r="H13" s="680"/>
      <c r="I13" s="680"/>
      <c r="J13" s="678">
        <f t="shared" si="0"/>
        <v>0</v>
      </c>
      <c r="K13" s="290"/>
      <c r="L13" s="290"/>
      <c r="M13" s="290"/>
      <c r="N13" s="290"/>
      <c r="O13" s="290"/>
      <c r="P13" s="663" t="s">
        <v>2108</v>
      </c>
      <c r="Q13" s="664"/>
      <c r="R13" s="664"/>
      <c r="S13" s="664"/>
      <c r="T13" s="664"/>
      <c r="U13" s="664"/>
      <c r="V13" s="664"/>
      <c r="W13" s="664"/>
      <c r="X13" s="664"/>
      <c r="Y13" s="664"/>
      <c r="Z13" s="290"/>
      <c r="AA13" s="290"/>
    </row>
    <row r="14" spans="1:27" ht="13.8" thickBot="1" x14ac:dyDescent="0.35">
      <c r="A14" s="1065"/>
      <c r="B14" s="1068"/>
      <c r="C14" s="681" t="s">
        <v>2084</v>
      </c>
      <c r="D14" s="681" t="s">
        <v>2086</v>
      </c>
      <c r="E14" s="681" t="s">
        <v>2087</v>
      </c>
      <c r="F14" s="681" t="s">
        <v>922</v>
      </c>
      <c r="G14" s="680"/>
      <c r="H14" s="680"/>
      <c r="I14" s="680"/>
      <c r="J14" s="678">
        <f t="shared" si="0"/>
        <v>0</v>
      </c>
      <c r="K14" s="1062" t="s">
        <v>2079</v>
      </c>
      <c r="L14" s="1063"/>
      <c r="M14" s="1063"/>
      <c r="N14" s="290"/>
      <c r="O14" s="290"/>
      <c r="P14" s="666" t="s">
        <v>2109</v>
      </c>
      <c r="Q14" s="667"/>
      <c r="R14" s="667"/>
      <c r="S14" s="667"/>
      <c r="T14" s="667"/>
      <c r="U14" s="667"/>
      <c r="V14" s="667"/>
      <c r="W14" s="667"/>
      <c r="X14" s="667"/>
      <c r="Y14" s="667"/>
      <c r="Z14" s="290"/>
      <c r="AA14" s="290"/>
    </row>
    <row r="15" spans="1:27" ht="13.8" thickBot="1" x14ac:dyDescent="0.35">
      <c r="A15" s="1065"/>
      <c r="B15" s="1068"/>
      <c r="C15" s="679" t="s">
        <v>2084</v>
      </c>
      <c r="D15" s="679" t="s">
        <v>2086</v>
      </c>
      <c r="E15" s="679" t="s">
        <v>2087</v>
      </c>
      <c r="F15" s="679" t="s">
        <v>925</v>
      </c>
      <c r="G15" s="680"/>
      <c r="H15" s="680"/>
      <c r="I15" s="680"/>
      <c r="J15" s="678">
        <f t="shared" si="0"/>
        <v>0</v>
      </c>
      <c r="K15" s="661" t="s">
        <v>2080</v>
      </c>
      <c r="L15" s="656" t="s">
        <v>2081</v>
      </c>
      <c r="M15" s="656" t="str">
        <f>IF(L16&lt;K16,"A Favor","En Contra")</f>
        <v>A Favor</v>
      </c>
      <c r="N15" s="290"/>
      <c r="O15" s="290"/>
      <c r="P15" s="663" t="s">
        <v>1207</v>
      </c>
      <c r="Q15" s="664"/>
      <c r="R15" s="664"/>
      <c r="S15" s="664"/>
      <c r="T15" s="664"/>
      <c r="U15" s="664"/>
      <c r="V15" s="664"/>
      <c r="W15" s="664"/>
      <c r="X15" s="664"/>
      <c r="Y15" s="664"/>
      <c r="Z15" s="290"/>
      <c r="AA15" s="290"/>
    </row>
    <row r="16" spans="1:27" ht="15" thickBot="1" x14ac:dyDescent="0.35">
      <c r="A16" s="1065"/>
      <c r="B16" s="1068"/>
      <c r="C16" s="681" t="s">
        <v>2084</v>
      </c>
      <c r="D16" s="681" t="s">
        <v>2086</v>
      </c>
      <c r="E16" s="681" t="s">
        <v>2087</v>
      </c>
      <c r="F16" s="681" t="s">
        <v>2110</v>
      </c>
      <c r="G16" s="680"/>
      <c r="H16" s="680"/>
      <c r="I16" s="680"/>
      <c r="J16" s="678">
        <f t="shared" si="0"/>
        <v>0</v>
      </c>
      <c r="K16" s="671">
        <v>0.1701</v>
      </c>
      <c r="L16" s="658">
        <f>(SUMIFS(G:G,D:D,K7,E:E,"Ausentabilidad")+SUMIFS(H:H,D:D,K7,E:E,"Ausentabilidad"))*1/N10</f>
        <v>0</v>
      </c>
      <c r="M16" s="659">
        <f>K16-L16</f>
        <v>0.1701</v>
      </c>
      <c r="N16" s="290"/>
      <c r="O16" s="290"/>
      <c r="P16" s="666" t="s">
        <v>2111</v>
      </c>
      <c r="Q16" s="667"/>
      <c r="R16" s="667"/>
      <c r="S16" s="667"/>
      <c r="T16" s="667"/>
      <c r="U16" s="667"/>
      <c r="V16" s="667"/>
      <c r="W16" s="667"/>
      <c r="X16" s="667"/>
      <c r="Y16" s="667"/>
      <c r="Z16" s="290"/>
      <c r="AA16" s="290"/>
    </row>
    <row r="17" spans="1:27" ht="15" thickBot="1" x14ac:dyDescent="0.35">
      <c r="A17" s="1065"/>
      <c r="B17" s="1068"/>
      <c r="C17" s="679" t="s">
        <v>2084</v>
      </c>
      <c r="D17" s="679" t="s">
        <v>2086</v>
      </c>
      <c r="E17" s="679" t="s">
        <v>2087</v>
      </c>
      <c r="F17" s="679" t="s">
        <v>2112</v>
      </c>
      <c r="G17" s="680"/>
      <c r="H17" s="680"/>
      <c r="I17" s="680"/>
      <c r="J17" s="678">
        <f t="shared" si="0"/>
        <v>0</v>
      </c>
      <c r="K17" s="15"/>
      <c r="L17" s="15"/>
      <c r="M17" s="15"/>
      <c r="N17" s="15"/>
      <c r="O17" s="290"/>
      <c r="P17" s="672" t="s">
        <v>973</v>
      </c>
      <c r="Q17" s="673">
        <f>SUM(Q7:Q16)</f>
        <v>0</v>
      </c>
      <c r="R17" s="673">
        <f t="shared" ref="R17:Y17" si="1">SUM(R7:R16)</f>
        <v>0</v>
      </c>
      <c r="S17" s="673">
        <f t="shared" si="1"/>
        <v>0</v>
      </c>
      <c r="T17" s="673">
        <f t="shared" si="1"/>
        <v>0</v>
      </c>
      <c r="U17" s="673">
        <f t="shared" si="1"/>
        <v>0</v>
      </c>
      <c r="V17" s="673">
        <f t="shared" si="1"/>
        <v>0</v>
      </c>
      <c r="W17" s="673">
        <f t="shared" si="1"/>
        <v>0</v>
      </c>
      <c r="X17" s="673">
        <f t="shared" si="1"/>
        <v>0</v>
      </c>
      <c r="Y17" s="673">
        <f t="shared" si="1"/>
        <v>0</v>
      </c>
      <c r="Z17" s="290"/>
      <c r="AA17" s="290"/>
    </row>
    <row r="18" spans="1:27" ht="15" thickBot="1" x14ac:dyDescent="0.35">
      <c r="A18" s="1065"/>
      <c r="B18" s="1068"/>
      <c r="C18" s="681" t="s">
        <v>2084</v>
      </c>
      <c r="D18" s="681" t="s">
        <v>2086</v>
      </c>
      <c r="E18" s="681" t="s">
        <v>2105</v>
      </c>
      <c r="F18" s="681" t="s">
        <v>2113</v>
      </c>
      <c r="G18" s="680"/>
      <c r="H18" s="680"/>
      <c r="I18" s="680"/>
      <c r="J18" s="678">
        <f t="shared" si="0"/>
        <v>0</v>
      </c>
      <c r="K18" s="15"/>
      <c r="L18" s="15"/>
      <c r="M18" s="15"/>
      <c r="N18" s="15"/>
      <c r="O18" s="290"/>
      <c r="Z18" s="290"/>
      <c r="AA18" s="290"/>
    </row>
    <row r="19" spans="1:27" ht="15" thickBot="1" x14ac:dyDescent="0.35">
      <c r="A19" s="1065"/>
      <c r="B19" s="1068"/>
      <c r="C19" s="679" t="s">
        <v>2084</v>
      </c>
      <c r="D19" s="679" t="s">
        <v>2086</v>
      </c>
      <c r="E19" s="679" t="s">
        <v>2105</v>
      </c>
      <c r="F19" s="679" t="s">
        <v>2114</v>
      </c>
      <c r="G19" s="680"/>
      <c r="H19" s="680"/>
      <c r="I19" s="680"/>
      <c r="J19" s="678">
        <f t="shared" si="0"/>
        <v>0</v>
      </c>
      <c r="K19" s="290"/>
      <c r="L19" s="290"/>
      <c r="M19" s="290"/>
      <c r="N19" s="290"/>
      <c r="O19" s="290"/>
      <c r="Z19" s="290"/>
      <c r="AA19" s="290"/>
    </row>
    <row r="20" spans="1:27" ht="15" thickBot="1" x14ac:dyDescent="0.35">
      <c r="A20" s="1065"/>
      <c r="B20" s="1068"/>
      <c r="C20" s="681" t="s">
        <v>2084</v>
      </c>
      <c r="D20" s="681" t="s">
        <v>2086</v>
      </c>
      <c r="E20" s="681" t="s">
        <v>2105</v>
      </c>
      <c r="F20" s="681" t="s">
        <v>2115</v>
      </c>
      <c r="G20" s="680"/>
      <c r="H20" s="680"/>
      <c r="I20" s="680"/>
      <c r="J20" s="678">
        <f t="shared" si="0"/>
        <v>0</v>
      </c>
      <c r="K20" s="290"/>
      <c r="L20" s="290"/>
      <c r="M20" s="290"/>
      <c r="N20" s="290"/>
      <c r="O20" s="290"/>
      <c r="Z20" s="290"/>
      <c r="AA20" s="290"/>
    </row>
    <row r="21" spans="1:27" ht="15" thickBot="1" x14ac:dyDescent="0.35">
      <c r="A21" s="1065"/>
      <c r="B21" s="1068"/>
      <c r="C21" s="679" t="s">
        <v>2084</v>
      </c>
      <c r="D21" s="679" t="s">
        <v>2086</v>
      </c>
      <c r="E21" s="679" t="s">
        <v>2105</v>
      </c>
      <c r="F21" s="679" t="s">
        <v>2116</v>
      </c>
      <c r="G21" s="680">
        <f>'TABLAS DINAMICAS'!AH9</f>
        <v>0</v>
      </c>
      <c r="H21" s="680">
        <f>'TABLAS DINAMICAS'!AI9</f>
        <v>0</v>
      </c>
      <c r="I21" s="680"/>
      <c r="J21" s="678">
        <f t="shared" si="0"/>
        <v>0</v>
      </c>
      <c r="K21" s="290"/>
      <c r="L21" s="290"/>
      <c r="M21" s="290"/>
      <c r="N21" s="290"/>
      <c r="O21" s="290"/>
      <c r="Z21" s="290"/>
      <c r="AA21" s="290"/>
    </row>
    <row r="22" spans="1:27" ht="15" thickBot="1" x14ac:dyDescent="0.35">
      <c r="A22" s="1065"/>
      <c r="B22" s="1068"/>
      <c r="C22" s="681" t="s">
        <v>2084</v>
      </c>
      <c r="D22" s="681" t="s">
        <v>2086</v>
      </c>
      <c r="E22" s="681" t="s">
        <v>2105</v>
      </c>
      <c r="F22" s="681" t="s">
        <v>2117</v>
      </c>
      <c r="G22" s="680">
        <f>'TABLAS DINAMICAS'!AH10</f>
        <v>0</v>
      </c>
      <c r="H22" s="680">
        <f>'TABLAS DINAMICAS'!AI10</f>
        <v>0</v>
      </c>
      <c r="I22" s="680"/>
      <c r="J22" s="678">
        <f t="shared" si="0"/>
        <v>0</v>
      </c>
      <c r="K22" s="290"/>
      <c r="L22" s="290"/>
      <c r="M22" s="290"/>
      <c r="N22" s="290"/>
      <c r="O22" s="290"/>
      <c r="Z22" s="290"/>
      <c r="AA22" s="290"/>
    </row>
    <row r="23" spans="1:27" ht="15" thickBot="1" x14ac:dyDescent="0.35">
      <c r="A23" s="1065"/>
      <c r="B23" s="1068"/>
      <c r="C23" s="679" t="s">
        <v>2084</v>
      </c>
      <c r="D23" s="679" t="s">
        <v>2086</v>
      </c>
      <c r="E23" s="679" t="s">
        <v>2105</v>
      </c>
      <c r="F23" s="679" t="s">
        <v>2118</v>
      </c>
      <c r="G23" s="680"/>
      <c r="H23" s="680"/>
      <c r="I23" s="680"/>
      <c r="J23" s="678">
        <f t="shared" si="0"/>
        <v>0</v>
      </c>
      <c r="K23" s="290"/>
      <c r="L23" s="290"/>
      <c r="M23" s="290"/>
      <c r="N23" s="290"/>
      <c r="O23" s="290"/>
      <c r="Z23" s="290"/>
      <c r="AA23" s="290"/>
    </row>
    <row r="24" spans="1:27" ht="15" thickBot="1" x14ac:dyDescent="0.35">
      <c r="A24" s="1065"/>
      <c r="B24" s="1068"/>
      <c r="C24" s="681" t="s">
        <v>2084</v>
      </c>
      <c r="D24" s="681" t="s">
        <v>2086</v>
      </c>
      <c r="E24" s="681" t="s">
        <v>2105</v>
      </c>
      <c r="F24" s="681" t="s">
        <v>931</v>
      </c>
      <c r="G24" s="680">
        <f>'TABLAS DINAMICAS'!AH11+'TABLAS DINAMICAS'!AH12</f>
        <v>0</v>
      </c>
      <c r="H24" s="680">
        <v>1</v>
      </c>
      <c r="I24" s="680">
        <f>'TABLAS DINAMICAS'!AW11</f>
        <v>5</v>
      </c>
      <c r="J24" s="678">
        <f t="shared" si="0"/>
        <v>1</v>
      </c>
      <c r="K24" s="290"/>
      <c r="L24" s="290"/>
      <c r="M24" s="290"/>
      <c r="N24" s="290"/>
      <c r="O24" s="290"/>
      <c r="Z24" s="290"/>
      <c r="AA24" s="290"/>
    </row>
    <row r="25" spans="1:27" ht="15" thickBot="1" x14ac:dyDescent="0.35">
      <c r="A25" s="1065"/>
      <c r="B25" s="1068"/>
      <c r="C25" s="679" t="s">
        <v>2084</v>
      </c>
      <c r="D25" s="679" t="s">
        <v>2086</v>
      </c>
      <c r="E25" s="679" t="s">
        <v>2119</v>
      </c>
      <c r="F25" s="679" t="s">
        <v>2120</v>
      </c>
      <c r="G25" s="680"/>
      <c r="H25" s="680"/>
      <c r="I25" s="680"/>
      <c r="J25" s="678">
        <f t="shared" si="0"/>
        <v>0</v>
      </c>
      <c r="K25" s="290"/>
      <c r="L25" s="290"/>
      <c r="M25" s="290"/>
      <c r="N25" s="290"/>
      <c r="O25" s="290"/>
      <c r="Z25" s="290"/>
      <c r="AA25" s="290"/>
    </row>
    <row r="26" spans="1:27" ht="15" thickBot="1" x14ac:dyDescent="0.35">
      <c r="A26" s="1065"/>
      <c r="B26" s="1068"/>
      <c r="C26" s="681" t="s">
        <v>2084</v>
      </c>
      <c r="D26" s="681" t="s">
        <v>2086</v>
      </c>
      <c r="E26" s="681" t="s">
        <v>2119</v>
      </c>
      <c r="F26" s="681" t="s">
        <v>2121</v>
      </c>
      <c r="G26" s="680"/>
      <c r="H26" s="680"/>
      <c r="I26" s="680"/>
      <c r="J26" s="678">
        <f t="shared" si="0"/>
        <v>0</v>
      </c>
      <c r="K26" s="290"/>
      <c r="L26" s="290"/>
      <c r="M26" s="290"/>
      <c r="N26" s="290"/>
      <c r="O26" s="290"/>
      <c r="Z26" s="290"/>
      <c r="AA26" s="290"/>
    </row>
    <row r="27" spans="1:27" ht="15" thickBot="1" x14ac:dyDescent="0.35">
      <c r="A27" s="1065"/>
      <c r="B27" s="1068"/>
      <c r="C27" s="679" t="s">
        <v>2084</v>
      </c>
      <c r="D27" s="679" t="s">
        <v>2086</v>
      </c>
      <c r="E27" s="679" t="s">
        <v>2119</v>
      </c>
      <c r="F27" s="679" t="s">
        <v>936</v>
      </c>
      <c r="G27" s="680">
        <f>'TABLAS DINAMICAS'!AH8</f>
        <v>3</v>
      </c>
      <c r="H27" s="680">
        <f>'TABLAS DINAMICAS'!AI8</f>
        <v>0</v>
      </c>
      <c r="I27" s="680">
        <f>'TABLAS DINAMICAS'!AW8</f>
        <v>0</v>
      </c>
      <c r="J27" s="678">
        <f t="shared" si="0"/>
        <v>3</v>
      </c>
      <c r="K27" s="290"/>
      <c r="L27" s="290"/>
      <c r="M27" s="290"/>
      <c r="N27" s="290"/>
      <c r="O27" s="290"/>
      <c r="Z27" s="290"/>
      <c r="AA27" s="290"/>
    </row>
    <row r="28" spans="1:27" ht="15" thickBot="1" x14ac:dyDescent="0.35">
      <c r="A28" s="1065"/>
      <c r="B28" s="1068"/>
      <c r="C28" s="681" t="s">
        <v>2084</v>
      </c>
      <c r="D28" s="681" t="s">
        <v>2086</v>
      </c>
      <c r="E28" s="681" t="s">
        <v>2119</v>
      </c>
      <c r="F28" s="681" t="s">
        <v>2122</v>
      </c>
      <c r="G28" s="680">
        <f>'TABLAS DINAMICAS'!AH21</f>
        <v>0</v>
      </c>
      <c r="H28" s="680">
        <f>'TABLAS DINAMICAS'!AI21</f>
        <v>0</v>
      </c>
      <c r="I28" s="680"/>
      <c r="J28" s="678">
        <f t="shared" si="0"/>
        <v>0</v>
      </c>
      <c r="K28" s="290"/>
      <c r="L28" s="290"/>
      <c r="M28" s="290"/>
      <c r="N28" s="290"/>
      <c r="O28" s="290"/>
      <c r="Z28" s="290"/>
      <c r="AA28" s="290"/>
    </row>
    <row r="29" spans="1:27" ht="15" thickBot="1" x14ac:dyDescent="0.35">
      <c r="A29" s="1065"/>
      <c r="B29" s="1068"/>
      <c r="C29" s="679" t="s">
        <v>2084</v>
      </c>
      <c r="D29" s="679" t="s">
        <v>2086</v>
      </c>
      <c r="E29" s="679" t="s">
        <v>2119</v>
      </c>
      <c r="F29" s="679" t="s">
        <v>1083</v>
      </c>
      <c r="G29" s="680">
        <f>'TABLAS DINAMICAS'!AH20+'TABLAS DINAMICAS'!AH19+'TABLAS DINAMICAS'!AH14</f>
        <v>0</v>
      </c>
      <c r="H29" s="680">
        <f>'TABLAS DINAMICAS'!AI20+'TABLAS DINAMICAS'!AI19+'TABLAS DINAMICAS'!AI14</f>
        <v>0</v>
      </c>
      <c r="I29" s="680"/>
      <c r="J29" s="678">
        <f t="shared" si="0"/>
        <v>0</v>
      </c>
      <c r="K29" s="290"/>
      <c r="L29" s="290"/>
      <c r="M29" s="290"/>
      <c r="N29" s="290"/>
      <c r="O29" s="290"/>
      <c r="Z29" s="290"/>
      <c r="AA29" s="290"/>
    </row>
    <row r="30" spans="1:27" ht="15" thickBot="1" x14ac:dyDescent="0.35">
      <c r="A30" s="1065"/>
      <c r="B30" s="1068"/>
      <c r="C30" s="681" t="s">
        <v>2084</v>
      </c>
      <c r="D30" s="681" t="s">
        <v>2086</v>
      </c>
      <c r="E30" s="681" t="s">
        <v>2079</v>
      </c>
      <c r="F30" s="681" t="s">
        <v>934</v>
      </c>
      <c r="G30" s="680">
        <f>'TABLAS DINAMICAS'!AH16</f>
        <v>0</v>
      </c>
      <c r="H30" s="680">
        <f>'TABLAS DINAMICAS'!AI16</f>
        <v>0</v>
      </c>
      <c r="I30" s="680">
        <f>'TABLAS DINAMICAS'!AW16</f>
        <v>0</v>
      </c>
      <c r="J30" s="678">
        <f t="shared" si="0"/>
        <v>0</v>
      </c>
      <c r="K30" s="290"/>
      <c r="L30" s="290"/>
      <c r="M30" s="290"/>
      <c r="N30" s="290"/>
      <c r="O30" s="290"/>
      <c r="Z30" s="290"/>
      <c r="AA30" s="290"/>
    </row>
    <row r="31" spans="1:27" ht="15" thickBot="1" x14ac:dyDescent="0.35">
      <c r="A31" s="1065"/>
      <c r="B31" s="1068"/>
      <c r="C31" s="679" t="s">
        <v>2084</v>
      </c>
      <c r="D31" s="679" t="s">
        <v>2086</v>
      </c>
      <c r="E31" s="679" t="s">
        <v>2079</v>
      </c>
      <c r="F31" s="679" t="s">
        <v>885</v>
      </c>
      <c r="G31" s="680">
        <f>'TABLAS DINAMICAS'!AH17</f>
        <v>0</v>
      </c>
      <c r="H31" s="680">
        <f>'TABLAS DINAMICAS'!AI17</f>
        <v>0</v>
      </c>
      <c r="I31" s="680">
        <f>'TABLAS DINAMICAS'!AW17</f>
        <v>0</v>
      </c>
      <c r="J31" s="678">
        <f t="shared" si="0"/>
        <v>0</v>
      </c>
      <c r="K31" s="290"/>
      <c r="L31" s="290"/>
      <c r="M31" s="290"/>
      <c r="N31" s="290"/>
      <c r="O31" s="290"/>
      <c r="Z31" s="290"/>
      <c r="AA31" s="290"/>
    </row>
    <row r="32" spans="1:27" ht="15" thickBot="1" x14ac:dyDescent="0.35">
      <c r="A32" s="1065"/>
      <c r="B32" s="1068"/>
      <c r="C32" s="681" t="s">
        <v>2084</v>
      </c>
      <c r="D32" s="681" t="s">
        <v>2086</v>
      </c>
      <c r="E32" s="681" t="s">
        <v>2079</v>
      </c>
      <c r="F32" s="681" t="s">
        <v>884</v>
      </c>
      <c r="G32" s="680">
        <f>'TABLAS DINAMICAS'!AH18</f>
        <v>0</v>
      </c>
      <c r="H32" s="680">
        <f>'TABLAS DINAMICAS'!AI18</f>
        <v>0</v>
      </c>
      <c r="I32" s="680">
        <f>'TABLAS DINAMICAS'!AW18</f>
        <v>0</v>
      </c>
      <c r="J32" s="678">
        <f t="shared" si="0"/>
        <v>0</v>
      </c>
      <c r="K32" s="290"/>
      <c r="L32" s="290"/>
      <c r="M32" s="290"/>
      <c r="N32" s="290"/>
      <c r="O32" s="290"/>
      <c r="Z32" s="290"/>
      <c r="AA32" s="290"/>
    </row>
    <row r="33" spans="1:27" ht="15" thickBot="1" x14ac:dyDescent="0.35">
      <c r="A33" s="1065"/>
      <c r="B33" s="1069"/>
      <c r="C33" s="679" t="s">
        <v>2084</v>
      </c>
      <c r="D33" s="679" t="s">
        <v>2086</v>
      </c>
      <c r="E33" s="679" t="s">
        <v>2079</v>
      </c>
      <c r="F33" s="679" t="s">
        <v>2123</v>
      </c>
      <c r="G33" s="680">
        <f>'TABLAS DINAMICAS'!AH15</f>
        <v>0</v>
      </c>
      <c r="H33" s="680">
        <f>'TABLAS DINAMICAS'!AI15</f>
        <v>0</v>
      </c>
      <c r="I33" s="680"/>
      <c r="J33" s="678">
        <f t="shared" si="0"/>
        <v>0</v>
      </c>
      <c r="K33" s="290"/>
      <c r="L33" s="290"/>
      <c r="M33" s="290"/>
      <c r="N33" s="290"/>
      <c r="O33" s="290"/>
      <c r="Z33" s="290"/>
      <c r="AA33" s="290"/>
    </row>
    <row r="34" spans="1:27" ht="15" thickBot="1" x14ac:dyDescent="0.35">
      <c r="A34" s="1065"/>
      <c r="B34" s="1067" t="s">
        <v>872</v>
      </c>
      <c r="C34" s="676" t="s">
        <v>2084</v>
      </c>
      <c r="D34" s="682" t="s">
        <v>2124</v>
      </c>
      <c r="E34" s="676" t="s">
        <v>2087</v>
      </c>
      <c r="F34" s="676" t="s">
        <v>2088</v>
      </c>
      <c r="G34" s="677">
        <f>'TABLAS DINAMICAS'!G6</f>
        <v>1</v>
      </c>
      <c r="H34" s="677">
        <f>'TABLAS DINAMICAS'!H6</f>
        <v>32</v>
      </c>
      <c r="I34" s="677"/>
      <c r="J34" s="678">
        <f t="shared" si="0"/>
        <v>33</v>
      </c>
      <c r="K34" s="1062" t="s">
        <v>2082</v>
      </c>
      <c r="L34" s="1063"/>
      <c r="M34" s="1063"/>
      <c r="N34" s="1074"/>
      <c r="O34" s="290"/>
      <c r="P34" s="660" t="s">
        <v>831</v>
      </c>
      <c r="Q34" s="660" t="s">
        <v>2089</v>
      </c>
      <c r="R34" s="660" t="s">
        <v>2090</v>
      </c>
      <c r="S34" s="660" t="s">
        <v>2091</v>
      </c>
      <c r="T34" s="660" t="s">
        <v>2092</v>
      </c>
      <c r="U34" s="660" t="s">
        <v>2093</v>
      </c>
      <c r="V34" s="660" t="s">
        <v>2094</v>
      </c>
      <c r="W34" s="660" t="s">
        <v>2095</v>
      </c>
      <c r="X34" s="660" t="s">
        <v>2096</v>
      </c>
      <c r="Y34" s="660" t="s">
        <v>2097</v>
      </c>
      <c r="Z34" s="290"/>
      <c r="AA34" s="290"/>
    </row>
    <row r="35" spans="1:27" ht="15" thickBot="1" x14ac:dyDescent="0.35">
      <c r="A35" s="1065"/>
      <c r="B35" s="1068"/>
      <c r="C35" s="679" t="s">
        <v>2084</v>
      </c>
      <c r="D35" s="683" t="s">
        <v>2124</v>
      </c>
      <c r="E35" s="679" t="s">
        <v>2087</v>
      </c>
      <c r="F35" s="679" t="s">
        <v>2098</v>
      </c>
      <c r="G35" s="680">
        <f>'TABLAS DINAMICAS'!G7</f>
        <v>0</v>
      </c>
      <c r="H35" s="680">
        <f>'TABLAS DINAMICAS'!H7</f>
        <v>38</v>
      </c>
      <c r="I35" s="680"/>
      <c r="J35" s="678">
        <f t="shared" si="0"/>
        <v>38</v>
      </c>
      <c r="K35" s="1075" t="s">
        <v>2124</v>
      </c>
      <c r="L35" s="1076"/>
      <c r="M35" s="1076"/>
      <c r="N35" s="1077"/>
      <c r="O35" s="290"/>
      <c r="P35" s="663" t="s">
        <v>2</v>
      </c>
      <c r="Q35" s="664"/>
      <c r="R35" s="664"/>
      <c r="S35" s="664"/>
      <c r="T35" s="664"/>
      <c r="U35" s="664"/>
      <c r="V35" s="664"/>
      <c r="W35" s="664"/>
      <c r="X35" s="664"/>
      <c r="Y35" s="664"/>
      <c r="Z35" s="290"/>
      <c r="AA35" s="290"/>
    </row>
    <row r="36" spans="1:27" ht="15" thickBot="1" x14ac:dyDescent="0.35">
      <c r="A36" s="1065"/>
      <c r="B36" s="1068"/>
      <c r="C36" s="681" t="s">
        <v>2084</v>
      </c>
      <c r="D36" s="684" t="s">
        <v>2124</v>
      </c>
      <c r="E36" s="681" t="s">
        <v>2087</v>
      </c>
      <c r="F36" s="681" t="s">
        <v>2099</v>
      </c>
      <c r="G36" s="680">
        <f>'TABLAS DINAMICAS'!G8</f>
        <v>1</v>
      </c>
      <c r="H36" s="680">
        <f>'TABLAS DINAMICAS'!H8</f>
        <v>17</v>
      </c>
      <c r="I36" s="680"/>
      <c r="J36" s="678">
        <f t="shared" si="0"/>
        <v>18</v>
      </c>
      <c r="K36" s="290"/>
      <c r="L36" s="652" t="s">
        <v>927</v>
      </c>
      <c r="M36" s="652" t="s">
        <v>928</v>
      </c>
      <c r="N36" s="665" t="s">
        <v>973</v>
      </c>
      <c r="O36" s="290"/>
      <c r="P36" s="666" t="s">
        <v>1</v>
      </c>
      <c r="Q36" s="667"/>
      <c r="R36" s="667"/>
      <c r="S36" s="667"/>
      <c r="T36" s="667"/>
      <c r="U36" s="667"/>
      <c r="V36" s="667"/>
      <c r="W36" s="667"/>
      <c r="X36" s="667"/>
      <c r="Y36" s="667"/>
      <c r="Z36" s="290"/>
      <c r="AA36" s="290"/>
    </row>
    <row r="37" spans="1:27" ht="15" thickBot="1" x14ac:dyDescent="0.35">
      <c r="A37" s="1065"/>
      <c r="B37" s="1068"/>
      <c r="C37" s="679" t="s">
        <v>2084</v>
      </c>
      <c r="D37" s="683" t="s">
        <v>2124</v>
      </c>
      <c r="E37" s="679" t="s">
        <v>2087</v>
      </c>
      <c r="F37" s="679" t="s">
        <v>2100</v>
      </c>
      <c r="G37" s="680">
        <f>'TABLAS DINAMICAS'!G4</f>
        <v>7</v>
      </c>
      <c r="H37" s="680">
        <f>'TABLAS DINAMICAS'!H4</f>
        <v>86</v>
      </c>
      <c r="I37" s="680"/>
      <c r="J37" s="678">
        <f t="shared" si="0"/>
        <v>93</v>
      </c>
      <c r="K37" s="668" t="s">
        <v>685</v>
      </c>
      <c r="L37" s="669">
        <f>'TABLAS DINAMICAS'!G24</f>
        <v>19</v>
      </c>
      <c r="M37" s="669">
        <f>'TABLAS DINAMICAS'!G25</f>
        <v>422</v>
      </c>
      <c r="N37" s="670">
        <f>SUM(L37:M37)</f>
        <v>441</v>
      </c>
      <c r="O37" s="290"/>
      <c r="P37" s="663" t="s">
        <v>6</v>
      </c>
      <c r="Q37" s="664"/>
      <c r="R37" s="664"/>
      <c r="S37" s="664"/>
      <c r="T37" s="664"/>
      <c r="U37" s="664"/>
      <c r="V37" s="664"/>
      <c r="W37" s="664"/>
      <c r="X37" s="664"/>
      <c r="Y37" s="664"/>
      <c r="Z37" s="290"/>
      <c r="AA37" s="290"/>
    </row>
    <row r="38" spans="1:27" ht="15" thickBot="1" x14ac:dyDescent="0.35">
      <c r="A38" s="1065"/>
      <c r="B38" s="1068"/>
      <c r="C38" s="681" t="s">
        <v>2084</v>
      </c>
      <c r="D38" s="684" t="s">
        <v>2124</v>
      </c>
      <c r="E38" s="681" t="s">
        <v>2087</v>
      </c>
      <c r="F38" s="681" t="s">
        <v>2101</v>
      </c>
      <c r="G38" s="680">
        <f>'TABLAS DINAMICAS'!G5</f>
        <v>1</v>
      </c>
      <c r="H38" s="680">
        <f>'TABLAS DINAMICAS'!H5</f>
        <v>12</v>
      </c>
      <c r="I38" s="680"/>
      <c r="J38" s="678">
        <f t="shared" si="0"/>
        <v>13</v>
      </c>
      <c r="K38" s="661" t="s">
        <v>2102</v>
      </c>
      <c r="L38" s="656">
        <f>SUMIF(D:D,K35,G:G)</f>
        <v>19</v>
      </c>
      <c r="M38" s="656">
        <f>SUMIF(D:D,K35,H:H)</f>
        <v>422</v>
      </c>
      <c r="N38" s="662">
        <f>SUM(L38:M38)</f>
        <v>441</v>
      </c>
      <c r="O38" s="290"/>
      <c r="P38" s="666" t="s">
        <v>853</v>
      </c>
      <c r="Q38" s="667"/>
      <c r="R38" s="667"/>
      <c r="S38" s="667"/>
      <c r="T38" s="667"/>
      <c r="U38" s="667"/>
      <c r="V38" s="667"/>
      <c r="W38" s="667"/>
      <c r="X38" s="667"/>
      <c r="Y38" s="667"/>
      <c r="Z38" s="290"/>
      <c r="AA38" s="290"/>
    </row>
    <row r="39" spans="1:27" ht="15" thickBot="1" x14ac:dyDescent="0.35">
      <c r="A39" s="1065"/>
      <c r="B39" s="1068"/>
      <c r="C39" s="679" t="s">
        <v>2084</v>
      </c>
      <c r="D39" s="683" t="s">
        <v>2124</v>
      </c>
      <c r="E39" s="679" t="s">
        <v>2087</v>
      </c>
      <c r="F39" s="679" t="s">
        <v>2103</v>
      </c>
      <c r="G39" s="680"/>
      <c r="H39" s="680"/>
      <c r="I39" s="680"/>
      <c r="J39" s="678">
        <f t="shared" si="0"/>
        <v>0</v>
      </c>
      <c r="K39" s="290"/>
      <c r="L39" s="1061" t="s">
        <v>2104</v>
      </c>
      <c r="M39" s="1061"/>
      <c r="N39" s="15"/>
      <c r="O39" s="290"/>
      <c r="P39" s="663" t="s">
        <v>854</v>
      </c>
      <c r="Q39" s="664"/>
      <c r="R39" s="664"/>
      <c r="S39" s="664"/>
      <c r="T39" s="664"/>
      <c r="U39" s="664"/>
      <c r="V39" s="664"/>
      <c r="W39" s="664"/>
      <c r="X39" s="664"/>
      <c r="Y39" s="664"/>
      <c r="Z39" s="290"/>
      <c r="AA39" s="290"/>
    </row>
    <row r="40" spans="1:27" ht="15" thickBot="1" x14ac:dyDescent="0.35">
      <c r="A40" s="1065"/>
      <c r="B40" s="1068"/>
      <c r="C40" s="681" t="s">
        <v>2084</v>
      </c>
      <c r="D40" s="684" t="s">
        <v>2124</v>
      </c>
      <c r="E40" s="681" t="s">
        <v>2105</v>
      </c>
      <c r="F40" s="681" t="s">
        <v>924</v>
      </c>
      <c r="G40" s="680"/>
      <c r="H40" s="680"/>
      <c r="I40" s="680"/>
      <c r="J40" s="678">
        <f t="shared" si="0"/>
        <v>0</v>
      </c>
      <c r="K40" s="290"/>
      <c r="L40" s="289" t="str">
        <f>IF(L37=L38,"OK","X")</f>
        <v>OK</v>
      </c>
      <c r="M40" s="289" t="str">
        <f>IF(M37=M38,"OK","X")</f>
        <v>OK</v>
      </c>
      <c r="N40" s="290"/>
      <c r="O40" s="290"/>
      <c r="P40" s="666" t="s">
        <v>2106</v>
      </c>
      <c r="Q40" s="667"/>
      <c r="R40" s="667"/>
      <c r="S40" s="667"/>
      <c r="T40" s="667"/>
      <c r="U40" s="667"/>
      <c r="V40" s="667"/>
      <c r="W40" s="667"/>
      <c r="X40" s="667"/>
      <c r="Y40" s="667"/>
      <c r="Z40" s="290"/>
      <c r="AA40" s="290"/>
    </row>
    <row r="41" spans="1:27" ht="15" thickBot="1" x14ac:dyDescent="0.35">
      <c r="A41" s="1065"/>
      <c r="B41" s="1068"/>
      <c r="C41" s="679" t="s">
        <v>2084</v>
      </c>
      <c r="D41" s="683" t="s">
        <v>2124</v>
      </c>
      <c r="E41" s="679" t="s">
        <v>2087</v>
      </c>
      <c r="F41" s="679" t="s">
        <v>2107</v>
      </c>
      <c r="G41" s="680"/>
      <c r="H41" s="680"/>
      <c r="I41" s="680"/>
      <c r="J41" s="678">
        <f t="shared" si="0"/>
        <v>0</v>
      </c>
      <c r="K41" s="290"/>
      <c r="L41" s="290"/>
      <c r="M41" s="290"/>
      <c r="N41" s="290"/>
      <c r="O41" s="290"/>
      <c r="P41" s="663" t="s">
        <v>2108</v>
      </c>
      <c r="Q41" s="664"/>
      <c r="R41" s="664"/>
      <c r="S41" s="664"/>
      <c r="T41" s="664"/>
      <c r="U41" s="664"/>
      <c r="V41" s="664"/>
      <c r="W41" s="664"/>
      <c r="X41" s="664"/>
      <c r="Y41" s="664"/>
      <c r="Z41" s="290"/>
      <c r="AA41" s="290"/>
    </row>
    <row r="42" spans="1:27" ht="15" thickBot="1" x14ac:dyDescent="0.35">
      <c r="A42" s="1065"/>
      <c r="B42" s="1068"/>
      <c r="C42" s="681" t="s">
        <v>2084</v>
      </c>
      <c r="D42" s="684" t="s">
        <v>2124</v>
      </c>
      <c r="E42" s="681" t="s">
        <v>2087</v>
      </c>
      <c r="F42" s="681" t="s">
        <v>922</v>
      </c>
      <c r="G42" s="680"/>
      <c r="H42" s="680"/>
      <c r="I42" s="680"/>
      <c r="J42" s="678">
        <f t="shared" si="0"/>
        <v>0</v>
      </c>
      <c r="K42" s="1062" t="s">
        <v>2079</v>
      </c>
      <c r="L42" s="1063"/>
      <c r="M42" s="1063"/>
      <c r="N42" s="290"/>
      <c r="O42" s="290"/>
      <c r="P42" s="666" t="s">
        <v>2109</v>
      </c>
      <c r="Q42" s="667"/>
      <c r="R42" s="667"/>
      <c r="S42" s="667"/>
      <c r="T42" s="667"/>
      <c r="U42" s="667"/>
      <c r="V42" s="667"/>
      <c r="W42" s="667"/>
      <c r="X42" s="667"/>
      <c r="Y42" s="667"/>
      <c r="Z42" s="290"/>
      <c r="AA42" s="290"/>
    </row>
    <row r="43" spans="1:27" ht="15" thickBot="1" x14ac:dyDescent="0.35">
      <c r="A43" s="1065"/>
      <c r="B43" s="1068"/>
      <c r="C43" s="679" t="s">
        <v>2084</v>
      </c>
      <c r="D43" s="683" t="s">
        <v>2124</v>
      </c>
      <c r="E43" s="679" t="s">
        <v>2087</v>
      </c>
      <c r="F43" s="679" t="s">
        <v>925</v>
      </c>
      <c r="G43" s="680"/>
      <c r="H43" s="680"/>
      <c r="I43" s="680"/>
      <c r="J43" s="678">
        <f t="shared" si="0"/>
        <v>0</v>
      </c>
      <c r="K43" s="661" t="s">
        <v>2080</v>
      </c>
      <c r="L43" s="656" t="s">
        <v>2081</v>
      </c>
      <c r="M43" s="656" t="str">
        <f>IF(L44&lt;K44,"A Favor","En Contra")</f>
        <v>A Favor</v>
      </c>
      <c r="N43" s="290"/>
      <c r="O43" s="290"/>
      <c r="P43" s="663" t="s">
        <v>1207</v>
      </c>
      <c r="Q43" s="664"/>
      <c r="R43" s="664"/>
      <c r="S43" s="664"/>
      <c r="T43" s="664"/>
      <c r="U43" s="664"/>
      <c r="V43" s="664"/>
      <c r="W43" s="664"/>
      <c r="X43" s="664"/>
      <c r="Y43" s="664"/>
      <c r="Z43" s="290"/>
      <c r="AA43" s="290"/>
    </row>
    <row r="44" spans="1:27" ht="15" thickBot="1" x14ac:dyDescent="0.35">
      <c r="A44" s="1065"/>
      <c r="B44" s="1068"/>
      <c r="C44" s="681" t="s">
        <v>2084</v>
      </c>
      <c r="D44" s="684" t="s">
        <v>2124</v>
      </c>
      <c r="E44" s="681" t="s">
        <v>2087</v>
      </c>
      <c r="F44" s="681" t="s">
        <v>2110</v>
      </c>
      <c r="G44" s="680"/>
      <c r="H44" s="680"/>
      <c r="I44" s="680"/>
      <c r="J44" s="678">
        <f t="shared" si="0"/>
        <v>0</v>
      </c>
      <c r="K44" s="671" t="s">
        <v>663</v>
      </c>
      <c r="L44" s="658">
        <f>(SUMIFS(G:G,D:D,K35,E:E,"Ausentabilidad")+SUMIFS(H:H,D:D,K35,E:E,"Ausentabilidad"))*1/N37</f>
        <v>0.11564625850340136</v>
      </c>
      <c r="M44" s="659" t="e">
        <f>K44-L44</f>
        <v>#VALUE!</v>
      </c>
      <c r="N44" s="290"/>
      <c r="O44" s="290"/>
      <c r="P44" s="666" t="s">
        <v>2111</v>
      </c>
      <c r="Q44" s="667"/>
      <c r="R44" s="667"/>
      <c r="S44" s="667"/>
      <c r="T44" s="667"/>
      <c r="U44" s="667"/>
      <c r="V44" s="667"/>
      <c r="W44" s="667"/>
      <c r="X44" s="667"/>
      <c r="Y44" s="667"/>
      <c r="Z44" s="290"/>
      <c r="AA44" s="290"/>
    </row>
    <row r="45" spans="1:27" ht="15" thickBot="1" x14ac:dyDescent="0.35">
      <c r="A45" s="1065"/>
      <c r="B45" s="1068"/>
      <c r="C45" s="679" t="s">
        <v>2084</v>
      </c>
      <c r="D45" s="683" t="s">
        <v>2124</v>
      </c>
      <c r="E45" s="679" t="s">
        <v>2087</v>
      </c>
      <c r="F45" s="679" t="s">
        <v>2112</v>
      </c>
      <c r="G45" s="680"/>
      <c r="H45" s="680"/>
      <c r="I45" s="680"/>
      <c r="J45" s="678">
        <f t="shared" si="0"/>
        <v>0</v>
      </c>
      <c r="K45" s="15"/>
      <c r="L45" s="15"/>
      <c r="M45" s="15"/>
      <c r="N45" s="15"/>
      <c r="O45" s="290"/>
      <c r="P45" s="672" t="s">
        <v>973</v>
      </c>
      <c r="Q45" s="673">
        <f>SUM(Q35:Q44)</f>
        <v>0</v>
      </c>
      <c r="R45" s="673">
        <f t="shared" ref="R45:Y45" si="2">SUM(R35:R44)</f>
        <v>0</v>
      </c>
      <c r="S45" s="673">
        <f t="shared" si="2"/>
        <v>0</v>
      </c>
      <c r="T45" s="673">
        <f t="shared" si="2"/>
        <v>0</v>
      </c>
      <c r="U45" s="673">
        <f t="shared" si="2"/>
        <v>0</v>
      </c>
      <c r="V45" s="673">
        <f t="shared" si="2"/>
        <v>0</v>
      </c>
      <c r="W45" s="673">
        <f t="shared" si="2"/>
        <v>0</v>
      </c>
      <c r="X45" s="673">
        <f t="shared" si="2"/>
        <v>0</v>
      </c>
      <c r="Y45" s="673">
        <f t="shared" si="2"/>
        <v>0</v>
      </c>
      <c r="Z45" s="290"/>
      <c r="AA45" s="290"/>
    </row>
    <row r="46" spans="1:27" ht="15" thickBot="1" x14ac:dyDescent="0.35">
      <c r="A46" s="1065"/>
      <c r="B46" s="1068"/>
      <c r="C46" s="681" t="s">
        <v>2084</v>
      </c>
      <c r="D46" s="684" t="s">
        <v>2124</v>
      </c>
      <c r="E46" s="681" t="s">
        <v>2105</v>
      </c>
      <c r="F46" s="681" t="s">
        <v>2113</v>
      </c>
      <c r="G46" s="680"/>
      <c r="H46" s="680"/>
      <c r="I46" s="680"/>
      <c r="J46" s="678">
        <f t="shared" si="0"/>
        <v>0</v>
      </c>
      <c r="K46" s="15"/>
      <c r="L46" s="15"/>
      <c r="M46" s="15"/>
      <c r="N46" s="15"/>
      <c r="O46" s="290"/>
      <c r="Z46" s="290"/>
      <c r="AA46" s="290"/>
    </row>
    <row r="47" spans="1:27" ht="15" thickBot="1" x14ac:dyDescent="0.35">
      <c r="A47" s="1065"/>
      <c r="B47" s="1068"/>
      <c r="C47" s="679" t="s">
        <v>2084</v>
      </c>
      <c r="D47" s="683" t="s">
        <v>2124</v>
      </c>
      <c r="E47" s="679" t="s">
        <v>2105</v>
      </c>
      <c r="F47" s="679" t="s">
        <v>2114</v>
      </c>
      <c r="G47" s="680"/>
      <c r="H47" s="680"/>
      <c r="I47" s="680"/>
      <c r="J47" s="678">
        <f t="shared" si="0"/>
        <v>0</v>
      </c>
      <c r="K47" s="290"/>
      <c r="L47" s="290"/>
      <c r="M47" s="290"/>
      <c r="N47" s="290"/>
      <c r="O47" s="290"/>
      <c r="Z47" s="290"/>
      <c r="AA47" s="290"/>
    </row>
    <row r="48" spans="1:27" ht="15" thickBot="1" x14ac:dyDescent="0.35">
      <c r="A48" s="1065"/>
      <c r="B48" s="1068"/>
      <c r="C48" s="681" t="s">
        <v>2084</v>
      </c>
      <c r="D48" s="684" t="s">
        <v>2124</v>
      </c>
      <c r="E48" s="681" t="s">
        <v>2105</v>
      </c>
      <c r="F48" s="681" t="s">
        <v>2115</v>
      </c>
      <c r="G48" s="680"/>
      <c r="H48" s="680"/>
      <c r="I48" s="680"/>
      <c r="J48" s="678">
        <f t="shared" si="0"/>
        <v>0</v>
      </c>
      <c r="K48" s="290"/>
      <c r="L48" s="290"/>
      <c r="M48" s="290"/>
      <c r="N48" s="290"/>
      <c r="O48" s="290"/>
      <c r="Z48" s="290"/>
      <c r="AA48" s="290"/>
    </row>
    <row r="49" spans="1:27" ht="15" thickBot="1" x14ac:dyDescent="0.35">
      <c r="A49" s="1065"/>
      <c r="B49" s="1068"/>
      <c r="C49" s="679" t="s">
        <v>2084</v>
      </c>
      <c r="D49" s="683" t="s">
        <v>2124</v>
      </c>
      <c r="E49" s="679" t="s">
        <v>2105</v>
      </c>
      <c r="F49" s="679" t="s">
        <v>2116</v>
      </c>
      <c r="G49" s="680">
        <f>'TABLAS DINAMICAS'!G10</f>
        <v>0</v>
      </c>
      <c r="H49" s="680">
        <f>'TABLAS DINAMICAS'!H10</f>
        <v>6</v>
      </c>
      <c r="I49" s="680">
        <f>'TABLAS DINAMICAS'!AV3+'TABLAS DINAMICAS'!AV9</f>
        <v>0</v>
      </c>
      <c r="J49" s="678">
        <f t="shared" si="0"/>
        <v>6</v>
      </c>
      <c r="K49" s="290"/>
      <c r="L49" s="290"/>
      <c r="M49" s="290"/>
      <c r="N49" s="290"/>
      <c r="O49" s="290"/>
      <c r="Z49" s="290"/>
      <c r="AA49" s="290"/>
    </row>
    <row r="50" spans="1:27" ht="15" thickBot="1" x14ac:dyDescent="0.35">
      <c r="A50" s="1065"/>
      <c r="B50" s="1068"/>
      <c r="C50" s="681" t="s">
        <v>2084</v>
      </c>
      <c r="D50" s="684" t="s">
        <v>2124</v>
      </c>
      <c r="E50" s="681" t="s">
        <v>2105</v>
      </c>
      <c r="F50" s="681" t="s">
        <v>2117</v>
      </c>
      <c r="G50" s="680">
        <f>'TABLAS DINAMICAS'!G11</f>
        <v>0</v>
      </c>
      <c r="H50" s="680">
        <f>'TABLAS DINAMICAS'!H11</f>
        <v>3</v>
      </c>
      <c r="I50" s="680"/>
      <c r="J50" s="678">
        <f t="shared" si="0"/>
        <v>3</v>
      </c>
      <c r="K50" s="290"/>
      <c r="L50" s="290"/>
      <c r="M50" s="290"/>
      <c r="N50" s="290"/>
      <c r="O50" s="290"/>
      <c r="Z50" s="290"/>
      <c r="AA50" s="290"/>
    </row>
    <row r="51" spans="1:27" ht="15" thickBot="1" x14ac:dyDescent="0.35">
      <c r="A51" s="1065"/>
      <c r="B51" s="1068"/>
      <c r="C51" s="679" t="s">
        <v>2084</v>
      </c>
      <c r="D51" s="683" t="s">
        <v>2124</v>
      </c>
      <c r="E51" s="679" t="s">
        <v>2105</v>
      </c>
      <c r="F51" s="679" t="s">
        <v>2118</v>
      </c>
      <c r="G51" s="680"/>
      <c r="H51" s="680"/>
      <c r="I51" s="680"/>
      <c r="J51" s="678">
        <f t="shared" si="0"/>
        <v>0</v>
      </c>
      <c r="K51" s="290"/>
      <c r="L51" s="290"/>
      <c r="M51" s="290"/>
      <c r="N51" s="290"/>
      <c r="O51" s="290"/>
      <c r="Z51" s="290"/>
      <c r="AA51" s="290"/>
    </row>
    <row r="52" spans="1:27" ht="15" thickBot="1" x14ac:dyDescent="0.35">
      <c r="A52" s="1065"/>
      <c r="B52" s="1068"/>
      <c r="C52" s="681" t="s">
        <v>2084</v>
      </c>
      <c r="D52" s="684" t="s">
        <v>2124</v>
      </c>
      <c r="E52" s="681" t="s">
        <v>2105</v>
      </c>
      <c r="F52" s="681" t="s">
        <v>931</v>
      </c>
      <c r="G52" s="680">
        <f>'TABLAS DINAMICAS'!G12+'TABLAS DINAMICAS'!G13</f>
        <v>0</v>
      </c>
      <c r="H52" s="680">
        <f>'TABLAS DINAMICAS'!H12+'TABLAS DINAMICAS'!H13</f>
        <v>34</v>
      </c>
      <c r="I52" s="680">
        <f>'TABLAS DINAMICAS'!AV11</f>
        <v>19</v>
      </c>
      <c r="J52" s="678">
        <f t="shared" si="0"/>
        <v>34</v>
      </c>
      <c r="K52" s="290"/>
      <c r="L52" s="290"/>
      <c r="M52" s="290"/>
      <c r="N52" s="290"/>
      <c r="O52" s="290"/>
      <c r="Z52" s="290"/>
      <c r="AA52" s="290"/>
    </row>
    <row r="53" spans="1:27" ht="15" thickBot="1" x14ac:dyDescent="0.35">
      <c r="A53" s="1065"/>
      <c r="B53" s="1068"/>
      <c r="C53" s="679" t="s">
        <v>2084</v>
      </c>
      <c r="D53" s="683" t="s">
        <v>2124</v>
      </c>
      <c r="E53" s="679" t="s">
        <v>2119</v>
      </c>
      <c r="F53" s="679" t="s">
        <v>2120</v>
      </c>
      <c r="G53" s="680">
        <f>'TABLAS DINAMICAS'!K20</f>
        <v>0</v>
      </c>
      <c r="H53" s="680">
        <f>'TABLAS DINAMICAS'!L20</f>
        <v>21</v>
      </c>
      <c r="I53" s="680"/>
      <c r="J53" s="678">
        <f t="shared" si="0"/>
        <v>21</v>
      </c>
      <c r="K53" s="290"/>
      <c r="L53" s="290"/>
      <c r="M53" s="290"/>
      <c r="N53" s="290"/>
      <c r="O53" s="290"/>
      <c r="Z53" s="290"/>
      <c r="AA53" s="290"/>
    </row>
    <row r="54" spans="1:27" ht="15" thickBot="1" x14ac:dyDescent="0.35">
      <c r="A54" s="1065"/>
      <c r="B54" s="1068"/>
      <c r="C54" s="681" t="s">
        <v>2084</v>
      </c>
      <c r="D54" s="684" t="s">
        <v>2124</v>
      </c>
      <c r="E54" s="681" t="s">
        <v>2119</v>
      </c>
      <c r="F54" s="681" t="s">
        <v>2121</v>
      </c>
      <c r="G54" s="680">
        <f>'TABLAS DINAMICAS'!K21</f>
        <v>0</v>
      </c>
      <c r="H54" s="680">
        <f>'TABLAS DINAMICAS'!L21</f>
        <v>2</v>
      </c>
      <c r="I54" s="680"/>
      <c r="J54" s="678">
        <f t="shared" si="0"/>
        <v>2</v>
      </c>
      <c r="K54" s="290"/>
      <c r="L54" s="290"/>
      <c r="M54" s="290"/>
      <c r="N54" s="290"/>
      <c r="O54" s="290"/>
      <c r="Z54" s="290"/>
      <c r="AA54" s="290"/>
    </row>
    <row r="55" spans="1:27" ht="15" thickBot="1" x14ac:dyDescent="0.35">
      <c r="A55" s="1065"/>
      <c r="B55" s="1068"/>
      <c r="C55" s="679" t="s">
        <v>2084</v>
      </c>
      <c r="D55" s="683" t="s">
        <v>2124</v>
      </c>
      <c r="E55" s="679" t="s">
        <v>2119</v>
      </c>
      <c r="F55" s="679" t="s">
        <v>936</v>
      </c>
      <c r="G55" s="680">
        <f>'TABLAS DINAMICAS'!G9</f>
        <v>6</v>
      </c>
      <c r="H55" s="680">
        <f>'TABLAS DINAMICAS'!H9</f>
        <v>86</v>
      </c>
      <c r="I55" s="680">
        <f>'TABLAS DINAMICAS'!AV8</f>
        <v>0</v>
      </c>
      <c r="J55" s="678">
        <f t="shared" si="0"/>
        <v>92</v>
      </c>
      <c r="K55" s="290"/>
      <c r="L55" s="290"/>
      <c r="M55" s="290"/>
      <c r="N55" s="290"/>
      <c r="O55" s="290"/>
      <c r="Z55" s="290"/>
      <c r="AA55" s="290"/>
    </row>
    <row r="56" spans="1:27" ht="15" thickBot="1" x14ac:dyDescent="0.35">
      <c r="A56" s="1065"/>
      <c r="B56" s="1068"/>
      <c r="C56" s="681" t="s">
        <v>2084</v>
      </c>
      <c r="D56" s="684" t="s">
        <v>2124</v>
      </c>
      <c r="E56" s="681" t="s">
        <v>2119</v>
      </c>
      <c r="F56" s="681" t="s">
        <v>2122</v>
      </c>
      <c r="G56" s="680">
        <f>'TABLAS DINAMICAS'!G22</f>
        <v>1</v>
      </c>
      <c r="H56" s="680">
        <f>'TABLAS DINAMICAS'!H22</f>
        <v>35</v>
      </c>
      <c r="I56" s="680"/>
      <c r="J56" s="678">
        <f t="shared" si="0"/>
        <v>36</v>
      </c>
      <c r="K56" s="290"/>
      <c r="L56" s="290"/>
      <c r="M56" s="290"/>
      <c r="N56" s="290"/>
      <c r="O56" s="290"/>
      <c r="Z56" s="290"/>
      <c r="AA56" s="290"/>
    </row>
    <row r="57" spans="1:27" ht="15" thickBot="1" x14ac:dyDescent="0.35">
      <c r="A57" s="1065"/>
      <c r="B57" s="1068"/>
      <c r="C57" s="679" t="s">
        <v>2084</v>
      </c>
      <c r="D57" s="683" t="s">
        <v>2124</v>
      </c>
      <c r="E57" s="679" t="s">
        <v>2119</v>
      </c>
      <c r="F57" s="679" t="s">
        <v>1083</v>
      </c>
      <c r="G57" s="680">
        <f>'TABLAS DINAMICAS'!G20+'TABLAS DINAMICAS'!G21+'TABLAS DINAMICAS'!G15</f>
        <v>0</v>
      </c>
      <c r="H57" s="680">
        <f>'TABLAS DINAMICAS'!H20+'TABLAS DINAMICAS'!H21+'TABLAS DINAMICAS'!H15</f>
        <v>1</v>
      </c>
      <c r="I57" s="680"/>
      <c r="J57" s="678">
        <f t="shared" si="0"/>
        <v>1</v>
      </c>
      <c r="K57" s="290"/>
      <c r="L57" s="290"/>
      <c r="M57" s="290"/>
      <c r="N57" s="290"/>
      <c r="O57" s="290"/>
      <c r="Z57" s="290"/>
      <c r="AA57" s="290"/>
    </row>
    <row r="58" spans="1:27" ht="15" thickBot="1" x14ac:dyDescent="0.35">
      <c r="A58" s="1065"/>
      <c r="B58" s="1068"/>
      <c r="C58" s="681" t="s">
        <v>2084</v>
      </c>
      <c r="D58" s="684" t="s">
        <v>2124</v>
      </c>
      <c r="E58" s="681" t="s">
        <v>2079</v>
      </c>
      <c r="F58" s="681" t="s">
        <v>934</v>
      </c>
      <c r="G58" s="680">
        <f>'TABLAS DINAMICAS'!G17</f>
        <v>2</v>
      </c>
      <c r="H58" s="680">
        <f>'TABLAS DINAMICAS'!H17</f>
        <v>38</v>
      </c>
      <c r="I58" s="680">
        <f>'TABLAS DINAMICAS'!AV16</f>
        <v>1</v>
      </c>
      <c r="J58" s="678">
        <f t="shared" si="0"/>
        <v>40</v>
      </c>
      <c r="K58" s="290"/>
      <c r="L58" s="290"/>
      <c r="M58" s="290"/>
      <c r="N58" s="290"/>
      <c r="O58" s="290"/>
      <c r="Z58" s="290"/>
      <c r="AA58" s="290"/>
    </row>
    <row r="59" spans="1:27" ht="15" thickBot="1" x14ac:dyDescent="0.35">
      <c r="A59" s="1065"/>
      <c r="B59" s="1068"/>
      <c r="C59" s="679" t="s">
        <v>2084</v>
      </c>
      <c r="D59" s="683" t="s">
        <v>2124</v>
      </c>
      <c r="E59" s="679" t="s">
        <v>2079</v>
      </c>
      <c r="F59" s="679" t="s">
        <v>885</v>
      </c>
      <c r="G59" s="680">
        <f>'TABLAS DINAMICAS'!G18</f>
        <v>0</v>
      </c>
      <c r="H59" s="680">
        <f>'TABLAS DINAMICAS'!H18</f>
        <v>7</v>
      </c>
      <c r="I59" s="680">
        <f>'TABLAS DINAMICAS'!AV17</f>
        <v>0</v>
      </c>
      <c r="J59" s="678">
        <f t="shared" si="0"/>
        <v>7</v>
      </c>
      <c r="K59" s="290"/>
      <c r="L59" s="290"/>
      <c r="M59" s="290"/>
      <c r="N59" s="290"/>
      <c r="O59" s="290"/>
      <c r="Z59" s="290"/>
      <c r="AA59" s="290"/>
    </row>
    <row r="60" spans="1:27" ht="15" thickBot="1" x14ac:dyDescent="0.35">
      <c r="A60" s="1065"/>
      <c r="B60" s="1068"/>
      <c r="C60" s="681" t="s">
        <v>2084</v>
      </c>
      <c r="D60" s="684" t="s">
        <v>2124</v>
      </c>
      <c r="E60" s="681" t="s">
        <v>2079</v>
      </c>
      <c r="F60" s="681" t="s">
        <v>884</v>
      </c>
      <c r="G60" s="680">
        <f>'TABLAS DINAMICAS'!G19</f>
        <v>0</v>
      </c>
      <c r="H60" s="680">
        <f>'TABLAS DINAMICAS'!H19</f>
        <v>4</v>
      </c>
      <c r="I60" s="680">
        <f>'TABLAS DINAMICAS'!AV18</f>
        <v>0</v>
      </c>
      <c r="J60" s="678">
        <f t="shared" si="0"/>
        <v>4</v>
      </c>
      <c r="K60" s="290"/>
      <c r="L60" s="290"/>
      <c r="M60" s="290"/>
      <c r="N60" s="290"/>
      <c r="O60" s="290"/>
      <c r="Z60" s="290"/>
      <c r="AA60" s="290"/>
    </row>
    <row r="61" spans="1:27" ht="15" thickBot="1" x14ac:dyDescent="0.35">
      <c r="A61" s="1066"/>
      <c r="B61" s="1069"/>
      <c r="C61" s="685" t="s">
        <v>2084</v>
      </c>
      <c r="D61" s="687" t="s">
        <v>2124</v>
      </c>
      <c r="E61" s="685" t="s">
        <v>2079</v>
      </c>
      <c r="F61" s="685" t="s">
        <v>2123</v>
      </c>
      <c r="G61" s="686">
        <f>'TABLAS DINAMICAS'!G16</f>
        <v>0</v>
      </c>
      <c r="H61" s="686">
        <f>'TABLAS DINAMICAS'!H16</f>
        <v>0</v>
      </c>
      <c r="I61" s="686"/>
      <c r="J61" s="678">
        <f t="shared" si="0"/>
        <v>0</v>
      </c>
      <c r="K61" s="290"/>
      <c r="L61" s="290"/>
      <c r="M61" s="290"/>
      <c r="N61" s="290"/>
      <c r="O61" s="290"/>
      <c r="Z61" s="290"/>
      <c r="AA61" s="290"/>
    </row>
  </sheetData>
  <mergeCells count="12">
    <mergeCell ref="L39:M39"/>
    <mergeCell ref="K42:M42"/>
    <mergeCell ref="K1:M1"/>
    <mergeCell ref="A6:A61"/>
    <mergeCell ref="B6:B33"/>
    <mergeCell ref="K6:N6"/>
    <mergeCell ref="K7:N7"/>
    <mergeCell ref="L11:M11"/>
    <mergeCell ref="K14:M14"/>
    <mergeCell ref="B34:B61"/>
    <mergeCell ref="K34:N34"/>
    <mergeCell ref="K35:N35"/>
  </mergeCells>
  <conditionalFormatting sqref="L5:N5 L12:N13 L11:M11 L8:N10 L20:N33 N19 K16">
    <cfRule type="containsText" dxfId="257" priority="9" operator="containsText" text="OK">
      <formula>NOT(ISERROR(SEARCH("OK",K5)))</formula>
    </cfRule>
    <cfRule type="containsText" dxfId="256" priority="10" operator="containsText" text="X">
      <formula>NOT(ISERROR(SEARCH("X",K5)))</formula>
    </cfRule>
  </conditionalFormatting>
  <conditionalFormatting sqref="L40:N41 L39:M39 L36:N38 L48:N61 N47 K44:L44">
    <cfRule type="containsText" dxfId="255" priority="7" operator="containsText" text="OK">
      <formula>NOT(ISERROR(SEARCH("OK",K36)))</formula>
    </cfRule>
    <cfRule type="containsText" dxfId="254" priority="8" operator="containsText" text="X">
      <formula>NOT(ISERROR(SEARCH("X",K36)))</formula>
    </cfRule>
  </conditionalFormatting>
  <conditionalFormatting sqref="L16">
    <cfRule type="containsText" dxfId="253" priority="5" operator="containsText" text="OK">
      <formula>NOT(ISERROR(SEARCH("OK",L16)))</formula>
    </cfRule>
    <cfRule type="containsText" dxfId="252" priority="6" operator="containsText" text="X">
      <formula>NOT(ISERROR(SEARCH("X",L16)))</formula>
    </cfRule>
  </conditionalFormatting>
  <conditionalFormatting sqref="K3">
    <cfRule type="containsText" dxfId="251" priority="3" operator="containsText" text="OK">
      <formula>NOT(ISERROR(SEARCH("OK",K3)))</formula>
    </cfRule>
    <cfRule type="containsText" dxfId="250" priority="4" operator="containsText" text="X">
      <formula>NOT(ISERROR(SEARCH("X",K3)))</formula>
    </cfRule>
  </conditionalFormatting>
  <conditionalFormatting sqref="L3">
    <cfRule type="containsText" dxfId="249" priority="1" operator="containsText" text="OK">
      <formula>NOT(ISERROR(SEARCH("OK",L3)))</formula>
    </cfRule>
    <cfRule type="containsText" dxfId="248" priority="2" operator="containsText" text="X">
      <formula>NOT(ISERROR(SEARCH("X",L3)))</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0">
    <tabColor rgb="FF00B050"/>
  </sheetPr>
  <dimension ref="A1:P105"/>
  <sheetViews>
    <sheetView view="pageBreakPreview" topLeftCell="A49" zoomScale="70" zoomScaleNormal="90" zoomScaleSheetLayoutView="70" workbookViewId="0">
      <selection activeCell="I89" sqref="I89:I94"/>
    </sheetView>
  </sheetViews>
  <sheetFormatPr baseColWidth="10" defaultRowHeight="14.4" x14ac:dyDescent="0.3"/>
  <cols>
    <col min="1" max="1" width="5.33203125" bestFit="1" customWidth="1"/>
    <col min="2" max="2" width="5.6640625" customWidth="1"/>
    <col min="3" max="3" width="59" customWidth="1"/>
    <col min="4" max="4" width="39.6640625" customWidth="1"/>
    <col min="5" max="5" width="7.6640625" customWidth="1"/>
    <col min="6" max="6" width="8.33203125" customWidth="1"/>
    <col min="7" max="7" width="13.33203125" customWidth="1"/>
    <col min="8" max="8" width="18.5546875" style="62" bestFit="1" customWidth="1"/>
    <col min="9" max="9" width="44.5546875" style="62" bestFit="1" customWidth="1"/>
  </cols>
  <sheetData>
    <row r="1" spans="1:16" ht="15" thickBot="1" x14ac:dyDescent="0.35">
      <c r="A1" s="523"/>
      <c r="B1" s="523"/>
      <c r="C1" s="523"/>
      <c r="D1" s="523"/>
      <c r="E1" s="523"/>
      <c r="F1" s="523"/>
      <c r="G1" s="523"/>
      <c r="H1" s="524"/>
      <c r="I1" s="524"/>
    </row>
    <row r="2" spans="1:16" s="543" customFormat="1" ht="34.950000000000003" customHeight="1" thickBot="1" x14ac:dyDescent="0.35">
      <c r="A2" s="559"/>
      <c r="B2" s="1081" t="s">
        <v>1928</v>
      </c>
      <c r="C2" s="1082"/>
      <c r="D2" s="1082"/>
      <c r="E2" s="1082"/>
      <c r="F2" s="1082"/>
      <c r="G2" s="1082"/>
      <c r="H2" s="1082"/>
      <c r="I2" s="1083"/>
    </row>
    <row r="3" spans="1:16" ht="15" customHeight="1" thickBot="1" x14ac:dyDescent="0.35">
      <c r="A3" s="523"/>
      <c r="B3" s="1084" t="s">
        <v>1929</v>
      </c>
      <c r="C3" s="1087" t="s">
        <v>1930</v>
      </c>
      <c r="D3" s="1088"/>
      <c r="E3" s="610" t="s">
        <v>927</v>
      </c>
      <c r="F3" s="611" t="s">
        <v>928</v>
      </c>
      <c r="G3" s="612" t="s">
        <v>973</v>
      </c>
      <c r="H3" s="612" t="s">
        <v>1087</v>
      </c>
      <c r="I3" s="613" t="s">
        <v>1088</v>
      </c>
    </row>
    <row r="4" spans="1:16" ht="12" customHeight="1" thickBot="1" x14ac:dyDescent="0.35">
      <c r="A4" s="523" t="s">
        <v>819</v>
      </c>
      <c r="B4" s="1085"/>
      <c r="C4" s="560" t="str">
        <f t="shared" ref="C4:C11" si="0">IFERROR(IF(VLOOKUP(A4,TURNOS_SERVICIOS,2,FALSE)=0,"-",VLOOKUP(A4,TURNOS_SERVICIOS,2,FALSE)),"-")</f>
        <v>CORONEL BASCUR VILLAGRAN GERARDO ANTONIO</v>
      </c>
      <c r="D4" s="617" t="s">
        <v>1163</v>
      </c>
      <c r="E4" s="552">
        <f>IF(OR(J4="F",J4="FER.",J4="AG."),0,COUNTIFS(BD_PRINCIPAL[DOTACIÓN ACTUAL],A4,BD_PRINCIPAL[ESC.],"PNS O/S")+COUNTIFS(BD_PRINCIPAL[DOTACIÓN ACTUAL],"JEFE/"&amp;A4,BD_PRINCIPAL[ESC.],"PNS O/S")+COUNTIF(BD_PRINCIPAL[DOTACIÓN ACTUAL],0))</f>
        <v>0</v>
      </c>
      <c r="F4" s="552">
        <f>IF(J4="F",0,COUNTIFS(BD_PRINCIPAL[DOTACIÓN ACTUAL],A4,BD_PRINCIPAL[ESC.],"PNI O/S")+COUNTIFS(BD_PRINCIPAL[DOTACIÓN ACTUAL],"JEFE/"&amp;A4,BD_PRINCIPAL[ESC.],"PNI O/S")+COUNTIF(BD_PRINCIPAL[DOTACIÓN ACTUAL],VLOOKUP(A4,ENCUADRE_PTR,2,0)))</f>
        <v>0</v>
      </c>
      <c r="G4" s="618">
        <f>SUM(E4:F4)</f>
        <v>0</v>
      </c>
      <c r="H4" s="553" t="str">
        <f t="shared" ref="H4:H11" si="1">IF(TEXT(VLOOKUP(A4,TURNOS_SERVICIOS,6,FALSE),"HH:MM")&amp;" A "&amp;TEXT(VLOOKUP(A4,TURNOS_SERVICIOS,7,FALSE),"HH:MM")="00:00 A 00:00","-",TEXT(VLOOKUP(A4,TURNOS_SERVICIOS,6,FALSE),"HH:MM")&amp;" A "&amp;TEXT(VLOOKUP(A4,TURNOS_SERVICIOS,7,FALSE),"HH:MM"))</f>
        <v xml:space="preserve">  A  </v>
      </c>
      <c r="I4" s="554" t="str">
        <f t="shared" ref="I4:I11" si="2">IFERROR(IF(VLOOKUP(A4,TURNOS_SERVICIOS,4,FALSE)=0,"-",VLOOKUP(A4,TURNOS_SERVICIOS,4,FALSE)),"-")&amp;" "&amp;IFERROR(IF(VLOOKUP(A4,TURNOS_SERVICIOS,5,FALSE)=0,"-",VLOOKUP(A4,TURNOS_SERVICIOS,5,FALSE)),"-")</f>
        <v>F PREFECTO</v>
      </c>
      <c r="J4" s="544" t="str">
        <f t="shared" ref="J4:J13" si="3">IFERROR(IF(VLOOKUP(A4,TURNOS_SERVICIOS,4,FALSE)=0,"-",VLOOKUP(A4,TURNOS_SERVICIOS,4,FALSE)),"-")</f>
        <v>F</v>
      </c>
    </row>
    <row r="5" spans="1:16" ht="12" customHeight="1" thickBot="1" x14ac:dyDescent="0.35">
      <c r="A5" s="523" t="s">
        <v>694</v>
      </c>
      <c r="B5" s="1085"/>
      <c r="C5" s="561" t="str">
        <f t="shared" si="0"/>
        <v>TTE. CRL. MATUS TORRES CRISTIAN GABRIEL GASTON</v>
      </c>
      <c r="D5" s="615" t="s">
        <v>1931</v>
      </c>
      <c r="E5" s="552">
        <f>IF(OR(J5="F",J5="FER.",J5="AG."),0,COUNTIFS(BD_PRINCIPAL[DOTACIÓN ACTUAL],A5,BD_PRINCIPAL[ESC.],"PNS O/S")+COUNTIFS(BD_PRINCIPAL[DOTACIÓN ACTUAL],"JEFE/"&amp;A5,BD_PRINCIPAL[ESC.],"PNS O/S")+COUNTIF(BD_PRINCIPAL[DOTACIÓN ACTUAL],0))</f>
        <v>0</v>
      </c>
      <c r="F5" s="552">
        <f>IF(J5="F",0,COUNTIFS(BD_PRINCIPAL[DOTACIÓN ACTUAL],A5,BD_PRINCIPAL[ESC.],"PNI O/S")+COUNTIFS(BD_PRINCIPAL[DOTACIÓN ACTUAL],"JEFE/"&amp;A5,BD_PRINCIPAL[ESC.],"PNI O/S")+COUNTIF(BD_PRINCIPAL[DOTACIÓN ACTUAL],VLOOKUP(A5,ENCUADRE_PTR,2,0)))</f>
        <v>0</v>
      </c>
      <c r="G5" s="616">
        <f t="shared" ref="G5:G13" si="4">SUM(E5:F5)</f>
        <v>0</v>
      </c>
      <c r="H5" s="551" t="str">
        <f t="shared" si="1"/>
        <v xml:space="preserve">  A  </v>
      </c>
      <c r="I5" s="555" t="str">
        <f t="shared" si="2"/>
        <v>F SUBPREF. SERV. 1</v>
      </c>
      <c r="J5" s="544" t="str">
        <f t="shared" si="3"/>
        <v>F</v>
      </c>
    </row>
    <row r="6" spans="1:16" ht="12" customHeight="1" thickBot="1" x14ac:dyDescent="0.35">
      <c r="A6" s="523" t="s">
        <v>695</v>
      </c>
      <c r="B6" s="1085"/>
      <c r="C6" s="562" t="str">
        <f t="shared" si="0"/>
        <v>TTE. CRL. NORAMBUENA CONEJEROS CRISTIAN HERNAN</v>
      </c>
      <c r="D6" s="619" t="s">
        <v>1932</v>
      </c>
      <c r="E6" s="552">
        <f>IF(OR(J6="F",J6="FER.",J6="AG."),0,COUNTIFS(BD_PRINCIPAL[DOTACIÓN ACTUAL],A6,BD_PRINCIPAL[ESC.],"PNS O/S")+COUNTIFS(BD_PRINCIPAL[DOTACIÓN ACTUAL],"JEFE/"&amp;A6,BD_PRINCIPAL[ESC.],"PNS O/S")+COUNTIF(BD_PRINCIPAL[DOTACIÓN ACTUAL],0))</f>
        <v>0</v>
      </c>
      <c r="F6" s="552">
        <f>IF(J6="F",0,COUNTIFS(BD_PRINCIPAL[DOTACIÓN ACTUAL],A6,BD_PRINCIPAL[ESC.],"PNI O/S")+COUNTIFS(BD_PRINCIPAL[DOTACIÓN ACTUAL],"JEFE/"&amp;A6,BD_PRINCIPAL[ESC.],"PNI O/S")+COUNTIF(BD_PRINCIPAL[DOTACIÓN ACTUAL],VLOOKUP(A6,ENCUADRE_PTR,2,0)))</f>
        <v>0</v>
      </c>
      <c r="G6" s="620">
        <f t="shared" si="4"/>
        <v>0</v>
      </c>
      <c r="H6" s="557" t="str">
        <f t="shared" si="1"/>
        <v xml:space="preserve">  A  </v>
      </c>
      <c r="I6" s="558" t="str">
        <f t="shared" si="2"/>
        <v>F SUBPREF. SERV. 2</v>
      </c>
      <c r="J6" s="544" t="str">
        <f t="shared" si="3"/>
        <v>F</v>
      </c>
    </row>
    <row r="7" spans="1:16" ht="12" customHeight="1" thickBot="1" x14ac:dyDescent="0.35">
      <c r="A7" s="523" t="s">
        <v>781</v>
      </c>
      <c r="B7" s="1085"/>
      <c r="C7" s="560" t="str">
        <f t="shared" si="0"/>
        <v>MAYOR NAZAR OSSA JOAQUIN PAULO</v>
      </c>
      <c r="D7" s="617" t="s">
        <v>1933</v>
      </c>
      <c r="E7" s="552">
        <f>IF(OR(J7="F",J7="FER.",J7="AG."),0,COUNTIFS(BD_PRINCIPAL[DOTACIÓN ACTUAL],A7,BD_PRINCIPAL[ESC.],"PNS O/S")+COUNTIFS(BD_PRINCIPAL[DOTACIÓN ACTUAL],"JEFE/"&amp;A7,BD_PRINCIPAL[ESC.],"PNS O/S")+COUNTIF(BD_PRINCIPAL[DOTACIÓN ACTUAL],0))</f>
        <v>1</v>
      </c>
      <c r="F7" s="552">
        <f>IF(J7="F",0,COUNTIFS(BD_PRINCIPAL[DOTACIÓN ACTUAL],A7,BD_PRINCIPAL[ESC.],"PNI O/S")+COUNTIFS(BD_PRINCIPAL[DOTACIÓN ACTUAL],"JEFE/"&amp;A7,BD_PRINCIPAL[ESC.],"PNI O/S")+COUNTIF(BD_PRINCIPAL[DOTACIÓN ACTUAL],VLOOKUP(A7,ENCUADRE_PTR,2,0)))</f>
        <v>3</v>
      </c>
      <c r="G7" s="618">
        <f t="shared" si="4"/>
        <v>4</v>
      </c>
      <c r="H7" s="553" t="str">
        <f t="shared" si="1"/>
        <v>08:00 A NORM.</v>
      </c>
      <c r="I7" s="554" t="str">
        <f t="shared" si="2"/>
        <v>1P COMISARIO</v>
      </c>
      <c r="J7" s="544" t="str">
        <f t="shared" si="3"/>
        <v>1P</v>
      </c>
    </row>
    <row r="8" spans="1:16" ht="16.2" thickBot="1" x14ac:dyDescent="0.35">
      <c r="A8" s="523" t="s">
        <v>709</v>
      </c>
      <c r="B8" s="1085"/>
      <c r="C8" s="561" t="str">
        <f t="shared" si="0"/>
        <v>-</v>
      </c>
      <c r="D8" s="615" t="s">
        <v>1934</v>
      </c>
      <c r="E8" s="552">
        <f>IF(OR(J8="F",J8="FER.",J8="AG."),0,COUNTIFS(BD_PRINCIPAL[DOTACIÓN ACTUAL],A8,BD_PRINCIPAL[ESC.],"PNS O/S")+COUNTIFS(BD_PRINCIPAL[DOTACIÓN ACTUAL],"JEFE/"&amp;A8,BD_PRINCIPAL[ESC.],"PNS O/S")+COUNTIF(BD_PRINCIPAL[DOTACIÓN ACTUAL],0))</f>
        <v>0</v>
      </c>
      <c r="F8" s="552">
        <f>IF(J8="F",0,COUNTIFS(BD_PRINCIPAL[DOTACIÓN ACTUAL],A8,BD_PRINCIPAL[ESC.],"PNI O/S")+COUNTIFS(BD_PRINCIPAL[DOTACIÓN ACTUAL],"JEFE/"&amp;A8,BD_PRINCIPAL[ESC.],"PNI O/S")+COUNTIF(BD_PRINCIPAL[DOTACIÓN ACTUAL],VLOOKUP(A8,ENCUADRE_PTR,2,0)))</f>
        <v>0</v>
      </c>
      <c r="G8" s="616">
        <f t="shared" si="4"/>
        <v>0</v>
      </c>
      <c r="H8" s="551" t="str">
        <f t="shared" si="1"/>
        <v xml:space="preserve">  A  </v>
      </c>
      <c r="I8" s="555" t="str">
        <f t="shared" si="2"/>
        <v xml:space="preserve">F JEFE OPERATIVO </v>
      </c>
      <c r="J8" s="544" t="str">
        <f t="shared" si="3"/>
        <v>F</v>
      </c>
    </row>
    <row r="9" spans="1:16" ht="12" customHeight="1" thickBot="1" x14ac:dyDescent="0.35">
      <c r="A9" s="523" t="s">
        <v>710</v>
      </c>
      <c r="B9" s="1085"/>
      <c r="C9" s="561" t="str">
        <f t="shared" si="0"/>
        <v>CAPITÁN ANDERS CONTRERAS LEONARDO IGNACIO</v>
      </c>
      <c r="D9" s="615" t="s">
        <v>1935</v>
      </c>
      <c r="E9" s="552">
        <f>IF(OR(J9="F",J9="FER.",J9="AG."),0,COUNTIFS(BD_PRINCIPAL[DOTACIÓN ACTUAL],A9,BD_PRINCIPAL[ESC.],"PNS O/S")+COUNTIFS(BD_PRINCIPAL[DOTACIÓN ACTUAL],"JEFE/"&amp;A9,BD_PRINCIPAL[ESC.],"PNS O/S")+COUNTIF(BD_PRINCIPAL[DOTACIÓN ACTUAL],0))</f>
        <v>0</v>
      </c>
      <c r="F9" s="552">
        <f>IF(J9="F",0,COUNTIFS(BD_PRINCIPAL[DOTACIÓN ACTUAL],A9,BD_PRINCIPAL[ESC.],"PNI O/S")+COUNTIFS(BD_PRINCIPAL[DOTACIÓN ACTUAL],"JEFE/"&amp;A9,BD_PRINCIPAL[ESC.],"PNI O/S")+COUNTIF(BD_PRINCIPAL[DOTACIÓN ACTUAL],VLOOKUP(A9,ENCUADRE_PTR,2,0)))</f>
        <v>0</v>
      </c>
      <c r="G9" s="616">
        <f t="shared" si="4"/>
        <v>0</v>
      </c>
      <c r="H9" s="551" t="str">
        <f t="shared" si="1"/>
        <v xml:space="preserve">  A  </v>
      </c>
      <c r="I9" s="555" t="str">
        <f t="shared" si="2"/>
        <v xml:space="preserve">F SUBCOM. SERV </v>
      </c>
      <c r="J9" s="544" t="str">
        <f t="shared" si="3"/>
        <v>F</v>
      </c>
    </row>
    <row r="10" spans="1:16" ht="12" customHeight="1" thickBot="1" x14ac:dyDescent="0.35">
      <c r="A10" s="523" t="s">
        <v>698</v>
      </c>
      <c r="B10" s="1085"/>
      <c r="C10" s="561" t="str">
        <f t="shared" si="0"/>
        <v>CAPITÁN ACEVEDO MORALES ANGELO FELIPE</v>
      </c>
      <c r="D10" s="615" t="s">
        <v>1936</v>
      </c>
      <c r="E10" s="552">
        <f>IF(OR(J10="F",J10="FER.",J10="AG."),0,COUNTIFS(BD_PRINCIPAL[DOTACIÓN ACTUAL],A10,BD_PRINCIPAL[ESC.],"PNS O/S")+COUNTIFS(BD_PRINCIPAL[DOTACIÓN ACTUAL],"JEFE/"&amp;A10,BD_PRINCIPAL[ESC.],"PNS O/S")+COUNTIF(BD_PRINCIPAL[DOTACIÓN ACTUAL],0))</f>
        <v>0</v>
      </c>
      <c r="F10" s="552">
        <f>IF(J10="F",0,COUNTIFS(BD_PRINCIPAL[DOTACIÓN ACTUAL],A10,BD_PRINCIPAL[ESC.],"PNI O/S")+COUNTIFS(BD_PRINCIPAL[DOTACIÓN ACTUAL],"JEFE/"&amp;A10,BD_PRINCIPAL[ESC.],"PNI O/S")+COUNTIF(BD_PRINCIPAL[DOTACIÓN ACTUAL],VLOOKUP(A10,ENCUADRE_PTR,2,0)))</f>
        <v>0</v>
      </c>
      <c r="G10" s="616">
        <f t="shared" si="4"/>
        <v>0</v>
      </c>
      <c r="H10" s="551" t="str">
        <f t="shared" si="1"/>
        <v xml:space="preserve">  A  </v>
      </c>
      <c r="I10" s="555" t="str">
        <f t="shared" si="2"/>
        <v>F SUBCOM.  ADM.</v>
      </c>
      <c r="J10" s="544" t="str">
        <f t="shared" si="3"/>
        <v>F</v>
      </c>
    </row>
    <row r="11" spans="1:16" ht="12" customHeight="1" thickBot="1" x14ac:dyDescent="0.35">
      <c r="A11" s="523" t="s">
        <v>699</v>
      </c>
      <c r="B11" s="1085"/>
      <c r="C11" s="562" t="str">
        <f t="shared" si="0"/>
        <v>-</v>
      </c>
      <c r="D11" s="619" t="s">
        <v>1405</v>
      </c>
      <c r="E11" s="552">
        <f>IF(OR(J11="F",J11="FER.",J11="AG."),0,COUNTIFS(BD_PRINCIPAL[DOTACIÓN ACTUAL],A11,BD_PRINCIPAL[ESC.],"PNS O/S")+COUNTIFS(BD_PRINCIPAL[DOTACIÓN ACTUAL],"JEFE/"&amp;A11,BD_PRINCIPAL[ESC.],"PNS O/S")+COUNTIF(BD_PRINCIPAL[DOTACIÓN ACTUAL],0))</f>
        <v>0</v>
      </c>
      <c r="F11" s="552">
        <f>IF(J11="F",0,COUNTIFS(BD_PRINCIPAL[DOTACIÓN ACTUAL],A11,BD_PRINCIPAL[ESC.],"PNI O/S")+COUNTIFS(BD_PRINCIPAL[DOTACIÓN ACTUAL],"JEFE/"&amp;A11,BD_PRINCIPAL[ESC.],"PNI O/S")+COUNTIF(BD_PRINCIPAL[DOTACIÓN ACTUAL],VLOOKUP(A11,ENCUADRE_PTR,2,0)))</f>
        <v>0</v>
      </c>
      <c r="G11" s="620">
        <f t="shared" si="4"/>
        <v>0</v>
      </c>
      <c r="H11" s="557" t="str">
        <f t="shared" si="1"/>
        <v>-</v>
      </c>
      <c r="I11" s="558" t="str">
        <f t="shared" si="2"/>
        <v xml:space="preserve"> </v>
      </c>
      <c r="J11" s="544" t="str">
        <f t="shared" si="3"/>
        <v/>
      </c>
    </row>
    <row r="12" spans="1:16" s="544" customFormat="1" ht="16.2" thickBot="1" x14ac:dyDescent="0.35">
      <c r="A12" s="527" t="s">
        <v>224</v>
      </c>
      <c r="B12" s="1085"/>
      <c r="C12" s="560" t="str">
        <f>IFERROR(IF(VLOOKUP(D12,TURNOS_SERVICIOS,2,FALSE)=0,"-",VLOOKUP(D12,TURNOS_SERVICIOS,2,FALSE)),"-")</f>
        <v>CAPITÁN ELGUETA ARAVENA BORIS WALTER</v>
      </c>
      <c r="D12" s="617" t="s">
        <v>224</v>
      </c>
      <c r="E12" s="552">
        <f>IF(OR(J12="F",J12="FER.",J12="AG."),0,COUNTIFS(BD_PRINCIPAL[DOTACIÓN ACTUAL],D12,BD_PRINCIPAL[ESC.],"PNS O/S")+COUNTIFS(BD_PRINCIPAL[DOTACIÓN ACTUAL],"JEFE/"&amp;D12,BD_PRINCIPAL[ESC.],"PNS O/S")+COUNTIF(BD_PRINCIPAL[DOTACIÓN ACTUAL],0))</f>
        <v>1</v>
      </c>
      <c r="F12" s="552">
        <f>IF(J12="F",0,COUNTIFS(BD_PRINCIPAL[DOTACIÓN ACTUAL],A12,BD_PRINCIPAL[ESC.],"PNI O/S")+COUNTIFS(BD_PRINCIPAL[DOTACIÓN ACTUAL],"JEFE/"&amp;A12,BD_PRINCIPAL[ESC.],"PNI O/S")+COUNTIF(BD_PRINCIPAL[DOTACIÓN ACTUAL],VLOOKUP(A12,ENCUADRE_PTR,2,0)))</f>
        <v>2</v>
      </c>
      <c r="G12" s="618">
        <f t="shared" si="4"/>
        <v>3</v>
      </c>
      <c r="H12" s="553" t="str">
        <f>IF(TEXT(VLOOKUP(A12,TURNOS_SERVICIOS,6,FALSE),"HH:MM")&amp;" A "&amp;TEXT(VLOOKUP(A12,TURNOS_SERVICIOS,7,FALSE),"HH:MM")="00:00 A 00:00","-",TEXT(VLOOKUP(A12,TURNOS_SERVICIOS,6,FALSE),"HH:MM")&amp;" A "&amp;TEXT(VLOOKUP(A12,TURNOS_SERVICIOS,7,FALSE),"HH:MM"))</f>
        <v>08:00 A 20:00</v>
      </c>
      <c r="I12" s="554" t="str">
        <f>IFERROR(IF(VLOOKUP(A12,TURNOS_SERVICIOS,4,FALSE)=0,"-",VLOOKUP(A12,TURNOS_SERVICIOS,4,FALSE)),"-")&amp;" "&amp;IFERROR(IF(VLOOKUP(A12,TURNOS_SERVICIOS,5,FALSE)=0,"-",VLOOKUP(A12,TURNOS_SERVICIOS,5,FALSE)),"-")</f>
        <v>1P JEFE APS</v>
      </c>
      <c r="J12" s="544" t="str">
        <f t="shared" si="3"/>
        <v>1P</v>
      </c>
    </row>
    <row r="13" spans="1:16" s="544" customFormat="1" ht="16.2" thickBot="1" x14ac:dyDescent="0.35">
      <c r="A13" s="527" t="s">
        <v>241</v>
      </c>
      <c r="B13" s="1085"/>
      <c r="C13" s="562" t="str">
        <f>IFERROR(IF(VLOOKUP(D13,TURNOS_SERVICIOS,2,FALSE)=0,"-",VLOOKUP(D13,TURNOS_SERVICIOS,2,FALSE)),"-")</f>
        <v>CAPITÁN SANCHEZ CASTRO VICTOR MANUEL</v>
      </c>
      <c r="D13" s="619" t="s">
        <v>241</v>
      </c>
      <c r="E13" s="552">
        <f>IF(OR(J13="F",J13="FER.",J13="AG."),0,COUNTIFS(BD_PRINCIPAL[DOTACIÓN ACTUAL],D13,BD_PRINCIPAL[ESC.],"PNS O/S")+COUNTIFS(BD_PRINCIPAL[DOTACIÓN ACTUAL],"JEFE/"&amp;D13,BD_PRINCIPAL[ESC.],"PNS O/S")+COUNTIF(BD_PRINCIPAL[DOTACIÓN ACTUAL],0))</f>
        <v>0</v>
      </c>
      <c r="F13" s="556">
        <f>IF(J13="F",0,COUNTIFS(BD_PRINCIPAL[DOTACIÓN ACTUAL],A13,BD_PRINCIPAL[ESC.],"PNI O/S")+COUNTIFS(BD_PRINCIPAL[DOTACIÓN ACTUAL],"JEFE/"&amp;A13,BD_PRINCIPAL[ESC.],"PNI O/S")+COUNTIF(BD_PRINCIPAL[DOTACIÓN ACTUAL],VLOOKUP(A13,ENCUADRE_PTR,2,0)))</f>
        <v>0</v>
      </c>
      <c r="G13" s="620">
        <f t="shared" si="4"/>
        <v>0</v>
      </c>
      <c r="H13" s="557" t="str">
        <f>IF(TEXT(VLOOKUP(A13,TURNOS_SERVICIOS,6,FALSE),"HH:MM")&amp;" A "&amp;TEXT(VLOOKUP(A13,TURNOS_SERVICIOS,7,FALSE),"HH:MM")="00:00 A 00:00","-",TEXT(VLOOKUP(A13,TURNOS_SERVICIOS,6,FALSE),"HH:MM")&amp;" A "&amp;TEXT(VLOOKUP(A13,TURNOS_SERVICIOS,7,FALSE),"HH:MM"))</f>
        <v xml:space="preserve">00:00 A  </v>
      </c>
      <c r="I13" s="558" t="str">
        <f>IFERROR(IF(VLOOKUP(A13,TURNOS_SERVICIOS,4,FALSE)=0,"-",VLOOKUP(A13,TURNOS_SERVICIOS,4,FALSE)),"-")&amp;" "&amp;IFERROR(IF(VLOOKUP(A13,TURNOS_SERVICIOS,5,FALSE)=0,"-",VLOOKUP(A13,TURNOS_SERVICIOS,5,FALSE)),"-")</f>
        <v>F FRANCO</v>
      </c>
      <c r="J13" s="544" t="str">
        <f t="shared" si="3"/>
        <v>F</v>
      </c>
    </row>
    <row r="14" spans="1:16" s="545" customFormat="1" ht="16.2" thickBot="1" x14ac:dyDescent="0.35">
      <c r="A14" s="528"/>
      <c r="B14" s="1086"/>
      <c r="C14" s="1094"/>
      <c r="D14" s="1095"/>
      <c r="E14" s="597"/>
      <c r="F14" s="548"/>
      <c r="G14" s="549"/>
      <c r="H14" s="550"/>
      <c r="I14" s="614"/>
    </row>
    <row r="15" spans="1:16" ht="12.6" customHeight="1" thickBot="1" x14ac:dyDescent="0.35">
      <c r="A15" s="523"/>
      <c r="B15" s="1100" t="s">
        <v>844</v>
      </c>
      <c r="C15" s="600" t="str">
        <f t="shared" ref="C15:C70" si="5">IFERROR(IF(VLOOKUP(D15,TURNOS_SERVICIOS,2,FALSE)=0,"-",VLOOKUP(D15,TURNOS_SERVICIOS,2,FALSE)),"-")</f>
        <v>TENIENTE NAVARRO VELASQUEZ RODOLFO</v>
      </c>
      <c r="D15" s="537" t="s">
        <v>251</v>
      </c>
      <c r="E15" s="552">
        <f>IF(OR(J15="F",J15="FER."),0,COUNTIFS(BD_PRINCIPAL[DOTACIÓN ACTUAL],D15,BD_PRINCIPAL[ESC.],"PNS O/S")+COUNTIFS(BD_PRINCIPAL[DOTACIÓN ACTUAL],"JEFE/"&amp;D15,BD_PRINCIPAL[ESC.],"PNS O/S")+COUNTIF(BD_PRINCIPAL[DOTACIÓN ACTUAL],0))</f>
        <v>1</v>
      </c>
      <c r="F15" s="552">
        <f>IF(OR(J15="F",J15="FER."),0,COUNTIFS(BD_PRINCIPAL[DOTACIÓN ACTUAL],D15,BD_PRINCIPAL[ESC.],"PNI O/S")+COUNTIFS(BD_PRINCIPAL[DOTACIÓN ACTUAL],"JEFE/"&amp;D15,BD_PRINCIPAL[ESC.],"PNI O/S")+COUNTIF(BD_PRINCIPAL[DOTACIÓN ACTUAL],VLOOKUP(D15,ENCUADRE_PTR,2,0)))</f>
        <v>2</v>
      </c>
      <c r="G15" s="1078">
        <f>SUM(E15:F21)</f>
        <v>24</v>
      </c>
      <c r="H15" s="553" t="str">
        <f t="shared" ref="H15:H46" si="6">IFERROR(IF(TEXT(VLOOKUP(D15,TURNOS_SERVICIOS,6,FALSE),"HH:MM")&amp;" A "&amp;TEXT(VLOOKUP(D15,TURNOS_SERVICIOS,7,FALSE),"HH:MM")="00:00 A 00:00","-",TEXT(VLOOKUP(D15,TURNOS_SERVICIOS,6,FALSE),"HH:MM")&amp;" A "&amp;TEXT(VLOOKUP(D15,TURNOS_SERVICIOS,7,FALSE),"HH:MM")),"-")</f>
        <v>08:00 A 20:00</v>
      </c>
      <c r="I15" s="554" t="str">
        <f t="shared" ref="I15:I70" si="7">IFERROR(IF(VLOOKUP(D15,TURNOS_SERVICIOS,4,FALSE)=0,"-",VLOOKUP(D15,TURNOS_SERVICIOS,4,FALSE)),"-")&amp;" "&amp;IFERROR(IF(VLOOKUP(D15,TURNOS_SERVICIOS,5,FALSE)=0,"-",VLOOKUP(D15,TURNOS_SERVICIOS,5,FALSE)),"-")</f>
        <v>1P BAQUEDANO</v>
      </c>
      <c r="J15" s="544" t="str">
        <f t="shared" ref="J15:J70" si="8">IFERROR(IF(VLOOKUP(D15,TURNOS_SERVICIOS,4,FALSE)=0,"-",VLOOKUP(D15,TURNOS_SERVICIOS,4,FALSE)),"-")</f>
        <v>1P</v>
      </c>
      <c r="K15" s="544"/>
      <c r="L15" s="544"/>
      <c r="M15" s="544"/>
      <c r="N15" s="544"/>
      <c r="O15" s="544"/>
      <c r="P15" s="544"/>
    </row>
    <row r="16" spans="1:16" ht="12.6" customHeight="1" thickBot="1" x14ac:dyDescent="0.35">
      <c r="A16" s="523"/>
      <c r="B16" s="1101"/>
      <c r="C16" s="599" t="str">
        <f t="shared" si="5"/>
        <v>TENIENTE DIAZ CARCAMO OLGA ELIZABETH</v>
      </c>
      <c r="D16" s="538" t="s">
        <v>714</v>
      </c>
      <c r="E16" s="552">
        <f>IF(OR(J16="F",J16="FER."),0,COUNTIFS(BD_PRINCIPAL[DOTACIÓN ACTUAL],D16,BD_PRINCIPAL[ESC.],"PNS O/S")+COUNTIFS(BD_PRINCIPAL[DOTACIÓN ACTUAL],"JEFE/"&amp;D16,BD_PRINCIPAL[ESC.],"PNS O/S")+COUNTIF(BD_PRINCIPAL[DOTACIÓN ACTUAL],0))</f>
        <v>1</v>
      </c>
      <c r="F16" s="552">
        <f>IF(OR(J16="F",J16="FER."),0,COUNTIFS(BD_PRINCIPAL[DOTACIÓN ACTUAL],D16,BD_PRINCIPAL[ESC.],"PNI O/S")+COUNTIFS(BD_PRINCIPAL[DOTACIÓN ACTUAL],"JEFE/"&amp;D16,BD_PRINCIPAL[ESC.],"PNI O/S")+COUNTIF(BD_PRINCIPAL[DOTACIÓN ACTUAL],VLOOKUP(D16,ENCUADRE_PTR,2,0)))</f>
        <v>6</v>
      </c>
      <c r="G16" s="1079"/>
      <c r="H16" s="551" t="str">
        <f t="shared" si="6"/>
        <v>08:00 A 20:00</v>
      </c>
      <c r="I16" s="555" t="str">
        <f t="shared" si="7"/>
        <v>1P BAQUEDANO</v>
      </c>
      <c r="J16" s="544" t="str">
        <f t="shared" si="8"/>
        <v>1P</v>
      </c>
      <c r="K16" s="544"/>
      <c r="L16" s="544"/>
      <c r="M16" s="544"/>
      <c r="N16" s="544"/>
      <c r="O16" s="544"/>
      <c r="P16" s="544"/>
    </row>
    <row r="17" spans="1:16" ht="12.6" customHeight="1" thickBot="1" x14ac:dyDescent="0.35">
      <c r="A17" s="523"/>
      <c r="B17" s="1101"/>
      <c r="C17" s="599" t="str">
        <f t="shared" si="5"/>
        <v>-</v>
      </c>
      <c r="D17" s="538" t="s">
        <v>1235</v>
      </c>
      <c r="E17" s="552">
        <f>IF(OR(J17="F",J17="FER."),0,COUNTIFS(BD_PRINCIPAL[DOTACIÓN ACTUAL],D17,BD_PRINCIPAL[ESC.],"PNS O/S")+COUNTIFS(BD_PRINCIPAL[DOTACIÓN ACTUAL],"JEFE/"&amp;D17,BD_PRINCIPAL[ESC.],"PNS O/S")+COUNTIF(BD_PRINCIPAL[DOTACIÓN ACTUAL],0))</f>
        <v>0</v>
      </c>
      <c r="F17" s="552">
        <f>IF(OR(J17="F",J17="FER."),0,COUNTIFS(BD_PRINCIPAL[DOTACIÓN ACTUAL],D17,BD_PRINCIPAL[ESC.],"PNI O/S")+COUNTIFS(BD_PRINCIPAL[DOTACIÓN ACTUAL],"JEFE/"&amp;D17,BD_PRINCIPAL[ESC.],"PNI O/S")+COUNTIF(BD_PRINCIPAL[DOTACIÓN ACTUAL],VLOOKUP(D17,ENCUADRE_PTR,2,0)))</f>
        <v>0</v>
      </c>
      <c r="G17" s="1079"/>
      <c r="H17" s="551" t="str">
        <f t="shared" si="6"/>
        <v>-</v>
      </c>
      <c r="I17" s="555" t="str">
        <f t="shared" si="7"/>
        <v xml:space="preserve"> </v>
      </c>
      <c r="J17" s="544" t="str">
        <f t="shared" si="8"/>
        <v/>
      </c>
      <c r="K17" s="544"/>
      <c r="L17" s="544"/>
      <c r="M17" s="544"/>
      <c r="N17" s="544"/>
      <c r="O17" s="544"/>
      <c r="P17" s="544"/>
    </row>
    <row r="18" spans="1:16" ht="12.6" customHeight="1" thickBot="1" x14ac:dyDescent="0.35">
      <c r="A18" s="523"/>
      <c r="B18" s="1101"/>
      <c r="C18" s="599" t="str">
        <f t="shared" si="5"/>
        <v>SGTO 1RO. CORTES VARA MARCO EDGARDO              (T-J)</v>
      </c>
      <c r="D18" s="538" t="s">
        <v>726</v>
      </c>
      <c r="E18" s="552">
        <f>IF(OR(J18="F",J18="FER."),0,COUNTIFS(BD_PRINCIPAL[DOTACIÓN ACTUAL],D18,BD_PRINCIPAL[ESC.],"PNS O/S")+COUNTIFS(BD_PRINCIPAL[DOTACIÓN ACTUAL],"JEFE/"&amp;D18,BD_PRINCIPAL[ESC.],"PNS O/S")+COUNTIF(BD_PRINCIPAL[DOTACIÓN ACTUAL],0))</f>
        <v>0</v>
      </c>
      <c r="F18" s="552">
        <f>IF(OR(J18="F",J18="FER."),0,COUNTIFS(BD_PRINCIPAL[DOTACIÓN ACTUAL],D18,BD_PRINCIPAL[ESC.],"PNI O/S")+COUNTIFS(BD_PRINCIPAL[DOTACIÓN ACTUAL],"JEFE/"&amp;D18,BD_PRINCIPAL[ESC.],"PNI O/S")+COUNTIF(BD_PRINCIPAL[DOTACIÓN ACTUAL],VLOOKUP(D18,ENCUADRE_PTR,2,0)))</f>
        <v>8</v>
      </c>
      <c r="G18" s="1079"/>
      <c r="H18" s="551" t="str">
        <f t="shared" si="6"/>
        <v>08:00 A 20:00</v>
      </c>
      <c r="I18" s="555" t="str">
        <f t="shared" si="7"/>
        <v>1P MONUMENTO</v>
      </c>
      <c r="J18" s="544" t="str">
        <f t="shared" si="8"/>
        <v>1P</v>
      </c>
      <c r="K18" s="544"/>
      <c r="L18" s="544"/>
      <c r="M18" s="544"/>
      <c r="N18" s="544"/>
      <c r="O18" s="544"/>
      <c r="P18" s="544"/>
    </row>
    <row r="19" spans="1:16" ht="12.6" customHeight="1" thickBot="1" x14ac:dyDescent="0.35">
      <c r="A19" s="523"/>
      <c r="B19" s="1101"/>
      <c r="C19" s="599" t="str">
        <f t="shared" si="5"/>
        <v>-</v>
      </c>
      <c r="D19" s="538" t="s">
        <v>1236</v>
      </c>
      <c r="E19" s="552">
        <f>IF(OR(J19="F",J19="FER."),0,COUNTIFS(BD_PRINCIPAL[DOTACIÓN ACTUAL],D19,BD_PRINCIPAL[ESC.],"PNS O/S")+COUNTIFS(BD_PRINCIPAL[DOTACIÓN ACTUAL],"JEFE/"&amp;D19,BD_PRINCIPAL[ESC.],"PNS O/S")+COUNTIF(BD_PRINCIPAL[DOTACIÓN ACTUAL],0))</f>
        <v>0</v>
      </c>
      <c r="F19" s="552">
        <f>IF(OR(J19="F",J19="FER."),0,COUNTIFS(BD_PRINCIPAL[DOTACIÓN ACTUAL],D19,BD_PRINCIPAL[ESC.],"PNI O/S")+COUNTIFS(BD_PRINCIPAL[DOTACIÓN ACTUAL],"JEFE/"&amp;D19,BD_PRINCIPAL[ESC.],"PNI O/S")+COUNTIF(BD_PRINCIPAL[DOTACIÓN ACTUAL],VLOOKUP(D19,ENCUADRE_PTR,2,0)))</f>
        <v>0</v>
      </c>
      <c r="G19" s="1079"/>
      <c r="H19" s="551" t="str">
        <f t="shared" si="6"/>
        <v>-</v>
      </c>
      <c r="I19" s="555" t="str">
        <f t="shared" si="7"/>
        <v xml:space="preserve"> </v>
      </c>
      <c r="J19" s="544" t="str">
        <f t="shared" si="8"/>
        <v/>
      </c>
      <c r="K19" s="544"/>
      <c r="L19" s="544"/>
      <c r="M19" s="544"/>
      <c r="N19" s="544"/>
      <c r="O19" s="544"/>
      <c r="P19" s="544"/>
    </row>
    <row r="20" spans="1:16" s="546" customFormat="1" ht="12.6" customHeight="1" thickBot="1" x14ac:dyDescent="0.35">
      <c r="A20" s="523"/>
      <c r="B20" s="1101"/>
      <c r="C20" s="599" t="str">
        <f t="shared" si="5"/>
        <v>SGTO 2DO. CORTES GALLARDO JAVIER ALBERTO</v>
      </c>
      <c r="D20" s="538" t="s">
        <v>713</v>
      </c>
      <c r="E20" s="552">
        <f>IF(OR(J20="F",J20="FER."),0,COUNTIFS(BD_PRINCIPAL[DOTACIÓN ACTUAL],D20,BD_PRINCIPAL[ESC.],"PNS O/S")+COUNTIFS(BD_PRINCIPAL[DOTACIÓN ACTUAL],"JEFE/"&amp;D20,BD_PRINCIPAL[ESC.],"PNS O/S")+COUNTIF(BD_PRINCIPAL[DOTACIÓN ACTUAL],0))</f>
        <v>0</v>
      </c>
      <c r="F20" s="552">
        <f>IF(OR(J20="F",J20="FER."),0,COUNTIFS(BD_PRINCIPAL[DOTACIÓN ACTUAL],D20,BD_PRINCIPAL[ESC.],"PNI O/S")+COUNTIFS(BD_PRINCIPAL[DOTACIÓN ACTUAL],"JEFE/"&amp;D20,BD_PRINCIPAL[ESC.],"PNI O/S")+COUNTIF(BD_PRINCIPAL[DOTACIÓN ACTUAL],VLOOKUP(D20,ENCUADRE_PTR,2,0)))</f>
        <v>6</v>
      </c>
      <c r="G20" s="1079"/>
      <c r="H20" s="551" t="str">
        <f t="shared" si="6"/>
        <v>08:00 A 20:00</v>
      </c>
      <c r="I20" s="555" t="str">
        <f t="shared" si="7"/>
        <v>1P LEGUA</v>
      </c>
      <c r="J20" s="544" t="str">
        <f t="shared" si="8"/>
        <v>1P</v>
      </c>
      <c r="K20" s="544"/>
      <c r="L20" s="544"/>
      <c r="M20" s="544"/>
      <c r="N20" s="544"/>
      <c r="O20" s="544"/>
      <c r="P20" s="544"/>
    </row>
    <row r="21" spans="1:16" s="546" customFormat="1" ht="12.6" customHeight="1" thickBot="1" x14ac:dyDescent="0.35">
      <c r="A21" s="523"/>
      <c r="B21" s="1102"/>
      <c r="C21" s="601" t="str">
        <f t="shared" si="5"/>
        <v>-</v>
      </c>
      <c r="D21" s="539" t="s">
        <v>1237</v>
      </c>
      <c r="E21" s="552">
        <f>IF(OR(J21="F",J21="FER."),0,COUNTIFS(BD_PRINCIPAL[DOTACIÓN ACTUAL],D21,BD_PRINCIPAL[ESC.],"PNS O/S")+COUNTIFS(BD_PRINCIPAL[DOTACIÓN ACTUAL],"JEFE/"&amp;D21,BD_PRINCIPAL[ESC.],"PNS O/S")+COUNTIF(BD_PRINCIPAL[DOTACIÓN ACTUAL],0))</f>
        <v>0</v>
      </c>
      <c r="F21" s="552">
        <f>IF(OR(J21="F",J21="FER."),0,COUNTIFS(BD_PRINCIPAL[DOTACIÓN ACTUAL],D21,BD_PRINCIPAL[ESC.],"PNI O/S")+COUNTIFS(BD_PRINCIPAL[DOTACIÓN ACTUAL],"JEFE/"&amp;D21,BD_PRINCIPAL[ESC.],"PNI O/S")+COUNTIF(BD_PRINCIPAL[DOTACIÓN ACTUAL],VLOOKUP(D21,ENCUADRE_PTR,2,0)))</f>
        <v>0</v>
      </c>
      <c r="G21" s="1080"/>
      <c r="H21" s="557" t="str">
        <f t="shared" si="6"/>
        <v>-</v>
      </c>
      <c r="I21" s="558" t="str">
        <f t="shared" si="7"/>
        <v xml:space="preserve"> </v>
      </c>
      <c r="J21" s="544" t="str">
        <f t="shared" si="8"/>
        <v/>
      </c>
      <c r="K21" s="544"/>
      <c r="L21" s="544"/>
      <c r="M21" s="544"/>
      <c r="N21" s="544"/>
      <c r="O21" s="544"/>
      <c r="P21" s="544"/>
    </row>
    <row r="22" spans="1:16" s="547" customFormat="1" ht="12" customHeight="1" thickBot="1" x14ac:dyDescent="0.35">
      <c r="A22" s="523"/>
      <c r="B22" s="1100" t="s">
        <v>845</v>
      </c>
      <c r="C22" s="600" t="str">
        <f t="shared" si="5"/>
        <v>TENIENTE ZULOAGA MUÑOZ SEBASTIAN ALEJANDRO</v>
      </c>
      <c r="D22" s="537" t="s">
        <v>252</v>
      </c>
      <c r="E22" s="552">
        <f>IF(OR(J22="F",J22="FER."),0,COUNTIFS(BD_PRINCIPAL[DOTACIÓN ACTUAL],D22,BD_PRINCIPAL[ESC.],"PNS O/S")+COUNTIFS(BD_PRINCIPAL[DOTACIÓN ACTUAL],"JEFE/"&amp;D22,BD_PRINCIPAL[ESC.],"PNS O/S")+COUNTIF(BD_PRINCIPAL[DOTACIÓN ACTUAL],0))</f>
        <v>1</v>
      </c>
      <c r="F22" s="552">
        <f>IF(OR(J22="F",J22="FER."),0,COUNTIFS(BD_PRINCIPAL[DOTACIÓN ACTUAL],D22,BD_PRINCIPAL[ESC.],"PNI O/S")+COUNTIFS(BD_PRINCIPAL[DOTACIÓN ACTUAL],"JEFE/"&amp;D22,BD_PRINCIPAL[ESC.],"PNI O/S")+COUNTIF(BD_PRINCIPAL[DOTACIÓN ACTUAL],VLOOKUP(D22,ENCUADRE_PTR,2,0)))</f>
        <v>2</v>
      </c>
      <c r="G22" s="1078">
        <f>SUM(E22:F28)</f>
        <v>24</v>
      </c>
      <c r="H22" s="553" t="str">
        <f t="shared" si="6"/>
        <v>20:00 A 08:00</v>
      </c>
      <c r="I22" s="554" t="str">
        <f t="shared" si="7"/>
        <v>2P ARIETE NOCTURNO</v>
      </c>
      <c r="J22" s="544" t="str">
        <f t="shared" si="8"/>
        <v>2P</v>
      </c>
      <c r="K22" s="544"/>
      <c r="L22" s="544"/>
      <c r="M22" s="544"/>
      <c r="N22" s="544"/>
      <c r="O22" s="544"/>
      <c r="P22" s="544"/>
    </row>
    <row r="23" spans="1:16" ht="12.6" customHeight="1" thickBot="1" x14ac:dyDescent="0.35">
      <c r="A23" s="523"/>
      <c r="B23" s="1101"/>
      <c r="C23" s="599" t="str">
        <f t="shared" si="5"/>
        <v>SUBOFICIAL ROSALES CALDERON MARCO ANTONIO ( T )</v>
      </c>
      <c r="D23" s="538" t="s">
        <v>740</v>
      </c>
      <c r="E23" s="552">
        <f>IF(OR(J23="F",J23="FER."),0,COUNTIFS(BD_PRINCIPAL[DOTACIÓN ACTUAL],D23,BD_PRINCIPAL[ESC.],"PNS O/S")+COUNTIFS(BD_PRINCIPAL[DOTACIÓN ACTUAL],"JEFE/"&amp;D23,BD_PRINCIPAL[ESC.],"PNS O/S")+COUNTIF(BD_PRINCIPAL[DOTACIÓN ACTUAL],0))</f>
        <v>0</v>
      </c>
      <c r="F23" s="552">
        <f>IF(OR(J23="F",J23="FER."),0,COUNTIFS(BD_PRINCIPAL[DOTACIÓN ACTUAL],D23,BD_PRINCIPAL[ESC.],"PNI O/S")+COUNTIFS(BD_PRINCIPAL[DOTACIÓN ACTUAL],"JEFE/"&amp;D23,BD_PRINCIPAL[ESC.],"PNI O/S")+COUNTIF(BD_PRINCIPAL[DOTACIÓN ACTUAL],VLOOKUP(D23,ENCUADRE_PTR,2,0)))</f>
        <v>8</v>
      </c>
      <c r="G23" s="1079"/>
      <c r="H23" s="551" t="str">
        <f t="shared" si="6"/>
        <v>22:00 A 08:00</v>
      </c>
      <c r="I23" s="555" t="str">
        <f t="shared" si="7"/>
        <v>3T APS</v>
      </c>
      <c r="J23" s="544" t="str">
        <f t="shared" si="8"/>
        <v>3T</v>
      </c>
      <c r="K23" s="544"/>
      <c r="L23" s="544"/>
      <c r="M23" s="544"/>
      <c r="N23" s="544"/>
      <c r="O23" s="544"/>
      <c r="P23" s="544"/>
    </row>
    <row r="24" spans="1:16" ht="12.6" customHeight="1" thickBot="1" x14ac:dyDescent="0.35">
      <c r="A24" s="523"/>
      <c r="B24" s="1101"/>
      <c r="C24" s="599" t="str">
        <f t="shared" si="5"/>
        <v>-</v>
      </c>
      <c r="D24" s="538" t="s">
        <v>1238</v>
      </c>
      <c r="E24" s="552">
        <f>IF(OR(J24="F",J24="FER."),0,COUNTIFS(BD_PRINCIPAL[DOTACIÓN ACTUAL],D24,BD_PRINCIPAL[ESC.],"PNS O/S")+COUNTIFS(BD_PRINCIPAL[DOTACIÓN ACTUAL],"JEFE/"&amp;D24,BD_PRINCIPAL[ESC.],"PNS O/S")+COUNTIF(BD_PRINCIPAL[DOTACIÓN ACTUAL],0))</f>
        <v>0</v>
      </c>
      <c r="F24" s="552">
        <f>IF(OR(J24="F",J24="FER."),0,COUNTIFS(BD_PRINCIPAL[DOTACIÓN ACTUAL],D24,BD_PRINCIPAL[ESC.],"PNI O/S")+COUNTIFS(BD_PRINCIPAL[DOTACIÓN ACTUAL],"JEFE/"&amp;D24,BD_PRINCIPAL[ESC.],"PNI O/S")+COUNTIF(BD_PRINCIPAL[DOTACIÓN ACTUAL],VLOOKUP(D24,ENCUADRE_PTR,2,0)))</f>
        <v>0</v>
      </c>
      <c r="G24" s="1079"/>
      <c r="H24" s="551" t="str">
        <f t="shared" si="6"/>
        <v>-</v>
      </c>
      <c r="I24" s="555" t="str">
        <f t="shared" si="7"/>
        <v xml:space="preserve"> </v>
      </c>
      <c r="J24" s="544" t="str">
        <f t="shared" si="8"/>
        <v/>
      </c>
      <c r="K24" s="544"/>
      <c r="L24" s="544"/>
      <c r="M24" s="544"/>
      <c r="N24" s="544"/>
      <c r="O24" s="544"/>
      <c r="P24" s="544"/>
    </row>
    <row r="25" spans="1:16" ht="12.6" customHeight="1" thickBot="1" x14ac:dyDescent="0.35">
      <c r="A25" s="523"/>
      <c r="B25" s="1101"/>
      <c r="C25" s="599" t="str">
        <f>IFERROR(IF(VLOOKUP(D25,TURNOS_SERVICIOS,2,FALSE)=0,"-",VLOOKUP(D25,TURNOS_SERVICIOS,2,FALSE)),"-")</f>
        <v>SGTO 2DO. HERNANDEZ CRUCES DIEGO ESTEBAN              (T - P- S)</v>
      </c>
      <c r="D25" s="538" t="s">
        <v>702</v>
      </c>
      <c r="E25" s="552">
        <f>IF(OR(J25="F",J25="FER."),0,COUNTIFS(BD_PRINCIPAL[DOTACIÓN ACTUAL],D25,BD_PRINCIPAL[ESC.],"PNS O/S")+COUNTIFS(BD_PRINCIPAL[DOTACIÓN ACTUAL],"JEFE/"&amp;D25,BD_PRINCIPAL[ESC.],"PNS O/S")+COUNTIF(BD_PRINCIPAL[DOTACIÓN ACTUAL],0))</f>
        <v>0</v>
      </c>
      <c r="F25" s="552">
        <f>IF(OR(J25="F",J25="FER."),0,COUNTIFS(BD_PRINCIPAL[DOTACIÓN ACTUAL],D25,BD_PRINCIPAL[ESC.],"PNI O/S")+COUNTIFS(BD_PRINCIPAL[DOTACIÓN ACTUAL],"JEFE/"&amp;D25,BD_PRINCIPAL[ESC.],"PNI O/S")+COUNTIF(BD_PRINCIPAL[DOTACIÓN ACTUAL],VLOOKUP(D25,ENCUADRE_PTR,2,0)))</f>
        <v>5</v>
      </c>
      <c r="G25" s="1079"/>
      <c r="H25" s="551" t="str">
        <f t="shared" si="6"/>
        <v>20:00 A 08:00</v>
      </c>
      <c r="I25" s="555" t="str">
        <f>IFERROR(IF(VLOOKUP(D25,TURNOS_SERVICIOS,4,FALSE)=0,"-",VLOOKUP(D25,TURNOS_SERVICIOS,4,FALSE)),"-")&amp;" "&amp;IFERROR(IF(VLOOKUP(D25,TURNOS_SERVICIOS,5,FALSE)=0,"-",VLOOKUP(D25,TURNOS_SERVICIOS,5,FALSE)),"-")</f>
        <v>2P MONUMENTO / BAQUEDANO</v>
      </c>
      <c r="J25" s="544" t="str">
        <f>IFERROR(IF(VLOOKUP(D25,TURNOS_SERVICIOS,4,FALSE)=0,"-",VLOOKUP(D25,TURNOS_SERVICIOS,4,FALSE)),"-")</f>
        <v>2P</v>
      </c>
      <c r="K25" s="544"/>
      <c r="L25" s="544"/>
      <c r="M25" s="544"/>
      <c r="N25" s="544"/>
      <c r="O25" s="544"/>
      <c r="P25" s="544"/>
    </row>
    <row r="26" spans="1:16" ht="12.6" customHeight="1" thickBot="1" x14ac:dyDescent="0.35">
      <c r="A26" s="523"/>
      <c r="B26" s="1101"/>
      <c r="C26" s="599" t="str">
        <f t="shared" si="5"/>
        <v>-</v>
      </c>
      <c r="D26" s="538" t="s">
        <v>1239</v>
      </c>
      <c r="E26" s="552">
        <f>IF(OR(J26="F",J26="FER."),0,COUNTIFS(BD_PRINCIPAL[DOTACIÓN ACTUAL],D26,BD_PRINCIPAL[ESC.],"PNS O/S")+COUNTIFS(BD_PRINCIPAL[DOTACIÓN ACTUAL],"JEFE/"&amp;D26,BD_PRINCIPAL[ESC.],"PNS O/S")+COUNTIF(BD_PRINCIPAL[DOTACIÓN ACTUAL],0))</f>
        <v>0</v>
      </c>
      <c r="F26" s="552">
        <f>IF(OR(J26="F",J26="FER."),0,COUNTIFS(BD_PRINCIPAL[DOTACIÓN ACTUAL],D26,BD_PRINCIPAL[ESC.],"PNI O/S")+COUNTIFS(BD_PRINCIPAL[DOTACIÓN ACTUAL],"JEFE/"&amp;D26,BD_PRINCIPAL[ESC.],"PNI O/S")+COUNTIF(BD_PRINCIPAL[DOTACIÓN ACTUAL],VLOOKUP(D26,ENCUADRE_PTR,2,0)))</f>
        <v>0</v>
      </c>
      <c r="G26" s="1079"/>
      <c r="H26" s="551" t="str">
        <f t="shared" si="6"/>
        <v>-</v>
      </c>
      <c r="I26" s="555" t="str">
        <f t="shared" si="7"/>
        <v xml:space="preserve"> </v>
      </c>
      <c r="J26" s="544" t="str">
        <f t="shared" si="8"/>
        <v/>
      </c>
      <c r="K26" s="544"/>
      <c r="L26" s="544"/>
      <c r="M26" s="544"/>
      <c r="N26" s="544"/>
      <c r="O26" s="544"/>
      <c r="P26" s="544"/>
    </row>
    <row r="27" spans="1:16" s="546" customFormat="1" ht="12.6" customHeight="1" thickBot="1" x14ac:dyDescent="0.35">
      <c r="A27" s="523"/>
      <c r="B27" s="1101"/>
      <c r="C27" s="599" t="str">
        <f>IFERROR(IF(VLOOKUP(D27,TURNOS_SERVICIOS,2,FALSE)=0,"-",VLOOKUP(D27,TURNOS_SERVICIOS,2,FALSE)),"-")</f>
        <v>SUBOFICIAL BRAVO VALDERRAMA OSCAR MAURICIO</v>
      </c>
      <c r="D27" s="538" t="s">
        <v>742</v>
      </c>
      <c r="E27" s="552">
        <f>IF(OR(J27="F",J27="FER."),0,COUNTIFS(BD_PRINCIPAL[DOTACIÓN ACTUAL],D27,BD_PRINCIPAL[ESC.],"PNS O/S")+COUNTIFS(BD_PRINCIPAL[DOTACIÓN ACTUAL],"JEFE/"&amp;D27,BD_PRINCIPAL[ESC.],"PNS O/S")+COUNTIF(BD_PRINCIPAL[DOTACIÓN ACTUAL],0))</f>
        <v>0</v>
      </c>
      <c r="F27" s="552">
        <f>IF(OR(J27="F",J27="FER."),0,COUNTIFS(BD_PRINCIPAL[DOTACIÓN ACTUAL],D27,BD_PRINCIPAL[ESC.],"PNI O/S")+COUNTIFS(BD_PRINCIPAL[DOTACIÓN ACTUAL],"JEFE/"&amp;D27,BD_PRINCIPAL[ESC.],"PNI O/S")+COUNTIF(BD_PRINCIPAL[DOTACIÓN ACTUAL],VLOOKUP(D27,ENCUADRE_PTR,2,0)))</f>
        <v>8</v>
      </c>
      <c r="G27" s="1079"/>
      <c r="H27" s="551" t="str">
        <f t="shared" si="6"/>
        <v>20:00 A 08:00</v>
      </c>
      <c r="I27" s="555" t="str">
        <f>IFERROR(IF(VLOOKUP(D27,TURNOS_SERVICIOS,4,FALSE)=0,"-",VLOOKUP(D27,TURNOS_SERVICIOS,4,FALSE)),"-")&amp;" "&amp;IFERROR(IF(VLOOKUP(D27,TURNOS_SERVICIOS,5,FALSE)=0,"-",VLOOKUP(D27,TURNOS_SERVICIOS,5,FALSE)),"-")</f>
        <v>3T APS</v>
      </c>
      <c r="J27" s="544" t="str">
        <f>IFERROR(IF(VLOOKUP(D27,TURNOS_SERVICIOS,4,FALSE)=0,"-",VLOOKUP(D27,TURNOS_SERVICIOS,4,FALSE)),"-")</f>
        <v>3T</v>
      </c>
      <c r="K27" s="544"/>
      <c r="L27" s="544"/>
      <c r="M27" s="544"/>
      <c r="N27" s="544"/>
      <c r="O27" s="544"/>
      <c r="P27" s="544"/>
    </row>
    <row r="28" spans="1:16" s="546" customFormat="1" ht="12.6" customHeight="1" thickBot="1" x14ac:dyDescent="0.35">
      <c r="A28" s="523"/>
      <c r="B28" s="1102"/>
      <c r="C28" s="601" t="str">
        <f t="shared" si="5"/>
        <v>-</v>
      </c>
      <c r="D28" s="539" t="s">
        <v>1240</v>
      </c>
      <c r="E28" s="552">
        <f>IF(OR(J28="F",J28="FER."),0,COUNTIFS(BD_PRINCIPAL[DOTACIÓN ACTUAL],D28,BD_PRINCIPAL[ESC.],"PNS O/S")+COUNTIFS(BD_PRINCIPAL[DOTACIÓN ACTUAL],"JEFE/"&amp;D28,BD_PRINCIPAL[ESC.],"PNS O/S")+COUNTIF(BD_PRINCIPAL[DOTACIÓN ACTUAL],0))</f>
        <v>0</v>
      </c>
      <c r="F28" s="552">
        <f>IF(OR(J28="F",J28="FER."),0,COUNTIFS(BD_PRINCIPAL[DOTACIÓN ACTUAL],D28,BD_PRINCIPAL[ESC.],"PNI O/S")+COUNTIFS(BD_PRINCIPAL[DOTACIÓN ACTUAL],"JEFE/"&amp;D28,BD_PRINCIPAL[ESC.],"PNI O/S")+COUNTIF(BD_PRINCIPAL[DOTACIÓN ACTUAL],VLOOKUP(D28,ENCUADRE_PTR,2,0)))</f>
        <v>0</v>
      </c>
      <c r="G28" s="1080"/>
      <c r="H28" s="557" t="str">
        <f t="shared" si="6"/>
        <v>-</v>
      </c>
      <c r="I28" s="558" t="str">
        <f t="shared" si="7"/>
        <v xml:space="preserve"> </v>
      </c>
      <c r="J28" s="544" t="str">
        <f t="shared" si="8"/>
        <v/>
      </c>
      <c r="K28" s="544"/>
      <c r="L28" s="544"/>
      <c r="M28" s="544"/>
      <c r="N28" s="544"/>
      <c r="O28" s="544"/>
      <c r="P28" s="544"/>
    </row>
    <row r="29" spans="1:16" s="547" customFormat="1" ht="12.6" customHeight="1" thickBot="1" x14ac:dyDescent="0.35">
      <c r="A29" s="523"/>
      <c r="B29" s="1100" t="s">
        <v>846</v>
      </c>
      <c r="C29" s="600" t="str">
        <f t="shared" si="5"/>
        <v>TENIENTE PALAVECINO LLANOS CAROLINA VIVIANA</v>
      </c>
      <c r="D29" s="537" t="s">
        <v>242</v>
      </c>
      <c r="E29" s="552">
        <f>IF(OR(J29="F",J29="FER."),0,COUNTIFS(BD_PRINCIPAL[DOTACIÓN ACTUAL],D29,BD_PRINCIPAL[ESC.],"PNS O/S")+COUNTIFS(BD_PRINCIPAL[DOTACIÓN ACTUAL],"JEFE/"&amp;D29,BD_PRINCIPAL[ESC.],"PNS O/S")+COUNTIF(BD_PRINCIPAL[DOTACIÓN ACTUAL],0))</f>
        <v>1</v>
      </c>
      <c r="F29" s="552">
        <f>IF(OR(J29="F",J29="FER."),0,COUNTIFS(BD_PRINCIPAL[DOTACIÓN ACTUAL],D29,BD_PRINCIPAL[ESC.],"PNI O/S")+COUNTIFS(BD_PRINCIPAL[DOTACIÓN ACTUAL],"JEFE/"&amp;D29,BD_PRINCIPAL[ESC.],"PNI O/S")+COUNTIF(BD_PRINCIPAL[DOTACIÓN ACTUAL],VLOOKUP(D29,ENCUADRE_PTR,2,0)))</f>
        <v>2</v>
      </c>
      <c r="G29" s="1078">
        <f>SUM(E29:F35)</f>
        <v>26</v>
      </c>
      <c r="H29" s="553" t="str">
        <f t="shared" si="6"/>
        <v xml:space="preserve">  A  </v>
      </c>
      <c r="I29" s="554" t="str">
        <f t="shared" si="7"/>
        <v>SN SALIENTE DE SERVICIO</v>
      </c>
      <c r="J29" s="544" t="str">
        <f t="shared" si="8"/>
        <v>SN</v>
      </c>
      <c r="K29" s="544"/>
      <c r="L29" s="544"/>
      <c r="M29" s="544"/>
      <c r="N29" s="544"/>
      <c r="O29" s="544"/>
      <c r="P29" s="544"/>
    </row>
    <row r="30" spans="1:16" ht="12.6" customHeight="1" thickBot="1" x14ac:dyDescent="0.35">
      <c r="A30" s="523"/>
      <c r="B30" s="1101"/>
      <c r="C30" s="599" t="str">
        <f>IFERROR(IF(VLOOKUP(D30,TURNOS_SERVICIOS,2,FALSE)=0,"-",VLOOKUP(D30,TURNOS_SERVICIOS,2,FALSE)),"-")</f>
        <v>SGTO 1RO. ZEPEDA SANTOS ALEX ALEJANDRO</v>
      </c>
      <c r="D30" s="538" t="s">
        <v>712</v>
      </c>
      <c r="E30" s="552">
        <f>IF(OR(J30="F",J30="FER."),0,COUNTIFS(BD_PRINCIPAL[DOTACIÓN ACTUAL],D30,BD_PRINCIPAL[ESC.],"PNS O/S")+COUNTIFS(BD_PRINCIPAL[DOTACIÓN ACTUAL],"JEFE/"&amp;D30,BD_PRINCIPAL[ESC.],"PNS O/S")+COUNTIF(BD_PRINCIPAL[DOTACIÓN ACTUAL],0))</f>
        <v>0</v>
      </c>
      <c r="F30" s="552">
        <f>IF(OR(J30="F",J30="FER."),0,COUNTIFS(BD_PRINCIPAL[DOTACIÓN ACTUAL],D30,BD_PRINCIPAL[ESC.],"PNI O/S")+COUNTIFS(BD_PRINCIPAL[DOTACIÓN ACTUAL],"JEFE/"&amp;D30,BD_PRINCIPAL[ESC.],"PNI O/S")+COUNTIF(BD_PRINCIPAL[DOTACIÓN ACTUAL],VLOOKUP(D30,ENCUADRE_PTR,2,0)))</f>
        <v>8</v>
      </c>
      <c r="G30" s="1079"/>
      <c r="H30" s="551" t="str">
        <f t="shared" si="6"/>
        <v xml:space="preserve">  A  </v>
      </c>
      <c r="I30" s="555" t="str">
        <f>IFERROR(IF(VLOOKUP(D30,TURNOS_SERVICIOS,4,FALSE)=0,"-",VLOOKUP(D30,TURNOS_SERVICIOS,4,FALSE)),"-")&amp;" "&amp;IFERROR(IF(VLOOKUP(D30,TURNOS_SERVICIOS,5,FALSE)=0,"-",VLOOKUP(D30,TURNOS_SERVICIOS,5,FALSE)),"-")</f>
        <v>SN SALIENTE SERVICIO</v>
      </c>
      <c r="J30" s="544" t="str">
        <f>IFERROR(IF(VLOOKUP(D30,TURNOS_SERVICIOS,4,FALSE)=0,"-",VLOOKUP(D30,TURNOS_SERVICIOS,4,FALSE)),"-")</f>
        <v>SN</v>
      </c>
      <c r="K30" s="544"/>
      <c r="L30" s="544"/>
      <c r="M30" s="544"/>
      <c r="N30" s="544"/>
      <c r="O30" s="544"/>
      <c r="P30" s="544"/>
    </row>
    <row r="31" spans="1:16" ht="12.6" customHeight="1" thickBot="1" x14ac:dyDescent="0.35">
      <c r="A31" s="523"/>
      <c r="B31" s="1101"/>
      <c r="C31" s="599" t="str">
        <f t="shared" si="5"/>
        <v>-</v>
      </c>
      <c r="D31" s="538" t="s">
        <v>1241</v>
      </c>
      <c r="E31" s="552">
        <f>IF(OR(J31="F",J31="FER."),0,COUNTIFS(BD_PRINCIPAL[DOTACIÓN ACTUAL],D31,BD_PRINCIPAL[ESC.],"PNS O/S")+COUNTIFS(BD_PRINCIPAL[DOTACIÓN ACTUAL],"JEFE/"&amp;D31,BD_PRINCIPAL[ESC.],"PNS O/S")+COUNTIF(BD_PRINCIPAL[DOTACIÓN ACTUAL],0))</f>
        <v>0</v>
      </c>
      <c r="F31" s="552">
        <f>IF(OR(J31="F",J31="FER."),0,COUNTIFS(BD_PRINCIPAL[DOTACIÓN ACTUAL],D31,BD_PRINCIPAL[ESC.],"PNI O/S")+COUNTIFS(BD_PRINCIPAL[DOTACIÓN ACTUAL],"JEFE/"&amp;D31,BD_PRINCIPAL[ESC.],"PNI O/S")+COUNTIF(BD_PRINCIPAL[DOTACIÓN ACTUAL],VLOOKUP(D31,ENCUADRE_PTR,2,0)))</f>
        <v>0</v>
      </c>
      <c r="G31" s="1079"/>
      <c r="H31" s="551" t="str">
        <f t="shared" si="6"/>
        <v>-</v>
      </c>
      <c r="I31" s="555" t="str">
        <f t="shared" si="7"/>
        <v xml:space="preserve"> </v>
      </c>
      <c r="J31" s="544" t="str">
        <f t="shared" si="8"/>
        <v/>
      </c>
      <c r="K31" s="544"/>
      <c r="L31" s="544"/>
      <c r="M31" s="544"/>
      <c r="N31" s="544"/>
      <c r="O31" s="544"/>
      <c r="P31" s="544"/>
    </row>
    <row r="32" spans="1:16" ht="12.6" customHeight="1" thickBot="1" x14ac:dyDescent="0.35">
      <c r="A32" s="523"/>
      <c r="B32" s="1101"/>
      <c r="C32" s="599" t="str">
        <f>IFERROR(IF(VLOOKUP(D32,TURNOS_SERVICIOS,2,FALSE)=0,"-",VLOOKUP(D32,TURNOS_SERVICIOS,2,FALSE)),"-")</f>
        <v>SGTO 1RO. MORALES LEVIO MARCO ANTONIO</v>
      </c>
      <c r="D32" s="538" t="s">
        <v>701</v>
      </c>
      <c r="E32" s="552">
        <f>IF(OR(J32="F",J32="FER."),0,COUNTIFS(BD_PRINCIPAL[DOTACIÓN ACTUAL],D32,BD_PRINCIPAL[ESC.],"PNS O/S")+COUNTIFS(BD_PRINCIPAL[DOTACIÓN ACTUAL],"JEFE/"&amp;D32,BD_PRINCIPAL[ESC.],"PNS O/S")+COUNTIF(BD_PRINCIPAL[DOTACIÓN ACTUAL],0))</f>
        <v>0</v>
      </c>
      <c r="F32" s="552">
        <f>IF(OR(J32="F",J32="FER."),0,COUNTIFS(BD_PRINCIPAL[DOTACIÓN ACTUAL],D32,BD_PRINCIPAL[ESC.],"PNI O/S")+COUNTIFS(BD_PRINCIPAL[DOTACIÓN ACTUAL],"JEFE/"&amp;D32,BD_PRINCIPAL[ESC.],"PNI O/S")+COUNTIF(BD_PRINCIPAL[DOTACIÓN ACTUAL],VLOOKUP(D32,ENCUADRE_PTR,2,0)))</f>
        <v>8</v>
      </c>
      <c r="G32" s="1079"/>
      <c r="H32" s="551" t="str">
        <f t="shared" si="6"/>
        <v xml:space="preserve">00:00 A  </v>
      </c>
      <c r="I32" s="555" t="str">
        <f>IFERROR(IF(VLOOKUP(D32,TURNOS_SERVICIOS,4,FALSE)=0,"-",VLOOKUP(D32,TURNOS_SERVICIOS,4,FALSE)),"-")&amp;" "&amp;IFERROR(IF(VLOOKUP(D32,TURNOS_SERVICIOS,5,FALSE)=0,"-",VLOOKUP(D32,TURNOS_SERVICIOS,5,FALSE)),"-")</f>
        <v>SN SALIENTE SERVICIO</v>
      </c>
      <c r="J32" s="544" t="str">
        <f>IFERROR(IF(VLOOKUP(D32,TURNOS_SERVICIOS,4,FALSE)=0,"-",VLOOKUP(D32,TURNOS_SERVICIOS,4,FALSE)),"-")</f>
        <v>SN</v>
      </c>
      <c r="K32" s="544"/>
      <c r="L32" s="544"/>
      <c r="M32" s="544"/>
      <c r="N32" s="544"/>
      <c r="O32" s="544"/>
      <c r="P32" s="544"/>
    </row>
    <row r="33" spans="1:16" ht="12.6" customHeight="1" thickBot="1" x14ac:dyDescent="0.35">
      <c r="A33" s="523"/>
      <c r="B33" s="1101"/>
      <c r="C33" s="599" t="str">
        <f t="shared" si="5"/>
        <v>-</v>
      </c>
      <c r="D33" s="538" t="s">
        <v>1242</v>
      </c>
      <c r="E33" s="552">
        <f>IF(OR(J33="F",J33="FER."),0,COUNTIFS(BD_PRINCIPAL[DOTACIÓN ACTUAL],D33,BD_PRINCIPAL[ESC.],"PNS O/S")+COUNTIFS(BD_PRINCIPAL[DOTACIÓN ACTUAL],"JEFE/"&amp;D33,BD_PRINCIPAL[ESC.],"PNS O/S")+COUNTIF(BD_PRINCIPAL[DOTACIÓN ACTUAL],0))</f>
        <v>0</v>
      </c>
      <c r="F33" s="552">
        <f>IF(OR(J33="F",J33="FER."),0,COUNTIFS(BD_PRINCIPAL[DOTACIÓN ACTUAL],D33,BD_PRINCIPAL[ESC.],"PNI O/S")+COUNTIFS(BD_PRINCIPAL[DOTACIÓN ACTUAL],"JEFE/"&amp;D33,BD_PRINCIPAL[ESC.],"PNI O/S")+COUNTIF(BD_PRINCIPAL[DOTACIÓN ACTUAL],VLOOKUP(D33,ENCUADRE_PTR,2,0)))</f>
        <v>0</v>
      </c>
      <c r="G33" s="1079"/>
      <c r="H33" s="551" t="str">
        <f t="shared" si="6"/>
        <v>-</v>
      </c>
      <c r="I33" s="555" t="str">
        <f t="shared" si="7"/>
        <v xml:space="preserve"> </v>
      </c>
      <c r="J33" s="544" t="str">
        <f t="shared" si="8"/>
        <v/>
      </c>
      <c r="K33" s="544"/>
      <c r="L33" s="544"/>
      <c r="M33" s="544"/>
      <c r="N33" s="544"/>
      <c r="O33" s="544"/>
      <c r="P33" s="544"/>
    </row>
    <row r="34" spans="1:16" s="546" customFormat="1" ht="12.6" customHeight="1" thickBot="1" x14ac:dyDescent="0.35">
      <c r="A34" s="523"/>
      <c r="B34" s="1101"/>
      <c r="C34" s="599" t="str">
        <f>IFERROR(IF(VLOOKUP(D34,TURNOS_SERVICIOS,2,FALSE)=0,"-",VLOOKUP(D34,TURNOS_SERVICIOS,2,FALSE)),"-")</f>
        <v>SUBOFICIAL GATICA NAVARRETE ROBERTO FELIPE</v>
      </c>
      <c r="D34" s="538" t="s">
        <v>704</v>
      </c>
      <c r="E34" s="552">
        <f>IF(OR(J34="F",J34="FER."),0,COUNTIFS(BD_PRINCIPAL[DOTACIÓN ACTUAL],D34,BD_PRINCIPAL[ESC.],"PNS O/S")+COUNTIFS(BD_PRINCIPAL[DOTACIÓN ACTUAL],"JEFE/"&amp;D34,BD_PRINCIPAL[ESC.],"PNS O/S")+COUNTIF(BD_PRINCIPAL[DOTACIÓN ACTUAL],0))</f>
        <v>0</v>
      </c>
      <c r="F34" s="552">
        <f>IF(OR(J34="F",J34="FER."),0,COUNTIFS(BD_PRINCIPAL[DOTACIÓN ACTUAL],D34,BD_PRINCIPAL[ESC.],"PNI O/S")+COUNTIFS(BD_PRINCIPAL[DOTACIÓN ACTUAL],"JEFE/"&amp;D34,BD_PRINCIPAL[ESC.],"PNI O/S")+COUNTIF(BD_PRINCIPAL[DOTACIÓN ACTUAL],VLOOKUP(D34,ENCUADRE_PTR,2,0)))</f>
        <v>7</v>
      </c>
      <c r="G34" s="1079"/>
      <c r="H34" s="551" t="str">
        <f t="shared" si="6"/>
        <v xml:space="preserve">  A  </v>
      </c>
      <c r="I34" s="555" t="str">
        <f>IFERROR(IF(VLOOKUP(D34,TURNOS_SERVICIOS,4,FALSE)=0,"-",VLOOKUP(D34,TURNOS_SERVICIOS,4,FALSE)),"-")&amp;" "&amp;IFERROR(IF(VLOOKUP(D34,TURNOS_SERVICIOS,5,FALSE)=0,"-",VLOOKUP(D34,TURNOS_SERVICIOS,5,FALSE)),"-")</f>
        <v>SN SALIENTE SERVICIO</v>
      </c>
      <c r="J34" s="544" t="str">
        <f>IFERROR(IF(VLOOKUP(D34,TURNOS_SERVICIOS,4,FALSE)=0,"-",VLOOKUP(D34,TURNOS_SERVICIOS,4,FALSE)),"-")</f>
        <v>SN</v>
      </c>
      <c r="K34" s="544"/>
      <c r="L34" s="544"/>
      <c r="M34" s="544"/>
      <c r="N34" s="544"/>
      <c r="O34" s="544"/>
      <c r="P34" s="544"/>
    </row>
    <row r="35" spans="1:16" s="546" customFormat="1" ht="12.6" customHeight="1" thickBot="1" x14ac:dyDescent="0.35">
      <c r="A35" s="523"/>
      <c r="B35" s="1102"/>
      <c r="C35" s="601" t="str">
        <f t="shared" si="5"/>
        <v>-</v>
      </c>
      <c r="D35" s="539" t="s">
        <v>1243</v>
      </c>
      <c r="E35" s="552">
        <f>IF(OR(J35="F",J35="FER."),0,COUNTIFS(BD_PRINCIPAL[DOTACIÓN ACTUAL],D35,BD_PRINCIPAL[ESC.],"PNS O/S")+COUNTIFS(BD_PRINCIPAL[DOTACIÓN ACTUAL],"JEFE/"&amp;D35,BD_PRINCIPAL[ESC.],"PNS O/S")+COUNTIF(BD_PRINCIPAL[DOTACIÓN ACTUAL],0))</f>
        <v>0</v>
      </c>
      <c r="F35" s="552">
        <f>IF(OR(J35="F",J35="FER."),0,COUNTIFS(BD_PRINCIPAL[DOTACIÓN ACTUAL],D35,BD_PRINCIPAL[ESC.],"PNI O/S")+COUNTIFS(BD_PRINCIPAL[DOTACIÓN ACTUAL],"JEFE/"&amp;D35,BD_PRINCIPAL[ESC.],"PNI O/S")+COUNTIF(BD_PRINCIPAL[DOTACIÓN ACTUAL],VLOOKUP(D35,ENCUADRE_PTR,2,0)))</f>
        <v>0</v>
      </c>
      <c r="G35" s="1080"/>
      <c r="H35" s="557" t="str">
        <f t="shared" si="6"/>
        <v>-</v>
      </c>
      <c r="I35" s="558" t="str">
        <f t="shared" si="7"/>
        <v xml:space="preserve"> </v>
      </c>
      <c r="J35" s="544" t="str">
        <f t="shared" si="8"/>
        <v/>
      </c>
      <c r="K35" s="544"/>
      <c r="L35" s="544"/>
      <c r="M35" s="544"/>
      <c r="N35" s="544"/>
      <c r="O35" s="544"/>
      <c r="P35" s="544"/>
    </row>
    <row r="36" spans="1:16" ht="12.6" customHeight="1" thickBot="1" x14ac:dyDescent="0.35">
      <c r="A36" s="523"/>
      <c r="B36" s="1100" t="s">
        <v>847</v>
      </c>
      <c r="C36" s="600" t="str">
        <f t="shared" si="5"/>
        <v>-</v>
      </c>
      <c r="D36" s="537" t="s">
        <v>199</v>
      </c>
      <c r="E36" s="552">
        <f>IF(OR(J36="F",J36="FER."),0,COUNTIFS(BD_PRINCIPAL[DOTACIÓN ACTUAL],D36,BD_PRINCIPAL[ESC.],"PNS O/S")+COUNTIFS(BD_PRINCIPAL[DOTACIÓN ACTUAL],"JEFE/"&amp;D36,BD_PRINCIPAL[ESC.],"PNS O/S")+COUNTIF(BD_PRINCIPAL[DOTACIÓN ACTUAL],0))</f>
        <v>0</v>
      </c>
      <c r="F36" s="552">
        <f>IF(OR(J36="F",J36="FER."),0,COUNTIFS(BD_PRINCIPAL[DOTACIÓN ACTUAL],D36,BD_PRINCIPAL[ESC.],"PNI O/S")+COUNTIFS(BD_PRINCIPAL[DOTACIÓN ACTUAL],"JEFE/"&amp;D36,BD_PRINCIPAL[ESC.],"PNI O/S")+COUNTIF(BD_PRINCIPAL[DOTACIÓN ACTUAL],VLOOKUP(D36,ENCUADRE_PTR,2,0)))</f>
        <v>0</v>
      </c>
      <c r="G36" s="1078">
        <f>SUM(E36:F42)</f>
        <v>26</v>
      </c>
      <c r="H36" s="553" t="str">
        <f t="shared" si="6"/>
        <v>-</v>
      </c>
      <c r="I36" s="554" t="str">
        <f t="shared" si="7"/>
        <v xml:space="preserve"> </v>
      </c>
      <c r="J36" s="544" t="str">
        <f t="shared" si="8"/>
        <v/>
      </c>
      <c r="K36" s="544"/>
      <c r="L36" s="544"/>
      <c r="M36" s="544"/>
      <c r="N36" s="544"/>
      <c r="O36" s="544"/>
      <c r="P36" s="544"/>
    </row>
    <row r="37" spans="1:16" ht="12.6" customHeight="1" thickBot="1" x14ac:dyDescent="0.35">
      <c r="A37" s="523"/>
      <c r="B37" s="1101"/>
      <c r="C37" s="599" t="str">
        <f>IFERROR(IF(VLOOKUP(D37,TURNOS_SERVICIOS,2,FALSE)=0,"-",VLOOKUP(D37,TURNOS_SERVICIOS,2,FALSE)),"-")</f>
        <v>SGTO 1RO. JARA ELGUETA JUAN</v>
      </c>
      <c r="D37" s="538" t="s">
        <v>750</v>
      </c>
      <c r="E37" s="552">
        <f>IF(OR(J37="F",J37="FER."),0,COUNTIFS(BD_PRINCIPAL[DOTACIÓN ACTUAL],D37,BD_PRINCIPAL[ESC.],"PNS O/S")+COUNTIFS(BD_PRINCIPAL[DOTACIÓN ACTUAL],"JEFE/"&amp;D37,BD_PRINCIPAL[ESC.],"PNS O/S")+COUNTIF(BD_PRINCIPAL[DOTACIÓN ACTUAL],0))</f>
        <v>0</v>
      </c>
      <c r="F37" s="552">
        <f>IF(OR(J37="F",J37="FER."),0,COUNTIFS(BD_PRINCIPAL[DOTACIÓN ACTUAL],D37,BD_PRINCIPAL[ESC.],"PNI O/S")+COUNTIFS(BD_PRINCIPAL[DOTACIÓN ACTUAL],"JEFE/"&amp;D37,BD_PRINCIPAL[ESC.],"PNI O/S")+COUNTIF(BD_PRINCIPAL[DOTACIÓN ACTUAL],VLOOKUP(D37,ENCUADRE_PTR,2,0)))</f>
        <v>11</v>
      </c>
      <c r="G37" s="1079"/>
      <c r="H37" s="551" t="str">
        <f t="shared" si="6"/>
        <v>08:00 A NORM.</v>
      </c>
      <c r="I37" s="555" t="str">
        <f>IFERROR(IF(VLOOKUP(D37,TURNOS_SERVICIOS,4,FALSE)=0,"-",VLOOKUP(D37,TURNOS_SERVICIOS,4,FALSE)),"-")&amp;" "&amp;IFERROR(IF(VLOOKUP(D37,TURNOS_SERVICIOS,5,FALSE)=0,"-",VLOOKUP(D37,TURNOS_SERVICIOS,5,FALSE)),"-")</f>
        <v>1P ARIETE 22</v>
      </c>
      <c r="J37" s="544" t="str">
        <f>IFERROR(IF(VLOOKUP(D37,TURNOS_SERVICIOS,4,FALSE)=0,"-",VLOOKUP(D37,TURNOS_SERVICIOS,4,FALSE)),"-")</f>
        <v>1P</v>
      </c>
      <c r="K37" s="544"/>
      <c r="L37" s="544"/>
      <c r="M37" s="544"/>
      <c r="N37" s="544"/>
      <c r="O37" s="544"/>
      <c r="P37" s="544"/>
    </row>
    <row r="38" spans="1:16" ht="12.6" customHeight="1" thickBot="1" x14ac:dyDescent="0.35">
      <c r="A38" s="523"/>
      <c r="B38" s="1101"/>
      <c r="C38" s="599" t="str">
        <f t="shared" si="5"/>
        <v>-</v>
      </c>
      <c r="D38" s="538" t="s">
        <v>1244</v>
      </c>
      <c r="E38" s="552">
        <f>IF(OR(J38="F",J38="FER."),0,COUNTIFS(BD_PRINCIPAL[DOTACIÓN ACTUAL],D38,BD_PRINCIPAL[ESC.],"PNS O/S")+COUNTIFS(BD_PRINCIPAL[DOTACIÓN ACTUAL],"JEFE/"&amp;D38,BD_PRINCIPAL[ESC.],"PNS O/S")+COUNTIF(BD_PRINCIPAL[DOTACIÓN ACTUAL],0))</f>
        <v>0</v>
      </c>
      <c r="F38" s="552">
        <f>IF(OR(J38="F",J38="FER."),0,COUNTIFS(BD_PRINCIPAL[DOTACIÓN ACTUAL],D38,BD_PRINCIPAL[ESC.],"PNI O/S")+COUNTIFS(BD_PRINCIPAL[DOTACIÓN ACTUAL],"JEFE/"&amp;D38,BD_PRINCIPAL[ESC.],"PNI O/S")+COUNTIF(BD_PRINCIPAL[DOTACIÓN ACTUAL],VLOOKUP(D38,ENCUADRE_PTR,2,0)))</f>
        <v>0</v>
      </c>
      <c r="G38" s="1079"/>
      <c r="H38" s="551" t="str">
        <f t="shared" si="6"/>
        <v xml:space="preserve">  A  </v>
      </c>
      <c r="I38" s="555" t="str">
        <f t="shared" si="7"/>
        <v xml:space="preserve"> </v>
      </c>
      <c r="J38" s="544" t="str">
        <f t="shared" si="8"/>
        <v/>
      </c>
      <c r="K38" s="544"/>
      <c r="L38" s="544"/>
      <c r="M38" s="544"/>
      <c r="N38" s="544"/>
      <c r="O38" s="544"/>
      <c r="P38" s="544"/>
    </row>
    <row r="39" spans="1:16" ht="12.6" customHeight="1" thickBot="1" x14ac:dyDescent="0.35">
      <c r="A39" s="523"/>
      <c r="B39" s="1101"/>
      <c r="C39" s="599" t="str">
        <f>IFERROR(IF(VLOOKUP(D39,TURNOS_SERVICIOS,2,FALSE)=0,"-",VLOOKUP(D39,TURNOS_SERVICIOS,2,FALSE)),"-")</f>
        <v>SUBOFICIAL VALENZUELA AGUILERA ENZO ANTONIO</v>
      </c>
      <c r="D39" s="538" t="s">
        <v>715</v>
      </c>
      <c r="E39" s="552">
        <f>IF(OR(J39="F",J39="FER."),0,COUNTIFS(BD_PRINCIPAL[DOTACIÓN ACTUAL],D39,BD_PRINCIPAL[ESC.],"PNS O/S")+COUNTIFS(BD_PRINCIPAL[DOTACIÓN ACTUAL],"JEFE/"&amp;D39,BD_PRINCIPAL[ESC.],"PNS O/S")+COUNTIF(BD_PRINCIPAL[DOTACIÓN ACTUAL],0))</f>
        <v>0</v>
      </c>
      <c r="F39" s="552">
        <f>IF(OR(J39="F",J39="FER."),0,COUNTIFS(BD_PRINCIPAL[DOTACIÓN ACTUAL],D39,BD_PRINCIPAL[ESC.],"PNI O/S")+COUNTIFS(BD_PRINCIPAL[DOTACIÓN ACTUAL],"JEFE/"&amp;D39,BD_PRINCIPAL[ESC.],"PNI O/S")+COUNTIF(BD_PRINCIPAL[DOTACIÓN ACTUAL],VLOOKUP(D39,ENCUADRE_PTR,2,0)))</f>
        <v>8</v>
      </c>
      <c r="G39" s="1079"/>
      <c r="H39" s="551" t="str">
        <f t="shared" si="6"/>
        <v>08:00 A NORM.</v>
      </c>
      <c r="I39" s="555" t="str">
        <f>IFERROR(IF(VLOOKUP(D39,TURNOS_SERVICIOS,4,FALSE)=0,"-",VLOOKUP(D39,TURNOS_SERVICIOS,4,FALSE)),"-")&amp;" "&amp;IFERROR(IF(VLOOKUP(D39,TURNOS_SERVICIOS,5,FALSE)=0,"-",VLOOKUP(D39,TURNOS_SERVICIOS,5,FALSE)),"-")</f>
        <v>1P ARIETE 22</v>
      </c>
      <c r="J39" s="544" t="str">
        <f>IFERROR(IF(VLOOKUP(D39,TURNOS_SERVICIOS,4,FALSE)=0,"-",VLOOKUP(D39,TURNOS_SERVICIOS,4,FALSE)),"-")</f>
        <v>1P</v>
      </c>
      <c r="K39" s="544"/>
      <c r="L39" s="544"/>
      <c r="M39" s="544"/>
      <c r="N39" s="544"/>
      <c r="O39" s="544"/>
      <c r="P39" s="544"/>
    </row>
    <row r="40" spans="1:16" ht="12.6" customHeight="1" thickBot="1" x14ac:dyDescent="0.35">
      <c r="A40" s="523"/>
      <c r="B40" s="1101"/>
      <c r="C40" s="599" t="str">
        <f t="shared" si="5"/>
        <v>-</v>
      </c>
      <c r="D40" s="538" t="s">
        <v>1245</v>
      </c>
      <c r="E40" s="552">
        <f>IF(OR(J40="F",J40="FER."),0,COUNTIFS(BD_PRINCIPAL[DOTACIÓN ACTUAL],D40,BD_PRINCIPAL[ESC.],"PNS O/S")+COUNTIFS(BD_PRINCIPAL[DOTACIÓN ACTUAL],"JEFE/"&amp;D40,BD_PRINCIPAL[ESC.],"PNS O/S")+COUNTIF(BD_PRINCIPAL[DOTACIÓN ACTUAL],0))</f>
        <v>0</v>
      </c>
      <c r="F40" s="552">
        <f>IF(OR(J40="F",J40="FER."),0,COUNTIFS(BD_PRINCIPAL[DOTACIÓN ACTUAL],D40,BD_PRINCIPAL[ESC.],"PNI O/S")+COUNTIFS(BD_PRINCIPAL[DOTACIÓN ACTUAL],"JEFE/"&amp;D40,BD_PRINCIPAL[ESC.],"PNI O/S")+COUNTIF(BD_PRINCIPAL[DOTACIÓN ACTUAL],VLOOKUP(D40,ENCUADRE_PTR,2,0)))</f>
        <v>0</v>
      </c>
      <c r="G40" s="1079"/>
      <c r="H40" s="551" t="str">
        <f t="shared" si="6"/>
        <v>-</v>
      </c>
      <c r="I40" s="555" t="str">
        <f t="shared" si="7"/>
        <v xml:space="preserve"> </v>
      </c>
      <c r="J40" s="544" t="str">
        <f t="shared" si="8"/>
        <v/>
      </c>
      <c r="K40" s="544"/>
      <c r="L40" s="544"/>
      <c r="M40" s="544"/>
      <c r="N40" s="544"/>
      <c r="O40" s="544"/>
      <c r="P40" s="544"/>
    </row>
    <row r="41" spans="1:16" ht="12.6" customHeight="1" thickBot="1" x14ac:dyDescent="0.35">
      <c r="A41" s="523"/>
      <c r="B41" s="1101"/>
      <c r="C41" s="599" t="str">
        <f>IFERROR(IF(VLOOKUP(D41,TURNOS_SERVICIOS,2,FALSE)=0,"-",VLOOKUP(D41,TURNOS_SERVICIOS,2,FALSE)),"-")</f>
        <v>SUBOFICIAL HENRIQUEZ JARAMILLO FIDEL</v>
      </c>
      <c r="D41" s="538" t="s">
        <v>711</v>
      </c>
      <c r="E41" s="552">
        <f>IF(OR(J41="F",J41="FER."),0,COUNTIFS(BD_PRINCIPAL[DOTACIÓN ACTUAL],D41,BD_PRINCIPAL[ESC.],"PNS O/S")+COUNTIFS(BD_PRINCIPAL[DOTACIÓN ACTUAL],"JEFE/"&amp;D41,BD_PRINCIPAL[ESC.],"PNS O/S")+COUNTIF(BD_PRINCIPAL[DOTACIÓN ACTUAL],0))</f>
        <v>0</v>
      </c>
      <c r="F41" s="552">
        <f>IF(OR(J41="F",J41="FER."),0,COUNTIFS(BD_PRINCIPAL[DOTACIÓN ACTUAL],D41,BD_PRINCIPAL[ESC.],"PNI O/S")+COUNTIFS(BD_PRINCIPAL[DOTACIÓN ACTUAL],"JEFE/"&amp;D41,BD_PRINCIPAL[ESC.],"PNI O/S")+COUNTIF(BD_PRINCIPAL[DOTACIÓN ACTUAL],VLOOKUP(D41,ENCUADRE_PTR,2,0)))</f>
        <v>7</v>
      </c>
      <c r="G41" s="1079"/>
      <c r="H41" s="551" t="str">
        <f t="shared" si="6"/>
        <v>08:00 A NORM.</v>
      </c>
      <c r="I41" s="555" t="str">
        <f>IFERROR(IF(VLOOKUP(D41,TURNOS_SERVICIOS,4,FALSE)=0,"-",VLOOKUP(D41,TURNOS_SERVICIOS,4,FALSE)),"-")&amp;" "&amp;IFERROR(IF(VLOOKUP(D41,TURNOS_SERVICIOS,5,FALSE)=0,"-",VLOOKUP(D41,TURNOS_SERVICIOS,5,FALSE)),"-")</f>
        <v>1P ARIETE 23</v>
      </c>
      <c r="J41" s="544" t="str">
        <f>IFERROR(IF(VLOOKUP(D41,TURNOS_SERVICIOS,4,FALSE)=0,"-",VLOOKUP(D41,TURNOS_SERVICIOS,4,FALSE)),"-")</f>
        <v>1P</v>
      </c>
      <c r="K41" s="544"/>
      <c r="L41" s="544"/>
      <c r="M41" s="544"/>
      <c r="N41" s="544"/>
      <c r="O41" s="544"/>
      <c r="P41" s="544"/>
    </row>
    <row r="42" spans="1:16" ht="12.6" customHeight="1" thickBot="1" x14ac:dyDescent="0.35">
      <c r="A42" s="523"/>
      <c r="B42" s="1102"/>
      <c r="C42" s="601" t="str">
        <f t="shared" si="5"/>
        <v>-</v>
      </c>
      <c r="D42" s="539" t="s">
        <v>1246</v>
      </c>
      <c r="E42" s="552">
        <f>IF(OR(J42="F",J42="FER."),0,COUNTIFS(BD_PRINCIPAL[DOTACIÓN ACTUAL],D42,BD_PRINCIPAL[ESC.],"PNS O/S")+COUNTIFS(BD_PRINCIPAL[DOTACIÓN ACTUAL],"JEFE/"&amp;D42,BD_PRINCIPAL[ESC.],"PNS O/S")+COUNTIF(BD_PRINCIPAL[DOTACIÓN ACTUAL],0))</f>
        <v>0</v>
      </c>
      <c r="F42" s="552">
        <f>IF(OR(J42="F",J42="FER."),0,COUNTIFS(BD_PRINCIPAL[DOTACIÓN ACTUAL],D42,BD_PRINCIPAL[ESC.],"PNI O/S")+COUNTIFS(BD_PRINCIPAL[DOTACIÓN ACTUAL],"JEFE/"&amp;D42,BD_PRINCIPAL[ESC.],"PNI O/S")+COUNTIF(BD_PRINCIPAL[DOTACIÓN ACTUAL],VLOOKUP(D42,ENCUADRE_PTR,2,0)))</f>
        <v>0</v>
      </c>
      <c r="G42" s="1080"/>
      <c r="H42" s="557" t="str">
        <f t="shared" si="6"/>
        <v>-</v>
      </c>
      <c r="I42" s="558" t="str">
        <f t="shared" si="7"/>
        <v xml:space="preserve"> </v>
      </c>
      <c r="J42" s="544" t="str">
        <f t="shared" si="8"/>
        <v/>
      </c>
      <c r="K42" s="544"/>
      <c r="L42" s="544"/>
      <c r="M42" s="544"/>
      <c r="N42" s="544"/>
      <c r="O42" s="544"/>
      <c r="P42" s="544"/>
    </row>
    <row r="43" spans="1:16" ht="12.6" customHeight="1" thickBot="1" x14ac:dyDescent="0.35">
      <c r="A43" s="523"/>
      <c r="B43" s="1100" t="s">
        <v>848</v>
      </c>
      <c r="C43" s="600" t="str">
        <f t="shared" si="5"/>
        <v>TENIENTE ESCOBAR PEREZ MATIAS</v>
      </c>
      <c r="D43" s="537" t="s">
        <v>667</v>
      </c>
      <c r="E43" s="552">
        <f>IF(OR(J43="F",J43="FER."),0,COUNTIFS(BD_PRINCIPAL[DOTACIÓN ACTUAL],D43,BD_PRINCIPAL[ESC.],"PNS O/S")+COUNTIFS(BD_PRINCIPAL[DOTACIÓN ACTUAL],"JEFE/"&amp;D43,BD_PRINCIPAL[ESC.],"PNS O/S")+COUNTIF(BD_PRINCIPAL[DOTACIÓN ACTUAL],0))</f>
        <v>1</v>
      </c>
      <c r="F43" s="552">
        <f>IF(OR(J43="F",J43="FER."),0,COUNTIFS(BD_PRINCIPAL[DOTACIÓN ACTUAL],D43,BD_PRINCIPAL[ESC.],"PNI O/S")+COUNTIFS(BD_PRINCIPAL[DOTACIÓN ACTUAL],"JEFE/"&amp;D43,BD_PRINCIPAL[ESC.],"PNI O/S")+COUNTIF(BD_PRINCIPAL[DOTACIÓN ACTUAL],VLOOKUP(D43,ENCUADRE_PTR,2,0)))</f>
        <v>2</v>
      </c>
      <c r="G43" s="1078">
        <f>SUM(E43:F49)</f>
        <v>27</v>
      </c>
      <c r="H43" s="553" t="str">
        <f t="shared" si="6"/>
        <v>08:00 A 14:00</v>
      </c>
      <c r="I43" s="554" t="str">
        <f t="shared" si="7"/>
        <v>1T APRESTO</v>
      </c>
      <c r="J43" s="544" t="str">
        <f t="shared" si="8"/>
        <v>1T</v>
      </c>
      <c r="K43" s="544"/>
      <c r="L43" s="544"/>
      <c r="M43" s="544"/>
      <c r="N43" s="544"/>
      <c r="O43" s="544"/>
      <c r="P43" s="544"/>
    </row>
    <row r="44" spans="1:16" ht="12.6" customHeight="1" thickBot="1" x14ac:dyDescent="0.35">
      <c r="A44" s="523"/>
      <c r="B44" s="1101"/>
      <c r="C44" s="599" t="str">
        <f>IFERROR(IF(VLOOKUP(D44,TURNOS_SERVICIOS,2,FALSE)=0,"-",VLOOKUP(D44,TURNOS_SERVICIOS,2,FALSE)),"-")</f>
        <v xml:space="preserve">SUBOFICIAL VILLAGRA AREVALO SERGIO HUMBERTO      ( P )  </v>
      </c>
      <c r="D44" s="538" t="s">
        <v>700</v>
      </c>
      <c r="E44" s="552">
        <f>IF(OR(J44="F",J44="FER."),0,COUNTIFS(BD_PRINCIPAL[DOTACIÓN ACTUAL],D44,BD_PRINCIPAL[ESC.],"PNS O/S")+COUNTIFS(BD_PRINCIPAL[DOTACIÓN ACTUAL],"JEFE/"&amp;D44,BD_PRINCIPAL[ESC.],"PNS O/S")+COUNTIF(BD_PRINCIPAL[DOTACIÓN ACTUAL],0))</f>
        <v>0</v>
      </c>
      <c r="F44" s="552">
        <f>IF(OR(J44="F",J44="FER."),0,COUNTIFS(BD_PRINCIPAL[DOTACIÓN ACTUAL],D44,BD_PRINCIPAL[ESC.],"PNI O/S")+COUNTIFS(BD_PRINCIPAL[DOTACIÓN ACTUAL],"JEFE/"&amp;D44,BD_PRINCIPAL[ESC.],"PNI O/S")+COUNTIF(BD_PRINCIPAL[DOTACIÓN ACTUAL],VLOOKUP(D44,ENCUADRE_PTR,2,0)))</f>
        <v>9</v>
      </c>
      <c r="G44" s="1079"/>
      <c r="H44" s="551" t="str">
        <f t="shared" si="6"/>
        <v>07:00 A 14:00</v>
      </c>
      <c r="I44" s="555" t="str">
        <f>IFERROR(IF(VLOOKUP(D44,TURNOS_SERVICIOS,4,FALSE)=0,"-",VLOOKUP(D44,TURNOS_SERVICIOS,4,FALSE)),"-")&amp;" "&amp;IFERROR(IF(VLOOKUP(D44,TURNOS_SERVICIOS,5,FALSE)=0,"-",VLOOKUP(D44,TURNOS_SERVICIOS,5,FALSE)),"-")</f>
        <v>1T MONEDA</v>
      </c>
      <c r="J44" s="544" t="str">
        <f>IFERROR(IF(VLOOKUP(D44,TURNOS_SERVICIOS,4,FALSE)=0,"-",VLOOKUP(D44,TURNOS_SERVICIOS,4,FALSE)),"-")</f>
        <v>1T</v>
      </c>
      <c r="K44" s="544"/>
      <c r="L44" s="544"/>
      <c r="M44" s="544"/>
      <c r="N44" s="544"/>
      <c r="O44" s="544"/>
      <c r="P44" s="544"/>
    </row>
    <row r="45" spans="1:16" ht="12.6" customHeight="1" thickBot="1" x14ac:dyDescent="0.35">
      <c r="A45" s="523"/>
      <c r="B45" s="1101"/>
      <c r="C45" s="599" t="str">
        <f t="shared" si="5"/>
        <v>-</v>
      </c>
      <c r="D45" s="538" t="s">
        <v>1247</v>
      </c>
      <c r="E45" s="552">
        <f>IF(OR(J45="F",J45="FER."),0,COUNTIFS(BD_PRINCIPAL[DOTACIÓN ACTUAL],D45,BD_PRINCIPAL[ESC.],"PNS O/S")+COUNTIFS(BD_PRINCIPAL[DOTACIÓN ACTUAL],"JEFE/"&amp;D45,BD_PRINCIPAL[ESC.],"PNS O/S")+COUNTIF(BD_PRINCIPAL[DOTACIÓN ACTUAL],0))</f>
        <v>0</v>
      </c>
      <c r="F45" s="552">
        <f>IF(OR(J45="F",J45="FER."),0,COUNTIFS(BD_PRINCIPAL[DOTACIÓN ACTUAL],D45,BD_PRINCIPAL[ESC.],"PNI O/S")+COUNTIFS(BD_PRINCIPAL[DOTACIÓN ACTUAL],"JEFE/"&amp;D45,BD_PRINCIPAL[ESC.],"PNI O/S")+COUNTIF(BD_PRINCIPAL[DOTACIÓN ACTUAL],VLOOKUP(D45,ENCUADRE_PTR,2,0)))</f>
        <v>0</v>
      </c>
      <c r="G45" s="1079"/>
      <c r="H45" s="551" t="str">
        <f t="shared" si="6"/>
        <v>-</v>
      </c>
      <c r="I45" s="555" t="str">
        <f t="shared" si="7"/>
        <v xml:space="preserve"> </v>
      </c>
      <c r="J45" s="544" t="str">
        <f t="shared" si="8"/>
        <v/>
      </c>
      <c r="K45" s="544"/>
      <c r="L45" s="544"/>
      <c r="M45" s="544"/>
      <c r="N45" s="544"/>
      <c r="O45" s="544"/>
      <c r="P45" s="544"/>
    </row>
    <row r="46" spans="1:16" ht="12.6" customHeight="1" thickBot="1" x14ac:dyDescent="0.35">
      <c r="A46" s="523"/>
      <c r="B46" s="1101"/>
      <c r="C46" s="599" t="str">
        <f>IFERROR(IF(VLOOKUP(D46,TURNOS_SERVICIOS,2,FALSE)=0,"-",VLOOKUP(D46,TURNOS_SERVICIOS,2,FALSE)),"-")</f>
        <v>SGTO 1RO. CIFUENTES NAVARRETE VICTOR</v>
      </c>
      <c r="D46" s="538" t="s">
        <v>716</v>
      </c>
      <c r="E46" s="552">
        <f>IF(OR(J46="F",J46="FER."),0,COUNTIFS(BD_PRINCIPAL[DOTACIÓN ACTUAL],D46,BD_PRINCIPAL[ESC.],"PNS O/S")+COUNTIFS(BD_PRINCIPAL[DOTACIÓN ACTUAL],"JEFE/"&amp;D46,BD_PRINCIPAL[ESC.],"PNS O/S")+COUNTIF(BD_PRINCIPAL[DOTACIÓN ACTUAL],0))</f>
        <v>0</v>
      </c>
      <c r="F46" s="552">
        <f>IF(OR(J46="F",J46="FER."),0,COUNTIFS(BD_PRINCIPAL[DOTACIÓN ACTUAL],D46,BD_PRINCIPAL[ESC.],"PNI O/S")+COUNTIFS(BD_PRINCIPAL[DOTACIÓN ACTUAL],"JEFE/"&amp;D46,BD_PRINCIPAL[ESC.],"PNI O/S")+COUNTIF(BD_PRINCIPAL[DOTACIÓN ACTUAL],VLOOKUP(D46,ENCUADRE_PTR,2,0)))</f>
        <v>8</v>
      </c>
      <c r="G46" s="1079"/>
      <c r="H46" s="551" t="str">
        <f t="shared" si="6"/>
        <v>07:00 A 14:00</v>
      </c>
      <c r="I46" s="555" t="str">
        <f>IFERROR(IF(VLOOKUP(D46,TURNOS_SERVICIOS,4,FALSE)=0,"-",VLOOKUP(D46,TURNOS_SERVICIOS,4,FALSE)),"-")&amp;" "&amp;IFERROR(IF(VLOOKUP(D46,TURNOS_SERVICIOS,5,FALSE)=0,"-",VLOOKUP(D46,TURNOS_SERVICIOS,5,FALSE)),"-")</f>
        <v>1T CONSTITUCION</v>
      </c>
      <c r="J46" s="544" t="str">
        <f>IFERROR(IF(VLOOKUP(D46,TURNOS_SERVICIOS,4,FALSE)=0,"-",VLOOKUP(D46,TURNOS_SERVICIOS,4,FALSE)),"-")</f>
        <v>1T</v>
      </c>
      <c r="K46" s="544"/>
      <c r="L46" s="544"/>
      <c r="M46" s="544"/>
      <c r="N46" s="544"/>
      <c r="O46" s="544"/>
      <c r="P46" s="544"/>
    </row>
    <row r="47" spans="1:16" ht="12.6" customHeight="1" thickBot="1" x14ac:dyDescent="0.35">
      <c r="A47" s="523"/>
      <c r="B47" s="1101"/>
      <c r="C47" s="599" t="str">
        <f t="shared" si="5"/>
        <v>-</v>
      </c>
      <c r="D47" s="538" t="s">
        <v>1248</v>
      </c>
      <c r="E47" s="552">
        <f>IF(OR(J47="F",J47="FER."),0,COUNTIFS(BD_PRINCIPAL[DOTACIÓN ACTUAL],D47,BD_PRINCIPAL[ESC.],"PNS O/S")+COUNTIFS(BD_PRINCIPAL[DOTACIÓN ACTUAL],"JEFE/"&amp;D47,BD_PRINCIPAL[ESC.],"PNS O/S")+COUNTIF(BD_PRINCIPAL[DOTACIÓN ACTUAL],0))</f>
        <v>0</v>
      </c>
      <c r="F47" s="552">
        <f>IF(OR(J47="F",J47="FER."),0,COUNTIFS(BD_PRINCIPAL[DOTACIÓN ACTUAL],D47,BD_PRINCIPAL[ESC.],"PNI O/S")+COUNTIFS(BD_PRINCIPAL[DOTACIÓN ACTUAL],"JEFE/"&amp;D47,BD_PRINCIPAL[ESC.],"PNI O/S")+COUNTIF(BD_PRINCIPAL[DOTACIÓN ACTUAL],VLOOKUP(D47,ENCUADRE_PTR,2,0)))</f>
        <v>0</v>
      </c>
      <c r="G47" s="1079"/>
      <c r="H47" s="551" t="str">
        <f t="shared" ref="H47:H70" si="9">IFERROR(IF(TEXT(VLOOKUP(D47,TURNOS_SERVICIOS,6,FALSE),"HH:MM")&amp;" A "&amp;TEXT(VLOOKUP(D47,TURNOS_SERVICIOS,7,FALSE),"HH:MM")="00:00 A 00:00","-",TEXT(VLOOKUP(D47,TURNOS_SERVICIOS,6,FALSE),"HH:MM")&amp;" A "&amp;TEXT(VLOOKUP(D47,TURNOS_SERVICIOS,7,FALSE),"HH:MM")),"-")</f>
        <v>-</v>
      </c>
      <c r="I47" s="555" t="str">
        <f t="shared" si="7"/>
        <v xml:space="preserve"> </v>
      </c>
      <c r="J47" s="544" t="str">
        <f t="shared" si="8"/>
        <v/>
      </c>
      <c r="K47" s="544"/>
      <c r="L47" s="544"/>
      <c r="M47" s="544"/>
      <c r="N47" s="544"/>
      <c r="O47" s="544"/>
      <c r="P47" s="544"/>
    </row>
    <row r="48" spans="1:16" s="546" customFormat="1" ht="12.6" customHeight="1" thickBot="1" x14ac:dyDescent="0.35">
      <c r="A48" s="523"/>
      <c r="B48" s="1101"/>
      <c r="C48" s="599" t="str">
        <f>IFERROR(IF(VLOOKUP(D48,TURNOS_SERVICIOS,2,FALSE)=0,"-",VLOOKUP(D48,TURNOS_SERVICIOS,2,FALSE)),"-")</f>
        <v>SUBOFICIAL ARAVENA ARAYA GEORGE ALEXIS</v>
      </c>
      <c r="D48" s="538" t="s">
        <v>752</v>
      </c>
      <c r="E48" s="552">
        <f>IF(OR(J48="F",J48="FER."),0,COUNTIFS(BD_PRINCIPAL[DOTACIÓN ACTUAL],D48,BD_PRINCIPAL[ESC.],"PNS O/S")+COUNTIFS(BD_PRINCIPAL[DOTACIÓN ACTUAL],"JEFE/"&amp;D48,BD_PRINCIPAL[ESC.],"PNS O/S")+COUNTIF(BD_PRINCIPAL[DOTACIÓN ACTUAL],0))</f>
        <v>0</v>
      </c>
      <c r="F48" s="552">
        <f>IF(OR(J48="F",J48="FER."),0,COUNTIFS(BD_PRINCIPAL[DOTACIÓN ACTUAL],D48,BD_PRINCIPAL[ESC.],"PNI O/S")+COUNTIFS(BD_PRINCIPAL[DOTACIÓN ACTUAL],"JEFE/"&amp;D48,BD_PRINCIPAL[ESC.],"PNI O/S")+COUNTIF(BD_PRINCIPAL[DOTACIÓN ACTUAL],VLOOKUP(D48,ENCUADRE_PTR,2,0)))</f>
        <v>7</v>
      </c>
      <c r="G48" s="1079"/>
      <c r="H48" s="551" t="str">
        <f t="shared" si="9"/>
        <v>07:00 A 14:00</v>
      </c>
      <c r="I48" s="555" t="str">
        <f>IFERROR(IF(VLOOKUP(D48,TURNOS_SERVICIOS,4,FALSE)=0,"-",VLOOKUP(D48,TURNOS_SERVICIOS,4,FALSE)),"-")&amp;" "&amp;IFERROR(IF(VLOOKUP(D48,TURNOS_SERVICIOS,5,FALSE)=0,"-",VLOOKUP(D48,TURNOS_SERVICIOS,5,FALSE)),"-")</f>
        <v>1T CIUDADANIA</v>
      </c>
      <c r="J48" s="544" t="str">
        <f>IFERROR(IF(VLOOKUP(D48,TURNOS_SERVICIOS,4,FALSE)=0,"-",VLOOKUP(D48,TURNOS_SERVICIOS,4,FALSE)),"-")</f>
        <v>1T</v>
      </c>
      <c r="K48" s="544"/>
      <c r="L48" s="544"/>
      <c r="M48" s="544"/>
      <c r="N48" s="544"/>
      <c r="O48" s="544"/>
      <c r="P48" s="544"/>
    </row>
    <row r="49" spans="1:16" s="546" customFormat="1" ht="12.6" customHeight="1" thickBot="1" x14ac:dyDescent="0.35">
      <c r="A49" s="523"/>
      <c r="B49" s="1102"/>
      <c r="C49" s="601" t="str">
        <f t="shared" si="5"/>
        <v>-</v>
      </c>
      <c r="D49" s="539" t="s">
        <v>1249</v>
      </c>
      <c r="E49" s="552">
        <f>IF(OR(J49="F",J49="FER."),0,COUNTIFS(BD_PRINCIPAL[DOTACIÓN ACTUAL],D49,BD_PRINCIPAL[ESC.],"PNS O/S")+COUNTIFS(BD_PRINCIPAL[DOTACIÓN ACTUAL],"JEFE/"&amp;D49,BD_PRINCIPAL[ESC.],"PNS O/S")+COUNTIF(BD_PRINCIPAL[DOTACIÓN ACTUAL],0))</f>
        <v>0</v>
      </c>
      <c r="F49" s="552">
        <f>IF(OR(J49="F",J49="FER."),0,COUNTIFS(BD_PRINCIPAL[DOTACIÓN ACTUAL],D49,BD_PRINCIPAL[ESC.],"PNI O/S")+COUNTIFS(BD_PRINCIPAL[DOTACIÓN ACTUAL],"JEFE/"&amp;D49,BD_PRINCIPAL[ESC.],"PNI O/S")+COUNTIF(BD_PRINCIPAL[DOTACIÓN ACTUAL],VLOOKUP(D49,ENCUADRE_PTR,2,0)))</f>
        <v>0</v>
      </c>
      <c r="G49" s="1080"/>
      <c r="H49" s="557" t="str">
        <f t="shared" si="9"/>
        <v>-</v>
      </c>
      <c r="I49" s="558" t="str">
        <f t="shared" si="7"/>
        <v xml:space="preserve"> </v>
      </c>
      <c r="J49" s="544" t="str">
        <f t="shared" si="8"/>
        <v/>
      </c>
      <c r="K49" s="544"/>
      <c r="L49" s="544"/>
      <c r="M49" s="544"/>
      <c r="N49" s="544"/>
      <c r="O49" s="544"/>
      <c r="P49" s="544"/>
    </row>
    <row r="50" spans="1:16" ht="12.6" customHeight="1" thickBot="1" x14ac:dyDescent="0.35">
      <c r="A50" s="523"/>
      <c r="B50" s="1100" t="s">
        <v>849</v>
      </c>
      <c r="C50" s="600" t="str">
        <f t="shared" si="5"/>
        <v>TENIENTE SAENS SUAREZ GASPAR ALONSO</v>
      </c>
      <c r="D50" s="537" t="s">
        <v>668</v>
      </c>
      <c r="E50" s="552">
        <f>IF(OR(J50="F",J50="FER."),0,COUNTIFS(BD_PRINCIPAL[DOTACIÓN ACTUAL],D50,BD_PRINCIPAL[ESC.],"PNS O/S")+COUNTIFS(BD_PRINCIPAL[DOTACIÓN ACTUAL],"JEFE/"&amp;D50,BD_PRINCIPAL[ESC.],"PNS O/S")+COUNTIF(BD_PRINCIPAL[DOTACIÓN ACTUAL],0))</f>
        <v>0</v>
      </c>
      <c r="F50" s="552">
        <f>IF(OR(J50="F",J50="FER."),0,COUNTIFS(BD_PRINCIPAL[DOTACIÓN ACTUAL],D50,BD_PRINCIPAL[ESC.],"PNI O/S")+COUNTIFS(BD_PRINCIPAL[DOTACIÓN ACTUAL],"JEFE/"&amp;D50,BD_PRINCIPAL[ESC.],"PNI O/S")+COUNTIF(BD_PRINCIPAL[DOTACIÓN ACTUAL],VLOOKUP(D50,ENCUADRE_PTR,2,0)))</f>
        <v>0</v>
      </c>
      <c r="G50" s="1078">
        <f>SUM(E50:F56)</f>
        <v>0</v>
      </c>
      <c r="H50" s="553" t="str">
        <f t="shared" si="9"/>
        <v xml:space="preserve">  A  </v>
      </c>
      <c r="I50" s="554" t="str">
        <f t="shared" si="7"/>
        <v>F FRANCO</v>
      </c>
      <c r="J50" s="544" t="str">
        <f t="shared" si="8"/>
        <v>F</v>
      </c>
      <c r="K50" s="544"/>
      <c r="L50" s="544"/>
      <c r="M50" s="544"/>
      <c r="N50" s="544"/>
      <c r="O50" s="544"/>
      <c r="P50" s="544"/>
    </row>
    <row r="51" spans="1:16" ht="12.6" customHeight="1" thickBot="1" x14ac:dyDescent="0.35">
      <c r="A51" s="523"/>
      <c r="B51" s="1101"/>
      <c r="C51" s="599" t="str">
        <f>IFERROR(IF(VLOOKUP(D51,TURNOS_SERVICIOS,2,FALSE)=0,"-",VLOOKUP(D51,TURNOS_SERVICIOS,2,FALSE)),"-")</f>
        <v>SGTO 1RO. FERNANDEZ CASTILLO LEONARDO ENRIQUE</v>
      </c>
      <c r="D51" s="538" t="s">
        <v>731</v>
      </c>
      <c r="E51" s="552">
        <f>IF(OR(J51="F",J51="FER."),0,COUNTIFS(BD_PRINCIPAL[DOTACIÓN ACTUAL],D51,BD_PRINCIPAL[ESC.],"PNS O/S")+COUNTIFS(BD_PRINCIPAL[DOTACIÓN ACTUAL],"JEFE/"&amp;D51,BD_PRINCIPAL[ESC.],"PNS O/S")+COUNTIF(BD_PRINCIPAL[DOTACIÓN ACTUAL],0))</f>
        <v>0</v>
      </c>
      <c r="F51" s="552">
        <f>IF(OR(J51="F",J51="FER."),0,COUNTIFS(BD_PRINCIPAL[DOTACIÓN ACTUAL],D51,BD_PRINCIPAL[ESC.],"PNI O/S")+COUNTIFS(BD_PRINCIPAL[DOTACIÓN ACTUAL],"JEFE/"&amp;D51,BD_PRINCIPAL[ESC.],"PNI O/S")+COUNTIF(BD_PRINCIPAL[DOTACIÓN ACTUAL],VLOOKUP(D51,ENCUADRE_PTR,2,0)))</f>
        <v>0</v>
      </c>
      <c r="G51" s="1079"/>
      <c r="H51" s="551" t="str">
        <f t="shared" si="9"/>
        <v xml:space="preserve">  A  </v>
      </c>
      <c r="I51" s="555" t="str">
        <f>IFERROR(IF(VLOOKUP(D51,TURNOS_SERVICIOS,4,FALSE)=0,"-",VLOOKUP(D51,TURNOS_SERVICIOS,4,FALSE)),"-")&amp;" "&amp;IFERROR(IF(VLOOKUP(D51,TURNOS_SERVICIOS,5,FALSE)=0,"-",VLOOKUP(D51,TURNOS_SERVICIOS,5,FALSE)),"-")</f>
        <v>F FRANCO</v>
      </c>
      <c r="J51" s="544" t="str">
        <f>IFERROR(IF(VLOOKUP(D51,TURNOS_SERVICIOS,4,FALSE)=0,"-",VLOOKUP(D51,TURNOS_SERVICIOS,4,FALSE)),"-")</f>
        <v>F</v>
      </c>
      <c r="K51" s="544"/>
      <c r="L51" s="544"/>
      <c r="M51" s="544"/>
      <c r="N51" s="544"/>
      <c r="O51" s="544"/>
      <c r="P51" s="544"/>
    </row>
    <row r="52" spans="1:16" ht="12.6" customHeight="1" thickBot="1" x14ac:dyDescent="0.35">
      <c r="A52" s="523"/>
      <c r="B52" s="1101"/>
      <c r="C52" s="599" t="str">
        <f t="shared" si="5"/>
        <v>-</v>
      </c>
      <c r="D52" s="538" t="s">
        <v>1250</v>
      </c>
      <c r="E52" s="552">
        <f>IF(OR(J52="F",J52="FER."),0,COUNTIFS(BD_PRINCIPAL[DOTACIÓN ACTUAL],D52,BD_PRINCIPAL[ESC.],"PNS O/S")+COUNTIFS(BD_PRINCIPAL[DOTACIÓN ACTUAL],"JEFE/"&amp;D52,BD_PRINCIPAL[ESC.],"PNS O/S")+COUNTIF(BD_PRINCIPAL[DOTACIÓN ACTUAL],0))</f>
        <v>0</v>
      </c>
      <c r="F52" s="552">
        <f>IF(OR(J52="F",J52="FER."),0,COUNTIFS(BD_PRINCIPAL[DOTACIÓN ACTUAL],D52,BD_PRINCIPAL[ESC.],"PNI O/S")+COUNTIFS(BD_PRINCIPAL[DOTACIÓN ACTUAL],"JEFE/"&amp;D52,BD_PRINCIPAL[ESC.],"PNI O/S")+COUNTIF(BD_PRINCIPAL[DOTACIÓN ACTUAL],VLOOKUP(D52,ENCUADRE_PTR,2,0)))</f>
        <v>0</v>
      </c>
      <c r="G52" s="1079"/>
      <c r="H52" s="551" t="str">
        <f t="shared" si="9"/>
        <v>-</v>
      </c>
      <c r="I52" s="555" t="str">
        <f t="shared" si="7"/>
        <v xml:space="preserve"> </v>
      </c>
      <c r="J52" s="544" t="str">
        <f t="shared" si="8"/>
        <v/>
      </c>
      <c r="K52" s="544"/>
      <c r="L52" s="544"/>
      <c r="M52" s="544"/>
      <c r="N52" s="544"/>
      <c r="O52" s="544"/>
      <c r="P52" s="544"/>
    </row>
    <row r="53" spans="1:16" ht="12.6" customHeight="1" thickBot="1" x14ac:dyDescent="0.35">
      <c r="A53" s="523"/>
      <c r="B53" s="1101"/>
      <c r="C53" s="599" t="str">
        <f>IFERROR(IF(VLOOKUP(D53,TURNOS_SERVICIOS,2,FALSE)=0,"-",VLOOKUP(D53,TURNOS_SERVICIOS,2,FALSE)),"-")</f>
        <v>SUBOFICIAL BAHAMONDE SEPULVEDA LUIS GONZALO        (L - P-T)</v>
      </c>
      <c r="D53" s="538" t="s">
        <v>717</v>
      </c>
      <c r="E53" s="552">
        <f>IF(OR(J53="F",J53="FER."),0,COUNTIFS(BD_PRINCIPAL[DOTACIÓN ACTUAL],D53,BD_PRINCIPAL[ESC.],"PNS O/S")+COUNTIFS(BD_PRINCIPAL[DOTACIÓN ACTUAL],"JEFE/"&amp;D53,BD_PRINCIPAL[ESC.],"PNS O/S")+COUNTIF(BD_PRINCIPAL[DOTACIÓN ACTUAL],0))</f>
        <v>0</v>
      </c>
      <c r="F53" s="552">
        <f>IF(OR(J53="F",J53="FER."),0,COUNTIFS(BD_PRINCIPAL[DOTACIÓN ACTUAL],D53,BD_PRINCIPAL[ESC.],"PNI O/S")+COUNTIFS(BD_PRINCIPAL[DOTACIÓN ACTUAL],"JEFE/"&amp;D53,BD_PRINCIPAL[ESC.],"PNI O/S")+COUNTIF(BD_PRINCIPAL[DOTACIÓN ACTUAL],VLOOKUP(D53,ENCUADRE_PTR,2,0)))</f>
        <v>0</v>
      </c>
      <c r="G53" s="1079"/>
      <c r="H53" s="551" t="str">
        <f t="shared" si="9"/>
        <v xml:space="preserve">  A  </v>
      </c>
      <c r="I53" s="555" t="str">
        <f>IFERROR(IF(VLOOKUP(D53,TURNOS_SERVICIOS,4,FALSE)=0,"-",VLOOKUP(D53,TURNOS_SERVICIOS,4,FALSE)),"-")&amp;" "&amp;IFERROR(IF(VLOOKUP(D53,TURNOS_SERVICIOS,5,FALSE)=0,"-",VLOOKUP(D53,TURNOS_SERVICIOS,5,FALSE)),"-")</f>
        <v>F FRANCO</v>
      </c>
      <c r="J53" s="544" t="str">
        <f>IFERROR(IF(VLOOKUP(D53,TURNOS_SERVICIOS,4,FALSE)=0,"-",VLOOKUP(D53,TURNOS_SERVICIOS,4,FALSE)),"-")</f>
        <v>F</v>
      </c>
      <c r="K53" s="544"/>
      <c r="L53" s="544"/>
      <c r="M53" s="544"/>
      <c r="N53" s="544"/>
      <c r="O53" s="544"/>
      <c r="P53" s="544"/>
    </row>
    <row r="54" spans="1:16" ht="12.6" customHeight="1" thickBot="1" x14ac:dyDescent="0.35">
      <c r="A54" s="523"/>
      <c r="B54" s="1101"/>
      <c r="C54" s="599" t="str">
        <f t="shared" si="5"/>
        <v>-</v>
      </c>
      <c r="D54" s="538" t="s">
        <v>1251</v>
      </c>
      <c r="E54" s="552">
        <f>IF(OR(J54="F",J54="FER."),0,COUNTIFS(BD_PRINCIPAL[DOTACIÓN ACTUAL],D54,BD_PRINCIPAL[ESC.],"PNS O/S")+COUNTIFS(BD_PRINCIPAL[DOTACIÓN ACTUAL],"JEFE/"&amp;D54,BD_PRINCIPAL[ESC.],"PNS O/S")+COUNTIF(BD_PRINCIPAL[DOTACIÓN ACTUAL],0))</f>
        <v>0</v>
      </c>
      <c r="F54" s="552">
        <f>IF(OR(J54="F",J54="FER."),0,COUNTIFS(BD_PRINCIPAL[DOTACIÓN ACTUAL],D54,BD_PRINCIPAL[ESC.],"PNI O/S")+COUNTIFS(BD_PRINCIPAL[DOTACIÓN ACTUAL],"JEFE/"&amp;D54,BD_PRINCIPAL[ESC.],"PNI O/S")+COUNTIF(BD_PRINCIPAL[DOTACIÓN ACTUAL],VLOOKUP(D54,ENCUADRE_PTR,2,0)))</f>
        <v>0</v>
      </c>
      <c r="G54" s="1079"/>
      <c r="H54" s="551" t="str">
        <f t="shared" si="9"/>
        <v>-</v>
      </c>
      <c r="I54" s="555" t="str">
        <f t="shared" si="7"/>
        <v xml:space="preserve"> </v>
      </c>
      <c r="J54" s="544" t="str">
        <f t="shared" si="8"/>
        <v/>
      </c>
      <c r="K54" s="544"/>
      <c r="L54" s="544"/>
      <c r="M54" s="544"/>
      <c r="N54" s="544"/>
      <c r="O54" s="544"/>
      <c r="P54" s="544"/>
    </row>
    <row r="55" spans="1:16" s="546" customFormat="1" ht="12.6" customHeight="1" thickBot="1" x14ac:dyDescent="0.35">
      <c r="A55" s="523"/>
      <c r="B55" s="1101"/>
      <c r="C55" s="599" t="str">
        <f>IFERROR(IF(VLOOKUP(D55,TURNOS_SERVICIOS,2,FALSE)=0,"-",VLOOKUP(D55,TURNOS_SERVICIOS,2,FALSE)),"-")</f>
        <v>SUBOFICIAL BARROS SOLAR FELIX                                (L -T -S)</v>
      </c>
      <c r="D55" s="538" t="s">
        <v>703</v>
      </c>
      <c r="E55" s="552">
        <f>IF(OR(J55="F",J55="FER."),0,COUNTIFS(BD_PRINCIPAL[DOTACIÓN ACTUAL],D55,BD_PRINCIPAL[ESC.],"PNS O/S")+COUNTIFS(BD_PRINCIPAL[DOTACIÓN ACTUAL],"JEFE/"&amp;D55,BD_PRINCIPAL[ESC.],"PNS O/S")+COUNTIF(BD_PRINCIPAL[DOTACIÓN ACTUAL],0))</f>
        <v>0</v>
      </c>
      <c r="F55" s="552">
        <f>IF(OR(J55="F",J55="FER."),0,COUNTIFS(BD_PRINCIPAL[DOTACIÓN ACTUAL],D55,BD_PRINCIPAL[ESC.],"PNI O/S")+COUNTIFS(BD_PRINCIPAL[DOTACIÓN ACTUAL],"JEFE/"&amp;D55,BD_PRINCIPAL[ESC.],"PNI O/S")+COUNTIF(BD_PRINCIPAL[DOTACIÓN ACTUAL],VLOOKUP(D55,ENCUADRE_PTR,2,0)))</f>
        <v>0</v>
      </c>
      <c r="G55" s="1079"/>
      <c r="H55" s="551" t="str">
        <f t="shared" si="9"/>
        <v xml:space="preserve">  A  </v>
      </c>
      <c r="I55" s="555" t="str">
        <f>IFERROR(IF(VLOOKUP(D55,TURNOS_SERVICIOS,4,FALSE)=0,"-",VLOOKUP(D55,TURNOS_SERVICIOS,4,FALSE)),"-")&amp;" "&amp;IFERROR(IF(VLOOKUP(D55,TURNOS_SERVICIOS,5,FALSE)=0,"-",VLOOKUP(D55,TURNOS_SERVICIOS,5,FALSE)),"-")</f>
        <v>F FRANCO</v>
      </c>
      <c r="J55" s="544" t="str">
        <f>IFERROR(IF(VLOOKUP(D55,TURNOS_SERVICIOS,4,FALSE)=0,"-",VLOOKUP(D55,TURNOS_SERVICIOS,4,FALSE)),"-")</f>
        <v>F</v>
      </c>
      <c r="K55" s="544"/>
      <c r="L55" s="544"/>
      <c r="M55" s="544"/>
      <c r="N55" s="544"/>
      <c r="O55" s="544"/>
      <c r="P55" s="544"/>
    </row>
    <row r="56" spans="1:16" s="546" customFormat="1" ht="12.6" customHeight="1" thickBot="1" x14ac:dyDescent="0.35">
      <c r="A56" s="523"/>
      <c r="B56" s="1102"/>
      <c r="C56" s="601" t="str">
        <f t="shared" si="5"/>
        <v>-</v>
      </c>
      <c r="D56" s="539" t="s">
        <v>1252</v>
      </c>
      <c r="E56" s="552">
        <f>IF(OR(J56="F",J56="FER."),0,COUNTIFS(BD_PRINCIPAL[DOTACIÓN ACTUAL],D56,BD_PRINCIPAL[ESC.],"PNS O/S")+COUNTIFS(BD_PRINCIPAL[DOTACIÓN ACTUAL],"JEFE/"&amp;D56,BD_PRINCIPAL[ESC.],"PNS O/S")+COUNTIF(BD_PRINCIPAL[DOTACIÓN ACTUAL],0))</f>
        <v>0</v>
      </c>
      <c r="F56" s="552">
        <f>IF(OR(J56="F",J56="FER."),0,COUNTIFS(BD_PRINCIPAL[DOTACIÓN ACTUAL],D56,BD_PRINCIPAL[ESC.],"PNI O/S")+COUNTIFS(BD_PRINCIPAL[DOTACIÓN ACTUAL],"JEFE/"&amp;D56,BD_PRINCIPAL[ESC.],"PNI O/S")+COUNTIF(BD_PRINCIPAL[DOTACIÓN ACTUAL],VLOOKUP(D56,ENCUADRE_PTR,2,0)))</f>
        <v>0</v>
      </c>
      <c r="G56" s="1080"/>
      <c r="H56" s="557" t="str">
        <f t="shared" si="9"/>
        <v>-</v>
      </c>
      <c r="I56" s="558" t="str">
        <f t="shared" si="7"/>
        <v xml:space="preserve"> </v>
      </c>
      <c r="J56" s="544" t="str">
        <f t="shared" si="8"/>
        <v/>
      </c>
      <c r="K56" s="544"/>
      <c r="L56" s="544"/>
      <c r="M56" s="544"/>
      <c r="N56" s="544"/>
      <c r="O56" s="544"/>
      <c r="P56" s="544"/>
    </row>
    <row r="57" spans="1:16" ht="12.6" customHeight="1" thickBot="1" x14ac:dyDescent="0.35">
      <c r="A57" s="523"/>
      <c r="B57" s="1100" t="s">
        <v>1969</v>
      </c>
      <c r="C57" s="600" t="str">
        <f t="shared" ref="C57:C65" si="10">IFERROR(IF(VLOOKUP(D57,TURNOS_SERVICIOS,2,FALSE)=0,"-",VLOOKUP(D57,TURNOS_SERVICIOS,2,FALSE)),"-")</f>
        <v>-</v>
      </c>
      <c r="D57" s="564" t="s">
        <v>669</v>
      </c>
      <c r="E57" s="552">
        <f>IF(OR(J57="F",J57="FER."),0,COUNTIFS(BD_PRINCIPAL[DOTACIÓN ACTUAL],D57,BD_PRINCIPAL[ESC.],"PNS O/S")+COUNTIFS(BD_PRINCIPAL[DOTACIÓN ACTUAL],"JEFE/"&amp;D57,BD_PRINCIPAL[ESC.],"PNS O/S")+COUNTIF(BD_PRINCIPAL[DOTACIÓN ACTUAL],0))</f>
        <v>0</v>
      </c>
      <c r="F57" s="552">
        <f>IF(OR(J57="F",J57="FER."),0,COUNTIFS(BD_PRINCIPAL[DOTACIÓN ACTUAL],D57,BD_PRINCIPAL[ESC.],"PNI O/S")+COUNTIFS(BD_PRINCIPAL[DOTACIÓN ACTUAL],"JEFE/"&amp;D57,BD_PRINCIPAL[ESC.],"PNI O/S")+COUNTIF(BD_PRINCIPAL[DOTACIÓN ACTUAL],VLOOKUP(D57,ENCUADRE_PTR,2,0)))</f>
        <v>0</v>
      </c>
      <c r="G57" s="1078">
        <f>SUM(E57:F63)</f>
        <v>0</v>
      </c>
      <c r="H57" s="553" t="str">
        <f t="shared" ref="H57:H63" si="11">IFERROR(IF(TEXT(VLOOKUP(D57,TURNOS_SERVICIOS,6,FALSE),"HH:MM")&amp;" A "&amp;TEXT(VLOOKUP(D57,TURNOS_SERVICIOS,7,FALSE),"HH:MM")="00:00 A 00:00","-",TEXT(VLOOKUP(D57,TURNOS_SERVICIOS,6,FALSE),"HH:MM")&amp;" A "&amp;TEXT(VLOOKUP(D57,TURNOS_SERVICIOS,7,FALSE),"HH:MM")),"-")</f>
        <v>-</v>
      </c>
      <c r="I57" s="554" t="str">
        <f t="shared" ref="I57:I65" si="12">IFERROR(IF(VLOOKUP(D57,TURNOS_SERVICIOS,4,FALSE)=0,"-",VLOOKUP(D57,TURNOS_SERVICIOS,4,FALSE)),"-")&amp;" "&amp;IFERROR(IF(VLOOKUP(D57,TURNOS_SERVICIOS,5,FALSE)=0,"-",VLOOKUP(D57,TURNOS_SERVICIOS,5,FALSE)),"-")</f>
        <v xml:space="preserve"> </v>
      </c>
      <c r="J57" s="544" t="str">
        <f t="shared" ref="J57:J65" si="13">IFERROR(IF(VLOOKUP(D57,TURNOS_SERVICIOS,4,FALSE)=0,"-",VLOOKUP(D57,TURNOS_SERVICIOS,4,FALSE)),"-")</f>
        <v/>
      </c>
      <c r="K57" s="544"/>
      <c r="L57" s="544"/>
      <c r="M57" s="544"/>
      <c r="N57" s="544"/>
      <c r="O57" s="544"/>
      <c r="P57" s="544"/>
    </row>
    <row r="58" spans="1:16" ht="12.6" customHeight="1" thickBot="1" x14ac:dyDescent="0.35">
      <c r="A58" s="523"/>
      <c r="B58" s="1101"/>
      <c r="C58" s="599" t="str">
        <f t="shared" si="10"/>
        <v xml:space="preserve">SGTO 2DO. MILLAR SOLIS AQUILINO JUAN ANDRES   </v>
      </c>
      <c r="D58" s="563" t="s">
        <v>730</v>
      </c>
      <c r="E58" s="552">
        <f>IF(OR(J58="F",J58="FER."),0,COUNTIFS(BD_PRINCIPAL[DOTACIÓN ACTUAL],D58,BD_PRINCIPAL[ESC.],"PNS O/S")+COUNTIFS(BD_PRINCIPAL[DOTACIÓN ACTUAL],"JEFE/"&amp;D58,BD_PRINCIPAL[ESC.],"PNS O/S")+COUNTIF(BD_PRINCIPAL[DOTACIÓN ACTUAL],0))</f>
        <v>0</v>
      </c>
      <c r="F58" s="552">
        <f>IF(OR(J58="F",J58="FER."),0,COUNTIFS(BD_PRINCIPAL[DOTACIÓN ACTUAL],D58,BD_PRINCIPAL[ESC.],"PNI O/S")+COUNTIFS(BD_PRINCIPAL[DOTACIÓN ACTUAL],"JEFE/"&amp;D58,BD_PRINCIPAL[ESC.],"PNI O/S")+COUNTIF(BD_PRINCIPAL[DOTACIÓN ACTUAL],VLOOKUP(D58,ENCUADRE_PTR,2,0)))</f>
        <v>0</v>
      </c>
      <c r="G58" s="1079"/>
      <c r="H58" s="551" t="str">
        <f t="shared" si="11"/>
        <v xml:space="preserve">  A  </v>
      </c>
      <c r="I58" s="555" t="str">
        <f t="shared" si="12"/>
        <v>F FRANCO</v>
      </c>
      <c r="J58" s="544" t="str">
        <f t="shared" si="13"/>
        <v>F</v>
      </c>
      <c r="K58" s="544"/>
      <c r="L58" s="544"/>
      <c r="M58" s="544"/>
      <c r="N58" s="544"/>
      <c r="O58" s="544"/>
      <c r="P58" s="544"/>
    </row>
    <row r="59" spans="1:16" ht="12.6" customHeight="1" thickBot="1" x14ac:dyDescent="0.35">
      <c r="A59" s="523"/>
      <c r="B59" s="1101"/>
      <c r="C59" s="599" t="str">
        <f t="shared" si="10"/>
        <v>-</v>
      </c>
      <c r="D59" s="563" t="s">
        <v>1253</v>
      </c>
      <c r="E59" s="552">
        <f>IF(OR(J59="F",J59="FER."),0,COUNTIFS(BD_PRINCIPAL[DOTACIÓN ACTUAL],D59,BD_PRINCIPAL[ESC.],"PNS O/S")+COUNTIFS(BD_PRINCIPAL[DOTACIÓN ACTUAL],"JEFE/"&amp;D59,BD_PRINCIPAL[ESC.],"PNS O/S")+COUNTIF(BD_PRINCIPAL[DOTACIÓN ACTUAL],0))</f>
        <v>0</v>
      </c>
      <c r="F59" s="552">
        <f>IF(OR(J59="F",J59="FER."),0,COUNTIFS(BD_PRINCIPAL[DOTACIÓN ACTUAL],D59,BD_PRINCIPAL[ESC.],"PNI O/S")+COUNTIFS(BD_PRINCIPAL[DOTACIÓN ACTUAL],"JEFE/"&amp;D59,BD_PRINCIPAL[ESC.],"PNI O/S")+COUNTIF(BD_PRINCIPAL[DOTACIÓN ACTUAL],VLOOKUP(D59,ENCUADRE_PTR,2,0)))</f>
        <v>0</v>
      </c>
      <c r="G59" s="1079"/>
      <c r="H59" s="551" t="str">
        <f t="shared" si="11"/>
        <v>-</v>
      </c>
      <c r="I59" s="555" t="str">
        <f t="shared" si="12"/>
        <v xml:space="preserve"> </v>
      </c>
      <c r="J59" s="544" t="str">
        <f t="shared" si="13"/>
        <v/>
      </c>
      <c r="K59" s="544"/>
      <c r="L59" s="544"/>
      <c r="M59" s="544"/>
      <c r="N59" s="544"/>
      <c r="O59" s="544"/>
      <c r="P59" s="544"/>
    </row>
    <row r="60" spans="1:16" ht="12.6" customHeight="1" thickBot="1" x14ac:dyDescent="0.35">
      <c r="A60" s="523"/>
      <c r="B60" s="1101"/>
      <c r="C60" s="599" t="str">
        <f t="shared" si="10"/>
        <v>SGTO 1RO. PORTILLA ARAYA LEONARDO MANUEL</v>
      </c>
      <c r="D60" s="538" t="s">
        <v>757</v>
      </c>
      <c r="E60" s="552">
        <f>IF(OR(J60="F",J60="FER."),0,COUNTIFS(BD_PRINCIPAL[DOTACIÓN ACTUAL],D60,BD_PRINCIPAL[ESC.],"PNS O/S")+COUNTIFS(BD_PRINCIPAL[DOTACIÓN ACTUAL],"JEFE/"&amp;D60,BD_PRINCIPAL[ESC.],"PNS O/S")+COUNTIF(BD_PRINCIPAL[DOTACIÓN ACTUAL],0))</f>
        <v>0</v>
      </c>
      <c r="F60" s="552">
        <f>IF(OR(J60="F",J60="FER."),0,COUNTIFS(BD_PRINCIPAL[DOTACIÓN ACTUAL],D60,BD_PRINCIPAL[ESC.],"PNI O/S")+COUNTIFS(BD_PRINCIPAL[DOTACIÓN ACTUAL],"JEFE/"&amp;D60,BD_PRINCIPAL[ESC.],"PNI O/S")+COUNTIF(BD_PRINCIPAL[DOTACIÓN ACTUAL],VLOOKUP(D60,ENCUADRE_PTR,2,0)))</f>
        <v>0</v>
      </c>
      <c r="G60" s="1079"/>
      <c r="H60" s="551" t="str">
        <f t="shared" si="11"/>
        <v xml:space="preserve">  A  </v>
      </c>
      <c r="I60" s="555" t="str">
        <f t="shared" si="12"/>
        <v>F FRANCO</v>
      </c>
      <c r="J60" s="544" t="str">
        <f t="shared" si="13"/>
        <v>F</v>
      </c>
      <c r="K60" s="544"/>
      <c r="L60" s="544"/>
      <c r="M60" s="544"/>
      <c r="N60" s="544"/>
      <c r="O60" s="544"/>
      <c r="P60" s="544"/>
    </row>
    <row r="61" spans="1:16" ht="12.6" customHeight="1" thickBot="1" x14ac:dyDescent="0.35">
      <c r="A61" s="523"/>
      <c r="B61" s="1101"/>
      <c r="C61" s="599" t="str">
        <f t="shared" si="10"/>
        <v>-</v>
      </c>
      <c r="D61" s="538" t="s">
        <v>1254</v>
      </c>
      <c r="E61" s="552">
        <f>IF(OR(J61="F",J61="FER."),0,COUNTIFS(BD_PRINCIPAL[DOTACIÓN ACTUAL],D61,BD_PRINCIPAL[ESC.],"PNS O/S")+COUNTIFS(BD_PRINCIPAL[DOTACIÓN ACTUAL],"JEFE/"&amp;D61,BD_PRINCIPAL[ESC.],"PNS O/S")+COUNTIF(BD_PRINCIPAL[DOTACIÓN ACTUAL],0))</f>
        <v>0</v>
      </c>
      <c r="F61" s="552">
        <f>IF(OR(J61="F",J61="FER."),0,COUNTIFS(BD_PRINCIPAL[DOTACIÓN ACTUAL],D61,BD_PRINCIPAL[ESC.],"PNI O/S")+COUNTIFS(BD_PRINCIPAL[DOTACIÓN ACTUAL],"JEFE/"&amp;D61,BD_PRINCIPAL[ESC.],"PNI O/S")+COUNTIF(BD_PRINCIPAL[DOTACIÓN ACTUAL],VLOOKUP(D61,ENCUADRE_PTR,2,0)))</f>
        <v>0</v>
      </c>
      <c r="G61" s="1079"/>
      <c r="H61" s="551" t="str">
        <f t="shared" si="11"/>
        <v>-</v>
      </c>
      <c r="I61" s="555" t="str">
        <f t="shared" si="12"/>
        <v xml:space="preserve"> </v>
      </c>
      <c r="J61" s="544" t="str">
        <f t="shared" si="13"/>
        <v/>
      </c>
      <c r="K61" s="544"/>
      <c r="L61" s="544"/>
      <c r="M61" s="544"/>
      <c r="N61" s="544"/>
      <c r="O61" s="544"/>
      <c r="P61" s="544"/>
    </row>
    <row r="62" spans="1:16" ht="12.6" customHeight="1" thickBot="1" x14ac:dyDescent="0.35">
      <c r="A62" s="523"/>
      <c r="B62" s="1101"/>
      <c r="C62" s="599" t="str">
        <f t="shared" si="10"/>
        <v>-</v>
      </c>
      <c r="D62" s="538" t="s">
        <v>1832</v>
      </c>
      <c r="E62" s="552">
        <f>IF(OR(J62="F",J62="FER."),0,COUNTIFS(BD_PRINCIPAL[DOTACIÓN ACTUAL],D62,BD_PRINCIPAL[ESC.],"PNS O/S")+COUNTIFS(BD_PRINCIPAL[DOTACIÓN ACTUAL],"JEFE/"&amp;D62,BD_PRINCIPAL[ESC.],"PNS O/S")+COUNTIF(BD_PRINCIPAL[DOTACIÓN ACTUAL],0))</f>
        <v>0</v>
      </c>
      <c r="F62" s="552">
        <f>IF(OR(J62="F",J62="FER."),0,COUNTIFS(BD_PRINCIPAL[DOTACIÓN ACTUAL],D62,BD_PRINCIPAL[ESC.],"PNI O/S")+COUNTIFS(BD_PRINCIPAL[DOTACIÓN ACTUAL],"JEFE/"&amp;D62,BD_PRINCIPAL[ESC.],"PNI O/S")+COUNTIF(BD_PRINCIPAL[DOTACIÓN ACTUAL],VLOOKUP(D62,ENCUADRE_PTR,2,0)))</f>
        <v>0</v>
      </c>
      <c r="G62" s="1079"/>
      <c r="H62" s="551" t="str">
        <f t="shared" si="11"/>
        <v>-</v>
      </c>
      <c r="I62" s="555" t="str">
        <f t="shared" si="12"/>
        <v xml:space="preserve"> </v>
      </c>
      <c r="J62" s="544" t="str">
        <f t="shared" si="13"/>
        <v/>
      </c>
      <c r="K62" s="544"/>
      <c r="L62" s="544"/>
      <c r="M62" s="544"/>
      <c r="N62" s="544"/>
      <c r="O62" s="544"/>
      <c r="P62" s="544"/>
    </row>
    <row r="63" spans="1:16" ht="12.6" customHeight="1" thickBot="1" x14ac:dyDescent="0.35">
      <c r="A63" s="523"/>
      <c r="B63" s="1103"/>
      <c r="C63" s="609" t="str">
        <f t="shared" si="10"/>
        <v>-</v>
      </c>
      <c r="D63" s="539" t="s">
        <v>1833</v>
      </c>
      <c r="E63" s="552">
        <f>IF(OR(J63="F",J63="FER."),0,COUNTIFS(BD_PRINCIPAL[DOTACIÓN ACTUAL],D63,BD_PRINCIPAL[ESC.],"PNS O/S")+COUNTIFS(BD_PRINCIPAL[DOTACIÓN ACTUAL],"JEFE/"&amp;D63,BD_PRINCIPAL[ESC.],"PNS O/S")+COUNTIF(BD_PRINCIPAL[DOTACIÓN ACTUAL],0))</f>
        <v>0</v>
      </c>
      <c r="F63" s="552">
        <f>IF(OR(J63="F",J63="FER."),0,COUNTIFS(BD_PRINCIPAL[DOTACIÓN ACTUAL],D63,BD_PRINCIPAL[ESC.],"PNI O/S")+COUNTIFS(BD_PRINCIPAL[DOTACIÓN ACTUAL],"JEFE/"&amp;D63,BD_PRINCIPAL[ESC.],"PNI O/S")+COUNTIF(BD_PRINCIPAL[DOTACIÓN ACTUAL],VLOOKUP(D63,ENCUADRE_PTR,2,0)))</f>
        <v>0</v>
      </c>
      <c r="G63" s="1080"/>
      <c r="H63" s="557" t="str">
        <f t="shared" si="11"/>
        <v>-</v>
      </c>
      <c r="I63" s="558" t="str">
        <f t="shared" si="12"/>
        <v xml:space="preserve"> </v>
      </c>
      <c r="J63" s="544" t="str">
        <f t="shared" si="13"/>
        <v/>
      </c>
      <c r="K63" s="544"/>
      <c r="L63" s="544"/>
      <c r="M63" s="544"/>
      <c r="N63" s="544"/>
      <c r="O63" s="544"/>
      <c r="P63" s="544"/>
    </row>
    <row r="64" spans="1:16" ht="12.6" customHeight="1" thickBot="1" x14ac:dyDescent="0.35">
      <c r="A64" s="523"/>
      <c r="B64" s="1100" t="s">
        <v>1635</v>
      </c>
      <c r="C64" s="600" t="str">
        <f t="shared" si="10"/>
        <v>TENIENTE MORAGA RUIZ MARIO IGNACIO</v>
      </c>
      <c r="D64" s="564" t="s">
        <v>670</v>
      </c>
      <c r="E64" s="552">
        <f>IF(OR(J64="F",J64="FER."),0,COUNTIFS(BD_PRINCIPAL[DOTACIÓN ACTUAL],D64,BD_PRINCIPAL[ESC.],"PNS O/S")+COUNTIFS(BD_PRINCIPAL[DOTACIÓN ACTUAL],"JEFE/"&amp;D64,BD_PRINCIPAL[ESC.],"PNS O/S")+COUNTIF(BD_PRINCIPAL[DOTACIÓN ACTUAL],0))</f>
        <v>1</v>
      </c>
      <c r="F64" s="552">
        <f>IF(OR(J64="F",J64="FER."),0,COUNTIFS(BD_PRINCIPAL[DOTACIÓN ACTUAL],D64,BD_PRINCIPAL[ESC.],"PNI O/S")+COUNTIFS(BD_PRINCIPAL[DOTACIÓN ACTUAL],"JEFE/"&amp;D64,BD_PRINCIPAL[ESC.],"PNI O/S")+COUNTIF(BD_PRINCIPAL[DOTACIÓN ACTUAL],VLOOKUP(D64,ENCUADRE_PTR,2,0)))</f>
        <v>1</v>
      </c>
      <c r="G64" s="1078">
        <f>SUM(E64:F70)</f>
        <v>7</v>
      </c>
      <c r="H64" s="553" t="str">
        <f t="shared" si="9"/>
        <v>20:00 A 08:00</v>
      </c>
      <c r="I64" s="554" t="str">
        <f t="shared" si="12"/>
        <v>3T APS</v>
      </c>
      <c r="J64" s="544" t="str">
        <f t="shared" si="13"/>
        <v>3T</v>
      </c>
      <c r="K64" s="544"/>
      <c r="L64" s="544"/>
      <c r="M64" s="544"/>
      <c r="N64" s="544"/>
      <c r="O64" s="544"/>
      <c r="P64" s="544"/>
    </row>
    <row r="65" spans="1:16" ht="12.6" customHeight="1" thickBot="1" x14ac:dyDescent="0.35">
      <c r="A65" s="523"/>
      <c r="B65" s="1101"/>
      <c r="C65" s="599" t="str">
        <f t="shared" si="10"/>
        <v>TENIENTE HUERTA BOHUS PATRICIO ALEJANDRO</v>
      </c>
      <c r="D65" s="564" t="s">
        <v>827</v>
      </c>
      <c r="E65" s="552">
        <f>IF(OR(J65="F",J65="FER."),0,COUNTIFS(BD_PRINCIPAL[DOTACIÓN ACTUAL],D65,BD_PRINCIPAL[ESC.],"PNS O/S")+COUNTIFS(BD_PRINCIPAL[DOTACIÓN ACTUAL],"JEFE/"&amp;D65,BD_PRINCIPAL[ESC.],"PNS O/S")+COUNTIF(BD_PRINCIPAL[DOTACIÓN ACTUAL],0))</f>
        <v>0</v>
      </c>
      <c r="F65" s="552">
        <f>IF(OR(J65="F",J65="FER."),0,COUNTIFS(BD_PRINCIPAL[DOTACIÓN ACTUAL],D65,BD_PRINCIPAL[ESC.],"PNI O/S")+COUNTIFS(BD_PRINCIPAL[DOTACIÓN ACTUAL],"JEFE/"&amp;D65,BD_PRINCIPAL[ESC.],"PNI O/S")+COUNTIF(BD_PRINCIPAL[DOTACIÓN ACTUAL],VLOOKUP(D65,ENCUADRE_PTR,2,0)))</f>
        <v>0</v>
      </c>
      <c r="G65" s="1079"/>
      <c r="H65" s="551" t="str">
        <f t="shared" si="9"/>
        <v xml:space="preserve">00:00 A  </v>
      </c>
      <c r="I65" s="555" t="str">
        <f t="shared" si="12"/>
        <v>F FRANCO</v>
      </c>
      <c r="J65" s="544" t="str">
        <f t="shared" si="13"/>
        <v>F</v>
      </c>
      <c r="K65" s="544"/>
      <c r="L65" s="544"/>
      <c r="M65" s="544"/>
      <c r="N65" s="544"/>
      <c r="O65" s="544"/>
      <c r="P65" s="544"/>
    </row>
    <row r="66" spans="1:16" ht="12.6" customHeight="1" thickBot="1" x14ac:dyDescent="0.35">
      <c r="A66" s="523"/>
      <c r="B66" s="1101"/>
      <c r="C66" s="599" t="str">
        <f t="shared" si="5"/>
        <v>TENIENTE LEPIN SOLAR MAXIMILIANO ARTURO</v>
      </c>
      <c r="D66" s="564" t="s">
        <v>829</v>
      </c>
      <c r="E66" s="552">
        <f>IF(OR(J66="F",J66="FER."),0,COUNTIFS(BD_PRINCIPAL[DOTACIÓN ACTUAL],D66,BD_PRINCIPAL[ESC.],"PNS O/S")+COUNTIFS(BD_PRINCIPAL[DOTACIÓN ACTUAL],"JEFE/"&amp;D66,BD_PRINCIPAL[ESC.],"PNS O/S")+COUNTIF(BD_PRINCIPAL[DOTACIÓN ACTUAL],0))</f>
        <v>1</v>
      </c>
      <c r="F66" s="552">
        <f>IF(OR(J66="F",J66="FER."),0,COUNTIFS(BD_PRINCIPAL[DOTACIÓN ACTUAL],D66,BD_PRINCIPAL[ESC.],"PNI O/S")+COUNTIFS(BD_PRINCIPAL[DOTACIÓN ACTUAL],"JEFE/"&amp;D66,BD_PRINCIPAL[ESC.],"PNI O/S")+COUNTIF(BD_PRINCIPAL[DOTACIÓN ACTUAL],VLOOKUP(D66,ENCUADRE_PTR,2,0)))</f>
        <v>2</v>
      </c>
      <c r="G66" s="1079"/>
      <c r="H66" s="551" t="str">
        <f t="shared" si="9"/>
        <v>08:00 A NORM.</v>
      </c>
      <c r="I66" s="555" t="str">
        <f t="shared" si="7"/>
        <v>1P ARIETE 22</v>
      </c>
      <c r="J66" s="544" t="str">
        <f t="shared" si="8"/>
        <v>1P</v>
      </c>
      <c r="K66" s="544"/>
      <c r="L66" s="544"/>
      <c r="M66" s="544"/>
      <c r="N66" s="544"/>
      <c r="O66" s="544"/>
      <c r="P66" s="544"/>
    </row>
    <row r="67" spans="1:16" ht="12.6" customHeight="1" thickBot="1" x14ac:dyDescent="0.35">
      <c r="A67" s="523"/>
      <c r="B67" s="1101"/>
      <c r="C67" s="599" t="str">
        <f>IFERROR(IF(VLOOKUP(D67,TURNOS_SERVICIOS,2,FALSE)=0,"-",VLOOKUP(D67,TURNOS_SERVICIOS,2,FALSE)),"-")</f>
        <v>TENIENTE SALAZAR CARVAJAL CARLOS</v>
      </c>
      <c r="D67" s="564" t="s">
        <v>2051</v>
      </c>
      <c r="E67" s="552">
        <f>IF(OR(J67="F",J67="FER."),0,COUNTIFS(BD_PRINCIPAL[DOTACIÓN ACTUAL],D67,BD_PRINCIPAL[ESC.],"PNS O/S")+COUNTIFS(BD_PRINCIPAL[DOTACIÓN ACTUAL],"JEFE/"&amp;D67,BD_PRINCIPAL[ESC.],"PNS O/S")+COUNTIF(BD_PRINCIPAL[DOTACIÓN ACTUAL],0))</f>
        <v>1</v>
      </c>
      <c r="F67" s="552">
        <f>IF(OR(J67="F",J67="FER."),0,COUNTIFS(BD_PRINCIPAL[DOTACIÓN ACTUAL],D67,BD_PRINCIPAL[ESC.],"PNI O/S")+COUNTIFS(BD_PRINCIPAL[DOTACIÓN ACTUAL],"JEFE/"&amp;D67,BD_PRINCIPAL[ESC.],"PNI O/S")+COUNTIF(BD_PRINCIPAL[DOTACIÓN ACTUAL],VLOOKUP(D67,ENCUADRE_PTR,2,0)))</f>
        <v>1</v>
      </c>
      <c r="G67" s="1079"/>
      <c r="H67" s="551" t="str">
        <f t="shared" si="9"/>
        <v>08:00 A NORM.</v>
      </c>
      <c r="I67" s="555" t="str">
        <f>IFERROR(IF(VLOOKUP(D67,TURNOS_SERVICIOS,4,FALSE)=0,"-",VLOOKUP(D67,TURNOS_SERVICIOS,4,FALSE)),"-")&amp;" "&amp;IFERROR(IF(VLOOKUP(D67,TURNOS_SERVICIOS,5,FALSE)=0,"-",VLOOKUP(D67,TURNOS_SERVICIOS,5,FALSE)),"-")</f>
        <v>1P ARIETE 23</v>
      </c>
      <c r="J67" s="544" t="str">
        <f>IFERROR(IF(VLOOKUP(D67,TURNOS_SERVICIOS,4,FALSE)=0,"-",VLOOKUP(D67,TURNOS_SERVICIOS,4,FALSE)),"-")</f>
        <v>1P</v>
      </c>
      <c r="K67" s="544"/>
      <c r="L67" s="544"/>
      <c r="M67" s="544"/>
      <c r="N67" s="544"/>
      <c r="O67" s="544"/>
      <c r="P67" s="544"/>
    </row>
    <row r="68" spans="1:16" ht="12.6" customHeight="1" thickBot="1" x14ac:dyDescent="0.35">
      <c r="A68" s="523"/>
      <c r="B68" s="1101"/>
      <c r="C68" s="599" t="str">
        <f>IFERROR(IF(VLOOKUP(D68,TURNOS_SERVICIOS,2,FALSE)=0,"-",VLOOKUP(D68,TURNOS_SERVICIOS,2,FALSE)),"-")</f>
        <v>TENIENTE SEPULVEDA BUSTOS ALVARO SEBASTIAN</v>
      </c>
      <c r="D68" s="564" t="s">
        <v>2052</v>
      </c>
      <c r="E68" s="552">
        <f>IF(OR(J68="F",J68="FER."),0,COUNTIFS(BD_PRINCIPAL[DOTACIÓN ACTUAL],D68,BD_PRINCIPAL[ESC.],"PNS O/S")+COUNTIFS(BD_PRINCIPAL[DOTACIÓN ACTUAL],"JEFE/"&amp;D68,BD_PRINCIPAL[ESC.],"PNS O/S")+COUNTIF(BD_PRINCIPAL[DOTACIÓN ACTUAL],0))</f>
        <v>0</v>
      </c>
      <c r="F68" s="552">
        <f>IF(OR(J68="F",J68="FER."),0,COUNTIFS(BD_PRINCIPAL[DOTACIÓN ACTUAL],D68,BD_PRINCIPAL[ESC.],"PNI O/S")+COUNTIFS(BD_PRINCIPAL[DOTACIÓN ACTUAL],"JEFE/"&amp;D68,BD_PRINCIPAL[ESC.],"PNI O/S")+COUNTIF(BD_PRINCIPAL[DOTACIÓN ACTUAL],VLOOKUP(D68,ENCUADRE_PTR,2,0)))</f>
        <v>0</v>
      </c>
      <c r="G68" s="1079"/>
      <c r="H68" s="551" t="str">
        <f t="shared" si="9"/>
        <v xml:space="preserve">  A  </v>
      </c>
      <c r="I68" s="555" t="str">
        <f>IFERROR(IF(VLOOKUP(D68,TURNOS_SERVICIOS,4,FALSE)=0,"-",VLOOKUP(D68,TURNOS_SERVICIOS,4,FALSE)),"-")&amp;" "&amp;IFERROR(IF(VLOOKUP(D68,TURNOS_SERVICIOS,5,FALSE)=0,"-",VLOOKUP(D68,TURNOS_SERVICIOS,5,FALSE)),"-")</f>
        <v>F FRANCO</v>
      </c>
      <c r="J68" s="544" t="str">
        <f>IFERROR(IF(VLOOKUP(D68,TURNOS_SERVICIOS,4,FALSE)=0,"-",VLOOKUP(D68,TURNOS_SERVICIOS,4,FALSE)),"-")</f>
        <v>F</v>
      </c>
      <c r="K68" s="544"/>
      <c r="L68" s="544"/>
      <c r="M68" s="544"/>
      <c r="N68" s="544"/>
      <c r="O68" s="544"/>
      <c r="P68" s="544"/>
    </row>
    <row r="69" spans="1:16" ht="12.6" customHeight="1" thickBot="1" x14ac:dyDescent="0.35">
      <c r="A69" s="523"/>
      <c r="B69" s="1101"/>
      <c r="C69" s="599" t="str">
        <f>IFERROR(IF(VLOOKUP(D69,TURNOS_SERVICIOS,2,FALSE)=0,"-",VLOOKUP(D69,TURNOS_SERVICIOS,2,FALSE)),"-")</f>
        <v>-</v>
      </c>
      <c r="D69" s="564" t="s">
        <v>2053</v>
      </c>
      <c r="E69" s="552">
        <f>IF(OR(J69="F",J69="FER."),0,COUNTIFS(BD_PRINCIPAL[DOTACIÓN ACTUAL],D69,BD_PRINCIPAL[ESC.],"PNS O/S")+COUNTIFS(BD_PRINCIPAL[DOTACIÓN ACTUAL],"JEFE/"&amp;D69,BD_PRINCIPAL[ESC.],"PNS O/S")+COUNTIF(BD_PRINCIPAL[DOTACIÓN ACTUAL],0))</f>
        <v>0</v>
      </c>
      <c r="F69" s="552">
        <f>IF(OR(J69="F",J69="FER."),0,COUNTIFS(BD_PRINCIPAL[DOTACIÓN ACTUAL],D69,BD_PRINCIPAL[ESC.],"PNI O/S")+COUNTIFS(BD_PRINCIPAL[DOTACIÓN ACTUAL],"JEFE/"&amp;D69,BD_PRINCIPAL[ESC.],"PNI O/S")+COUNTIF(BD_PRINCIPAL[DOTACIÓN ACTUAL],VLOOKUP(D69,ENCUADRE_PTR,2,0)))</f>
        <v>0</v>
      </c>
      <c r="G69" s="1079"/>
      <c r="H69" s="551" t="str">
        <f t="shared" si="9"/>
        <v>-</v>
      </c>
      <c r="I69" s="555" t="str">
        <f>IFERROR(IF(VLOOKUP(D69,TURNOS_SERVICIOS,4,FALSE)=0,"-",VLOOKUP(D69,TURNOS_SERVICIOS,4,FALSE)),"-")&amp;" "&amp;IFERROR(IF(VLOOKUP(D69,TURNOS_SERVICIOS,5,FALSE)=0,"-",VLOOKUP(D69,TURNOS_SERVICIOS,5,FALSE)),"-")</f>
        <v xml:space="preserve"> </v>
      </c>
      <c r="J69" s="544" t="str">
        <f>IFERROR(IF(VLOOKUP(D69,TURNOS_SERVICIOS,4,FALSE)=0,"-",VLOOKUP(D69,TURNOS_SERVICIOS,4,FALSE)),"-")</f>
        <v/>
      </c>
      <c r="K69" s="544"/>
      <c r="L69" s="544"/>
      <c r="M69" s="544"/>
      <c r="N69" s="544"/>
      <c r="O69" s="544"/>
      <c r="P69" s="544"/>
    </row>
    <row r="70" spans="1:16" ht="12.6" customHeight="1" thickBot="1" x14ac:dyDescent="0.35">
      <c r="A70" s="523"/>
      <c r="B70" s="1103"/>
      <c r="C70" s="609" t="str">
        <f t="shared" si="5"/>
        <v>-</v>
      </c>
      <c r="D70" s="564" t="s">
        <v>2054</v>
      </c>
      <c r="E70" s="552">
        <f>IF(OR(J70="F",J70="FER."),0,COUNTIFS(BD_PRINCIPAL[DOTACIÓN ACTUAL],D70,BD_PRINCIPAL[ESC.],"PNS O/S")+COUNTIFS(BD_PRINCIPAL[DOTACIÓN ACTUAL],"JEFE/"&amp;D70,BD_PRINCIPAL[ESC.],"PNS O/S")+COUNTIF(BD_PRINCIPAL[DOTACIÓN ACTUAL],0))</f>
        <v>0</v>
      </c>
      <c r="F70" s="552">
        <f>IF(OR(J70="F",J70="FER."),0,COUNTIFS(BD_PRINCIPAL[DOTACIÓN ACTUAL],D70,BD_PRINCIPAL[ESC.],"PNI O/S")+COUNTIFS(BD_PRINCIPAL[DOTACIÓN ACTUAL],"JEFE/"&amp;D70,BD_PRINCIPAL[ESC.],"PNI O/S")+COUNTIF(BD_PRINCIPAL[DOTACIÓN ACTUAL],VLOOKUP(D70,ENCUADRE_PTR,2,0)))</f>
        <v>0</v>
      </c>
      <c r="G70" s="1080"/>
      <c r="H70" s="557" t="str">
        <f t="shared" si="9"/>
        <v>-</v>
      </c>
      <c r="I70" s="558" t="str">
        <f t="shared" si="7"/>
        <v xml:space="preserve">  </v>
      </c>
      <c r="J70" s="544" t="str">
        <f t="shared" si="8"/>
        <v/>
      </c>
      <c r="K70" s="544"/>
      <c r="L70" s="544"/>
      <c r="M70" s="544"/>
      <c r="N70" s="544"/>
      <c r="O70" s="544"/>
      <c r="P70" s="544"/>
    </row>
    <row r="71" spans="1:16" ht="12.6" customHeight="1" x14ac:dyDescent="0.3">
      <c r="A71" s="523"/>
      <c r="B71" s="1122" t="s">
        <v>1938</v>
      </c>
      <c r="C71" s="1122"/>
      <c r="D71" s="602" t="s">
        <v>859</v>
      </c>
      <c r="E71" s="535"/>
      <c r="F71" s="536">
        <f>SUMIF(PTL[TURNO],"&lt;&gt;F",PTL[F.E.])</f>
        <v>15</v>
      </c>
      <c r="G71" s="1108">
        <f>SUM(E71:F74)</f>
        <v>19</v>
      </c>
      <c r="H71" s="1109"/>
      <c r="I71" s="1096"/>
      <c r="J71" s="544"/>
      <c r="K71" s="544"/>
      <c r="L71" s="544"/>
      <c r="M71" s="544"/>
      <c r="N71" s="544"/>
      <c r="O71" s="544"/>
      <c r="P71" s="544"/>
    </row>
    <row r="72" spans="1:16" ht="12.6" customHeight="1" x14ac:dyDescent="0.3">
      <c r="A72" s="523"/>
      <c r="B72" s="1122"/>
      <c r="C72" s="1122"/>
      <c r="D72" s="603" t="s">
        <v>1939</v>
      </c>
      <c r="E72" s="525"/>
      <c r="F72" s="526">
        <f>SUM('Panel de Trabajo'!J141:J142)</f>
        <v>4</v>
      </c>
      <c r="G72" s="1096"/>
      <c r="H72" s="1109"/>
      <c r="I72" s="1096"/>
      <c r="J72" s="544"/>
      <c r="K72" s="544"/>
      <c r="L72" s="544"/>
      <c r="M72" s="544"/>
      <c r="N72" s="544"/>
      <c r="O72" s="544"/>
      <c r="P72" s="544"/>
    </row>
    <row r="73" spans="1:16" ht="12.6" customHeight="1" x14ac:dyDescent="0.3">
      <c r="A73" s="523"/>
      <c r="B73" s="1122"/>
      <c r="C73" s="1122"/>
      <c r="D73" s="603" t="s">
        <v>1940</v>
      </c>
      <c r="E73" s="525"/>
      <c r="F73" s="526"/>
      <c r="G73" s="1096"/>
      <c r="H73" s="1109"/>
      <c r="I73" s="1096"/>
      <c r="J73" s="544"/>
      <c r="K73" s="544"/>
      <c r="L73" s="544"/>
      <c r="M73" s="544"/>
      <c r="N73" s="544"/>
      <c r="O73" s="544"/>
      <c r="P73" s="544"/>
    </row>
    <row r="74" spans="1:16" ht="12.6" customHeight="1" thickBot="1" x14ac:dyDescent="0.35">
      <c r="A74" s="523"/>
      <c r="B74" s="1122"/>
      <c r="C74" s="1122"/>
      <c r="D74" s="604" t="s">
        <v>1941</v>
      </c>
      <c r="E74" s="533"/>
      <c r="F74" s="534"/>
      <c r="G74" s="1097"/>
      <c r="H74" s="1110"/>
      <c r="I74" s="1097"/>
      <c r="J74" s="544"/>
      <c r="K74" s="544"/>
      <c r="L74" s="544"/>
      <c r="M74" s="544"/>
      <c r="N74" s="544"/>
      <c r="O74" s="544"/>
      <c r="P74" s="544"/>
    </row>
    <row r="75" spans="1:16" ht="12.6" customHeight="1" x14ac:dyDescent="0.3">
      <c r="A75" s="523"/>
      <c r="B75" s="1122" t="s">
        <v>1942</v>
      </c>
      <c r="C75" s="1122"/>
      <c r="D75" s="602" t="s">
        <v>1078</v>
      </c>
      <c r="E75" s="531"/>
      <c r="F75" s="532">
        <f>SUMIF('Panel de Trabajo'!$F$146:$F$153,"&lt;&gt;F",'Panel de Trabajo'!J146:J153)</f>
        <v>15</v>
      </c>
      <c r="G75" s="1119">
        <f>SUM(E75:F77)</f>
        <v>31</v>
      </c>
      <c r="H75" s="1109"/>
      <c r="I75" s="1098"/>
      <c r="J75" s="544"/>
      <c r="K75" s="544"/>
      <c r="L75" s="544"/>
      <c r="M75" s="544"/>
      <c r="N75" s="544"/>
      <c r="O75" s="544"/>
      <c r="P75" s="544"/>
    </row>
    <row r="76" spans="1:16" ht="12.6" customHeight="1" x14ac:dyDescent="0.3">
      <c r="A76" s="523"/>
      <c r="B76" s="1122"/>
      <c r="C76" s="1122"/>
      <c r="D76" s="603" t="s">
        <v>1943</v>
      </c>
      <c r="E76" s="525"/>
      <c r="F76" s="526">
        <v>6</v>
      </c>
      <c r="G76" s="1120"/>
      <c r="H76" s="1109"/>
      <c r="I76" s="1098"/>
      <c r="J76" s="544"/>
      <c r="K76" s="544"/>
      <c r="L76" s="544"/>
      <c r="M76" s="544"/>
      <c r="N76" s="544"/>
      <c r="O76" s="544"/>
      <c r="P76" s="544"/>
    </row>
    <row r="77" spans="1:16" ht="16.2" thickBot="1" x14ac:dyDescent="0.35">
      <c r="A77" s="523"/>
      <c r="B77" s="1122"/>
      <c r="C77" s="1122"/>
      <c r="D77" s="604" t="s">
        <v>1944</v>
      </c>
      <c r="E77" s="533"/>
      <c r="F77" s="534">
        <v>10</v>
      </c>
      <c r="G77" s="1121"/>
      <c r="H77" s="1110"/>
      <c r="I77" s="1099"/>
      <c r="J77" s="544"/>
      <c r="K77" s="544"/>
      <c r="L77" s="544"/>
      <c r="M77" s="544"/>
      <c r="N77" s="544"/>
      <c r="O77" s="544"/>
      <c r="P77" s="544"/>
    </row>
    <row r="78" spans="1:16" ht="12.6" customHeight="1" x14ac:dyDescent="0.3">
      <c r="A78" s="523"/>
      <c r="B78" s="1104" t="s">
        <v>1945</v>
      </c>
      <c r="C78" s="1104"/>
      <c r="D78" s="605" t="s">
        <v>1946</v>
      </c>
      <c r="E78" s="535"/>
      <c r="F78" s="536">
        <v>3</v>
      </c>
      <c r="G78" s="1111">
        <f>SUM(E78:F88)</f>
        <v>26</v>
      </c>
      <c r="H78" s="1117"/>
      <c r="I78" s="1092"/>
      <c r="J78" s="544"/>
      <c r="K78" s="544"/>
      <c r="L78" s="544"/>
      <c r="M78" s="544"/>
      <c r="N78" s="544"/>
      <c r="O78" s="544"/>
      <c r="P78" s="544"/>
    </row>
    <row r="79" spans="1:16" ht="12.6" customHeight="1" x14ac:dyDescent="0.3">
      <c r="A79" s="523"/>
      <c r="B79" s="1104"/>
      <c r="C79" s="1104"/>
      <c r="D79" s="606" t="s">
        <v>1947</v>
      </c>
      <c r="E79" s="525"/>
      <c r="F79" s="526">
        <v>3</v>
      </c>
      <c r="G79" s="1112"/>
      <c r="H79" s="1118"/>
      <c r="I79" s="1093"/>
      <c r="J79" s="544"/>
      <c r="K79" s="544"/>
      <c r="L79" s="544"/>
      <c r="M79" s="544"/>
      <c r="N79" s="544"/>
      <c r="O79" s="544"/>
      <c r="P79" s="544"/>
    </row>
    <row r="80" spans="1:16" ht="12.6" customHeight="1" x14ac:dyDescent="0.3">
      <c r="A80" s="523"/>
      <c r="B80" s="1104"/>
      <c r="C80" s="1104"/>
      <c r="D80" s="606" t="s">
        <v>16</v>
      </c>
      <c r="E80" s="525"/>
      <c r="F80" s="526">
        <v>2</v>
      </c>
      <c r="G80" s="1112"/>
      <c r="H80" s="1118"/>
      <c r="I80" s="1093"/>
      <c r="J80" s="544"/>
      <c r="K80" s="544"/>
      <c r="L80" s="544"/>
      <c r="M80" s="544"/>
      <c r="N80" s="544"/>
      <c r="O80" s="544"/>
      <c r="P80" s="544"/>
    </row>
    <row r="81" spans="1:16" ht="12.6" customHeight="1" x14ac:dyDescent="0.3">
      <c r="A81" s="523"/>
      <c r="B81" s="1104"/>
      <c r="C81" s="1104"/>
      <c r="D81" s="606" t="s">
        <v>1080</v>
      </c>
      <c r="E81" s="525"/>
      <c r="F81" s="526">
        <v>6</v>
      </c>
      <c r="G81" s="1112"/>
      <c r="H81" s="1118"/>
      <c r="I81" s="1093"/>
      <c r="J81" s="544"/>
      <c r="K81" s="544"/>
      <c r="L81" s="544"/>
      <c r="M81" s="544"/>
      <c r="N81" s="544"/>
      <c r="O81" s="544"/>
      <c r="P81" s="544"/>
    </row>
    <row r="82" spans="1:16" ht="12.6" customHeight="1" x14ac:dyDescent="0.3">
      <c r="A82" s="523"/>
      <c r="B82" s="1104"/>
      <c r="C82" s="1104"/>
      <c r="D82" s="606" t="s">
        <v>1948</v>
      </c>
      <c r="E82" s="525"/>
      <c r="F82" s="526">
        <v>0</v>
      </c>
      <c r="G82" s="1112"/>
      <c r="H82" s="1118"/>
      <c r="I82" s="1093"/>
      <c r="J82" s="544"/>
      <c r="K82" s="544"/>
      <c r="L82" s="544"/>
      <c r="M82" s="544"/>
      <c r="N82" s="544"/>
      <c r="O82" s="544"/>
      <c r="P82" s="544"/>
    </row>
    <row r="83" spans="1:16" ht="12.6" customHeight="1" x14ac:dyDescent="0.3">
      <c r="A83" s="523"/>
      <c r="B83" s="1104"/>
      <c r="C83" s="1104"/>
      <c r="D83" s="606" t="s">
        <v>1720</v>
      </c>
      <c r="E83" s="525"/>
      <c r="F83" s="526">
        <v>4</v>
      </c>
      <c r="G83" s="1112"/>
      <c r="H83" s="1118"/>
      <c r="I83" s="1093"/>
      <c r="J83" s="544"/>
      <c r="K83" s="544"/>
      <c r="L83" s="544"/>
      <c r="M83" s="544"/>
      <c r="N83" s="544"/>
      <c r="O83" s="544"/>
      <c r="P83" s="544"/>
    </row>
    <row r="84" spans="1:16" ht="12.6" customHeight="1" x14ac:dyDescent="0.3">
      <c r="A84" s="523"/>
      <c r="B84" s="1104"/>
      <c r="C84" s="1104"/>
      <c r="D84" s="606" t="s">
        <v>1949</v>
      </c>
      <c r="E84" s="525"/>
      <c r="F84" s="526">
        <v>4</v>
      </c>
      <c r="G84" s="1112"/>
      <c r="H84" s="1118"/>
      <c r="I84" s="1093"/>
      <c r="J84" s="544"/>
      <c r="K84" s="544"/>
      <c r="L84" s="544"/>
      <c r="M84" s="544"/>
      <c r="N84" s="544"/>
      <c r="O84" s="544"/>
      <c r="P84" s="544"/>
    </row>
    <row r="85" spans="1:16" ht="12.6" customHeight="1" x14ac:dyDescent="0.3">
      <c r="A85" s="523"/>
      <c r="B85" s="1104"/>
      <c r="C85" s="1104"/>
      <c r="D85" s="606" t="s">
        <v>1950</v>
      </c>
      <c r="E85" s="525"/>
      <c r="F85" s="526">
        <v>0</v>
      </c>
      <c r="G85" s="1112"/>
      <c r="H85" s="1118"/>
      <c r="I85" s="1093"/>
      <c r="J85" s="544"/>
      <c r="K85" s="544"/>
      <c r="L85" s="544"/>
      <c r="M85" s="544"/>
      <c r="N85" s="544"/>
      <c r="O85" s="544"/>
      <c r="P85" s="544"/>
    </row>
    <row r="86" spans="1:16" ht="12.6" customHeight="1" x14ac:dyDescent="0.3">
      <c r="A86" s="523"/>
      <c r="B86" s="1104"/>
      <c r="C86" s="1104"/>
      <c r="D86" s="606" t="s">
        <v>23</v>
      </c>
      <c r="E86" s="525"/>
      <c r="F86" s="526">
        <v>4</v>
      </c>
      <c r="G86" s="1112"/>
      <c r="H86" s="1118"/>
      <c r="I86" s="1093"/>
      <c r="J86" s="544"/>
      <c r="K86" s="544"/>
      <c r="L86" s="544"/>
      <c r="M86" s="544"/>
      <c r="N86" s="544"/>
      <c r="O86" s="544"/>
      <c r="P86" s="544"/>
    </row>
    <row r="87" spans="1:16" ht="12.6" customHeight="1" x14ac:dyDescent="0.3">
      <c r="A87" s="523"/>
      <c r="B87" s="1104"/>
      <c r="C87" s="1104"/>
      <c r="D87" s="606" t="s">
        <v>1951</v>
      </c>
      <c r="E87" s="525"/>
      <c r="F87" s="526">
        <v>0</v>
      </c>
      <c r="G87" s="1112"/>
      <c r="H87" s="1118"/>
      <c r="I87" s="1093"/>
      <c r="J87" s="544"/>
      <c r="K87" s="544"/>
      <c r="L87" s="544"/>
      <c r="M87" s="544"/>
      <c r="N87" s="544"/>
      <c r="O87" s="544"/>
      <c r="P87" s="544"/>
    </row>
    <row r="88" spans="1:16" ht="12.6" customHeight="1" thickBot="1" x14ac:dyDescent="0.35">
      <c r="A88" s="523"/>
      <c r="B88" s="1104"/>
      <c r="C88" s="1104"/>
      <c r="D88" s="607" t="s">
        <v>1079</v>
      </c>
      <c r="E88" s="529"/>
      <c r="F88" s="530">
        <v>0</v>
      </c>
      <c r="G88" s="1112"/>
      <c r="H88" s="1118"/>
      <c r="I88" s="1093"/>
    </row>
    <row r="89" spans="1:16" ht="12.6" customHeight="1" x14ac:dyDescent="0.3">
      <c r="A89" s="523"/>
      <c r="B89" s="1104" t="s">
        <v>1952</v>
      </c>
      <c r="C89" s="1104"/>
      <c r="D89" s="605" t="s">
        <v>1937</v>
      </c>
      <c r="E89" s="531">
        <f>'TABLAS DINAMICAS'!G9</f>
        <v>6</v>
      </c>
      <c r="F89" s="532">
        <f>'TABLAS DINAMICAS'!H9</f>
        <v>86</v>
      </c>
      <c r="G89" s="1111">
        <f>SUM(E89:F94)</f>
        <v>167</v>
      </c>
      <c r="H89" s="1114"/>
      <c r="I89" s="1089"/>
    </row>
    <row r="90" spans="1:16" ht="12.6" customHeight="1" x14ac:dyDescent="0.3">
      <c r="A90" s="523"/>
      <c r="B90" s="1104"/>
      <c r="C90" s="1104"/>
      <c r="D90" s="606" t="s">
        <v>1953</v>
      </c>
      <c r="E90" s="525">
        <f>'TABLAS DINAMICAS'!G18+'TABLAS DINAMICAS'!G19+'TABLAS DINAMICAS'!G20</f>
        <v>0</v>
      </c>
      <c r="F90" s="525">
        <f>'TABLAS DINAMICAS'!H18+'TABLAS DINAMICAS'!H19+'TABLAS DINAMICAS'!H20</f>
        <v>12</v>
      </c>
      <c r="G90" s="1112"/>
      <c r="H90" s="1115"/>
      <c r="I90" s="1090"/>
    </row>
    <row r="91" spans="1:16" ht="12.6" customHeight="1" x14ac:dyDescent="0.3">
      <c r="A91" s="523"/>
      <c r="B91" s="1104"/>
      <c r="C91" s="1104"/>
      <c r="D91" s="606" t="s">
        <v>1220</v>
      </c>
      <c r="E91" s="525"/>
      <c r="F91" s="526"/>
      <c r="G91" s="1112"/>
      <c r="H91" s="1115"/>
      <c r="I91" s="1090"/>
    </row>
    <row r="92" spans="1:16" ht="12.6" customHeight="1" x14ac:dyDescent="0.3">
      <c r="A92" s="523"/>
      <c r="B92" s="1104"/>
      <c r="C92" s="1104"/>
      <c r="D92" s="606" t="s">
        <v>1954</v>
      </c>
      <c r="E92" s="525">
        <f>'TABLAS DINAMICAS'!G17</f>
        <v>2</v>
      </c>
      <c r="F92" s="526">
        <f>'TABLAS DINAMICAS'!H17</f>
        <v>38</v>
      </c>
      <c r="G92" s="1112"/>
      <c r="H92" s="1115"/>
      <c r="I92" s="1090"/>
    </row>
    <row r="93" spans="1:16" ht="12.6" customHeight="1" x14ac:dyDescent="0.3">
      <c r="A93" s="523"/>
      <c r="B93" s="1104"/>
      <c r="C93" s="1104"/>
      <c r="D93" s="606" t="s">
        <v>1955</v>
      </c>
      <c r="E93" s="525">
        <f>'TABLAS DINAMICAS'!K20</f>
        <v>0</v>
      </c>
      <c r="F93" s="525">
        <f>'TABLAS DINAMICAS'!L20</f>
        <v>21</v>
      </c>
      <c r="G93" s="1112"/>
      <c r="H93" s="1115"/>
      <c r="I93" s="1090"/>
    </row>
    <row r="94" spans="1:16" ht="12.6" customHeight="1" thickBot="1" x14ac:dyDescent="0.35">
      <c r="A94" s="523"/>
      <c r="B94" s="1104"/>
      <c r="C94" s="1104"/>
      <c r="D94" s="608" t="s">
        <v>1956</v>
      </c>
      <c r="E94" s="533">
        <f>'TABLAS DINAMICAS'!K21</f>
        <v>0</v>
      </c>
      <c r="F94" s="533">
        <f>'TABLAS DINAMICAS'!L21</f>
        <v>2</v>
      </c>
      <c r="G94" s="1113"/>
      <c r="H94" s="1116"/>
      <c r="I94" s="1091"/>
    </row>
    <row r="95" spans="1:16" ht="15" thickBot="1" x14ac:dyDescent="0.35">
      <c r="B95" s="1105"/>
      <c r="C95" s="1106"/>
      <c r="D95" s="1107"/>
      <c r="E95" s="540">
        <f>SUM(E4:E94)</f>
        <v>18</v>
      </c>
      <c r="F95" s="540">
        <f>SUM(F4:F94)</f>
        <v>366</v>
      </c>
      <c r="G95" s="540">
        <f>SUM(G4:G94)</f>
        <v>384</v>
      </c>
      <c r="H95" s="541"/>
      <c r="I95" s="542"/>
    </row>
    <row r="97" spans="6:6" x14ac:dyDescent="0.3">
      <c r="F97" s="631">
        <f>'TABLAS DINAMICAS'!G25-'ESCUADRONES OPERATIVOS'!F95</f>
        <v>56</v>
      </c>
    </row>
    <row r="105" spans="6:6" x14ac:dyDescent="0.3">
      <c r="F105" s="3"/>
    </row>
  </sheetData>
  <mergeCells count="37">
    <mergeCell ref="B57:B63"/>
    <mergeCell ref="G57:G63"/>
    <mergeCell ref="B95:D95"/>
    <mergeCell ref="G71:G74"/>
    <mergeCell ref="H71:H74"/>
    <mergeCell ref="G89:G94"/>
    <mergeCell ref="H89:H94"/>
    <mergeCell ref="G78:G88"/>
    <mergeCell ref="H78:H88"/>
    <mergeCell ref="G75:G77"/>
    <mergeCell ref="H75:H77"/>
    <mergeCell ref="B71:C74"/>
    <mergeCell ref="B75:C77"/>
    <mergeCell ref="B78:C88"/>
    <mergeCell ref="B2:I2"/>
    <mergeCell ref="B3:B14"/>
    <mergeCell ref="C3:D3"/>
    <mergeCell ref="I89:I94"/>
    <mergeCell ref="I78:I88"/>
    <mergeCell ref="C14:D14"/>
    <mergeCell ref="I71:I74"/>
    <mergeCell ref="I75:I77"/>
    <mergeCell ref="B15:B21"/>
    <mergeCell ref="B22:B28"/>
    <mergeCell ref="B29:B35"/>
    <mergeCell ref="B36:B42"/>
    <mergeCell ref="B43:B49"/>
    <mergeCell ref="B50:B56"/>
    <mergeCell ref="B64:B70"/>
    <mergeCell ref="B89:C94"/>
    <mergeCell ref="G50:G56"/>
    <mergeCell ref="G64:G70"/>
    <mergeCell ref="G15:G21"/>
    <mergeCell ref="G22:G28"/>
    <mergeCell ref="G29:G35"/>
    <mergeCell ref="G36:G42"/>
    <mergeCell ref="G43:G49"/>
  </mergeCells>
  <phoneticPr fontId="13" type="noConversion"/>
  <pageMargins left="0.35433070866141736" right="0.31496062992125984" top="0.27559055118110237" bottom="0.74803149606299213" header="0.31496062992125984" footer="0.31496062992125984"/>
  <pageSetup paperSize="41" scale="3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9" filterMode="1">
    <pageSetUpPr fitToPage="1"/>
  </sheetPr>
  <dimension ref="A1:Q468"/>
  <sheetViews>
    <sheetView topLeftCell="A105" zoomScale="30" zoomScaleNormal="30" zoomScaleSheetLayoutView="40" workbookViewId="0">
      <selection activeCell="A17" sqref="A17"/>
    </sheetView>
  </sheetViews>
  <sheetFormatPr baseColWidth="10" defaultColWidth="12.33203125" defaultRowHeight="23.4" x14ac:dyDescent="0.45"/>
  <cols>
    <col min="1" max="1" width="16.33203125" style="167" bestFit="1" customWidth="1"/>
    <col min="2" max="2" width="34.33203125" style="167" bestFit="1" customWidth="1"/>
    <col min="3" max="3" width="38.6640625" style="167" customWidth="1"/>
    <col min="4" max="4" width="49" style="178" bestFit="1" customWidth="1"/>
    <col min="5" max="5" width="113.44140625" style="178" bestFit="1" customWidth="1"/>
    <col min="6" max="6" width="21" style="167" bestFit="1" customWidth="1"/>
    <col min="7" max="7" width="19.5546875" style="167" bestFit="1" customWidth="1"/>
    <col min="8" max="8" width="66" style="167" bestFit="1" customWidth="1"/>
    <col min="9" max="9" width="12.6640625" style="167" bestFit="1" customWidth="1"/>
    <col min="10" max="10" width="12.33203125" style="167" bestFit="1" customWidth="1"/>
    <col min="11" max="11" width="21" style="167" bestFit="1" customWidth="1"/>
    <col min="12" max="12" width="62.33203125" style="344" bestFit="1" customWidth="1"/>
    <col min="13" max="13" width="22.109375" style="167" bestFit="1" customWidth="1"/>
    <col min="14" max="14" width="22.88671875" style="170" bestFit="1" customWidth="1"/>
    <col min="15" max="15" width="52.6640625" style="167" customWidth="1"/>
    <col min="16" max="22" width="12.33203125" style="167"/>
    <col min="23" max="23" width="13.6640625" style="167" bestFit="1" customWidth="1"/>
    <col min="24" max="16384" width="12.33203125" style="167"/>
  </cols>
  <sheetData>
    <row r="1" spans="1:16" s="166" customFormat="1" x14ac:dyDescent="0.45">
      <c r="A1" s="162">
        <v>22</v>
      </c>
      <c r="B1" s="163"/>
      <c r="C1" s="163"/>
      <c r="D1" s="164"/>
      <c r="E1" s="327"/>
      <c r="H1" s="167"/>
      <c r="I1" s="167"/>
      <c r="J1" s="167"/>
      <c r="K1" s="167"/>
      <c r="L1" s="344"/>
      <c r="M1" s="168" t="s">
        <v>1165</v>
      </c>
      <c r="N1" s="169">
        <f>'DISTRIBUCION DIARIA'!B1</f>
        <v>45388</v>
      </c>
    </row>
    <row r="2" spans="1:16" s="166" customFormat="1" x14ac:dyDescent="0.45">
      <c r="A2" s="162">
        <v>22</v>
      </c>
      <c r="B2" s="163"/>
      <c r="C2" s="163"/>
      <c r="D2" s="164"/>
      <c r="E2" s="327"/>
      <c r="H2" s="167"/>
      <c r="I2" s="167"/>
      <c r="J2" s="167"/>
      <c r="K2" s="167"/>
      <c r="L2" s="344"/>
      <c r="M2" s="168"/>
      <c r="N2" s="169"/>
    </row>
    <row r="3" spans="1:16" s="166" customFormat="1" ht="24" thickBot="1" x14ac:dyDescent="0.5">
      <c r="A3" s="162">
        <v>22</v>
      </c>
      <c r="B3" s="163"/>
      <c r="C3" s="163"/>
      <c r="D3" s="164"/>
      <c r="E3" s="327"/>
      <c r="H3" s="167"/>
      <c r="I3" s="167"/>
      <c r="J3" s="167"/>
      <c r="K3" s="167"/>
      <c r="L3" s="344"/>
      <c r="M3" s="168" t="s">
        <v>1227</v>
      </c>
      <c r="N3" s="170" t="str">
        <f>TEXT(N1,"M")</f>
        <v>4</v>
      </c>
      <c r="O3" s="167"/>
      <c r="P3" s="171"/>
    </row>
    <row r="4" spans="1:16" s="166" customFormat="1" x14ac:dyDescent="0.45">
      <c r="A4" s="162">
        <v>22</v>
      </c>
      <c r="B4" s="163"/>
      <c r="C4" s="163"/>
      <c r="D4" s="172"/>
      <c r="E4" s="328"/>
      <c r="H4" s="167"/>
      <c r="I4"/>
      <c r="J4" s="1127" t="str">
        <f>CONCATENATE("CARTA DE SERVICIOS DE LA PREFECTURA COP ESTE NRO. ",N1-DATE(YEAR(N1),1,0),", CORRESPONDIENTE AL DÍA ",UPPER(TEXT(N1,"DDDD")),", ",TEXT(N1,"DD")," DE ",UPPER(TEXT(N1,"MMMM"))," DEL AÑO ",TEXT(N1,"YYYY"),".")</f>
        <v>CARTA DE SERVICIOS DE LA PREFECTURA COP ESTE NRO. 97, CORRESPONDIENTE AL DÍA SÁBADO, 06 DE ABRIL DEL AÑO 2024.</v>
      </c>
      <c r="K4" s="1128"/>
      <c r="L4" s="1129"/>
      <c r="N4" s="165"/>
    </row>
    <row r="5" spans="1:16" s="166" customFormat="1" x14ac:dyDescent="0.45">
      <c r="A5" s="162">
        <v>22</v>
      </c>
      <c r="B5" s="163"/>
      <c r="C5" s="163"/>
      <c r="D5" s="172"/>
      <c r="E5" s="328"/>
      <c r="H5" s="167"/>
      <c r="I5"/>
      <c r="J5" s="1130"/>
      <c r="K5" s="1131"/>
      <c r="L5" s="1132"/>
      <c r="N5" s="165"/>
    </row>
    <row r="6" spans="1:16" s="166" customFormat="1" ht="24" thickBot="1" x14ac:dyDescent="0.5">
      <c r="A6" s="162">
        <v>22</v>
      </c>
      <c r="B6" s="163"/>
      <c r="C6" s="163"/>
      <c r="D6" s="172"/>
      <c r="E6" s="328"/>
      <c r="H6" s="167"/>
      <c r="I6"/>
      <c r="J6" s="1133"/>
      <c r="K6" s="1134"/>
      <c r="L6" s="1135"/>
      <c r="N6" s="165"/>
    </row>
    <row r="7" spans="1:16" s="166" customFormat="1" x14ac:dyDescent="0.3">
      <c r="A7" s="162">
        <v>22</v>
      </c>
      <c r="B7" s="163"/>
      <c r="C7" s="163"/>
      <c r="D7" s="164"/>
      <c r="E7" s="327"/>
      <c r="H7" s="173"/>
      <c r="L7" s="345"/>
      <c r="N7" s="165"/>
    </row>
    <row r="8" spans="1:16" s="166" customFormat="1" x14ac:dyDescent="0.3">
      <c r="A8" s="162">
        <v>22</v>
      </c>
      <c r="B8" s="162"/>
      <c r="C8" s="162"/>
      <c r="D8" s="1136" t="s">
        <v>886</v>
      </c>
      <c r="E8" s="1137" t="s">
        <v>693</v>
      </c>
      <c r="F8" s="1138" t="s">
        <v>1086</v>
      </c>
      <c r="G8" s="1138" t="s">
        <v>831</v>
      </c>
      <c r="H8" s="1138" t="s">
        <v>118</v>
      </c>
      <c r="I8" s="1139" t="s">
        <v>1087</v>
      </c>
      <c r="J8" s="1139"/>
      <c r="K8" s="1140" t="s">
        <v>1612</v>
      </c>
      <c r="L8" s="1136" t="s">
        <v>1088</v>
      </c>
      <c r="N8" s="165"/>
    </row>
    <row r="9" spans="1:16" s="166" customFormat="1" x14ac:dyDescent="0.3">
      <c r="A9" s="162">
        <v>22</v>
      </c>
      <c r="B9" s="162"/>
      <c r="C9" s="162"/>
      <c r="D9" s="1136"/>
      <c r="E9" s="1137"/>
      <c r="F9" s="1138"/>
      <c r="G9" s="1138"/>
      <c r="H9" s="1138"/>
      <c r="I9" s="359" t="s">
        <v>1089</v>
      </c>
      <c r="J9" s="359" t="s">
        <v>1090</v>
      </c>
      <c r="K9" s="1139"/>
      <c r="L9" s="1136"/>
      <c r="N9" s="165"/>
    </row>
    <row r="10" spans="1:16" s="166" customFormat="1" x14ac:dyDescent="0.3">
      <c r="A10" s="162">
        <v>22</v>
      </c>
      <c r="B10" s="162"/>
      <c r="C10" s="162"/>
      <c r="D10" s="1123" t="s">
        <v>1495</v>
      </c>
      <c r="E10" s="1124"/>
      <c r="F10" s="1123"/>
      <c r="G10" s="1123"/>
      <c r="H10" s="1123"/>
      <c r="I10" s="1123"/>
      <c r="J10" s="1123"/>
      <c r="K10" s="1123"/>
      <c r="L10" s="1124"/>
      <c r="N10" s="165"/>
    </row>
    <row r="11" spans="1:16" s="166" customFormat="1" x14ac:dyDescent="0.3">
      <c r="A11" s="162">
        <f>IF(E11&lt;&gt;"-",22,0)</f>
        <v>22</v>
      </c>
      <c r="B11" s="162"/>
      <c r="C11" s="162"/>
      <c r="D11" s="360" t="s">
        <v>819</v>
      </c>
      <c r="E11" s="361" t="str">
        <f>IFERROR(IF(VLOOKUP(D11,TURNOS_SERVICIOS,2,FALSE)=0,"NO DESIGNADO",VLOOKUP(D11,TURNOS_SERVICIOS,2,FALSE)),"NO DESIGNADO")</f>
        <v>CORONEL BASCUR VILLAGRAN GERARDO ANTONIO</v>
      </c>
      <c r="F11" s="362" t="str">
        <f>IF(VLOOKUP(D11,TURNOS_SERVICIOS,3,FALSE)=0,"-",VLOOKUP(D11,TURNOS_SERVICIOS,3,FALSE))</f>
        <v xml:space="preserve"> </v>
      </c>
      <c r="G11" s="362" t="str">
        <f>IF(VLOOKUP(D11,TURNOS_SERVICIOS,4,FALSE)=0,"-",VLOOKUP(D11,TURNOS_SERVICIOS,4,FALSE))</f>
        <v>F</v>
      </c>
      <c r="H11" s="362" t="str">
        <f>IF(VLOOKUP(D11,TURNOS_SERVICIOS,5,FALSE)=0,"-",VLOOKUP(D11,TURNOS_SERVICIOS,5,FALSE))</f>
        <v>PREFECTO</v>
      </c>
      <c r="I11" s="363" t="str">
        <f>IF(VLOOKUP(D11,TURNOS_SERVICIOS,6,FALSE)=0,"-",VLOOKUP(D11,TURNOS_SERVICIOS,6,FALSE))</f>
        <v xml:space="preserve"> </v>
      </c>
      <c r="J11" s="363" t="str">
        <f>IF(VLOOKUP(D11,TURNOS_SERVICIOS,7,FALSE)=0,"-",VLOOKUP(D11,TURNOS_SERVICIOS,7,FALSE))</f>
        <v xml:space="preserve"> </v>
      </c>
      <c r="K11" s="364">
        <f>VLOOKUP(D11,TURNOS_SERVICIOS,8,FALSE)</f>
        <v>4</v>
      </c>
      <c r="L11" s="365" t="str">
        <f>IF(VLOOKUP(D11,TURNOS_SERVICIOS,9,FALSE)=0,"",VLOOKUP(D11,TURNOS_SERVICIOS,9,FALSE))</f>
        <v/>
      </c>
      <c r="N11" s="165"/>
    </row>
    <row r="12" spans="1:16" s="166" customFormat="1" x14ac:dyDescent="0.3">
      <c r="A12" s="162">
        <f>IF(E12&lt;&gt;"-",22,0)</f>
        <v>22</v>
      </c>
      <c r="B12" s="162"/>
      <c r="C12" s="162"/>
      <c r="D12" s="360" t="s">
        <v>694</v>
      </c>
      <c r="E12" s="361" t="str">
        <f>IFERROR(IF(VLOOKUP(D12,TURNOS_SERVICIOS,2,FALSE)=0,"NO DESIGNADO",VLOOKUP(D12,TURNOS_SERVICIOS,2,FALSE)),"NO DESIGNADO")</f>
        <v>TTE. CRL. MATUS TORRES CRISTIAN GABRIEL GASTON</v>
      </c>
      <c r="F12" s="362" t="str">
        <f>IF(VLOOKUP(D12,TURNOS_SERVICIOS,3,FALSE)=0,"-",VLOOKUP(D12,TURNOS_SERVICIOS,3,FALSE))</f>
        <v xml:space="preserve"> </v>
      </c>
      <c r="G12" s="362" t="str">
        <f>IF(VLOOKUP(D12,TURNOS_SERVICIOS,4,FALSE)=0,"-",VLOOKUP(D12,TURNOS_SERVICIOS,4,FALSE))</f>
        <v>F</v>
      </c>
      <c r="H12" s="362" t="str">
        <f>IF(VLOOKUP(D12,TURNOS_SERVICIOS,5,FALSE)=0,"-",VLOOKUP(D12,TURNOS_SERVICIOS,5,FALSE))</f>
        <v>SUBPREF. SERV. 1</v>
      </c>
      <c r="I12" s="363" t="str">
        <f>IF(VLOOKUP(D12,TURNOS_SERVICIOS,6,FALSE)=0,"-",VLOOKUP(D12,TURNOS_SERVICIOS,6,FALSE))</f>
        <v xml:space="preserve"> </v>
      </c>
      <c r="J12" s="363" t="str">
        <f>IF(VLOOKUP(D12,TURNOS_SERVICIOS,7,FALSE)=0,"-",VLOOKUP(D12,TURNOS_SERVICIOS,7,FALSE))</f>
        <v xml:space="preserve"> </v>
      </c>
      <c r="K12" s="364">
        <f>VLOOKUP(D12,TURNOS_SERVICIOS,8,FALSE)</f>
        <v>4</v>
      </c>
      <c r="L12" s="365" t="str">
        <f>IF(VLOOKUP(D12,TURNOS_SERVICIOS,9,FALSE)=0,"",VLOOKUP(D12,TURNOS_SERVICIOS,9,FALSE))</f>
        <v/>
      </c>
      <c r="N12" s="165"/>
      <c r="O12" s="175"/>
    </row>
    <row r="13" spans="1:16" s="166" customFormat="1" x14ac:dyDescent="0.3">
      <c r="A13" s="162">
        <f>IF(E13&lt;&gt;"-",22,0)</f>
        <v>22</v>
      </c>
      <c r="B13" s="162"/>
      <c r="C13" s="162"/>
      <c r="D13" s="360" t="s">
        <v>695</v>
      </c>
      <c r="E13" s="361" t="str">
        <f>IFERROR(IF(VLOOKUP(D13,TURNOS_SERVICIOS,2,FALSE)=0,"NO DESIGNADO",VLOOKUP(D13,TURNOS_SERVICIOS,2,FALSE)),"NO DESIGNADO")</f>
        <v>TTE. CRL. NORAMBUENA CONEJEROS CRISTIAN HERNAN</v>
      </c>
      <c r="F13" s="362" t="str">
        <f>IF(VLOOKUP(D13,TURNOS_SERVICIOS,3,FALSE)=0,"-",VLOOKUP(D13,TURNOS_SERVICIOS,3,FALSE))</f>
        <v xml:space="preserve"> </v>
      </c>
      <c r="G13" s="362" t="str">
        <f>IF(VLOOKUP(D13,TURNOS_SERVICIOS,4,FALSE)=0,"-",VLOOKUP(D13,TURNOS_SERVICIOS,4,FALSE))</f>
        <v>F</v>
      </c>
      <c r="H13" s="362" t="str">
        <f>IF(VLOOKUP(D13,TURNOS_SERVICIOS,5,FALSE)=0,"-",VLOOKUP(D13,TURNOS_SERVICIOS,5,FALSE))</f>
        <v>SUBPREF. SERV. 2</v>
      </c>
      <c r="I13" s="363" t="str">
        <f>IF(VLOOKUP(D13,TURNOS_SERVICIOS,6,FALSE)=0,"-",VLOOKUP(D13,TURNOS_SERVICIOS,6,FALSE))</f>
        <v xml:space="preserve"> </v>
      </c>
      <c r="J13" s="363" t="str">
        <f>IF(VLOOKUP(D13,TURNOS_SERVICIOS,7,FALSE)=0,"-",VLOOKUP(D13,TURNOS_SERVICIOS,7,FALSE))</f>
        <v xml:space="preserve"> </v>
      </c>
      <c r="K13" s="364">
        <f>VLOOKUP(D13,TURNOS_SERVICIOS,8,FALSE)</f>
        <v>4</v>
      </c>
      <c r="L13" s="365" t="str">
        <f>IF(VLOOKUP(D13,TURNOS_SERVICIOS,9,FALSE)=0,"",VLOOKUP(D13,TURNOS_SERVICIOS,9,FALSE))</f>
        <v xml:space="preserve"> </v>
      </c>
      <c r="N13" s="165"/>
    </row>
    <row r="14" spans="1:16" s="166" customFormat="1" x14ac:dyDescent="0.3">
      <c r="A14" s="162">
        <f>IF(E14&lt;&gt;"-",22,0)</f>
        <v>22</v>
      </c>
      <c r="B14" s="162"/>
      <c r="C14" s="162"/>
      <c r="D14" s="360" t="s">
        <v>696</v>
      </c>
      <c r="E14" s="361" t="str">
        <f>IFERROR(IF(VLOOKUP(D14,TURNOS_SERVICIOS,2,FALSE)=0,"NO DESIGNADO",VLOOKUP(D14,TURNOS_SERVICIOS,2,FALSE)),"NO DESIGNADO")</f>
        <v>TTE. CRL. FEBRE SANTIS FRANCISCO JAVIER</v>
      </c>
      <c r="F14" s="362" t="str">
        <f>IF(VLOOKUP(D14,TURNOS_SERVICIOS,3,FALSE)=0,"-",VLOOKUP(D14,TURNOS_SERVICIOS,3,FALSE))</f>
        <v>J-1230</v>
      </c>
      <c r="G14" s="362" t="str">
        <f>IF(VLOOKUP(D14,TURNOS_SERVICIOS,4,FALSE)=0,"-",VLOOKUP(D14,TURNOS_SERVICIOS,4,FALSE))</f>
        <v>1P</v>
      </c>
      <c r="H14" s="362" t="str">
        <f>IF(VLOOKUP(D14,TURNOS_SERVICIOS,5,FALSE)=0,"-",VLOOKUP(D14,TURNOS_SERVICIOS,5,FALSE))</f>
        <v>SUBPREF. ADM.</v>
      </c>
      <c r="I14" s="363">
        <f>IF(VLOOKUP(D14,TURNOS_SERVICIOS,6,FALSE)=0,"-",VLOOKUP(D14,TURNOS_SERVICIOS,6,FALSE))</f>
        <v>0.33333333333333331</v>
      </c>
      <c r="J14" s="363" t="str">
        <f>IF(VLOOKUP(D14,TURNOS_SERVICIOS,7,FALSE)=0,"-",VLOOKUP(D14,TURNOS_SERVICIOS,7,FALSE))</f>
        <v>NORM.</v>
      </c>
      <c r="K14" s="364">
        <f>VLOOKUP(D14,TURNOS_SERVICIOS,8,FALSE)</f>
        <v>3</v>
      </c>
      <c r="L14" s="365" t="str">
        <f>IF(VLOOKUP(D14,TURNOS_SERVICIOS,9,FALSE)=0,"",VLOOKUP(D14,TURNOS_SERVICIOS,9,FALSE))</f>
        <v>PREFECTO DE SERVICIO</v>
      </c>
      <c r="N14" s="165"/>
    </row>
    <row r="15" spans="1:16" s="166" customFormat="1" x14ac:dyDescent="0.3">
      <c r="A15" s="162">
        <v>22</v>
      </c>
      <c r="B15" s="162"/>
      <c r="C15" s="162"/>
      <c r="D15" s="1123"/>
      <c r="E15" s="1124"/>
      <c r="F15" s="1123"/>
      <c r="G15" s="1123"/>
      <c r="H15" s="1123"/>
      <c r="I15" s="1123"/>
      <c r="J15" s="1123"/>
      <c r="K15" s="1123"/>
      <c r="L15" s="1124"/>
      <c r="N15" s="165"/>
    </row>
    <row r="16" spans="1:16" s="166" customFormat="1" x14ac:dyDescent="0.3">
      <c r="A16" s="162">
        <v>22</v>
      </c>
      <c r="B16" s="162"/>
      <c r="C16" s="162"/>
      <c r="D16" s="360" t="s">
        <v>697</v>
      </c>
      <c r="E16" s="361" t="str">
        <f>IFERROR(IF(VLOOKUP(D16,TURNOS_SERVICIOS,2,FALSE)=0,"NO DESIGNADO",VLOOKUP(D16,TURNOS_SERVICIOS,2,FALSE)),"NO DESIGNADO")</f>
        <v>-</v>
      </c>
      <c r="F16" s="362" t="str">
        <f>IF(VLOOKUP(D16,TURNOS_SERVICIOS,3,FALSE)=0,"-",VLOOKUP(D16,TURNOS_SERVICIOS,3,FALSE))</f>
        <v>-</v>
      </c>
      <c r="G16" s="362" t="str">
        <f>IF(VLOOKUP(D16,TURNOS_SERVICIOS,4,FALSE)=0,"SIN TURNO",VLOOKUP(D16,TURNOS_SERVICIOS,4,FALSE))</f>
        <v/>
      </c>
      <c r="H16" s="362" t="str">
        <f>IF(VLOOKUP(D16,TURNOS_SERVICIOS,5,FALSE)=0,"SIN SERVICIO",VLOOKUP(D16,TURNOS_SERVICIOS,5,FALSE))</f>
        <v/>
      </c>
      <c r="I16" s="363" t="str">
        <f>IF(VLOOKUP(D16,TURNOS_SERVICIOS,6,FALSE)=0,"-",VLOOKUP(D16,TURNOS_SERVICIOS,6,FALSE))</f>
        <v>-</v>
      </c>
      <c r="J16" s="363" t="str">
        <f>IF(VLOOKUP(D16,TURNOS_SERVICIOS,7,FALSE)=0,"-",VLOOKUP(D16,TURNOS_SERVICIOS,7,FALSE))</f>
        <v>-</v>
      </c>
      <c r="K16" s="364">
        <f>VLOOKUP(D16,TURNOS_SERVICIOS,8,FALSE)</f>
        <v>0</v>
      </c>
      <c r="L16" s="365" t="str">
        <f>IF(VLOOKUP(D16,TURNOS_SERVICIOS,9,FALSE)=0,"",VLOOKUP(D16,TURNOS_SERVICIOS,9,FALSE))</f>
        <v/>
      </c>
      <c r="N16" s="165"/>
    </row>
    <row r="17" spans="1:14" s="166" customFormat="1" x14ac:dyDescent="0.3">
      <c r="A17" s="162">
        <v>22</v>
      </c>
      <c r="B17" s="162"/>
      <c r="C17" s="162"/>
      <c r="D17" s="1123" t="s">
        <v>1494</v>
      </c>
      <c r="E17" s="1124"/>
      <c r="F17" s="1123"/>
      <c r="G17" s="1123"/>
      <c r="H17" s="1123"/>
      <c r="I17" s="1123"/>
      <c r="J17" s="1123"/>
      <c r="K17" s="1123"/>
      <c r="L17" s="1124"/>
      <c r="N17" s="165"/>
    </row>
    <row r="18" spans="1:14" s="166" customFormat="1" x14ac:dyDescent="0.3">
      <c r="A18" s="162">
        <f>IF(E18&lt;&gt;"-",22,0)</f>
        <v>22</v>
      </c>
      <c r="B18" s="177"/>
      <c r="C18" s="177"/>
      <c r="D18" s="360" t="s">
        <v>781</v>
      </c>
      <c r="E18" s="361" t="str">
        <f>IFERROR(IF(VLOOKUP(D18,TURNOS_SERVICIOS,2,FALSE)=0,"-",VLOOKUP(D18,TURNOS_SERVICIOS,2,FALSE)),"-")</f>
        <v>MAYOR NAZAR OSSA JOAQUIN PAULO</v>
      </c>
      <c r="F18" s="362" t="str">
        <f>IFERROR(IF(VLOOKUP(D18,TURNOS_SERVICIOS,3,FALSE)=0,"-",VLOOKUP(D18,TURNOS_SERVICIOS,3,FALSE)),"-")</f>
        <v>J-1227</v>
      </c>
      <c r="G18" s="362" t="str">
        <f>IFERROR(IF(VLOOKUP(D18,TURNOS_SERVICIOS,4,FALSE)=0,"-",VLOOKUP(D18,TURNOS_SERVICIOS,4,FALSE)),"-")</f>
        <v>1P</v>
      </c>
      <c r="H18" s="362" t="str">
        <f>IFERROR(IF(VLOOKUP(D18,TURNOS_SERVICIOS,5,FALSE)=0,"-",VLOOKUP(D18,TURNOS_SERVICIOS,5,FALSE)),"-")</f>
        <v>COMISARIO</v>
      </c>
      <c r="I18" s="363">
        <f>IFERROR(IF(VLOOKUP(D18,TURNOS_SERVICIOS,6,FALSE)=0,"-",VLOOKUP(D18,TURNOS_SERVICIOS,6,FALSE)),"-")</f>
        <v>0.33333333333333331</v>
      </c>
      <c r="J18" s="363" t="str">
        <f>IFERROR(IF(VLOOKUP(D18,TURNOS_SERVICIOS,7,FALSE)=0,"-",VLOOKUP(D18,TURNOS_SERVICIOS,7,FALSE)),"-")</f>
        <v>NORM.</v>
      </c>
      <c r="K18" s="364">
        <f>IFERROR(VLOOKUP(D18,TURNOS_SERVICIOS,8,FALSE),"PNS: 0 PNI: 0")</f>
        <v>4</v>
      </c>
      <c r="L18" s="365" t="str">
        <f>IFERROR(IF(VLOOKUP(D18,TURNOS_SERVICIOS,9,FALSE)=0,"",VLOOKUP(D18,TURNOS_SERVICIOS,9,FALSE)),"")</f>
        <v>COMISARIO DE SERV.</v>
      </c>
      <c r="N18" s="165"/>
    </row>
    <row r="19" spans="1:14" s="166" customFormat="1" x14ac:dyDescent="0.3">
      <c r="A19" s="162">
        <f>IF(E19&lt;&gt;"-",22,0)</f>
        <v>0</v>
      </c>
      <c r="B19" s="177"/>
      <c r="C19" s="177"/>
      <c r="D19" s="360" t="s">
        <v>709</v>
      </c>
      <c r="E19" s="361" t="str">
        <f>IFERROR(IF(VLOOKUP(D19,TURNOS_SERVICIOS,2,FALSE)=0,"-",VLOOKUP(D19,TURNOS_SERVICIOS,2,FALSE)),"-")</f>
        <v>-</v>
      </c>
      <c r="F19" s="362" t="str">
        <f>IFERROR(IF(VLOOKUP(D19,TURNOS_SERVICIOS,3,FALSE)=0,"-",VLOOKUP(D19,TURNOS_SERVICIOS,3,FALSE)),"-")</f>
        <v>-</v>
      </c>
      <c r="G19" s="362" t="str">
        <f>IFERROR(IF(VLOOKUP(D19,TURNOS_SERVICIOS,4,FALSE)=0,"-",VLOOKUP(D19,TURNOS_SERVICIOS,4,FALSE)),"-")</f>
        <v>F</v>
      </c>
      <c r="H19" s="362" t="str">
        <f>IFERROR(IF(VLOOKUP(D19,TURNOS_SERVICIOS,5,FALSE)=0,"-",VLOOKUP(D19,TURNOS_SERVICIOS,5,FALSE)),"-")</f>
        <v xml:space="preserve">JEFE OPERATIVO </v>
      </c>
      <c r="I19" s="363" t="str">
        <f>IFERROR(IF(VLOOKUP(D19,TURNOS_SERVICIOS,6,FALSE)=0,"-",VLOOKUP(D19,TURNOS_SERVICIOS,6,FALSE)),"-")</f>
        <v xml:space="preserve"> </v>
      </c>
      <c r="J19" s="363" t="str">
        <f>IFERROR(IF(VLOOKUP(D19,TURNOS_SERVICIOS,7,FALSE)=0,"-",VLOOKUP(D19,TURNOS_SERVICIOS,7,FALSE)),"-")</f>
        <v xml:space="preserve"> </v>
      </c>
      <c r="K19" s="364">
        <f>IFERROR(VLOOKUP(D19,TURNOS_SERVICIOS,8,FALSE),"PNS: 0 PNI: 0")</f>
        <v>0</v>
      </c>
      <c r="L19" s="365" t="str">
        <f>IFERROR(IF(VLOOKUP(D19,TURNOS_SERVICIOS,9,FALSE)=0,"",VLOOKUP(D19,TURNOS_SERVICIOS,9,FALSE)),"")</f>
        <v/>
      </c>
      <c r="N19" s="165"/>
    </row>
    <row r="20" spans="1:14" s="166" customFormat="1" x14ac:dyDescent="0.3">
      <c r="A20" s="162">
        <f>IF(E20&lt;&gt;"-",22,0)</f>
        <v>22</v>
      </c>
      <c r="B20" s="177"/>
      <c r="C20" s="177"/>
      <c r="D20" s="360" t="s">
        <v>710</v>
      </c>
      <c r="E20" s="361" t="str">
        <f>IFERROR(IF(VLOOKUP(D20,TURNOS_SERVICIOS,2,FALSE)=0,"-",VLOOKUP(D20,TURNOS_SERVICIOS,2,FALSE)),"-")</f>
        <v>CAPITÁN ANDERS CONTRERAS LEONARDO IGNACIO</v>
      </c>
      <c r="F20" s="362" t="str">
        <f>IFERROR(IF(VLOOKUP(D20,TURNOS_SERVICIOS,3,FALSE)=0,"-",VLOOKUP(D20,TURNOS_SERVICIOS,3,FALSE)),"-")</f>
        <v>-</v>
      </c>
      <c r="G20" s="362" t="str">
        <f>IFERROR(IF(VLOOKUP(D20,TURNOS_SERVICIOS,4,FALSE)=0,"-",VLOOKUP(D20,TURNOS_SERVICIOS,4,FALSE)),"-")</f>
        <v>F</v>
      </c>
      <c r="H20" s="362" t="str">
        <f>IFERROR(IF(VLOOKUP(D20,TURNOS_SERVICIOS,5,FALSE)=0,"-",VLOOKUP(D20,TURNOS_SERVICIOS,5,FALSE)),"-")</f>
        <v xml:space="preserve">SUBCOM. SERV </v>
      </c>
      <c r="I20" s="363" t="str">
        <f>IFERROR(IF(VLOOKUP(D20,TURNOS_SERVICIOS,6,FALSE)=0,"-",VLOOKUP(D20,TURNOS_SERVICIOS,6,FALSE)),"-")</f>
        <v xml:space="preserve"> </v>
      </c>
      <c r="J20" s="363" t="str">
        <f>IFERROR(IF(VLOOKUP(D20,TURNOS_SERVICIOS,7,FALSE)=0,"-",VLOOKUP(D20,TURNOS_SERVICIOS,7,FALSE)),"-")</f>
        <v xml:space="preserve"> </v>
      </c>
      <c r="K20" s="364">
        <f>IFERROR(VLOOKUP(D20,TURNOS_SERVICIOS,8,FALSE),"PNS: 0 PNI: 0")</f>
        <v>3</v>
      </c>
      <c r="L20" s="365" t="str">
        <f>IFERROR(IF(VLOOKUP(D20,TURNOS_SERVICIOS,9,FALSE)=0,"",VLOOKUP(D20,TURNOS_SERVICIOS,9,FALSE)),"")</f>
        <v/>
      </c>
      <c r="N20" s="165"/>
    </row>
    <row r="21" spans="1:14" s="166" customFormat="1" x14ac:dyDescent="0.3">
      <c r="A21" s="162">
        <f>IF(E21&lt;&gt;"-",22,0)</f>
        <v>22</v>
      </c>
      <c r="B21" s="177"/>
      <c r="C21" s="177"/>
      <c r="D21" s="360" t="s">
        <v>698</v>
      </c>
      <c r="E21" s="361" t="str">
        <f>IFERROR(IF(VLOOKUP(D21,TURNOS_SERVICIOS,2,FALSE)=0,"-",VLOOKUP(D21,TURNOS_SERVICIOS,2,FALSE)),"-")</f>
        <v>CAPITÁN ACEVEDO MORALES ANGELO FELIPE</v>
      </c>
      <c r="F21" s="362" t="str">
        <f>IFERROR(IF(VLOOKUP(D21,TURNOS_SERVICIOS,3,FALSE)=0,"-",VLOOKUP(D21,TURNOS_SERVICIOS,3,FALSE)),"-")</f>
        <v xml:space="preserve"> </v>
      </c>
      <c r="G21" s="362" t="str">
        <f>IFERROR(IF(VLOOKUP(D21,TURNOS_SERVICIOS,4,FALSE)=0,"-",VLOOKUP(D21,TURNOS_SERVICIOS,4,FALSE)),"-")</f>
        <v>F</v>
      </c>
      <c r="H21" s="362" t="str">
        <f>IFERROR(IF(VLOOKUP(D21,TURNOS_SERVICIOS,5,FALSE)=0,"-",VLOOKUP(D21,TURNOS_SERVICIOS,5,FALSE)),"-")</f>
        <v>SUBCOM.  ADM.</v>
      </c>
      <c r="I21" s="363" t="str">
        <f>IFERROR(IF(VLOOKUP(D21,TURNOS_SERVICIOS,6,FALSE)=0,"-",VLOOKUP(D21,TURNOS_SERVICIOS,6,FALSE)),"-")</f>
        <v xml:space="preserve"> </v>
      </c>
      <c r="J21" s="363" t="str">
        <f>IFERROR(IF(VLOOKUP(D21,TURNOS_SERVICIOS,7,FALSE)=0,"-",VLOOKUP(D21,TURNOS_SERVICIOS,7,FALSE)),"-")</f>
        <v xml:space="preserve"> </v>
      </c>
      <c r="K21" s="364">
        <f>IFERROR(VLOOKUP(D21,TURNOS_SERVICIOS,8,FALSE),"PNS: 0 PNI: 0")</f>
        <v>3</v>
      </c>
      <c r="L21" s="365" t="str">
        <f>IFERROR(IF(VLOOKUP(D21,TURNOS_SERVICIOS,9,FALSE)=0,"",VLOOKUP(D21,TURNOS_SERVICIOS,9,FALSE)),"")</f>
        <v xml:space="preserve"> </v>
      </c>
      <c r="N21" s="165"/>
    </row>
    <row r="22" spans="1:14" s="166" customFormat="1" hidden="1" x14ac:dyDescent="0.3">
      <c r="A22" s="162">
        <f>IF(E22&lt;&gt;"-",22,0)</f>
        <v>0</v>
      </c>
      <c r="B22" s="177"/>
      <c r="C22" s="177"/>
      <c r="D22" s="360" t="s">
        <v>699</v>
      </c>
      <c r="E22" s="361" t="str">
        <f>IFERROR(IF(VLOOKUP(D22,TURNOS_SERVICIOS,2,FALSE)=0,"-",VLOOKUP(D22,TURNOS_SERVICIOS,2,FALSE)),"-")</f>
        <v>-</v>
      </c>
      <c r="F22" s="362" t="str">
        <f>IFERROR(IF(VLOOKUP(D22,TURNOS_SERVICIOS,3,FALSE)=0,"-",VLOOKUP(D22,TURNOS_SERVICIOS,3,FALSE)),"-")</f>
        <v>-</v>
      </c>
      <c r="G22" s="362" t="str">
        <f>IFERROR(IF(VLOOKUP(D22,TURNOS_SERVICIOS,4,FALSE)=0,"-",VLOOKUP(D22,TURNOS_SERVICIOS,4,FALSE)),"-")</f>
        <v/>
      </c>
      <c r="H22" s="362" t="str">
        <f>IFERROR(IF(VLOOKUP(D22,TURNOS_SERVICIOS,5,FALSE)=0,"-",VLOOKUP(D22,TURNOS_SERVICIOS,5,FALSE)),"-")</f>
        <v/>
      </c>
      <c r="I22" s="363" t="str">
        <f>IFERROR(IF(VLOOKUP(D22,TURNOS_SERVICIOS,6,FALSE)=0,"-",VLOOKUP(D22,TURNOS_SERVICIOS,6,FALSE)),"-")</f>
        <v>-</v>
      </c>
      <c r="J22" s="363" t="str">
        <f>IFERROR(IF(VLOOKUP(D22,TURNOS_SERVICIOS,7,FALSE)=0,"-",VLOOKUP(D22,TURNOS_SERVICIOS,7,FALSE)),"-")</f>
        <v>-</v>
      </c>
      <c r="K22" s="364">
        <f>IFERROR(VLOOKUP(D22,TURNOS_SERVICIOS,8,FALSE),"PNS: 0 PNI: 0")</f>
        <v>0</v>
      </c>
      <c r="L22" s="365" t="str">
        <f>IFERROR(IF(VLOOKUP(D22,TURNOS_SERVICIOS,9,FALSE)=0,"",VLOOKUP(D22,TURNOS_SERVICIOS,9,FALSE)),"")</f>
        <v/>
      </c>
      <c r="N22" s="165"/>
    </row>
    <row r="23" spans="1:14" s="166" customFormat="1" x14ac:dyDescent="0.3">
      <c r="A23" s="162">
        <v>22</v>
      </c>
      <c r="B23" s="162"/>
      <c r="C23" s="162"/>
      <c r="D23" s="1123" t="s">
        <v>1496</v>
      </c>
      <c r="E23" s="1124"/>
      <c r="F23" s="1123"/>
      <c r="G23" s="1123"/>
      <c r="H23" s="1123"/>
      <c r="I23" s="1123"/>
      <c r="J23" s="1123"/>
      <c r="K23" s="1123"/>
      <c r="L23" s="1124"/>
      <c r="N23" s="165"/>
    </row>
    <row r="24" spans="1:14" s="166" customFormat="1" hidden="1" x14ac:dyDescent="0.3">
      <c r="A24" s="162">
        <v>0</v>
      </c>
      <c r="B24" s="176"/>
      <c r="C24" s="176" t="s">
        <v>1640</v>
      </c>
      <c r="D24" s="360" t="str">
        <f>'Panel de Trabajo'!C21</f>
        <v>GRIFO 11</v>
      </c>
      <c r="E24" s="361" t="str">
        <f t="shared" ref="E24:E34" si="0">IFERROR(IF(VLOOKUP(D24,TURNOS_SERVICIOS,2,FALSE)=0,"NO DESIGNADO",VLOOKUP(D24,TURNOS_SERVICIOS,2,FALSE)),"NO DESIGNADO")</f>
        <v>CAPITÁN ELGUETA ARAVENA BORIS WALTER</v>
      </c>
      <c r="F24" s="362" t="str">
        <f t="shared" ref="F24:F41" si="1">IFERROR(IF(VLOOKUP(D24,TURNOS_SERVICIOS,3,FALSE)=0,"-",VLOOKUP(D24,TURNOS_SERVICIOS,3,FALSE)),"-")</f>
        <v>B-646</v>
      </c>
      <c r="G24" s="366" t="str">
        <f t="shared" ref="G24:G33" si="2">IF(VLOOKUP(D24,TURNOS_SERVICIOS,4,FALSE)=0,"-",VLOOKUP(D24,TURNOS_SERVICIOS,4,FALSE))</f>
        <v>1P</v>
      </c>
      <c r="H24" s="366" t="str">
        <f t="shared" ref="H24:H33" si="3">IF(VLOOKUP(D24,TURNOS_SERVICIOS,5,FALSE)=0,"-",VLOOKUP(D24,TURNOS_SERVICIOS,5,FALSE))</f>
        <v>JEFE APS</v>
      </c>
      <c r="I24" s="363">
        <f t="shared" ref="I24:I33" si="4">IF(VLOOKUP(D24,TURNOS_SERVICIOS,6,FALSE)=0,"-",VLOOKUP(D24,TURNOS_SERVICIOS,6,FALSE))</f>
        <v>0.33333333333333298</v>
      </c>
      <c r="J24" s="363">
        <f t="shared" ref="J24:J33" si="5">IF(VLOOKUP(D24,TURNOS_SERVICIOS,7,FALSE)=0,"-",VLOOKUP(D24,TURNOS_SERVICIOS,7,FALSE))</f>
        <v>0.83333333333333204</v>
      </c>
      <c r="K24" s="364">
        <f t="shared" ref="K24:K33" si="6">VLOOKUP(D24,TURNOS_SERVICIOS,8,FALSE)</f>
        <v>3</v>
      </c>
      <c r="L24" s="365" t="str">
        <f t="shared" ref="L24:L34" si="7">IFERROR(IF(VLOOKUP(D24,TURNOS_SERVICIOS,9,FALSE)=0,"",VLOOKUP(D24,TURNOS_SERVICIOS,9,FALSE)),"")</f>
        <v/>
      </c>
      <c r="N24" s="165"/>
    </row>
    <row r="25" spans="1:14" s="166" customFormat="1" hidden="1" x14ac:dyDescent="0.3">
      <c r="A25" s="162">
        <v>0</v>
      </c>
      <c r="B25" s="176"/>
      <c r="C25" s="176" t="s">
        <v>1641</v>
      </c>
      <c r="D25" s="360" t="str">
        <f>'Panel de Trabajo'!C22</f>
        <v>GRIFO 12</v>
      </c>
      <c r="E25" s="361" t="str">
        <f t="shared" si="0"/>
        <v>CAPITÁN SANCHEZ CASTRO VICTOR MANUEL</v>
      </c>
      <c r="F25" s="362" t="str">
        <f t="shared" si="1"/>
        <v xml:space="preserve"> </v>
      </c>
      <c r="G25" s="366" t="str">
        <f t="shared" si="2"/>
        <v>F</v>
      </c>
      <c r="H25" s="366" t="str">
        <f t="shared" si="3"/>
        <v>FRANCO</v>
      </c>
      <c r="I25" s="363" t="str">
        <f t="shared" si="4"/>
        <v>-</v>
      </c>
      <c r="J25" s="363" t="str">
        <f>IF(VLOOKUP(D25,TURNOS_SERVICIOS,7,FALSE)=0,"-",VLOOKUP(D25,TURNOS_SERVICIOS,7,FALSE))</f>
        <v xml:space="preserve"> </v>
      </c>
      <c r="K25" s="364">
        <f t="shared" si="6"/>
        <v>3</v>
      </c>
      <c r="L25" s="365" t="str">
        <f t="shared" si="7"/>
        <v/>
      </c>
      <c r="N25" s="165"/>
    </row>
    <row r="26" spans="1:14" s="166" customFormat="1" hidden="1" x14ac:dyDescent="0.3">
      <c r="A26" s="176">
        <v>0</v>
      </c>
      <c r="B26" s="176"/>
      <c r="C26" s="176" t="s">
        <v>1642</v>
      </c>
      <c r="D26" s="360" t="str">
        <f>'Panel de Trabajo'!C23</f>
        <v>GRIFO 13</v>
      </c>
      <c r="E26" s="361" t="str">
        <f t="shared" si="0"/>
        <v>TENIENTE NAVARRO VELASQUEZ RODOLFO</v>
      </c>
      <c r="F26" s="362" t="str">
        <f t="shared" si="1"/>
        <v>J-1228</v>
      </c>
      <c r="G26" s="366" t="str">
        <f t="shared" si="2"/>
        <v>1P</v>
      </c>
      <c r="H26" s="366" t="str">
        <f t="shared" si="3"/>
        <v>BAQUEDANO</v>
      </c>
      <c r="I26" s="363">
        <f t="shared" si="4"/>
        <v>0.33333333333333298</v>
      </c>
      <c r="J26" s="363">
        <f t="shared" si="5"/>
        <v>0.83333333333333204</v>
      </c>
      <c r="K26" s="364">
        <f t="shared" si="6"/>
        <v>3</v>
      </c>
      <c r="L26" s="365" t="str">
        <f t="shared" si="7"/>
        <v/>
      </c>
      <c r="N26" s="165"/>
    </row>
    <row r="27" spans="1:14" s="166" customFormat="1" hidden="1" x14ac:dyDescent="0.3">
      <c r="A27" s="176">
        <v>0</v>
      </c>
      <c r="B27" s="176" t="s">
        <v>1102</v>
      </c>
      <c r="C27" s="176" t="s">
        <v>1448</v>
      </c>
      <c r="D27" s="360" t="str">
        <f>IFERROR(IFERROR(VLOOKUP(C27,PROYECTO_CHARLY,2,FALSE),VLOOKUP(B27,PROYECTO_CHARLY,2,FALSE)),0)</f>
        <v>S-30</v>
      </c>
      <c r="E27" s="361" t="str">
        <f>IFERROR(IF(VLOOKUP(D27,TURNOS_SERVICIOS,2,FALSE)=0,"-",VLOOKUP(D27,TURNOS_SERVICIOS,2,FALSE)),"-")</f>
        <v>TENIENTE DIAZ CARCAMO OLGA ELIZABETH</v>
      </c>
      <c r="F27" s="362" t="str">
        <f>IFERROR(IF(VLOOKUP(D27,TURNOS_SERVICIOS,3,FALSE)=0,"-",VLOOKUP(D27,TURNOS_SERVICIOS,3,FALSE)),"-")</f>
        <v>B-645</v>
      </c>
      <c r="G27" s="366" t="str">
        <f>IFERROR(IF(VLOOKUP(D27,TURNOS_SERVICIOS,4,FALSE)=0,"SIN TURNO",VLOOKUP(D27,TURNOS_SERVICIOS,4,FALSE)),0)</f>
        <v>1P</v>
      </c>
      <c r="H27" s="366" t="str">
        <f>IFERROR(IF(VLOOKUP(D27,TURNOS_SERVICIOS,5,FALSE)=0,"SIN SERVICIO",VLOOKUP(D27,TURNOS_SERVICIOS,5,FALSE)),0)</f>
        <v>BAQUEDANO</v>
      </c>
      <c r="I27" s="363">
        <f>IFERROR(IF(VLOOKUP(D27,TURNOS_SERVICIOS,6,FALSE)=0,"-",VLOOKUP(D27,TURNOS_SERVICIOS,6,FALSE)),0)</f>
        <v>0.33333333333333331</v>
      </c>
      <c r="J27" s="363">
        <f>IFERROR(IF(VLOOKUP(D27,TURNOS_SERVICIOS,7,FALSE)=0,"-",VLOOKUP(D27,TURNOS_SERVICIOS,7,FALSE)),0)</f>
        <v>0.83333333333333337</v>
      </c>
      <c r="K27" s="364">
        <f>IFERROR(VLOOKUP(D27,TURNOS_SERVICIOS,8,FALSE),0)</f>
        <v>7</v>
      </c>
      <c r="L27" s="365" t="str">
        <f>IFERROR(IF(VLOOKUP(D27,TURNOS_SERVICIOS,9,FALSE)=0,"",VLOOKUP(D27,TURNOS_SERVICIOS,9,FALSE)),"")</f>
        <v/>
      </c>
      <c r="N27" s="165"/>
    </row>
    <row r="28" spans="1:14" s="166" customFormat="1" hidden="1" x14ac:dyDescent="0.3">
      <c r="A28" s="176" t="e">
        <f t="shared" ref="A28:A39" si="8">IF(OR(G28="AG.",G28="FER.",G28="LIBERADO",G28="LIC.",G28="PER.",G28="CUR.",G28="F",H28="DISPONIBLE",H28="COMANDO Y CONTROL"),22,0)</f>
        <v>#N/A</v>
      </c>
      <c r="B28" s="176"/>
      <c r="C28" s="176"/>
      <c r="D28" s="360">
        <f>IFERROR(IFERROR(VLOOKUP(C28,PROYECTO_CHARLY,2,FALSE),VLOOKUP(B28,PROYECTO_CHARLY,2,FALSE)),0)</f>
        <v>0</v>
      </c>
      <c r="E28" s="361" t="str">
        <f t="shared" si="0"/>
        <v>NO DESIGNADO</v>
      </c>
      <c r="F28" s="362" t="str">
        <f t="shared" si="1"/>
        <v>-</v>
      </c>
      <c r="G28" s="366" t="e">
        <f t="shared" si="2"/>
        <v>#N/A</v>
      </c>
      <c r="H28" s="366" t="e">
        <f t="shared" si="3"/>
        <v>#N/A</v>
      </c>
      <c r="I28" s="363" t="e">
        <f t="shared" si="4"/>
        <v>#N/A</v>
      </c>
      <c r="J28" s="363" t="e">
        <f t="shared" si="5"/>
        <v>#N/A</v>
      </c>
      <c r="K28" s="364" t="e">
        <f t="shared" si="6"/>
        <v>#N/A</v>
      </c>
      <c r="L28" s="365" t="str">
        <f t="shared" si="7"/>
        <v/>
      </c>
      <c r="N28" s="165"/>
    </row>
    <row r="29" spans="1:14" s="166" customFormat="1" hidden="1" x14ac:dyDescent="0.3">
      <c r="A29" s="176" t="e">
        <f t="shared" si="8"/>
        <v>#N/A</v>
      </c>
      <c r="B29" s="176"/>
      <c r="C29" s="176"/>
      <c r="D29" s="360">
        <f>IFERROR(IFERROR(VLOOKUP(C29,PROYECTO_CHARLY,2,FALSE),VLOOKUP(B29,PROYECTO_CHARLY,2,FALSE)),0)</f>
        <v>0</v>
      </c>
      <c r="E29" s="361" t="str">
        <f t="shared" si="0"/>
        <v>NO DESIGNADO</v>
      </c>
      <c r="F29" s="362" t="str">
        <f t="shared" si="1"/>
        <v>-</v>
      </c>
      <c r="G29" s="366" t="e">
        <f t="shared" si="2"/>
        <v>#N/A</v>
      </c>
      <c r="H29" s="366" t="e">
        <f t="shared" si="3"/>
        <v>#N/A</v>
      </c>
      <c r="I29" s="363" t="e">
        <f t="shared" si="4"/>
        <v>#N/A</v>
      </c>
      <c r="J29" s="363" t="e">
        <f t="shared" si="5"/>
        <v>#N/A</v>
      </c>
      <c r="K29" s="364" t="e">
        <f t="shared" si="6"/>
        <v>#N/A</v>
      </c>
      <c r="L29" s="365" t="str">
        <f t="shared" si="7"/>
        <v/>
      </c>
      <c r="N29" s="165"/>
    </row>
    <row r="30" spans="1:14" s="166" customFormat="1" hidden="1" x14ac:dyDescent="0.3">
      <c r="A30" s="176" t="e">
        <f t="shared" si="8"/>
        <v>#REF!</v>
      </c>
      <c r="B30" s="176"/>
      <c r="C30" s="176"/>
      <c r="D30" s="360" t="e">
        <f>'Panel de Trabajo'!#REF!</f>
        <v>#REF!</v>
      </c>
      <c r="E30" s="361" t="str">
        <f t="shared" si="0"/>
        <v>NO DESIGNADO</v>
      </c>
      <c r="F30" s="362" t="str">
        <f t="shared" si="1"/>
        <v>-</v>
      </c>
      <c r="G30" s="366" t="e">
        <f t="shared" si="2"/>
        <v>#REF!</v>
      </c>
      <c r="H30" s="366" t="e">
        <f t="shared" si="3"/>
        <v>#REF!</v>
      </c>
      <c r="I30" s="363" t="e">
        <f t="shared" si="4"/>
        <v>#REF!</v>
      </c>
      <c r="J30" s="363" t="e">
        <f t="shared" si="5"/>
        <v>#REF!</v>
      </c>
      <c r="K30" s="364" t="e">
        <f t="shared" si="6"/>
        <v>#REF!</v>
      </c>
      <c r="L30" s="365" t="str">
        <f t="shared" si="7"/>
        <v/>
      </c>
      <c r="N30" s="165"/>
    </row>
    <row r="31" spans="1:14" s="166" customFormat="1" hidden="1" x14ac:dyDescent="0.3">
      <c r="A31" s="176" t="e">
        <f t="shared" si="8"/>
        <v>#REF!</v>
      </c>
      <c r="B31" s="176"/>
      <c r="C31" s="176"/>
      <c r="D31" s="360" t="e">
        <f>'Panel de Trabajo'!#REF!</f>
        <v>#REF!</v>
      </c>
      <c r="E31" s="361" t="str">
        <f t="shared" si="0"/>
        <v>NO DESIGNADO</v>
      </c>
      <c r="F31" s="362" t="str">
        <f t="shared" si="1"/>
        <v>-</v>
      </c>
      <c r="G31" s="366" t="e">
        <f t="shared" si="2"/>
        <v>#REF!</v>
      </c>
      <c r="H31" s="366" t="e">
        <f t="shared" si="3"/>
        <v>#REF!</v>
      </c>
      <c r="I31" s="363" t="e">
        <f t="shared" si="4"/>
        <v>#REF!</v>
      </c>
      <c r="J31" s="363" t="e">
        <f t="shared" si="5"/>
        <v>#REF!</v>
      </c>
      <c r="K31" s="364" t="e">
        <f t="shared" si="6"/>
        <v>#REF!</v>
      </c>
      <c r="L31" s="365" t="str">
        <f t="shared" si="7"/>
        <v/>
      </c>
      <c r="N31" s="165"/>
    </row>
    <row r="32" spans="1:14" s="166" customFormat="1" hidden="1" x14ac:dyDescent="0.3">
      <c r="A32" s="176" t="e">
        <f t="shared" si="8"/>
        <v>#REF!</v>
      </c>
      <c r="B32" s="176"/>
      <c r="C32" s="176"/>
      <c r="D32" s="360" t="e">
        <f>'Panel de Trabajo'!#REF!</f>
        <v>#REF!</v>
      </c>
      <c r="E32" s="361" t="str">
        <f t="shared" si="0"/>
        <v>NO DESIGNADO</v>
      </c>
      <c r="F32" s="362" t="str">
        <f t="shared" si="1"/>
        <v>-</v>
      </c>
      <c r="G32" s="366" t="e">
        <f t="shared" si="2"/>
        <v>#REF!</v>
      </c>
      <c r="H32" s="366" t="e">
        <f t="shared" si="3"/>
        <v>#REF!</v>
      </c>
      <c r="I32" s="363" t="e">
        <f t="shared" si="4"/>
        <v>#REF!</v>
      </c>
      <c r="J32" s="363" t="e">
        <f t="shared" si="5"/>
        <v>#REF!</v>
      </c>
      <c r="K32" s="364" t="e">
        <f t="shared" si="6"/>
        <v>#REF!</v>
      </c>
      <c r="L32" s="365" t="str">
        <f t="shared" si="7"/>
        <v/>
      </c>
      <c r="N32" s="165"/>
    </row>
    <row r="33" spans="1:14" s="166" customFormat="1" hidden="1" x14ac:dyDescent="0.3">
      <c r="A33" s="176" t="e">
        <f t="shared" si="8"/>
        <v>#REF!</v>
      </c>
      <c r="B33" s="176"/>
      <c r="C33" s="176"/>
      <c r="D33" s="360" t="e">
        <f>'Panel de Trabajo'!#REF!</f>
        <v>#REF!</v>
      </c>
      <c r="E33" s="361" t="str">
        <f t="shared" si="0"/>
        <v>NO DESIGNADO</v>
      </c>
      <c r="F33" s="362" t="str">
        <f t="shared" si="1"/>
        <v>-</v>
      </c>
      <c r="G33" s="366" t="e">
        <f t="shared" si="2"/>
        <v>#REF!</v>
      </c>
      <c r="H33" s="366" t="e">
        <f t="shared" si="3"/>
        <v>#REF!</v>
      </c>
      <c r="I33" s="363" t="e">
        <f t="shared" si="4"/>
        <v>#REF!</v>
      </c>
      <c r="J33" s="363" t="e">
        <f t="shared" si="5"/>
        <v>#REF!</v>
      </c>
      <c r="K33" s="364" t="e">
        <f t="shared" si="6"/>
        <v>#REF!</v>
      </c>
      <c r="L33" s="365" t="str">
        <f t="shared" si="7"/>
        <v/>
      </c>
      <c r="N33" s="165"/>
    </row>
    <row r="34" spans="1:14" s="166" customFormat="1" x14ac:dyDescent="0.3">
      <c r="A34" s="176">
        <v>22</v>
      </c>
      <c r="B34" s="176"/>
      <c r="C34" s="176" t="str">
        <f>'Panel de Trabajo'!C45</f>
        <v>SSOO 5</v>
      </c>
      <c r="D34" s="360" t="s">
        <v>1522</v>
      </c>
      <c r="E34" s="361" t="str">
        <f t="shared" si="0"/>
        <v>NO DESIGNADO</v>
      </c>
      <c r="F34" s="362" t="str">
        <f t="shared" si="1"/>
        <v>-</v>
      </c>
      <c r="G34" s="366">
        <f t="shared" ref="G34" si="9">IFERROR(IF(VLOOKUP(D34,TURNOS_SERVICIOS,4,FALSE)=0,"SIN TURNO",VLOOKUP(D34,TURNOS_SERVICIOS,4,FALSE)),0)</f>
        <v>0</v>
      </c>
      <c r="H34" s="366">
        <f t="shared" ref="H34" si="10">IFERROR(IF(VLOOKUP(D34,TURNOS_SERVICIOS,5,FALSE)=0,"SIN SERVICIO",VLOOKUP(D34,TURNOS_SERVICIOS,5,FALSE)),0)</f>
        <v>0</v>
      </c>
      <c r="I34" s="363">
        <f t="shared" ref="I34" si="11">IFERROR(IF(VLOOKUP(D34,TURNOS_SERVICIOS,6,FALSE)=0,"-",VLOOKUP(D34,TURNOS_SERVICIOS,6,FALSE)),0)</f>
        <v>0</v>
      </c>
      <c r="J34" s="363">
        <f t="shared" ref="J34" si="12">IFERROR(IF(VLOOKUP(D34,TURNOS_SERVICIOS,7,FALSE)=0,"-",VLOOKUP(D34,TURNOS_SERVICIOS,7,FALSE)),0)</f>
        <v>0</v>
      </c>
      <c r="K34" s="364">
        <f t="shared" ref="K34" si="13">IFERROR(VLOOKUP(D34,TURNOS_SERVICIOS,8,FALSE),0)</f>
        <v>0</v>
      </c>
      <c r="L34" s="365" t="str">
        <f t="shared" si="7"/>
        <v/>
      </c>
      <c r="N34" s="165"/>
    </row>
    <row r="35" spans="1:14" s="166" customFormat="1" hidden="1" x14ac:dyDescent="0.3">
      <c r="A35" s="176"/>
      <c r="B35" s="176"/>
      <c r="C35" s="176" t="str">
        <f>'Panel de Trabajo'!C46</f>
        <v>SSOO 6</v>
      </c>
      <c r="D35" s="360" t="s">
        <v>1522</v>
      </c>
      <c r="E35" s="361"/>
      <c r="F35" s="362"/>
      <c r="G35" s="366"/>
      <c r="H35" s="366"/>
      <c r="I35" s="363"/>
      <c r="J35" s="363"/>
      <c r="K35" s="364"/>
      <c r="L35" s="365"/>
      <c r="N35" s="165"/>
    </row>
    <row r="36" spans="1:14" s="166" customFormat="1" hidden="1" x14ac:dyDescent="0.3">
      <c r="A36" s="176">
        <f t="shared" si="8"/>
        <v>0</v>
      </c>
      <c r="B36" s="176"/>
      <c r="C36" s="174" t="str">
        <f>'Panel de Trabajo'!C47</f>
        <v>SSOO 7</v>
      </c>
      <c r="D36" s="360" t="s">
        <v>1522</v>
      </c>
      <c r="E36" s="361" t="str">
        <f t="shared" ref="E36:E41" si="14">IFERROR(IF(VLOOKUP(C36,TURNOS_SERVICIOS,2,FALSE)=0,"NO DESIGNADO",VLOOKUP(C36,TURNOS_SERVICIOS,2,FALSE)),"NO DESIGNADO")</f>
        <v>-</v>
      </c>
      <c r="F36" s="362" t="str">
        <f t="shared" si="1"/>
        <v>-</v>
      </c>
      <c r="G36" s="366" t="str">
        <f t="shared" ref="G36:G41" si="15">IF(VLOOKUP(C36,TURNOS_SERVICIOS,4,FALSE)=0,"-",VLOOKUP(C36,TURNOS_SERVICIOS,4,FALSE))</f>
        <v/>
      </c>
      <c r="H36" s="366" t="str">
        <f t="shared" ref="H36:H41" si="16">IF(VLOOKUP(C36,TURNOS_SERVICIOS,5,FALSE)=0,"-",VLOOKUP(C36,TURNOS_SERVICIOS,5,FALSE))</f>
        <v/>
      </c>
      <c r="I36" s="363" t="str">
        <f t="shared" ref="I36:I41" si="17">IF(VLOOKUP(C36,TURNOS_SERVICIOS,6,FALSE)=0,"-",VLOOKUP(C36,TURNOS_SERVICIOS,6,FALSE))</f>
        <v>-</v>
      </c>
      <c r="J36" s="363" t="str">
        <f t="shared" ref="J36:J41" si="18">IF(VLOOKUP(C36,TURNOS_SERVICIOS,7,FALSE)=0,"-",VLOOKUP(C36,TURNOS_SERVICIOS,7,FALSE))</f>
        <v>-</v>
      </c>
      <c r="K36" s="364">
        <f t="shared" ref="K36:K41" si="19">VLOOKUP(C36,TURNOS_SERVICIOS,8,FALSE)</f>
        <v>0</v>
      </c>
      <c r="L36" s="365" t="str">
        <f t="shared" ref="L36:L41" si="20">IFERROR(IF(VLOOKUP(C36,TURNOS_SERVICIOS,9,FALSE)=0,"",VLOOKUP(C36,TURNOS_SERVICIOS,9,FALSE)),"")</f>
        <v/>
      </c>
      <c r="N36" s="165"/>
    </row>
    <row r="37" spans="1:14" s="166" customFormat="1" hidden="1" x14ac:dyDescent="0.3">
      <c r="A37" s="176">
        <f t="shared" si="8"/>
        <v>0</v>
      </c>
      <c r="B37" s="176"/>
      <c r="C37" s="174" t="str">
        <f>'Panel de Trabajo'!C48</f>
        <v>SSOO 8</v>
      </c>
      <c r="D37" s="360" t="s">
        <v>1522</v>
      </c>
      <c r="E37" s="361" t="str">
        <f t="shared" si="14"/>
        <v>-</v>
      </c>
      <c r="F37" s="362" t="str">
        <f t="shared" si="1"/>
        <v>-</v>
      </c>
      <c r="G37" s="366" t="str">
        <f t="shared" si="15"/>
        <v/>
      </c>
      <c r="H37" s="366" t="str">
        <f t="shared" si="16"/>
        <v/>
      </c>
      <c r="I37" s="363" t="str">
        <f t="shared" si="17"/>
        <v>-</v>
      </c>
      <c r="J37" s="363" t="str">
        <f t="shared" si="18"/>
        <v>-</v>
      </c>
      <c r="K37" s="364">
        <f t="shared" si="19"/>
        <v>0</v>
      </c>
      <c r="L37" s="365" t="str">
        <f t="shared" si="20"/>
        <v/>
      </c>
      <c r="N37" s="165"/>
    </row>
    <row r="38" spans="1:14" s="166" customFormat="1" hidden="1" x14ac:dyDescent="0.3">
      <c r="A38" s="176">
        <f t="shared" si="8"/>
        <v>0</v>
      </c>
      <c r="B38" s="176"/>
      <c r="C38" s="174" t="str">
        <f>'Panel de Trabajo'!C49</f>
        <v>SSOO 9</v>
      </c>
      <c r="D38" s="360" t="s">
        <v>1522</v>
      </c>
      <c r="E38" s="361" t="str">
        <f t="shared" si="14"/>
        <v>-</v>
      </c>
      <c r="F38" s="362" t="str">
        <f t="shared" si="1"/>
        <v>-</v>
      </c>
      <c r="G38" s="366" t="str">
        <f t="shared" si="15"/>
        <v/>
      </c>
      <c r="H38" s="366" t="str">
        <f t="shared" si="16"/>
        <v/>
      </c>
      <c r="I38" s="363" t="str">
        <f t="shared" si="17"/>
        <v>-</v>
      </c>
      <c r="J38" s="363" t="str">
        <f t="shared" si="18"/>
        <v>-</v>
      </c>
      <c r="K38" s="364">
        <f t="shared" si="19"/>
        <v>0</v>
      </c>
      <c r="L38" s="365" t="str">
        <f t="shared" si="20"/>
        <v/>
      </c>
      <c r="N38" s="165"/>
    </row>
    <row r="39" spans="1:14" s="166" customFormat="1" hidden="1" x14ac:dyDescent="0.3">
      <c r="A39" s="176">
        <f t="shared" si="8"/>
        <v>0</v>
      </c>
      <c r="B39" s="176"/>
      <c r="C39" s="174" t="str">
        <f>'Panel de Trabajo'!C50</f>
        <v>SSOO 10</v>
      </c>
      <c r="D39" s="360" t="s">
        <v>1522</v>
      </c>
      <c r="E39" s="361" t="str">
        <f t="shared" si="14"/>
        <v>-</v>
      </c>
      <c r="F39" s="362" t="str">
        <f t="shared" si="1"/>
        <v>-</v>
      </c>
      <c r="G39" s="366" t="str">
        <f t="shared" si="15"/>
        <v/>
      </c>
      <c r="H39" s="366" t="str">
        <f t="shared" si="16"/>
        <v/>
      </c>
      <c r="I39" s="363" t="str">
        <f t="shared" si="17"/>
        <v>-</v>
      </c>
      <c r="J39" s="363" t="str">
        <f t="shared" si="18"/>
        <v>-</v>
      </c>
      <c r="K39" s="364">
        <f t="shared" si="19"/>
        <v>0</v>
      </c>
      <c r="L39" s="365" t="str">
        <f t="shared" si="20"/>
        <v/>
      </c>
      <c r="N39" s="165"/>
    </row>
    <row r="40" spans="1:14" s="166" customFormat="1" hidden="1" x14ac:dyDescent="0.3">
      <c r="A40" s="176">
        <v>0</v>
      </c>
      <c r="B40" s="176"/>
      <c r="C40" s="174" t="e">
        <f>'Panel de Trabajo'!#REF!</f>
        <v>#REF!</v>
      </c>
      <c r="D40" s="360" t="s">
        <v>1522</v>
      </c>
      <c r="E40" s="361" t="str">
        <f t="shared" si="14"/>
        <v>NO DESIGNADO</v>
      </c>
      <c r="F40" s="362" t="str">
        <f t="shared" si="1"/>
        <v>-</v>
      </c>
      <c r="G40" s="366" t="e">
        <f t="shared" si="15"/>
        <v>#REF!</v>
      </c>
      <c r="H40" s="366" t="e">
        <f t="shared" si="16"/>
        <v>#REF!</v>
      </c>
      <c r="I40" s="363" t="e">
        <f t="shared" si="17"/>
        <v>#REF!</v>
      </c>
      <c r="J40" s="363" t="e">
        <f t="shared" si="18"/>
        <v>#REF!</v>
      </c>
      <c r="K40" s="364" t="e">
        <f t="shared" si="19"/>
        <v>#REF!</v>
      </c>
      <c r="L40" s="365" t="str">
        <f t="shared" si="20"/>
        <v/>
      </c>
      <c r="N40" s="165"/>
    </row>
    <row r="41" spans="1:14" s="166" customFormat="1" hidden="1" x14ac:dyDescent="0.3">
      <c r="A41" s="176">
        <v>0</v>
      </c>
      <c r="B41" s="176"/>
      <c r="C41" s="174" t="e">
        <f>'Panel de Trabajo'!#REF!</f>
        <v>#REF!</v>
      </c>
      <c r="D41" s="360" t="s">
        <v>1522</v>
      </c>
      <c r="E41" s="361" t="str">
        <f t="shared" si="14"/>
        <v>NO DESIGNADO</v>
      </c>
      <c r="F41" s="362" t="str">
        <f t="shared" si="1"/>
        <v>-</v>
      </c>
      <c r="G41" s="366" t="e">
        <f t="shared" si="15"/>
        <v>#REF!</v>
      </c>
      <c r="H41" s="366" t="e">
        <f t="shared" si="16"/>
        <v>#REF!</v>
      </c>
      <c r="I41" s="363" t="e">
        <f t="shared" si="17"/>
        <v>#REF!</v>
      </c>
      <c r="J41" s="363" t="e">
        <f t="shared" si="18"/>
        <v>#REF!</v>
      </c>
      <c r="K41" s="364" t="e">
        <f t="shared" si="19"/>
        <v>#REF!</v>
      </c>
      <c r="L41" s="365" t="str">
        <f t="shared" si="20"/>
        <v/>
      </c>
      <c r="N41" s="165"/>
    </row>
    <row r="42" spans="1:14" s="166" customFormat="1" x14ac:dyDescent="0.3">
      <c r="A42" s="162">
        <v>22</v>
      </c>
      <c r="B42" s="162"/>
      <c r="C42" s="162"/>
      <c r="D42" s="1123" t="s">
        <v>1169</v>
      </c>
      <c r="E42" s="1124"/>
      <c r="F42" s="1123"/>
      <c r="G42" s="1123"/>
      <c r="H42" s="1123"/>
      <c r="I42" s="1123"/>
      <c r="J42" s="1123"/>
      <c r="K42" s="1123"/>
      <c r="L42" s="1124"/>
      <c r="N42" s="165"/>
    </row>
    <row r="43" spans="1:14" s="166" customFormat="1" x14ac:dyDescent="0.3">
      <c r="A43" s="176">
        <v>22</v>
      </c>
      <c r="B43" s="176" t="s">
        <v>1645</v>
      </c>
      <c r="C43" s="176" t="s">
        <v>1640</v>
      </c>
      <c r="D43" s="360" t="s">
        <v>224</v>
      </c>
      <c r="E43" s="361" t="str">
        <f t="shared" ref="E43:E50" si="21">IFERROR(IF(VLOOKUP(D43,TURNOS_SERVICIOS,2,FALSE)=0,"-",VLOOKUP(D43,TURNOS_SERVICIOS,2,FALSE)),"-")</f>
        <v>CAPITÁN ELGUETA ARAVENA BORIS WALTER</v>
      </c>
      <c r="F43" s="362" t="str">
        <f>IFERROR(IF(VLOOKUP(D43,TURNOS_SERVICIOS,3,FALSE)=0,"-",VLOOKUP(D43,TURNOS_SERVICIOS,3,FALSE)),"-")</f>
        <v>B-646</v>
      </c>
      <c r="G43" s="362" t="str">
        <f>IFERROR(IF(VLOOKUP(D43,TURNOS_SERVICIOS,4,FALSE)=0,"SIN TURNO",VLOOKUP(D43,TURNOS_SERVICIOS,4,FALSE)),0)</f>
        <v>1P</v>
      </c>
      <c r="H43" s="362" t="str">
        <f>IFERROR(IF(VLOOKUP(D43,TURNOS_SERVICIOS,5,FALSE)=0,"SIN SERVICIO",VLOOKUP(D43,TURNOS_SERVICIOS,5,FALSE)),0)</f>
        <v>JEFE APS</v>
      </c>
      <c r="I43" s="367">
        <f>IFERROR(IF(VLOOKUP(D43,TURNOS_SERVICIOS,6,FALSE)=0,"-",VLOOKUP(D43,TURNOS_SERVICIOS,6,FALSE)),0)</f>
        <v>0.33333333333333298</v>
      </c>
      <c r="J43" s="367">
        <f>IFERROR(IF(VLOOKUP(D43,TURNOS_SERVICIOS,7,FALSE)=0,"-",VLOOKUP(D43,TURNOS_SERVICIOS,7,FALSE)),0)</f>
        <v>0.83333333333333204</v>
      </c>
      <c r="K43" s="368">
        <f>IFERROR(VLOOKUP(D43,TURNOS_SERVICIOS,8,FALSE),0)</f>
        <v>3</v>
      </c>
      <c r="L43" s="365" t="str">
        <f>IFERROR(IF(VLOOKUP(D43,TURNOS_SERVICIOS,9,FALSE)=0,"",VLOOKUP(D43,TURNOS_SERVICIOS,9,FALSE)),"")</f>
        <v/>
      </c>
      <c r="N43" s="165"/>
    </row>
    <row r="44" spans="1:14" s="166" customFormat="1" hidden="1" x14ac:dyDescent="0.3">
      <c r="A44" s="176">
        <v>0</v>
      </c>
      <c r="B44" s="176" t="s">
        <v>1646</v>
      </c>
      <c r="C44" s="176" t="s">
        <v>1641</v>
      </c>
      <c r="D44" s="369" t="s">
        <v>669</v>
      </c>
      <c r="E44" s="370" t="str">
        <f t="shared" si="21"/>
        <v>-</v>
      </c>
      <c r="F44" s="371" t="str">
        <f>IFERROR(IF(VLOOKUP(D44,TURNOS_SERVICIOS,3,FALSE)=0,"-",VLOOKUP(D44,TURNOS_SERVICIOS,3,FALSE)),"-")</f>
        <v>-</v>
      </c>
      <c r="G44" s="371" t="str">
        <f>IFERROR(IF(VLOOKUP(D44,TURNOS_SERVICIOS,4,FALSE)=0,"SIN TURNO",VLOOKUP(D44,TURNOS_SERVICIOS,4,FALSE)),0)</f>
        <v/>
      </c>
      <c r="H44" s="371" t="str">
        <f>IFERROR(IF(VLOOKUP(D44,TURNOS_SERVICIOS,5,FALSE)=0,"SIN SERVICIO",VLOOKUP(D44,TURNOS_SERVICIOS,5,FALSE)),0)</f>
        <v/>
      </c>
      <c r="I44" s="363" t="str">
        <f>IFERROR(IF(VLOOKUP(D44,TURNOS_SERVICIOS,6,FALSE)=0,"-",VLOOKUP(D44,TURNOS_SERVICIOS,6,FALSE)),0)</f>
        <v>-</v>
      </c>
      <c r="J44" s="363" t="str">
        <f>IFERROR(IF(VLOOKUP(D44,TURNOS_SERVICIOS,7,FALSE)=0,"-",VLOOKUP(D44,TURNOS_SERVICIOS,7,FALSE)),0)</f>
        <v>-</v>
      </c>
      <c r="K44" s="364">
        <f>IFERROR(VLOOKUP(D44,TURNOS_SERVICIOS,8,FALSE),0)</f>
        <v>0</v>
      </c>
      <c r="L44" s="365" t="str">
        <f>IFERROR(IF(VLOOKUP(D44,TURNOS_SERVICIOS,9,FALSE)=0,"",VLOOKUP(D44,TURNOS_SERVICIOS,9,FALSE)),"")</f>
        <v/>
      </c>
      <c r="N44" s="165"/>
    </row>
    <row r="45" spans="1:14" s="166" customFormat="1" x14ac:dyDescent="0.3">
      <c r="A45" s="176">
        <f>IF(D45&lt;&gt;0,22,0)</f>
        <v>22</v>
      </c>
      <c r="B45" s="176" t="s">
        <v>1647</v>
      </c>
      <c r="C45" s="176" t="s">
        <v>1642</v>
      </c>
      <c r="D45" s="369" t="s">
        <v>2052</v>
      </c>
      <c r="E45" s="370" t="str">
        <f t="shared" si="21"/>
        <v>TENIENTE SEPULVEDA BUSTOS ALVARO SEBASTIAN</v>
      </c>
      <c r="F45" s="371" t="str">
        <f>IFERROR(IF(VLOOKUP(D45,TURNOS_SERVICIOS,3,FALSE)=0,"-",VLOOKUP(D45,TURNOS_SERVICIOS,3,FALSE)),"-")</f>
        <v xml:space="preserve"> </v>
      </c>
      <c r="G45" s="371" t="str">
        <f>IFERROR(IF(VLOOKUP(D45,TURNOS_SERVICIOS,4,FALSE)=0,"SIN TURNO",VLOOKUP(D45,TURNOS_SERVICIOS,4,FALSE)),0)</f>
        <v>F</v>
      </c>
      <c r="H45" s="371" t="str">
        <f>IFERROR(IF(VLOOKUP(D45,TURNOS_SERVICIOS,5,FALSE)=0,"SIN SERVICIO",VLOOKUP(D45,TURNOS_SERVICIOS,5,FALSE)),0)</f>
        <v>FRANCO</v>
      </c>
      <c r="I45" s="363" t="str">
        <f>IFERROR(IF(VLOOKUP(D45,TURNOS_SERVICIOS,6,FALSE)=0,"-",VLOOKUP(D45,TURNOS_SERVICIOS,6,FALSE)),0)</f>
        <v xml:space="preserve"> </v>
      </c>
      <c r="J45" s="363" t="str">
        <f>IFERROR(IF(VLOOKUP(D45,TURNOS_SERVICIOS,7,FALSE)=0,"-",VLOOKUP(D45,TURNOS_SERVICIOS,7,FALSE)),0)</f>
        <v xml:space="preserve"> </v>
      </c>
      <c r="K45" s="364">
        <f>IFERROR(VLOOKUP(D45,TURNOS_SERVICIOS,8,FALSE),0)</f>
        <v>1</v>
      </c>
      <c r="L45" s="365" t="str">
        <f>IFERROR(IF(VLOOKUP(D45,TURNOS_SERVICIOS,9,FALSE)=0,"",VLOOKUP(D45,TURNOS_SERVICIOS,9,FALSE)),"")</f>
        <v/>
      </c>
      <c r="N45" s="165"/>
    </row>
    <row r="46" spans="1:14" s="166" customFormat="1" x14ac:dyDescent="0.3">
      <c r="A46" s="176">
        <f>IF(D46&lt;&gt;0,22,0)</f>
        <v>22</v>
      </c>
      <c r="B46" s="176" t="s">
        <v>1648</v>
      </c>
      <c r="C46" s="176" t="s">
        <v>1643</v>
      </c>
      <c r="D46" s="369" t="s">
        <v>241</v>
      </c>
      <c r="E46" s="370" t="str">
        <f t="shared" si="21"/>
        <v>CAPITÁN SANCHEZ CASTRO VICTOR MANUEL</v>
      </c>
      <c r="F46" s="371" t="str">
        <f t="shared" ref="F46" si="22">IFERROR(IF(VLOOKUP(D46,TURNOS_SERVICIOS,3,FALSE)=0,"-",VLOOKUP(D46,TURNOS_SERVICIOS,3,FALSE)),"-")</f>
        <v xml:space="preserve"> </v>
      </c>
      <c r="G46" s="371" t="str">
        <f t="shared" ref="G46" si="23">IFERROR(IF(VLOOKUP(D46,TURNOS_SERVICIOS,4,FALSE)=0,"SIN TURNO",VLOOKUP(D46,TURNOS_SERVICIOS,4,FALSE)),0)</f>
        <v>F</v>
      </c>
      <c r="H46" s="371" t="str">
        <f t="shared" ref="H46" si="24">IFERROR(IF(VLOOKUP(D46,TURNOS_SERVICIOS,5,FALSE)=0,"SIN SERVICIO",VLOOKUP(D46,TURNOS_SERVICIOS,5,FALSE)),0)</f>
        <v>FRANCO</v>
      </c>
      <c r="I46" s="363" t="str">
        <f t="shared" ref="I46" si="25">IFERROR(IF(VLOOKUP(D46,TURNOS_SERVICIOS,6,FALSE)=0,"-",VLOOKUP(D46,TURNOS_SERVICIOS,6,FALSE)),0)</f>
        <v>-</v>
      </c>
      <c r="J46" s="363" t="str">
        <f t="shared" ref="J46" si="26">IFERROR(IF(VLOOKUP(D46,TURNOS_SERVICIOS,7,FALSE)=0,"-",VLOOKUP(D46,TURNOS_SERVICIOS,7,FALSE)),0)</f>
        <v xml:space="preserve"> </v>
      </c>
      <c r="K46" s="364">
        <f t="shared" ref="K46" si="27">IFERROR(VLOOKUP(D46,TURNOS_SERVICIOS,8,FALSE),0)</f>
        <v>3</v>
      </c>
      <c r="L46" s="365" t="str">
        <f t="shared" ref="L46" si="28">IFERROR(IF(VLOOKUP(D46,TURNOS_SERVICIOS,9,FALSE)=0,"",VLOOKUP(D46,TURNOS_SERVICIOS,9,FALSE)),"")</f>
        <v/>
      </c>
      <c r="N46" s="165"/>
    </row>
    <row r="47" spans="1:14" s="166" customFormat="1" hidden="1" x14ac:dyDescent="0.3">
      <c r="A47" s="176">
        <v>0</v>
      </c>
      <c r="B47" s="176" t="s">
        <v>1649</v>
      </c>
      <c r="C47" s="176" t="s">
        <v>1644</v>
      </c>
      <c r="D47" s="369" t="s">
        <v>670</v>
      </c>
      <c r="E47" s="370" t="str">
        <f t="shared" si="21"/>
        <v>TENIENTE MORAGA RUIZ MARIO IGNACIO</v>
      </c>
      <c r="F47" s="371" t="str">
        <f>IFERROR(IF(VLOOKUP(D47,TURNOS_SERVICIOS,3,FALSE)=0,"-",VLOOKUP(D47,TURNOS_SERVICIOS,3,FALSE)),"-")</f>
        <v>B-687</v>
      </c>
      <c r="G47" s="371" t="str">
        <f>IFERROR(IF(VLOOKUP(D47,TURNOS_SERVICIOS,4,FALSE)=0,"SIN TURNO",VLOOKUP(D47,TURNOS_SERVICIOS,4,FALSE)),0)</f>
        <v>3T</v>
      </c>
      <c r="H47" s="371" t="str">
        <f>IFERROR(IF(VLOOKUP(D47,TURNOS_SERVICIOS,5,FALSE)=0,"SIN SERVICIO",VLOOKUP(D47,TURNOS_SERVICIOS,5,FALSE)),0)</f>
        <v>APS</v>
      </c>
      <c r="I47" s="363">
        <f>IFERROR(IF(VLOOKUP(D47,TURNOS_SERVICIOS,6,FALSE)=0,"-",VLOOKUP(D47,TURNOS_SERVICIOS,6,FALSE)),0)</f>
        <v>0.83333333333333337</v>
      </c>
      <c r="J47" s="363">
        <f>IFERROR(IF(VLOOKUP(D47,TURNOS_SERVICIOS,7,FALSE)=0,"-",VLOOKUP(D47,TURNOS_SERVICIOS,7,FALSE)),0)</f>
        <v>0.33333333333333331</v>
      </c>
      <c r="K47" s="364">
        <f>IFERROR(VLOOKUP(D47,TURNOS_SERVICIOS,8,FALSE),0)</f>
        <v>2</v>
      </c>
      <c r="L47" s="365" t="str">
        <f>IFERROR(IF(VLOOKUP(D47,TURNOS_SERVICIOS,9,FALSE)=0,"",VLOOKUP(D47,TURNOS_SERVICIOS,9,FALSE)),"")</f>
        <v/>
      </c>
      <c r="N47" s="165"/>
    </row>
    <row r="48" spans="1:14" s="166" customFormat="1" x14ac:dyDescent="0.3">
      <c r="A48" s="176">
        <f>IF(D48&lt;&gt;0,22,0)</f>
        <v>22</v>
      </c>
      <c r="B48" s="176" t="s">
        <v>2992</v>
      </c>
      <c r="C48" s="176" t="s">
        <v>2993</v>
      </c>
      <c r="D48" s="369" t="s">
        <v>829</v>
      </c>
      <c r="E48" s="370" t="str">
        <f t="shared" si="21"/>
        <v>TENIENTE LEPIN SOLAR MAXIMILIANO ARTURO</v>
      </c>
      <c r="F48" s="371" t="str">
        <f>IFERROR(IF(VLOOKUP(D48,TURNOS_SERVICIOS,3,FALSE)=0,"-",VLOOKUP(D48,TURNOS_SERVICIOS,3,FALSE)),"-")</f>
        <v>J-010</v>
      </c>
      <c r="G48" s="371" t="str">
        <f>IFERROR(IF(VLOOKUP(D48,TURNOS_SERVICIOS,4,FALSE)=0,"SIN TURNO",VLOOKUP(D48,TURNOS_SERVICIOS,4,FALSE)),0)</f>
        <v>1P</v>
      </c>
      <c r="H48" s="371" t="str">
        <f>IFERROR(IF(VLOOKUP(D48,TURNOS_SERVICIOS,5,FALSE)=0,"SIN SERVICIO",VLOOKUP(D48,TURNOS_SERVICIOS,5,FALSE)),0)</f>
        <v>ARIETE 22</v>
      </c>
      <c r="I48" s="363">
        <f>IFERROR(IF(VLOOKUP(D48,TURNOS_SERVICIOS,6,FALSE)=0,"-",VLOOKUP(D48,TURNOS_SERVICIOS,6,FALSE)),0)</f>
        <v>0.33333333333333331</v>
      </c>
      <c r="J48" s="363" t="str">
        <f>IFERROR(IF(VLOOKUP(D48,TURNOS_SERVICIOS,7,FALSE)=0,"-",VLOOKUP(D48,TURNOS_SERVICIOS,7,FALSE)),0)</f>
        <v>NORM.</v>
      </c>
      <c r="K48" s="364">
        <f>IFERROR(VLOOKUP(D48,TURNOS_SERVICIOS,8,FALSE),0)</f>
        <v>3</v>
      </c>
      <c r="L48" s="365" t="str">
        <f>IFERROR(IF(VLOOKUP(D48,TURNOS_SERVICIOS,9,FALSE)=0,"",VLOOKUP(D48,TURNOS_SERVICIOS,9,FALSE)),"")</f>
        <v/>
      </c>
      <c r="N48" s="165"/>
    </row>
    <row r="49" spans="1:14" s="166" customFormat="1" x14ac:dyDescent="0.3">
      <c r="A49" s="176">
        <f>IF(D49&lt;&gt;0,22,0)</f>
        <v>22</v>
      </c>
      <c r="B49" s="176" t="s">
        <v>2994</v>
      </c>
      <c r="C49" s="176" t="s">
        <v>2995</v>
      </c>
      <c r="D49" s="369" t="s">
        <v>2051</v>
      </c>
      <c r="E49" s="370" t="str">
        <f t="shared" si="21"/>
        <v>TENIENTE SALAZAR CARVAJAL CARLOS</v>
      </c>
      <c r="F49" s="371" t="str">
        <f>IFERROR(IF(VLOOKUP(D49,TURNOS_SERVICIOS,3,FALSE)=0,"-",VLOOKUP(D49,TURNOS_SERVICIOS,3,FALSE)),"-")</f>
        <v>J-035</v>
      </c>
      <c r="G49" s="371" t="str">
        <f>IFERROR(IF(VLOOKUP(D49,TURNOS_SERVICIOS,4,FALSE)=0,"SIN TURNO",VLOOKUP(D49,TURNOS_SERVICIOS,4,FALSE)),0)</f>
        <v>1P</v>
      </c>
      <c r="H49" s="371" t="str">
        <f>IFERROR(IF(VLOOKUP(D49,TURNOS_SERVICIOS,5,FALSE)=0,"SIN SERVICIO",VLOOKUP(D49,TURNOS_SERVICIOS,5,FALSE)),0)</f>
        <v>ARIETE 23</v>
      </c>
      <c r="I49" s="363">
        <f>IFERROR(IF(VLOOKUP(D49,TURNOS_SERVICIOS,6,FALSE)=0,"-",VLOOKUP(D49,TURNOS_SERVICIOS,6,FALSE)),0)</f>
        <v>0.33333333333333331</v>
      </c>
      <c r="J49" s="363" t="str">
        <f>IFERROR(IF(VLOOKUP(D49,TURNOS_SERVICIOS,7,FALSE)=0,"-",VLOOKUP(D49,TURNOS_SERVICIOS,7,FALSE)),0)</f>
        <v>NORM.</v>
      </c>
      <c r="K49" s="364">
        <f>IFERROR(VLOOKUP(D49,TURNOS_SERVICIOS,8,FALSE),0)</f>
        <v>2</v>
      </c>
      <c r="L49" s="365" t="str">
        <f>IFERROR(IF(VLOOKUP(D49,TURNOS_SERVICIOS,9,FALSE)=0,"",VLOOKUP(D49,TURNOS_SERVICIOS,9,FALSE)),"")</f>
        <v/>
      </c>
      <c r="N49" s="165"/>
    </row>
    <row r="50" spans="1:14" s="166" customFormat="1" hidden="1" x14ac:dyDescent="0.3">
      <c r="A50" s="176"/>
      <c r="B50" s="176" t="s">
        <v>3039</v>
      </c>
      <c r="C50" s="176" t="s">
        <v>3040</v>
      </c>
      <c r="D50" s="369" t="s">
        <v>2052</v>
      </c>
      <c r="E50" s="370" t="str">
        <f t="shared" si="21"/>
        <v>TENIENTE SEPULVEDA BUSTOS ALVARO SEBASTIAN</v>
      </c>
      <c r="F50" s="371" t="str">
        <f>IFERROR(IF(VLOOKUP(D50,TURNOS_SERVICIOS,3,FALSE)=0,"-",VLOOKUP(D50,TURNOS_SERVICIOS,3,FALSE)),"-")</f>
        <v xml:space="preserve"> </v>
      </c>
      <c r="G50" s="371" t="str">
        <f>IFERROR(IF(VLOOKUP(D50,TURNOS_SERVICIOS,4,FALSE)=0,"SIN TURNO",VLOOKUP(D50,TURNOS_SERVICIOS,4,FALSE)),0)</f>
        <v>F</v>
      </c>
      <c r="H50" s="371" t="str">
        <f>IFERROR(IF(VLOOKUP(D50,TURNOS_SERVICIOS,5,FALSE)=0,"SIN SERVICIO",VLOOKUP(D50,TURNOS_SERVICIOS,5,FALSE)),0)</f>
        <v>FRANCO</v>
      </c>
      <c r="I50" s="363" t="str">
        <f>IFERROR(IF(VLOOKUP(D50,TURNOS_SERVICIOS,6,FALSE)=0,"-",VLOOKUP(D50,TURNOS_SERVICIOS,6,FALSE)),0)</f>
        <v xml:space="preserve"> </v>
      </c>
      <c r="J50" s="363" t="str">
        <f>IFERROR(IF(VLOOKUP(D50,TURNOS_SERVICIOS,7,FALSE)=0,"-",VLOOKUP(D50,TURNOS_SERVICIOS,7,FALSE)),0)</f>
        <v xml:space="preserve"> </v>
      </c>
      <c r="K50" s="364">
        <f>IFERROR(VLOOKUP(D50,TURNOS_SERVICIOS,8,FALSE),0)</f>
        <v>1</v>
      </c>
      <c r="L50" s="365" t="str">
        <f>IFERROR(IF(VLOOKUP(D50,TURNOS_SERVICIOS,9,FALSE)=0,"",VLOOKUP(D50,TURNOS_SERVICIOS,9,FALSE)),"")</f>
        <v/>
      </c>
      <c r="N50" s="165"/>
    </row>
    <row r="51" spans="1:14" s="166" customFormat="1" x14ac:dyDescent="0.3">
      <c r="A51" s="176">
        <f t="shared" ref="A51" si="29">IF(D51&lt;&gt;0,22,0)</f>
        <v>22</v>
      </c>
      <c r="B51" s="176" t="s">
        <v>1112</v>
      </c>
      <c r="C51" s="176" t="s">
        <v>1459</v>
      </c>
      <c r="D51" s="369" t="str">
        <f>IFERROR(IFERROR(VLOOKUP(C51,PROYECTO_CHARLY,2,FALSE),VLOOKUP(B51,PROYECTO_CHARLY,2,FALSE)),0)</f>
        <v>GRIFO 25</v>
      </c>
      <c r="E51" s="370" t="str">
        <f t="shared" ref="E51" si="30">IFERROR(IF(VLOOKUP(D51,TURNOS_SERVICIOS,2,FALSE)=0,"-",VLOOKUP(D51,TURNOS_SERVICIOS,2,FALSE)),"-")</f>
        <v>-</v>
      </c>
      <c r="F51" s="371" t="str">
        <f t="shared" ref="F51" si="31">IFERROR(IF(VLOOKUP(D51,TURNOS_SERVICIOS,3,FALSE)=0,"-",VLOOKUP(D51,TURNOS_SERVICIOS,3,FALSE)),"-")</f>
        <v>-</v>
      </c>
      <c r="G51" s="371" t="str">
        <f t="shared" ref="G51" si="32">IFERROR(IF(VLOOKUP(D51,TURNOS_SERVICIOS,4,FALSE)=0,"SIN TURNO",VLOOKUP(D51,TURNOS_SERVICIOS,4,FALSE)),0)</f>
        <v/>
      </c>
      <c r="H51" s="371" t="str">
        <f>IFERROR(IF(VLOOKUP(D51,TURNOS_SERVICIOS,5,FALSE)=0,"SIN SERVICIO",VLOOKUP(D51,TURNOS_SERVICIOS,5,FALSE)),0)</f>
        <v/>
      </c>
      <c r="I51" s="363" t="str">
        <f>IFERROR(IF(VLOOKUP(D51,TURNOS_SERVICIOS,6,FALSE)=0,"-",VLOOKUP(D51,TURNOS_SERVICIOS,6,FALSE)),0)</f>
        <v>-</v>
      </c>
      <c r="J51" s="363" t="str">
        <f>IFERROR(IF(VLOOKUP(D51,TURNOS_SERVICIOS,7,FALSE)=0,"-",VLOOKUP(D51,TURNOS_SERVICIOS,7,FALSE)),0)</f>
        <v>-</v>
      </c>
      <c r="K51" s="364">
        <f>IFERROR(VLOOKUP(D51,TURNOS_SERVICIOS,8,FALSE),0)</f>
        <v>0</v>
      </c>
      <c r="L51" s="365" t="str">
        <f>IFERROR(IF(VLOOKUP(D51,TURNOS_SERVICIOS,9,FALSE)=0,"",VLOOKUP(D51,TURNOS_SERVICIOS,9,FALSE)),"")</f>
        <v/>
      </c>
      <c r="N51" s="165"/>
    </row>
    <row r="52" spans="1:14" s="166" customFormat="1" hidden="1" x14ac:dyDescent="0.3">
      <c r="A52" s="176">
        <f>IF(D53&lt;&gt;0,22,0)</f>
        <v>0</v>
      </c>
      <c r="B52" s="162"/>
      <c r="C52" s="162"/>
      <c r="D52" s="1123"/>
      <c r="E52" s="1124"/>
      <c r="F52" s="1123"/>
      <c r="G52" s="1123"/>
      <c r="H52" s="1123"/>
      <c r="I52" s="1123"/>
      <c r="J52" s="1123"/>
      <c r="K52" s="1123"/>
      <c r="L52" s="1123"/>
      <c r="N52" s="165"/>
    </row>
    <row r="53" spans="1:14" s="166" customFormat="1" hidden="1" x14ac:dyDescent="0.3">
      <c r="A53" s="176">
        <f>IF(D53&lt;&gt;0,22,0)</f>
        <v>0</v>
      </c>
      <c r="B53" s="176" t="s">
        <v>1651</v>
      </c>
      <c r="C53" s="176" t="s">
        <v>1656</v>
      </c>
      <c r="D53" s="360">
        <f>IFERROR(IFERROR(VLOOKUP(C53,PROYECTO_CHARLY,2,FALSE),VLOOKUP(B53,PROYECTO_CHARLY,2,FALSE)),0)</f>
        <v>0</v>
      </c>
      <c r="E53" s="361" t="str">
        <f>IFERROR(IF(VLOOKUP(D53,TURNOS_SERVICIOS,2,FALSE)=0,"-",VLOOKUP(D53,TURNOS_SERVICIOS,2,FALSE)),"-")</f>
        <v>-</v>
      </c>
      <c r="F53" s="362" t="str">
        <f>IFERROR(IF(VLOOKUP(D53,TURNOS_SERVICIOS,3,FALSE)=0,"-",VLOOKUP(D53,TURNOS_SERVICIOS,3,FALSE)),"-")</f>
        <v>-</v>
      </c>
      <c r="G53" s="362">
        <f>IFERROR(IF(VLOOKUP(D53,TURNOS_SERVICIOS,4,FALSE)=0,"SIN TURNO",VLOOKUP(D53,TURNOS_SERVICIOS,4,FALSE)),0)</f>
        <v>0</v>
      </c>
      <c r="H53" s="362">
        <f>IFERROR(IF(VLOOKUP(D53,TURNOS_SERVICIOS,5,FALSE)=0,"SIN SERVICIO",VLOOKUP(D53,TURNOS_SERVICIOS,5,FALSE)),0)</f>
        <v>0</v>
      </c>
      <c r="I53" s="367">
        <f>IFERROR(IF(VLOOKUP(D53,TURNOS_SERVICIOS,6,FALSE)=0,"-",VLOOKUP(D53,TURNOS_SERVICIOS,6,FALSE)),0)</f>
        <v>0</v>
      </c>
      <c r="J53" s="367">
        <f>IFERROR(IF(VLOOKUP(D53,TURNOS_SERVICIOS,7,FALSE)=0,"-",VLOOKUP(D53,TURNOS_SERVICIOS,7,FALSE)),0)</f>
        <v>0</v>
      </c>
      <c r="K53" s="368">
        <f>IFERROR(VLOOKUP(D53,TURNOS_SERVICIOS,8,FALSE),0)</f>
        <v>0</v>
      </c>
      <c r="L53" s="365" t="str">
        <f>IFERROR(IF(VLOOKUP(D53,TURNOS_SERVICIOS,9,FALSE)=0,"",VLOOKUP(D53,TURNOS_SERVICIOS,9,FALSE)),"")</f>
        <v/>
      </c>
      <c r="N53" s="165"/>
    </row>
    <row r="54" spans="1:14" s="166" customFormat="1" hidden="1" x14ac:dyDescent="0.3">
      <c r="A54" s="176">
        <f>IF(D54&lt;&gt;0,22,0)</f>
        <v>0</v>
      </c>
      <c r="B54" s="176" t="s">
        <v>1652</v>
      </c>
      <c r="C54" s="176" t="s">
        <v>1657</v>
      </c>
      <c r="D54" s="369">
        <f>IFERROR(IFERROR(VLOOKUP(C54,PROYECTO_CHARLY,2,FALSE),VLOOKUP(B54,PROYECTO_CHARLY,2,FALSE)),0)</f>
        <v>0</v>
      </c>
      <c r="E54" s="370" t="str">
        <f>IFERROR(IF(VLOOKUP(D54,TURNOS_SERVICIOS,2,FALSE)=0,"-",VLOOKUP(D54,TURNOS_SERVICIOS,2,FALSE)),"-")</f>
        <v>-</v>
      </c>
      <c r="F54" s="371" t="str">
        <f>IFERROR(IF(VLOOKUP(D54,TURNOS_SERVICIOS,3,FALSE)=0,"-",VLOOKUP(D54,TURNOS_SERVICIOS,3,FALSE)),"-")</f>
        <v>-</v>
      </c>
      <c r="G54" s="371">
        <f>IFERROR(IF(VLOOKUP(D54,TURNOS_SERVICIOS,4,FALSE)=0,"SIN TURNO",VLOOKUP(D54,TURNOS_SERVICIOS,4,FALSE)),0)</f>
        <v>0</v>
      </c>
      <c r="H54" s="371">
        <f>IFERROR(IF(VLOOKUP(D54,TURNOS_SERVICIOS,5,FALSE)=0,"SIN SERVICIO",VLOOKUP(D54,TURNOS_SERVICIOS,5,FALSE)),0)</f>
        <v>0</v>
      </c>
      <c r="I54" s="363">
        <f>IFERROR(IF(VLOOKUP(D54,TURNOS_SERVICIOS,6,FALSE)=0,"-",VLOOKUP(D54,TURNOS_SERVICIOS,6,FALSE)),0)</f>
        <v>0</v>
      </c>
      <c r="J54" s="363">
        <f>IFERROR(IF(VLOOKUP(D54,TURNOS_SERVICIOS,7,FALSE)=0,"-",VLOOKUP(D54,TURNOS_SERVICIOS,7,FALSE)),0)</f>
        <v>0</v>
      </c>
      <c r="K54" s="364">
        <f>IFERROR(VLOOKUP(D54,TURNOS_SERVICIOS,8,FALSE),0)</f>
        <v>0</v>
      </c>
      <c r="L54" s="365" t="str">
        <f>IFERROR(IF(VLOOKUP(D54,TURNOS_SERVICIOS,9,FALSE)=0,"",VLOOKUP(D54,TURNOS_SERVICIOS,9,FALSE)),"")</f>
        <v/>
      </c>
      <c r="N54" s="165"/>
    </row>
    <row r="55" spans="1:14" s="166" customFormat="1" hidden="1" x14ac:dyDescent="0.3">
      <c r="A55" s="176">
        <f>IF(D55&lt;&gt;0,22,0)</f>
        <v>0</v>
      </c>
      <c r="B55" s="176" t="s">
        <v>1653</v>
      </c>
      <c r="C55" s="176" t="s">
        <v>1658</v>
      </c>
      <c r="D55" s="369">
        <f>IFERROR(IFERROR(VLOOKUP(C55,PROYECTO_CHARLY,2,FALSE),VLOOKUP(B55,PROYECTO_CHARLY,2,FALSE)),0)</f>
        <v>0</v>
      </c>
      <c r="E55" s="370" t="str">
        <f>IFERROR(IF(VLOOKUP(D55,TURNOS_SERVICIOS,2,FALSE)=0,"-",VLOOKUP(D55,TURNOS_SERVICIOS,2,FALSE)),"-")</f>
        <v>-</v>
      </c>
      <c r="F55" s="371" t="str">
        <f>IFERROR(IF(VLOOKUP(D55,TURNOS_SERVICIOS,3,FALSE)=0,"-",VLOOKUP(D55,TURNOS_SERVICIOS,3,FALSE)),"-")</f>
        <v>-</v>
      </c>
      <c r="G55" s="371">
        <f>IFERROR(IF(VLOOKUP(D55,TURNOS_SERVICIOS,4,FALSE)=0,"SIN TURNO",VLOOKUP(D55,TURNOS_SERVICIOS,4,FALSE)),0)</f>
        <v>0</v>
      </c>
      <c r="H55" s="371">
        <f>IFERROR(IF(VLOOKUP(D55,TURNOS_SERVICIOS,5,FALSE)=0,"SIN SERVICIO",VLOOKUP(D55,TURNOS_SERVICIOS,5,FALSE)),0)</f>
        <v>0</v>
      </c>
      <c r="I55" s="363">
        <f>IFERROR(IF(VLOOKUP(D55,TURNOS_SERVICIOS,6,FALSE)=0,"-",VLOOKUP(D55,TURNOS_SERVICIOS,6,FALSE)),0)</f>
        <v>0</v>
      </c>
      <c r="J55" s="363">
        <f>IFERROR(IF(VLOOKUP(D55,TURNOS_SERVICIOS,7,FALSE)=0,"-",VLOOKUP(D55,TURNOS_SERVICIOS,7,FALSE)),0)</f>
        <v>0</v>
      </c>
      <c r="K55" s="364">
        <f>IFERROR(VLOOKUP(D55,TURNOS_SERVICIOS,8,FALSE),0)</f>
        <v>0</v>
      </c>
      <c r="L55" s="365" t="str">
        <f>IFERROR(IF(VLOOKUP(D55,TURNOS_SERVICIOS,9,FALSE)=0,"",VLOOKUP(D55,TURNOS_SERVICIOS,9,FALSE)),"")</f>
        <v/>
      </c>
      <c r="N55" s="165"/>
    </row>
    <row r="56" spans="1:14" s="166" customFormat="1" hidden="1" x14ac:dyDescent="0.3">
      <c r="A56" s="176">
        <f>IF(D56&lt;&gt;0,22,0)</f>
        <v>0</v>
      </c>
      <c r="B56" s="176" t="s">
        <v>1654</v>
      </c>
      <c r="C56" s="176" t="s">
        <v>1659</v>
      </c>
      <c r="D56" s="369">
        <f>IFERROR(IFERROR(VLOOKUP(C56,PROYECTO_CHARLY,2,FALSE),VLOOKUP(B56,PROYECTO_CHARLY,2,FALSE)),0)</f>
        <v>0</v>
      </c>
      <c r="E56" s="370" t="str">
        <f>IFERROR(IF(VLOOKUP(D56,TURNOS_SERVICIOS,2,FALSE)=0,"-",VLOOKUP(D56,TURNOS_SERVICIOS,2,FALSE)),"-")</f>
        <v>-</v>
      </c>
      <c r="F56" s="371" t="str">
        <f>IFERROR(IF(VLOOKUP(D56,TURNOS_SERVICIOS,3,FALSE)=0,"-",VLOOKUP(D56,TURNOS_SERVICIOS,3,FALSE)),"-")</f>
        <v>-</v>
      </c>
      <c r="G56" s="371">
        <f>IFERROR(IF(VLOOKUP(D56,TURNOS_SERVICIOS,4,FALSE)=0,"SIN TURNO",VLOOKUP(D56,TURNOS_SERVICIOS,4,FALSE)),0)</f>
        <v>0</v>
      </c>
      <c r="H56" s="371">
        <f>IFERROR(IF(VLOOKUP(D56,TURNOS_SERVICIOS,5,FALSE)=0,"SIN SERVICIO",VLOOKUP(D56,TURNOS_SERVICIOS,5,FALSE)),0)</f>
        <v>0</v>
      </c>
      <c r="I56" s="363">
        <f>IFERROR(IF(VLOOKUP(D56,TURNOS_SERVICIOS,6,FALSE)=0,"-",VLOOKUP(D56,TURNOS_SERVICIOS,6,FALSE)),0)</f>
        <v>0</v>
      </c>
      <c r="J56" s="363">
        <f>IFERROR(IF(VLOOKUP(D56,TURNOS_SERVICIOS,7,FALSE)=0,"-",VLOOKUP(D56,TURNOS_SERVICIOS,7,FALSE)),0)</f>
        <v>0</v>
      </c>
      <c r="K56" s="364">
        <f>IFERROR(VLOOKUP(D56,TURNOS_SERVICIOS,8,FALSE),0)</f>
        <v>0</v>
      </c>
      <c r="L56" s="365" t="str">
        <f>IFERROR(IF(VLOOKUP(D56,TURNOS_SERVICIOS,9,FALSE)=0,"",VLOOKUP(D56,TURNOS_SERVICIOS,9,FALSE)),"")</f>
        <v/>
      </c>
      <c r="N56" s="165"/>
    </row>
    <row r="57" spans="1:14" s="166" customFormat="1" hidden="1" x14ac:dyDescent="0.3">
      <c r="A57" s="176">
        <f>IF(D57&lt;&gt;0,22,0)</f>
        <v>0</v>
      </c>
      <c r="B57" s="176" t="s">
        <v>1655</v>
      </c>
      <c r="C57" s="176" t="s">
        <v>1660</v>
      </c>
      <c r="D57" s="369">
        <f>IFERROR(IFERROR(VLOOKUP(C57,PROYECTO_CHARLY,2,FALSE),VLOOKUP(B57,PROYECTO_CHARLY,2,FALSE)),0)</f>
        <v>0</v>
      </c>
      <c r="E57" s="370" t="str">
        <f>IFERROR(IF(VLOOKUP(D57,TURNOS_SERVICIOS,2,FALSE)=0,"-",VLOOKUP(D57,TURNOS_SERVICIOS,2,FALSE)),"-")</f>
        <v>-</v>
      </c>
      <c r="F57" s="371" t="str">
        <f>IFERROR(IF(VLOOKUP(D57,TURNOS_SERVICIOS,3,FALSE)=0,"-",VLOOKUP(D57,TURNOS_SERVICIOS,3,FALSE)),"-")</f>
        <v>-</v>
      </c>
      <c r="G57" s="371">
        <f>IFERROR(IF(VLOOKUP(D57,TURNOS_SERVICIOS,4,FALSE)=0,"SIN TURNO",VLOOKUP(D57,TURNOS_SERVICIOS,4,FALSE)),0)</f>
        <v>0</v>
      </c>
      <c r="H57" s="371">
        <f>IFERROR(IF(VLOOKUP(D57,TURNOS_SERVICIOS,5,FALSE)=0,"SIN SERVICIO",VLOOKUP(D57,TURNOS_SERVICIOS,5,FALSE)),0)</f>
        <v>0</v>
      </c>
      <c r="I57" s="363">
        <f>IFERROR(IF(VLOOKUP(D57,TURNOS_SERVICIOS,6,FALSE)=0,"-",VLOOKUP(D57,TURNOS_SERVICIOS,6,FALSE)),0)</f>
        <v>0</v>
      </c>
      <c r="J57" s="363">
        <f>IFERROR(IF(VLOOKUP(D57,TURNOS_SERVICIOS,7,FALSE)=0,"-",VLOOKUP(D57,TURNOS_SERVICIOS,7,FALSE)),0)</f>
        <v>0</v>
      </c>
      <c r="K57" s="364">
        <f>IFERROR(VLOOKUP(D57,TURNOS_SERVICIOS,8,FALSE),0)</f>
        <v>0</v>
      </c>
      <c r="L57" s="365" t="str">
        <f>IFERROR(IF(VLOOKUP(D57,TURNOS_SERVICIOS,9,FALSE)=0,"",VLOOKUP(D57,TURNOS_SERVICIOS,9,FALSE)),"")</f>
        <v/>
      </c>
      <c r="N57" s="165"/>
    </row>
    <row r="58" spans="1:14" s="166" customFormat="1" hidden="1" x14ac:dyDescent="0.3">
      <c r="A58" s="176">
        <f>IF(D59&lt;&gt;0,22,0)</f>
        <v>0</v>
      </c>
      <c r="B58" s="162"/>
      <c r="C58" s="162"/>
      <c r="D58" s="1123"/>
      <c r="E58" s="1124"/>
      <c r="F58" s="1123"/>
      <c r="G58" s="1123"/>
      <c r="H58" s="1123"/>
      <c r="I58" s="1123"/>
      <c r="J58" s="1123"/>
      <c r="K58" s="1123"/>
      <c r="L58" s="1123"/>
      <c r="N58" s="165"/>
    </row>
    <row r="59" spans="1:14" s="166" customFormat="1" hidden="1" x14ac:dyDescent="0.3">
      <c r="A59" s="176">
        <f>IF(D59&lt;&gt;0,22,0)</f>
        <v>0</v>
      </c>
      <c r="B59" s="176" t="s">
        <v>1148</v>
      </c>
      <c r="C59" s="176" t="s">
        <v>1422</v>
      </c>
      <c r="D59" s="360">
        <f>IFERROR(IFERROR(VLOOKUP(C59,PROYECTO_CHARLY,2,FALSE),VLOOKUP(B59,PROYECTO_CHARLY,2,FALSE)),0)</f>
        <v>0</v>
      </c>
      <c r="E59" s="361" t="str">
        <f>IFERROR(IF(VLOOKUP(D59,TURNOS_SERVICIOS,2,FALSE)=0,"-",VLOOKUP(D59,TURNOS_SERVICIOS,2,FALSE)),"-")</f>
        <v>-</v>
      </c>
      <c r="F59" s="362" t="str">
        <f>IFERROR(IF(VLOOKUP(D59,TURNOS_SERVICIOS,3,FALSE)=0,"-",VLOOKUP(D59,TURNOS_SERVICIOS,3,FALSE)),"-")</f>
        <v>-</v>
      </c>
      <c r="G59" s="362">
        <f>IFERROR(IF(VLOOKUP(D59,TURNOS_SERVICIOS,4,FALSE)=0,"SIN TURNO",VLOOKUP(D59,TURNOS_SERVICIOS,4,FALSE)),0)</f>
        <v>0</v>
      </c>
      <c r="H59" s="362">
        <f>IFERROR(IF(VLOOKUP(D59,TURNOS_SERVICIOS,5,FALSE)=0,"SIN SERVICIO",VLOOKUP(D59,TURNOS_SERVICIOS,5,FALSE)),0)</f>
        <v>0</v>
      </c>
      <c r="I59" s="367">
        <f>IFERROR(IF(VLOOKUP(D59,TURNOS_SERVICIOS,6,FALSE)=0,"-",VLOOKUP(D59,TURNOS_SERVICIOS,6,FALSE)),0)</f>
        <v>0</v>
      </c>
      <c r="J59" s="367">
        <f>IFERROR(IF(VLOOKUP(D59,TURNOS_SERVICIOS,7,FALSE)=0,"-",VLOOKUP(D59,TURNOS_SERVICIOS,7,FALSE)),0)</f>
        <v>0</v>
      </c>
      <c r="K59" s="368">
        <f>IFERROR(VLOOKUP(D59,TURNOS_SERVICIOS,8,FALSE),0)</f>
        <v>0</v>
      </c>
      <c r="L59" s="365" t="str">
        <f>IFERROR(IF(VLOOKUP(D59,TURNOS_SERVICIOS,9,FALSE)=0,"",VLOOKUP(D59,TURNOS_SERVICIOS,9,FALSE)),"")</f>
        <v/>
      </c>
      <c r="N59" s="165"/>
    </row>
    <row r="60" spans="1:14" s="166" customFormat="1" hidden="1" x14ac:dyDescent="0.3">
      <c r="A60" s="176">
        <f>IF(D60&lt;&gt;0,22,0)</f>
        <v>0</v>
      </c>
      <c r="B60" s="176" t="s">
        <v>1149</v>
      </c>
      <c r="C60" s="176" t="s">
        <v>1423</v>
      </c>
      <c r="D60" s="369">
        <f>IFERROR(IFERROR(VLOOKUP(C60,PROYECTO_CHARLY,2,FALSE),VLOOKUP(B60,PROYECTO_CHARLY,2,FALSE)),0)</f>
        <v>0</v>
      </c>
      <c r="E60" s="370" t="str">
        <f>IFERROR(IF(VLOOKUP(D60,TURNOS_SERVICIOS,2,FALSE)=0,"-",VLOOKUP(D60,TURNOS_SERVICIOS,2,FALSE)),"-")</f>
        <v>-</v>
      </c>
      <c r="F60" s="371" t="str">
        <f>IFERROR(IF(VLOOKUP(D60,TURNOS_SERVICIOS,3,FALSE)=0,"-",VLOOKUP(D60,TURNOS_SERVICIOS,3,FALSE)),"-")</f>
        <v>-</v>
      </c>
      <c r="G60" s="371">
        <f>IFERROR(IF(VLOOKUP(D60,TURNOS_SERVICIOS,4,FALSE)=0,"SIN TURNO",VLOOKUP(D60,TURNOS_SERVICIOS,4,FALSE)),0)</f>
        <v>0</v>
      </c>
      <c r="H60" s="371">
        <f>IFERROR(IF(VLOOKUP(D60,TURNOS_SERVICIOS,5,FALSE)=0,"SIN SERVICIO",VLOOKUP(D60,TURNOS_SERVICIOS,5,FALSE)),0)</f>
        <v>0</v>
      </c>
      <c r="I60" s="363">
        <f>IFERROR(IF(VLOOKUP(D60,TURNOS_SERVICIOS,6,FALSE)=0,"-",VLOOKUP(D60,TURNOS_SERVICIOS,6,FALSE)),0)</f>
        <v>0</v>
      </c>
      <c r="J60" s="363">
        <f>IFERROR(IF(VLOOKUP(D60,TURNOS_SERVICIOS,7,FALSE)=0,"-",VLOOKUP(D60,TURNOS_SERVICIOS,7,FALSE)),0)</f>
        <v>0</v>
      </c>
      <c r="K60" s="364">
        <f>IFERROR(VLOOKUP(D60,TURNOS_SERVICIOS,8,FALSE),0)</f>
        <v>0</v>
      </c>
      <c r="L60" s="365" t="str">
        <f>IFERROR(IF(VLOOKUP(D60,TURNOS_SERVICIOS,9,FALSE)=0,"",VLOOKUP(D60,TURNOS_SERVICIOS,9,FALSE)),"")</f>
        <v/>
      </c>
      <c r="N60" s="165"/>
    </row>
    <row r="61" spans="1:14" s="166" customFormat="1" hidden="1" x14ac:dyDescent="0.3">
      <c r="A61" s="176">
        <f>IF(D61&lt;&gt;0,22,0)</f>
        <v>0</v>
      </c>
      <c r="B61" s="176" t="s">
        <v>1150</v>
      </c>
      <c r="C61" s="176" t="s">
        <v>1424</v>
      </c>
      <c r="D61" s="369">
        <f>IFERROR(IFERROR(VLOOKUP(C61,PROYECTO_CHARLY,2,FALSE),VLOOKUP(B61,PROYECTO_CHARLY,2,FALSE)),0)</f>
        <v>0</v>
      </c>
      <c r="E61" s="370" t="str">
        <f>IFERROR(IF(VLOOKUP(D61,TURNOS_SERVICIOS,2,FALSE)=0,"-",VLOOKUP(D61,TURNOS_SERVICIOS,2,FALSE)),"-")</f>
        <v>-</v>
      </c>
      <c r="F61" s="371" t="str">
        <f>IFERROR(IF(VLOOKUP(D61,TURNOS_SERVICIOS,3,FALSE)=0,"-",VLOOKUP(D61,TURNOS_SERVICIOS,3,FALSE)),"-")</f>
        <v>-</v>
      </c>
      <c r="G61" s="371">
        <f>IFERROR(IF(VLOOKUP(D61,TURNOS_SERVICIOS,4,FALSE)=0,"SIN TURNO",VLOOKUP(D61,TURNOS_SERVICIOS,4,FALSE)),0)</f>
        <v>0</v>
      </c>
      <c r="H61" s="371">
        <f>IFERROR(IF(VLOOKUP(D61,TURNOS_SERVICIOS,5,FALSE)=0,"SIN SERVICIO",VLOOKUP(D61,TURNOS_SERVICIOS,5,FALSE)),0)</f>
        <v>0</v>
      </c>
      <c r="I61" s="363">
        <f>IFERROR(IF(VLOOKUP(D61,TURNOS_SERVICIOS,6,FALSE)=0,"-",VLOOKUP(D61,TURNOS_SERVICIOS,6,FALSE)),0)</f>
        <v>0</v>
      </c>
      <c r="J61" s="363">
        <f>IFERROR(IF(VLOOKUP(D61,TURNOS_SERVICIOS,7,FALSE)=0,"-",VLOOKUP(D61,TURNOS_SERVICIOS,7,FALSE)),0)</f>
        <v>0</v>
      </c>
      <c r="K61" s="364">
        <f>IFERROR(VLOOKUP(D61,TURNOS_SERVICIOS,8,FALSE),0)</f>
        <v>0</v>
      </c>
      <c r="L61" s="365" t="str">
        <f>IFERROR(IF(VLOOKUP(D61,TURNOS_SERVICIOS,9,FALSE)=0,"",VLOOKUP(D61,TURNOS_SERVICIOS,9,FALSE)),"")</f>
        <v/>
      </c>
      <c r="N61" s="165"/>
    </row>
    <row r="62" spans="1:14" s="166" customFormat="1" hidden="1" x14ac:dyDescent="0.3">
      <c r="A62" s="176">
        <f>IF(D62&lt;&gt;0,22,0)</f>
        <v>0</v>
      </c>
      <c r="B62" s="176" t="s">
        <v>1151</v>
      </c>
      <c r="C62" s="176" t="s">
        <v>1425</v>
      </c>
      <c r="D62" s="369">
        <f>IFERROR(IFERROR(VLOOKUP(C62,PROYECTO_CHARLY,2,FALSE),VLOOKUP(B62,PROYECTO_CHARLY,2,FALSE)),0)</f>
        <v>0</v>
      </c>
      <c r="E62" s="370" t="str">
        <f>IFERROR(IF(VLOOKUP(D62,TURNOS_SERVICIOS,2,FALSE)=0,"-",VLOOKUP(D62,TURNOS_SERVICIOS,2,FALSE)),"-")</f>
        <v>-</v>
      </c>
      <c r="F62" s="371" t="str">
        <f>IFERROR(IF(VLOOKUP(D62,TURNOS_SERVICIOS,3,FALSE)=0,"-",VLOOKUP(D62,TURNOS_SERVICIOS,3,FALSE)),"-")</f>
        <v>-</v>
      </c>
      <c r="G62" s="371">
        <f>IFERROR(IF(VLOOKUP(D62,TURNOS_SERVICIOS,4,FALSE)=0,"SIN TURNO",VLOOKUP(D62,TURNOS_SERVICIOS,4,FALSE)),0)</f>
        <v>0</v>
      </c>
      <c r="H62" s="371">
        <f>IFERROR(IF(VLOOKUP(D62,TURNOS_SERVICIOS,5,FALSE)=0,"SIN SERVICIO",VLOOKUP(D62,TURNOS_SERVICIOS,5,FALSE)),0)</f>
        <v>0</v>
      </c>
      <c r="I62" s="363">
        <f>IFERROR(IF(VLOOKUP(D62,TURNOS_SERVICIOS,6,FALSE)=0,"-",VLOOKUP(D62,TURNOS_SERVICIOS,6,FALSE)),0)</f>
        <v>0</v>
      </c>
      <c r="J62" s="363">
        <f>IFERROR(IF(VLOOKUP(D62,TURNOS_SERVICIOS,7,FALSE)=0,"-",VLOOKUP(D62,TURNOS_SERVICIOS,7,FALSE)),0)</f>
        <v>0</v>
      </c>
      <c r="K62" s="364">
        <f>IFERROR(VLOOKUP(D62,TURNOS_SERVICIOS,8,FALSE),0)</f>
        <v>0</v>
      </c>
      <c r="L62" s="365" t="str">
        <f>IFERROR(IF(VLOOKUP(D62,TURNOS_SERVICIOS,9,FALSE)=0,"",VLOOKUP(D62,TURNOS_SERVICIOS,9,FALSE)),"")</f>
        <v/>
      </c>
      <c r="N62" s="165"/>
    </row>
    <row r="63" spans="1:14" s="166" customFormat="1" hidden="1" x14ac:dyDescent="0.3">
      <c r="A63" s="176">
        <f>IF(D63&lt;&gt;0,22,0)</f>
        <v>0</v>
      </c>
      <c r="B63" s="176" t="s">
        <v>1152</v>
      </c>
      <c r="C63" s="176" t="s">
        <v>1426</v>
      </c>
      <c r="D63" s="369">
        <f>IFERROR(IFERROR(VLOOKUP(C63,PROYECTO_CHARLY,2,FALSE),VLOOKUP(B63,PROYECTO_CHARLY,2,FALSE)),0)</f>
        <v>0</v>
      </c>
      <c r="E63" s="370" t="str">
        <f>IFERROR(IF(VLOOKUP(D63,TURNOS_SERVICIOS,2,FALSE)=0,"-",VLOOKUP(D63,TURNOS_SERVICIOS,2,FALSE)),"-")</f>
        <v>-</v>
      </c>
      <c r="F63" s="371" t="str">
        <f>IFERROR(IF(VLOOKUP(D63,TURNOS_SERVICIOS,3,FALSE)=0,"-",VLOOKUP(D63,TURNOS_SERVICIOS,3,FALSE)),"-")</f>
        <v>-</v>
      </c>
      <c r="G63" s="371">
        <f>IFERROR(IF(VLOOKUP(D63,TURNOS_SERVICIOS,4,FALSE)=0,"SIN TURNO",VLOOKUP(D63,TURNOS_SERVICIOS,4,FALSE)),0)</f>
        <v>0</v>
      </c>
      <c r="H63" s="371">
        <f>IFERROR(IF(VLOOKUP(D63,TURNOS_SERVICIOS,5,FALSE)=0,"SIN SERVICIO",VLOOKUP(D63,TURNOS_SERVICIOS,5,FALSE)),0)</f>
        <v>0</v>
      </c>
      <c r="I63" s="363">
        <f>IFERROR(IF(VLOOKUP(D63,TURNOS_SERVICIOS,6,FALSE)=0,"-",VLOOKUP(D63,TURNOS_SERVICIOS,6,FALSE)),0)</f>
        <v>0</v>
      </c>
      <c r="J63" s="363">
        <f>IFERROR(IF(VLOOKUP(D63,TURNOS_SERVICIOS,7,FALSE)=0,"-",VLOOKUP(D63,TURNOS_SERVICIOS,7,FALSE)),0)</f>
        <v>0</v>
      </c>
      <c r="K63" s="364">
        <f>IFERROR(VLOOKUP(D63,TURNOS_SERVICIOS,8,FALSE),0)</f>
        <v>0</v>
      </c>
      <c r="L63" s="365" t="str">
        <f>IFERROR(IF(VLOOKUP(D63,TURNOS_SERVICIOS,9,FALSE)=0,"",VLOOKUP(D63,TURNOS_SERVICIOS,9,FALSE)),"")</f>
        <v/>
      </c>
      <c r="N63" s="165"/>
    </row>
    <row r="64" spans="1:14" s="166" customFormat="1" hidden="1" x14ac:dyDescent="0.3">
      <c r="A64" s="176">
        <f>IF(D65&lt;&gt;0,22,0)</f>
        <v>0</v>
      </c>
      <c r="B64" s="162"/>
      <c r="C64" s="162"/>
      <c r="D64" s="1123"/>
      <c r="E64" s="1124"/>
      <c r="F64" s="1123"/>
      <c r="G64" s="1123"/>
      <c r="H64" s="1123"/>
      <c r="I64" s="1123"/>
      <c r="J64" s="1123"/>
      <c r="K64" s="1123"/>
      <c r="L64" s="1124"/>
      <c r="N64" s="165"/>
    </row>
    <row r="65" spans="1:14" s="166" customFormat="1" hidden="1" x14ac:dyDescent="0.3">
      <c r="A65" s="176">
        <f>IF(D65&lt;&gt;0,22,0)</f>
        <v>0</v>
      </c>
      <c r="B65" s="176" t="s">
        <v>1153</v>
      </c>
      <c r="C65" s="176" t="s">
        <v>1427</v>
      </c>
      <c r="D65" s="360">
        <f>IFERROR(IFERROR(VLOOKUP(C65,PROYECTO_CHARLY,2,FALSE),VLOOKUP(B65,PROYECTO_CHARLY,2,FALSE)),0)</f>
        <v>0</v>
      </c>
      <c r="E65" s="361" t="str">
        <f>IFERROR(IF(VLOOKUP(D65,TURNOS_SERVICIOS,2,FALSE)=0,"-",VLOOKUP(D65,TURNOS_SERVICIOS,2,FALSE)),"-")</f>
        <v>-</v>
      </c>
      <c r="F65" s="362" t="str">
        <f>IFERROR(IF(VLOOKUP(D65,TURNOS_SERVICIOS,3,FALSE)=0,"-",VLOOKUP(D65,TURNOS_SERVICIOS,3,FALSE)),"-")</f>
        <v>-</v>
      </c>
      <c r="G65" s="362">
        <f>IFERROR(IF(VLOOKUP(D65,TURNOS_SERVICIOS,4,FALSE)=0,"SIN TURNO",VLOOKUP(D65,TURNOS_SERVICIOS,4,FALSE)),0)</f>
        <v>0</v>
      </c>
      <c r="H65" s="362">
        <f>IFERROR(IF(VLOOKUP(D65,TURNOS_SERVICIOS,5,FALSE)=0,"SIN SERVICIO",VLOOKUP(D65,TURNOS_SERVICIOS,5,FALSE)),0)</f>
        <v>0</v>
      </c>
      <c r="I65" s="367">
        <f>IFERROR(IF(VLOOKUP(D65,TURNOS_SERVICIOS,6,FALSE)=0,"-",VLOOKUP(D65,TURNOS_SERVICIOS,6,FALSE)),0)</f>
        <v>0</v>
      </c>
      <c r="J65" s="367">
        <f>IFERROR(IF(VLOOKUP(D65,TURNOS_SERVICIOS,7,FALSE)=0,"-",VLOOKUP(D65,TURNOS_SERVICIOS,7,FALSE)),0)</f>
        <v>0</v>
      </c>
      <c r="K65" s="368">
        <f>IFERROR(VLOOKUP(D65,TURNOS_SERVICIOS,8,FALSE),0)</f>
        <v>0</v>
      </c>
      <c r="L65" s="365" t="str">
        <f>IFERROR(IF(VLOOKUP(D65,TURNOS_SERVICIOS,9,FALSE)=0,"",VLOOKUP(D65,TURNOS_SERVICIOS,9,FALSE)),"")</f>
        <v/>
      </c>
      <c r="N65" s="165"/>
    </row>
    <row r="66" spans="1:14" s="166" customFormat="1" hidden="1" x14ac:dyDescent="0.3">
      <c r="A66" s="176">
        <f>IF(D66&lt;&gt;0,22,0)</f>
        <v>0</v>
      </c>
      <c r="B66" s="176" t="s">
        <v>1154</v>
      </c>
      <c r="C66" s="176" t="s">
        <v>1428</v>
      </c>
      <c r="D66" s="369">
        <f>IFERROR(IFERROR(VLOOKUP(C66,PROYECTO_CHARLY,2,FALSE),VLOOKUP(B66,PROYECTO_CHARLY,2,FALSE)),0)</f>
        <v>0</v>
      </c>
      <c r="E66" s="370" t="str">
        <f>IFERROR(IF(VLOOKUP(D66,TURNOS_SERVICIOS,2,FALSE)=0,"-",VLOOKUP(D66,TURNOS_SERVICIOS,2,FALSE)),"-")</f>
        <v>-</v>
      </c>
      <c r="F66" s="371" t="str">
        <f>IFERROR(IF(VLOOKUP(D66,TURNOS_SERVICIOS,3,FALSE)=0,"-",VLOOKUP(D66,TURNOS_SERVICIOS,3,FALSE)),"-")</f>
        <v>-</v>
      </c>
      <c r="G66" s="371">
        <f>IFERROR(IF(VLOOKUP(D66,TURNOS_SERVICIOS,4,FALSE)=0,"SIN TURNO",VLOOKUP(D66,TURNOS_SERVICIOS,4,FALSE)),0)</f>
        <v>0</v>
      </c>
      <c r="H66" s="371">
        <f>IFERROR(IF(VLOOKUP(D66,TURNOS_SERVICIOS,5,FALSE)=0,"SIN SERVICIO",VLOOKUP(D66,TURNOS_SERVICIOS,5,FALSE)),0)</f>
        <v>0</v>
      </c>
      <c r="I66" s="363">
        <f>IFERROR(IF(VLOOKUP(D66,TURNOS_SERVICIOS,6,FALSE)=0,"-",VLOOKUP(D66,TURNOS_SERVICIOS,6,FALSE)),0)</f>
        <v>0</v>
      </c>
      <c r="J66" s="363">
        <f>IFERROR(IF(VLOOKUP(D66,TURNOS_SERVICIOS,7,FALSE)=0,"-",VLOOKUP(D66,TURNOS_SERVICIOS,7,FALSE)),0)</f>
        <v>0</v>
      </c>
      <c r="K66" s="364">
        <f>IFERROR(VLOOKUP(D66,TURNOS_SERVICIOS,8,FALSE),0)</f>
        <v>0</v>
      </c>
      <c r="L66" s="365" t="str">
        <f>IFERROR(IF(VLOOKUP(D66,TURNOS_SERVICIOS,9,FALSE)=0,"",VLOOKUP(D66,TURNOS_SERVICIOS,9,FALSE)),"")</f>
        <v/>
      </c>
      <c r="N66" s="165"/>
    </row>
    <row r="67" spans="1:14" s="166" customFormat="1" hidden="1" x14ac:dyDescent="0.3">
      <c r="A67" s="176">
        <f>IF(D67&lt;&gt;0,22,0)</f>
        <v>0</v>
      </c>
      <c r="B67" s="176" t="s">
        <v>1155</v>
      </c>
      <c r="C67" s="176" t="s">
        <v>1429</v>
      </c>
      <c r="D67" s="369">
        <f>IFERROR(IFERROR(VLOOKUP(C67,PROYECTO_CHARLY,2,FALSE),VLOOKUP(B67,PROYECTO_CHARLY,2,FALSE)),0)</f>
        <v>0</v>
      </c>
      <c r="E67" s="370" t="str">
        <f>IFERROR(IF(VLOOKUP(D67,TURNOS_SERVICIOS,2,FALSE)=0,"-",VLOOKUP(D67,TURNOS_SERVICIOS,2,FALSE)),"-")</f>
        <v>-</v>
      </c>
      <c r="F67" s="371" t="str">
        <f>IFERROR(IF(VLOOKUP(D67,TURNOS_SERVICIOS,3,FALSE)=0,"-",VLOOKUP(D67,TURNOS_SERVICIOS,3,FALSE)),"-")</f>
        <v>-</v>
      </c>
      <c r="G67" s="371">
        <f>IFERROR(IF(VLOOKUP(D67,TURNOS_SERVICIOS,4,FALSE)=0,"SIN TURNO",VLOOKUP(D67,TURNOS_SERVICIOS,4,FALSE)),0)</f>
        <v>0</v>
      </c>
      <c r="H67" s="371">
        <f>IFERROR(IF(VLOOKUP(D67,TURNOS_SERVICIOS,5,FALSE)=0,"SIN SERVICIO",VLOOKUP(D67,TURNOS_SERVICIOS,5,FALSE)),0)</f>
        <v>0</v>
      </c>
      <c r="I67" s="363">
        <f>IFERROR(IF(VLOOKUP(D67,TURNOS_SERVICIOS,6,FALSE)=0,"-",VLOOKUP(D67,TURNOS_SERVICIOS,6,FALSE)),0)</f>
        <v>0</v>
      </c>
      <c r="J67" s="363">
        <f>IFERROR(IF(VLOOKUP(D67,TURNOS_SERVICIOS,7,FALSE)=0,"-",VLOOKUP(D67,TURNOS_SERVICIOS,7,FALSE)),0)</f>
        <v>0</v>
      </c>
      <c r="K67" s="364">
        <f>IFERROR(VLOOKUP(D67,TURNOS_SERVICIOS,8,FALSE),0)</f>
        <v>0</v>
      </c>
      <c r="L67" s="365" t="str">
        <f>IFERROR(IF(VLOOKUP(D67,TURNOS_SERVICIOS,9,FALSE)=0,"",VLOOKUP(D67,TURNOS_SERVICIOS,9,FALSE)),"")</f>
        <v/>
      </c>
      <c r="N67" s="165"/>
    </row>
    <row r="68" spans="1:14" s="166" customFormat="1" hidden="1" x14ac:dyDescent="0.3">
      <c r="A68" s="176">
        <f>IF(D68&lt;&gt;0,22,0)</f>
        <v>0</v>
      </c>
      <c r="B68" s="176" t="s">
        <v>1156</v>
      </c>
      <c r="C68" s="176" t="s">
        <v>1430</v>
      </c>
      <c r="D68" s="369">
        <f>IFERROR(IFERROR(VLOOKUP(C68,PROYECTO_CHARLY,2,FALSE),VLOOKUP(B68,PROYECTO_CHARLY,2,FALSE)),0)</f>
        <v>0</v>
      </c>
      <c r="E68" s="370" t="str">
        <f>IFERROR(IF(VLOOKUP(D68,TURNOS_SERVICIOS,2,FALSE)=0,"-",VLOOKUP(D68,TURNOS_SERVICIOS,2,FALSE)),"-")</f>
        <v>-</v>
      </c>
      <c r="F68" s="371" t="str">
        <f>IFERROR(IF(VLOOKUP(D68,TURNOS_SERVICIOS,3,FALSE)=0,"-",VLOOKUP(D68,TURNOS_SERVICIOS,3,FALSE)),"-")</f>
        <v>-</v>
      </c>
      <c r="G68" s="371">
        <f>IFERROR(IF(VLOOKUP(D68,TURNOS_SERVICIOS,4,FALSE)=0,"SIN TURNO",VLOOKUP(D68,TURNOS_SERVICIOS,4,FALSE)),0)</f>
        <v>0</v>
      </c>
      <c r="H68" s="371">
        <f>IFERROR(IF(VLOOKUP(D68,TURNOS_SERVICIOS,5,FALSE)=0,"SIN SERVICIO",VLOOKUP(D68,TURNOS_SERVICIOS,5,FALSE)),0)</f>
        <v>0</v>
      </c>
      <c r="I68" s="363">
        <f>IFERROR(IF(VLOOKUP(D68,TURNOS_SERVICIOS,6,FALSE)=0,"-",VLOOKUP(D68,TURNOS_SERVICIOS,6,FALSE)),0)</f>
        <v>0</v>
      </c>
      <c r="J68" s="363">
        <f>IFERROR(IF(VLOOKUP(D68,TURNOS_SERVICIOS,7,FALSE)=0,"-",VLOOKUP(D68,TURNOS_SERVICIOS,7,FALSE)),0)</f>
        <v>0</v>
      </c>
      <c r="K68" s="364">
        <f>IFERROR(VLOOKUP(D68,TURNOS_SERVICIOS,8,FALSE),0)</f>
        <v>0</v>
      </c>
      <c r="L68" s="365" t="str">
        <f>IFERROR(IF(VLOOKUP(D68,TURNOS_SERVICIOS,9,FALSE)=0,"",VLOOKUP(D68,TURNOS_SERVICIOS,9,FALSE)),"")</f>
        <v/>
      </c>
      <c r="N68" s="165"/>
    </row>
    <row r="69" spans="1:14" s="166" customFormat="1" hidden="1" x14ac:dyDescent="0.3">
      <c r="A69" s="176">
        <f>IF(D69&lt;&gt;0,22,0)</f>
        <v>0</v>
      </c>
      <c r="B69" s="176" t="s">
        <v>1157</v>
      </c>
      <c r="C69" s="176" t="s">
        <v>1431</v>
      </c>
      <c r="D69" s="369">
        <f>IFERROR(IFERROR(VLOOKUP(C69,PROYECTO_CHARLY,2,FALSE),VLOOKUP(B69,PROYECTO_CHARLY,2,FALSE)),0)</f>
        <v>0</v>
      </c>
      <c r="E69" s="370" t="str">
        <f>IFERROR(IF(VLOOKUP(D69,TURNOS_SERVICIOS,2,FALSE)=0,"-",VLOOKUP(D69,TURNOS_SERVICIOS,2,FALSE)),"-")</f>
        <v>-</v>
      </c>
      <c r="F69" s="371" t="str">
        <f>IFERROR(IF(VLOOKUP(D69,TURNOS_SERVICIOS,3,FALSE)=0,"-",VLOOKUP(D69,TURNOS_SERVICIOS,3,FALSE)),"-")</f>
        <v>-</v>
      </c>
      <c r="G69" s="371">
        <f>IFERROR(IF(VLOOKUP(D69,TURNOS_SERVICIOS,4,FALSE)=0,"SIN TURNO",VLOOKUP(D69,TURNOS_SERVICIOS,4,FALSE)),0)</f>
        <v>0</v>
      </c>
      <c r="H69" s="371">
        <f>IFERROR(IF(VLOOKUP(D69,TURNOS_SERVICIOS,5,FALSE)=0,"SIN SERVICIO",VLOOKUP(D69,TURNOS_SERVICIOS,5,FALSE)),0)</f>
        <v>0</v>
      </c>
      <c r="I69" s="363">
        <f>IFERROR(IF(VLOOKUP(D69,TURNOS_SERVICIOS,6,FALSE)=0,"-",VLOOKUP(D69,TURNOS_SERVICIOS,6,FALSE)),0)</f>
        <v>0</v>
      </c>
      <c r="J69" s="363">
        <f>IFERROR(IF(VLOOKUP(D69,TURNOS_SERVICIOS,7,FALSE)=0,"-",VLOOKUP(D69,TURNOS_SERVICIOS,7,FALSE)),0)</f>
        <v>0</v>
      </c>
      <c r="K69" s="364">
        <f>IFERROR(VLOOKUP(D69,TURNOS_SERVICIOS,8,FALSE),0)</f>
        <v>0</v>
      </c>
      <c r="L69" s="365" t="str">
        <f>IFERROR(IF(VLOOKUP(D69,TURNOS_SERVICIOS,9,FALSE)=0,"",VLOOKUP(D69,TURNOS_SERVICIOS,9,FALSE)),"")</f>
        <v/>
      </c>
      <c r="N69" s="165"/>
    </row>
    <row r="70" spans="1:14" s="166" customFormat="1" hidden="1" x14ac:dyDescent="0.3">
      <c r="A70" s="176">
        <f>IF(D71&lt;&gt;0,22,0)</f>
        <v>0</v>
      </c>
      <c r="B70" s="162"/>
      <c r="C70" s="162"/>
      <c r="D70" s="1123"/>
      <c r="E70" s="1123"/>
      <c r="F70" s="1123"/>
      <c r="G70" s="1123"/>
      <c r="H70" s="1123"/>
      <c r="I70" s="1123"/>
      <c r="J70" s="1123"/>
      <c r="K70" s="1123"/>
      <c r="L70" s="1123"/>
      <c r="N70" s="165"/>
    </row>
    <row r="71" spans="1:14" s="166" customFormat="1" hidden="1" x14ac:dyDescent="0.3">
      <c r="A71" s="176">
        <f>IF(D71&lt;&gt;0,22,0)</f>
        <v>0</v>
      </c>
      <c r="B71" s="176" t="s">
        <v>1158</v>
      </c>
      <c r="C71" s="176" t="s">
        <v>1432</v>
      </c>
      <c r="D71" s="360">
        <f>IFERROR(IFERROR(VLOOKUP(C71,PROYECTO_CHARLY,2,FALSE),VLOOKUP(B71,PROYECTO_CHARLY,2,FALSE)),0)</f>
        <v>0</v>
      </c>
      <c r="E71" s="361" t="str">
        <f>IFERROR(IF(VLOOKUP(D71,TURNOS_SERVICIOS,2,FALSE)=0,"-",VLOOKUP(D71,TURNOS_SERVICIOS,2,FALSE)),"-")</f>
        <v>-</v>
      </c>
      <c r="F71" s="362" t="str">
        <f>IFERROR(IF(VLOOKUP(D71,TURNOS_SERVICIOS,3,FALSE)=0,"-",VLOOKUP(D71,TURNOS_SERVICIOS,3,FALSE)),"-")</f>
        <v>-</v>
      </c>
      <c r="G71" s="362">
        <f>IFERROR(IF(VLOOKUP(D71,TURNOS_SERVICIOS,4,FALSE)=0,"SIN TURNO",VLOOKUP(D71,TURNOS_SERVICIOS,4,FALSE)),0)</f>
        <v>0</v>
      </c>
      <c r="H71" s="362">
        <f>IFERROR(IF(VLOOKUP(D71,TURNOS_SERVICIOS,5,FALSE)=0,"SIN SERVICIO",VLOOKUP(D71,TURNOS_SERVICIOS,5,FALSE)),0)</f>
        <v>0</v>
      </c>
      <c r="I71" s="367">
        <f>IFERROR(IF(VLOOKUP(D71,TURNOS_SERVICIOS,6,FALSE)=0,"-",VLOOKUP(D71,TURNOS_SERVICIOS,6,FALSE)),0)</f>
        <v>0</v>
      </c>
      <c r="J71" s="367">
        <f>IFERROR(IF(VLOOKUP(D71,TURNOS_SERVICIOS,7,FALSE)=0,"-",VLOOKUP(D71,TURNOS_SERVICIOS,7,FALSE)),0)</f>
        <v>0</v>
      </c>
      <c r="K71" s="368">
        <f>IFERROR(VLOOKUP(D71,TURNOS_SERVICIOS,8,FALSE),0)</f>
        <v>0</v>
      </c>
      <c r="L71" s="365" t="str">
        <f>IFERROR(IF(VLOOKUP(D71,TURNOS_SERVICIOS,9,FALSE)=0,"",VLOOKUP(D71,TURNOS_SERVICIOS,9,FALSE)),"")</f>
        <v/>
      </c>
      <c r="N71" s="165"/>
    </row>
    <row r="72" spans="1:14" s="166" customFormat="1" hidden="1" x14ac:dyDescent="0.3">
      <c r="A72" s="176">
        <f>IF(D72&lt;&gt;0,22,0)</f>
        <v>0</v>
      </c>
      <c r="B72" s="176" t="s">
        <v>1159</v>
      </c>
      <c r="C72" s="176" t="s">
        <v>1433</v>
      </c>
      <c r="D72" s="369">
        <f>IFERROR(IFERROR(VLOOKUP(C72,PROYECTO_CHARLY,2,FALSE),VLOOKUP(B72,PROYECTO_CHARLY,2,FALSE)),0)</f>
        <v>0</v>
      </c>
      <c r="E72" s="370" t="str">
        <f>IFERROR(IF(VLOOKUP(D72,TURNOS_SERVICIOS,2,FALSE)=0,"-",VLOOKUP(D72,TURNOS_SERVICIOS,2,FALSE)),"-")</f>
        <v>-</v>
      </c>
      <c r="F72" s="371" t="str">
        <f>IFERROR(IF(VLOOKUP(D72,TURNOS_SERVICIOS,3,FALSE)=0,"-",VLOOKUP(D72,TURNOS_SERVICIOS,3,FALSE)),"-")</f>
        <v>-</v>
      </c>
      <c r="G72" s="371">
        <f>IFERROR(IF(VLOOKUP(D72,TURNOS_SERVICIOS,4,FALSE)=0,"SIN TURNO",VLOOKUP(D72,TURNOS_SERVICIOS,4,FALSE)),0)</f>
        <v>0</v>
      </c>
      <c r="H72" s="371">
        <f>IFERROR(IF(VLOOKUP(D72,TURNOS_SERVICIOS,5,FALSE)=0,"SIN SERVICIO",VLOOKUP(D72,TURNOS_SERVICIOS,5,FALSE)),0)</f>
        <v>0</v>
      </c>
      <c r="I72" s="363">
        <f>IFERROR(IF(VLOOKUP(D72,TURNOS_SERVICIOS,6,FALSE)=0,"-",VLOOKUP(D72,TURNOS_SERVICIOS,6,FALSE)),0)</f>
        <v>0</v>
      </c>
      <c r="J72" s="363">
        <f>IFERROR(IF(VLOOKUP(D72,TURNOS_SERVICIOS,7,FALSE)=0,"-",VLOOKUP(D72,TURNOS_SERVICIOS,7,FALSE)),0)</f>
        <v>0</v>
      </c>
      <c r="K72" s="364">
        <f>IFERROR(VLOOKUP(D72,TURNOS_SERVICIOS,8,FALSE),0)</f>
        <v>0</v>
      </c>
      <c r="L72" s="365" t="str">
        <f>IFERROR(IF(VLOOKUP(D72,TURNOS_SERVICIOS,9,FALSE)=0,"",VLOOKUP(D72,TURNOS_SERVICIOS,9,FALSE)),"")</f>
        <v/>
      </c>
      <c r="N72" s="165"/>
    </row>
    <row r="73" spans="1:14" s="166" customFormat="1" hidden="1" x14ac:dyDescent="0.3">
      <c r="A73" s="176">
        <f>IF(D73&lt;&gt;0,22,0)</f>
        <v>0</v>
      </c>
      <c r="B73" s="176" t="s">
        <v>1160</v>
      </c>
      <c r="C73" s="176" t="s">
        <v>1434</v>
      </c>
      <c r="D73" s="369">
        <f>IFERROR(IFERROR(VLOOKUP(C73,PROYECTO_CHARLY,2,FALSE),VLOOKUP(B73,PROYECTO_CHARLY,2,FALSE)),0)</f>
        <v>0</v>
      </c>
      <c r="E73" s="370" t="str">
        <f>IFERROR(IF(VLOOKUP(D73,TURNOS_SERVICIOS,2,FALSE)=0,"-",VLOOKUP(D73,TURNOS_SERVICIOS,2,FALSE)),"-")</f>
        <v>-</v>
      </c>
      <c r="F73" s="371" t="str">
        <f>IFERROR(IF(VLOOKUP(D73,TURNOS_SERVICIOS,3,FALSE)=0,"-",VLOOKUP(D73,TURNOS_SERVICIOS,3,FALSE)),"-")</f>
        <v>-</v>
      </c>
      <c r="G73" s="371">
        <f>IFERROR(IF(VLOOKUP(D73,TURNOS_SERVICIOS,4,FALSE)=0,"SIN TURNO",VLOOKUP(D73,TURNOS_SERVICIOS,4,FALSE)),0)</f>
        <v>0</v>
      </c>
      <c r="H73" s="371">
        <f>IFERROR(IF(VLOOKUP(D73,TURNOS_SERVICIOS,5,FALSE)=0,"SIN SERVICIO",VLOOKUP(D73,TURNOS_SERVICIOS,5,FALSE)),0)</f>
        <v>0</v>
      </c>
      <c r="I73" s="363">
        <f>IFERROR(IF(VLOOKUP(D73,TURNOS_SERVICIOS,6,FALSE)=0,"-",VLOOKUP(D73,TURNOS_SERVICIOS,6,FALSE)),0)</f>
        <v>0</v>
      </c>
      <c r="J73" s="363">
        <f>IFERROR(IF(VLOOKUP(D73,TURNOS_SERVICIOS,7,FALSE)=0,"-",VLOOKUP(D73,TURNOS_SERVICIOS,7,FALSE)),0)</f>
        <v>0</v>
      </c>
      <c r="K73" s="364">
        <f>IFERROR(VLOOKUP(D73,TURNOS_SERVICIOS,8,FALSE),0)</f>
        <v>0</v>
      </c>
      <c r="L73" s="365" t="str">
        <f>IFERROR(IF(VLOOKUP(D73,TURNOS_SERVICIOS,9,FALSE)=0,"",VLOOKUP(D73,TURNOS_SERVICIOS,9,FALSE)),"")</f>
        <v/>
      </c>
      <c r="N73" s="165"/>
    </row>
    <row r="74" spans="1:14" s="166" customFormat="1" hidden="1" x14ac:dyDescent="0.3">
      <c r="A74" s="176">
        <f>IF(D74&lt;&gt;0,22,0)</f>
        <v>0</v>
      </c>
      <c r="B74" s="176" t="s">
        <v>1161</v>
      </c>
      <c r="C74" s="176" t="s">
        <v>1435</v>
      </c>
      <c r="D74" s="369">
        <f>IFERROR(IFERROR(VLOOKUP(C74,PROYECTO_CHARLY,2,FALSE),VLOOKUP(B74,PROYECTO_CHARLY,2,FALSE)),0)</f>
        <v>0</v>
      </c>
      <c r="E74" s="370" t="str">
        <f>IFERROR(IF(VLOOKUP(D74,TURNOS_SERVICIOS,2,FALSE)=0,"-",VLOOKUP(D74,TURNOS_SERVICIOS,2,FALSE)),"-")</f>
        <v>-</v>
      </c>
      <c r="F74" s="371" t="str">
        <f>IFERROR(IF(VLOOKUP(D74,TURNOS_SERVICIOS,3,FALSE)=0,"-",VLOOKUP(D74,TURNOS_SERVICIOS,3,FALSE)),"-")</f>
        <v>-</v>
      </c>
      <c r="G74" s="371">
        <f>IFERROR(IF(VLOOKUP(D74,TURNOS_SERVICIOS,4,FALSE)=0,"SIN TURNO",VLOOKUP(D74,TURNOS_SERVICIOS,4,FALSE)),0)</f>
        <v>0</v>
      </c>
      <c r="H74" s="371">
        <f>IFERROR(IF(VLOOKUP(D74,TURNOS_SERVICIOS,5,FALSE)=0,"SIN SERVICIO",VLOOKUP(D74,TURNOS_SERVICIOS,5,FALSE)),0)</f>
        <v>0</v>
      </c>
      <c r="I74" s="363">
        <f>IFERROR(IF(VLOOKUP(D74,TURNOS_SERVICIOS,6,FALSE)=0,"-",VLOOKUP(D74,TURNOS_SERVICIOS,6,FALSE)),0)</f>
        <v>0</v>
      </c>
      <c r="J74" s="363">
        <f>IFERROR(IF(VLOOKUP(D74,TURNOS_SERVICIOS,7,FALSE)=0,"-",VLOOKUP(D74,TURNOS_SERVICIOS,7,FALSE)),0)</f>
        <v>0</v>
      </c>
      <c r="K74" s="364">
        <f>IFERROR(VLOOKUP(D74,TURNOS_SERVICIOS,8,FALSE),0)</f>
        <v>0</v>
      </c>
      <c r="L74" s="365" t="str">
        <f>IFERROR(IF(VLOOKUP(D74,TURNOS_SERVICIOS,9,FALSE)=0,"",VLOOKUP(D74,TURNOS_SERVICIOS,9,FALSE)),"")</f>
        <v/>
      </c>
      <c r="N74" s="165"/>
    </row>
    <row r="75" spans="1:14" s="166" customFormat="1" hidden="1" x14ac:dyDescent="0.3">
      <c r="A75" s="176">
        <f>IF(D75&lt;&gt;0,22,0)</f>
        <v>0</v>
      </c>
      <c r="B75" s="176" t="s">
        <v>1162</v>
      </c>
      <c r="C75" s="176" t="s">
        <v>1436</v>
      </c>
      <c r="D75" s="369">
        <f>IFERROR(IFERROR(VLOOKUP(C75,PROYECTO_CHARLY,2,FALSE),VLOOKUP(B75,PROYECTO_CHARLY,2,FALSE)),0)</f>
        <v>0</v>
      </c>
      <c r="E75" s="370" t="str">
        <f>IFERROR(IF(VLOOKUP(D75,TURNOS_SERVICIOS,2,FALSE)=0,"-",VLOOKUP(D75,TURNOS_SERVICIOS,2,FALSE)),"-")</f>
        <v>-</v>
      </c>
      <c r="F75" s="371" t="str">
        <f>IFERROR(IF(VLOOKUP(D75,TURNOS_SERVICIOS,3,FALSE)=0,"-",VLOOKUP(D75,TURNOS_SERVICIOS,3,FALSE)),"-")</f>
        <v>-</v>
      </c>
      <c r="G75" s="371">
        <f>IFERROR(IF(VLOOKUP(D75,TURNOS_SERVICIOS,4,FALSE)=0,"SIN TURNO",VLOOKUP(D75,TURNOS_SERVICIOS,4,FALSE)),0)</f>
        <v>0</v>
      </c>
      <c r="H75" s="371">
        <f>IFERROR(IF(VLOOKUP(D75,TURNOS_SERVICIOS,5,FALSE)=0,"SIN SERVICIO",VLOOKUP(D75,TURNOS_SERVICIOS,5,FALSE)),0)</f>
        <v>0</v>
      </c>
      <c r="I75" s="363">
        <f>IFERROR(IF(VLOOKUP(D75,TURNOS_SERVICIOS,6,FALSE)=0,"-",VLOOKUP(D75,TURNOS_SERVICIOS,6,FALSE)),0)</f>
        <v>0</v>
      </c>
      <c r="J75" s="363">
        <f>IFERROR(IF(VLOOKUP(D75,TURNOS_SERVICIOS,7,FALSE)=0,"-",VLOOKUP(D75,TURNOS_SERVICIOS,7,FALSE)),0)</f>
        <v>0</v>
      </c>
      <c r="K75" s="364">
        <f>IFERROR(VLOOKUP(D75,TURNOS_SERVICIOS,8,FALSE),0)</f>
        <v>0</v>
      </c>
      <c r="L75" s="365" t="str">
        <f>IFERROR(IF(VLOOKUP(D75,TURNOS_SERVICIOS,9,FALSE)=0,"",VLOOKUP(D75,TURNOS_SERVICIOS,9,FALSE)),"")</f>
        <v/>
      </c>
      <c r="N75" s="165"/>
    </row>
    <row r="76" spans="1:14" s="166" customFormat="1" hidden="1" x14ac:dyDescent="0.3">
      <c r="A76" s="176">
        <f>IF(D77&lt;&gt;0,22,0)</f>
        <v>0</v>
      </c>
      <c r="B76" s="176"/>
      <c r="C76" s="176"/>
      <c r="D76" s="1123"/>
      <c r="E76" s="1124"/>
      <c r="F76" s="1123"/>
      <c r="G76" s="1123"/>
      <c r="H76" s="1123"/>
      <c r="I76" s="1123"/>
      <c r="J76" s="1123"/>
      <c r="K76" s="1123"/>
      <c r="L76" s="1124"/>
      <c r="N76" s="165"/>
    </row>
    <row r="77" spans="1:14" s="166" customFormat="1" hidden="1" x14ac:dyDescent="0.3">
      <c r="A77" s="176">
        <f>IF(D77&lt;&gt;0,22,0)</f>
        <v>0</v>
      </c>
      <c r="B77" s="176" t="s">
        <v>1092</v>
      </c>
      <c r="C77" s="176" t="s">
        <v>1437</v>
      </c>
      <c r="D77" s="360">
        <f>IFERROR(IFERROR(VLOOKUP(C77,PROYECTO_CHARLY,2,FALSE),VLOOKUP(B77,PROYECTO_CHARLY,2,FALSE)),0)</f>
        <v>0</v>
      </c>
      <c r="E77" s="361" t="str">
        <f>IFERROR(IF(VLOOKUP(D77,TURNOS_SERVICIOS,2,FALSE)=0,"-",VLOOKUP(D77,TURNOS_SERVICIOS,2,FALSE)),"-")</f>
        <v>-</v>
      </c>
      <c r="F77" s="362" t="str">
        <f>IFERROR(IF(VLOOKUP(D77,TURNOS_SERVICIOS,3,FALSE)=0,"-",VLOOKUP(D77,TURNOS_SERVICIOS,3,FALSE)),"-")</f>
        <v>-</v>
      </c>
      <c r="G77" s="362">
        <f>IFERROR(IF(VLOOKUP(D77,TURNOS_SERVICIOS,4,FALSE)=0,"SIN TURNO",VLOOKUP(D77,TURNOS_SERVICIOS,4,FALSE)),0)</f>
        <v>0</v>
      </c>
      <c r="H77" s="362">
        <f>IFERROR(IF(VLOOKUP(D77,TURNOS_SERVICIOS,5,FALSE)=0,"SIN SERVICIO",VLOOKUP(D77,TURNOS_SERVICIOS,5,FALSE)),0)</f>
        <v>0</v>
      </c>
      <c r="I77" s="367">
        <f>IFERROR(IF(VLOOKUP(D77,TURNOS_SERVICIOS,6,FALSE)=0,"-",VLOOKUP(D77,TURNOS_SERVICIOS,6,FALSE)),0)</f>
        <v>0</v>
      </c>
      <c r="J77" s="367">
        <f>IFERROR(IF(VLOOKUP(D77,TURNOS_SERVICIOS,7,FALSE)=0,"-",VLOOKUP(D77,TURNOS_SERVICIOS,7,FALSE)),0)</f>
        <v>0</v>
      </c>
      <c r="K77" s="368">
        <f>IFERROR(VLOOKUP(D77,TURNOS_SERVICIOS,8,FALSE),0)</f>
        <v>0</v>
      </c>
      <c r="L77" s="365" t="str">
        <f>IFERROR(IF(VLOOKUP(D77,TURNOS_SERVICIOS,9,FALSE)=0,"",VLOOKUP(D77,TURNOS_SERVICIOS,9,FALSE)),"")</f>
        <v/>
      </c>
      <c r="N77" s="165"/>
    </row>
    <row r="78" spans="1:14" s="166" customFormat="1" hidden="1" x14ac:dyDescent="0.3">
      <c r="A78" s="176">
        <f>IF(D78&lt;&gt;0,22,0)</f>
        <v>0</v>
      </c>
      <c r="B78" s="176" t="s">
        <v>1093</v>
      </c>
      <c r="C78" s="176" t="s">
        <v>1438</v>
      </c>
      <c r="D78" s="369">
        <f>IFERROR(IFERROR(VLOOKUP(C78,PROYECTO_CHARLY,2,FALSE),VLOOKUP(B78,PROYECTO_CHARLY,2,FALSE)),0)</f>
        <v>0</v>
      </c>
      <c r="E78" s="370" t="str">
        <f>IFERROR(IF(VLOOKUP(D78,TURNOS_SERVICIOS,2,FALSE)=0,"-",VLOOKUP(D78,TURNOS_SERVICIOS,2,FALSE)),"-")</f>
        <v>-</v>
      </c>
      <c r="F78" s="371" t="str">
        <f>IFERROR(IF(VLOOKUP(D78,TURNOS_SERVICIOS,3,FALSE)=0,"-",VLOOKUP(D78,TURNOS_SERVICIOS,3,FALSE)),"-")</f>
        <v>-</v>
      </c>
      <c r="G78" s="371">
        <f>IFERROR(IF(VLOOKUP(D78,TURNOS_SERVICIOS,4,FALSE)=0,"SIN TURNO",VLOOKUP(D78,TURNOS_SERVICIOS,4,FALSE)),0)</f>
        <v>0</v>
      </c>
      <c r="H78" s="371">
        <f>IFERROR(IF(VLOOKUP(D78,TURNOS_SERVICIOS,5,FALSE)=0,"SIN SERVICIO",VLOOKUP(D78,TURNOS_SERVICIOS,5,FALSE)),0)</f>
        <v>0</v>
      </c>
      <c r="I78" s="363">
        <f>IFERROR(IF(VLOOKUP(D78,TURNOS_SERVICIOS,6,FALSE)=0,"-",VLOOKUP(D78,TURNOS_SERVICIOS,6,FALSE)),0)</f>
        <v>0</v>
      </c>
      <c r="J78" s="363">
        <f>IFERROR(IF(VLOOKUP(D78,TURNOS_SERVICIOS,7,FALSE)=0,"-",VLOOKUP(D78,TURNOS_SERVICIOS,7,FALSE)),0)</f>
        <v>0</v>
      </c>
      <c r="K78" s="364">
        <f>IFERROR(VLOOKUP(D78,TURNOS_SERVICIOS,8,FALSE),0)</f>
        <v>0</v>
      </c>
      <c r="L78" s="365" t="str">
        <f>IFERROR(IF(VLOOKUP(D78,TURNOS_SERVICIOS,9,FALSE)=0,"",VLOOKUP(D78,TURNOS_SERVICIOS,9,FALSE)),"")</f>
        <v/>
      </c>
      <c r="N78" s="165"/>
    </row>
    <row r="79" spans="1:14" s="166" customFormat="1" hidden="1" x14ac:dyDescent="0.3">
      <c r="A79" s="176">
        <f>IF(D79&lt;&gt;0,22,0)</f>
        <v>0</v>
      </c>
      <c r="B79" s="176" t="s">
        <v>1094</v>
      </c>
      <c r="C79" s="176" t="s">
        <v>1439</v>
      </c>
      <c r="D79" s="369">
        <f>IFERROR(IFERROR(VLOOKUP(C79,PROYECTO_CHARLY,2,FALSE),VLOOKUP(B79,PROYECTO_CHARLY,2,FALSE)),0)</f>
        <v>0</v>
      </c>
      <c r="E79" s="370" t="str">
        <f>IFERROR(IF(VLOOKUP(D79,TURNOS_SERVICIOS,2,FALSE)=0,"-",VLOOKUP(D79,TURNOS_SERVICIOS,2,FALSE)),"-")</f>
        <v>-</v>
      </c>
      <c r="F79" s="371" t="str">
        <f>IFERROR(IF(VLOOKUP(D79,TURNOS_SERVICIOS,3,FALSE)=0,"-",VLOOKUP(D79,TURNOS_SERVICIOS,3,FALSE)),"-")</f>
        <v>-</v>
      </c>
      <c r="G79" s="371">
        <f>IFERROR(IF(VLOOKUP(D79,TURNOS_SERVICIOS,4,FALSE)=0,"SIN TURNO",VLOOKUP(D79,TURNOS_SERVICIOS,4,FALSE)),0)</f>
        <v>0</v>
      </c>
      <c r="H79" s="371">
        <f>IFERROR(IF(VLOOKUP(D79,TURNOS_SERVICIOS,5,FALSE)=0,"SIN SERVICIO",VLOOKUP(D79,TURNOS_SERVICIOS,5,FALSE)),0)</f>
        <v>0</v>
      </c>
      <c r="I79" s="363">
        <f>IFERROR(IF(VLOOKUP(D79,TURNOS_SERVICIOS,6,FALSE)=0,"-",VLOOKUP(D79,TURNOS_SERVICIOS,6,FALSE)),0)</f>
        <v>0</v>
      </c>
      <c r="J79" s="363">
        <f>IFERROR(IF(VLOOKUP(D79,TURNOS_SERVICIOS,7,FALSE)=0,"-",VLOOKUP(D79,TURNOS_SERVICIOS,7,FALSE)),0)</f>
        <v>0</v>
      </c>
      <c r="K79" s="364">
        <f>IFERROR(VLOOKUP(D79,TURNOS_SERVICIOS,8,FALSE),0)</f>
        <v>0</v>
      </c>
      <c r="L79" s="365" t="str">
        <f>IFERROR(IF(VLOOKUP(D79,TURNOS_SERVICIOS,9,FALSE)=0,"",VLOOKUP(D79,TURNOS_SERVICIOS,9,FALSE)),"")</f>
        <v/>
      </c>
      <c r="N79" s="165"/>
    </row>
    <row r="80" spans="1:14" s="166" customFormat="1" hidden="1" x14ac:dyDescent="0.3">
      <c r="A80" s="176">
        <f>IF(D80&lt;&gt;0,22,0)</f>
        <v>0</v>
      </c>
      <c r="B80" s="176" t="s">
        <v>1095</v>
      </c>
      <c r="C80" s="176" t="s">
        <v>1440</v>
      </c>
      <c r="D80" s="369">
        <f>IFERROR(IFERROR(VLOOKUP(C80,PROYECTO_CHARLY,2,FALSE),VLOOKUP(B80,PROYECTO_CHARLY,2,FALSE)),0)</f>
        <v>0</v>
      </c>
      <c r="E80" s="370" t="str">
        <f>IFERROR(IF(VLOOKUP(D80,TURNOS_SERVICIOS,2,FALSE)=0,"-",VLOOKUP(D80,TURNOS_SERVICIOS,2,FALSE)),"-")</f>
        <v>-</v>
      </c>
      <c r="F80" s="371" t="str">
        <f>IFERROR(IF(VLOOKUP(D80,TURNOS_SERVICIOS,3,FALSE)=0,"-",VLOOKUP(D80,TURNOS_SERVICIOS,3,FALSE)),"-")</f>
        <v>-</v>
      </c>
      <c r="G80" s="371">
        <f>IFERROR(IF(VLOOKUP(D80,TURNOS_SERVICIOS,4,FALSE)=0,"SIN TURNO",VLOOKUP(D80,TURNOS_SERVICIOS,4,FALSE)),0)</f>
        <v>0</v>
      </c>
      <c r="H80" s="371">
        <f>IFERROR(IF(VLOOKUP(D80,TURNOS_SERVICIOS,5,FALSE)=0,"SIN SERVICIO",VLOOKUP(D80,TURNOS_SERVICIOS,5,FALSE)),0)</f>
        <v>0</v>
      </c>
      <c r="I80" s="363">
        <f>IFERROR(IF(VLOOKUP(D80,TURNOS_SERVICIOS,6,FALSE)=0,"-",VLOOKUP(D80,TURNOS_SERVICIOS,6,FALSE)),0)</f>
        <v>0</v>
      </c>
      <c r="J80" s="363">
        <f>IFERROR(IF(VLOOKUP(D80,TURNOS_SERVICIOS,7,FALSE)=0,"-",VLOOKUP(D80,TURNOS_SERVICIOS,7,FALSE)),0)</f>
        <v>0</v>
      </c>
      <c r="K80" s="364">
        <f>IFERROR(VLOOKUP(D80,TURNOS_SERVICIOS,8,FALSE),0)</f>
        <v>0</v>
      </c>
      <c r="L80" s="365" t="str">
        <f>IFERROR(IF(VLOOKUP(D80,TURNOS_SERVICIOS,9,FALSE)=0,"",VLOOKUP(D80,TURNOS_SERVICIOS,9,FALSE)),"")</f>
        <v/>
      </c>
      <c r="N80" s="165"/>
    </row>
    <row r="81" spans="1:14" s="166" customFormat="1" hidden="1" x14ac:dyDescent="0.3">
      <c r="A81" s="176">
        <f>IF(D81&lt;&gt;0,22,0)</f>
        <v>0</v>
      </c>
      <c r="B81" s="176" t="s">
        <v>1096</v>
      </c>
      <c r="C81" s="176" t="s">
        <v>1441</v>
      </c>
      <c r="D81" s="369">
        <f>IFERROR(IFERROR(VLOOKUP(C81,PROYECTO_CHARLY,2,FALSE),VLOOKUP(B81,PROYECTO_CHARLY,2,FALSE)),0)</f>
        <v>0</v>
      </c>
      <c r="E81" s="370" t="str">
        <f>IFERROR(IF(VLOOKUP(D81,TURNOS_SERVICIOS,2,FALSE)=0,"-",VLOOKUP(D81,TURNOS_SERVICIOS,2,FALSE)),"-")</f>
        <v>-</v>
      </c>
      <c r="F81" s="371" t="str">
        <f>IFERROR(IF(VLOOKUP(D81,TURNOS_SERVICIOS,3,FALSE)=0,"-",VLOOKUP(D81,TURNOS_SERVICIOS,3,FALSE)),"-")</f>
        <v>-</v>
      </c>
      <c r="G81" s="371">
        <f>IFERROR(IF(VLOOKUP(D81,TURNOS_SERVICIOS,4,FALSE)=0,"SIN TURNO",VLOOKUP(D81,TURNOS_SERVICIOS,4,FALSE)),0)</f>
        <v>0</v>
      </c>
      <c r="H81" s="371">
        <f>IFERROR(IF(VLOOKUP(D81,TURNOS_SERVICIOS,5,FALSE)=0,"SIN SERVICIO",VLOOKUP(D81,TURNOS_SERVICIOS,5,FALSE)),0)</f>
        <v>0</v>
      </c>
      <c r="I81" s="363">
        <f>IFERROR(IF(VLOOKUP(D81,TURNOS_SERVICIOS,6,FALSE)=0,"-",VLOOKUP(D81,TURNOS_SERVICIOS,6,FALSE)),0)</f>
        <v>0</v>
      </c>
      <c r="J81" s="363">
        <f>IFERROR(IF(VLOOKUP(D81,TURNOS_SERVICIOS,7,FALSE)=0,"-",VLOOKUP(D81,TURNOS_SERVICIOS,7,FALSE)),0)</f>
        <v>0</v>
      </c>
      <c r="K81" s="364">
        <f>IFERROR(VLOOKUP(D81,TURNOS_SERVICIOS,8,FALSE),0)</f>
        <v>0</v>
      </c>
      <c r="L81" s="365" t="str">
        <f>IFERROR(IF(VLOOKUP(D81,TURNOS_SERVICIOS,9,FALSE)=0,"",VLOOKUP(D81,TURNOS_SERVICIOS,9,FALSE)),"")</f>
        <v/>
      </c>
      <c r="N81" s="165"/>
    </row>
    <row r="82" spans="1:14" s="166" customFormat="1" hidden="1" x14ac:dyDescent="0.3">
      <c r="A82" s="176">
        <f>IF(D83&lt;&gt;0,22,0)</f>
        <v>0</v>
      </c>
      <c r="B82" s="162"/>
      <c r="C82" s="162"/>
      <c r="D82" s="1123"/>
      <c r="E82" s="1124"/>
      <c r="F82" s="1123"/>
      <c r="G82" s="1123"/>
      <c r="H82" s="1123"/>
      <c r="I82" s="1123"/>
      <c r="J82" s="1123"/>
      <c r="K82" s="1123"/>
      <c r="L82" s="1124"/>
      <c r="N82" s="165"/>
    </row>
    <row r="83" spans="1:14" s="166" customFormat="1" hidden="1" x14ac:dyDescent="0.3">
      <c r="A83" s="176">
        <f t="shared" ref="A83:A88" si="33">IF(D83&lt;&gt;0,22,0)</f>
        <v>0</v>
      </c>
      <c r="B83" s="176" t="s">
        <v>1164</v>
      </c>
      <c r="C83" s="176" t="s">
        <v>1442</v>
      </c>
      <c r="D83" s="360">
        <f>IFERROR(IFERROR(VLOOKUP(C83,PROYECTO_CHARLY,2,FALSE),VLOOKUP(B83,PROYECTO_CHARLY,2,FALSE)),0)</f>
        <v>0</v>
      </c>
      <c r="E83" s="361" t="str">
        <f>IFERROR(IF(VLOOKUP(D83,TURNOS_SERVICIOS,2,FALSE)=0,"-",VLOOKUP(D83,TURNOS_SERVICIOS,2,FALSE)),"-")</f>
        <v>-</v>
      </c>
      <c r="F83" s="362" t="str">
        <f>IFERROR(IF(VLOOKUP(D83,TURNOS_SERVICIOS,3,FALSE)=0,"-",VLOOKUP(D83,TURNOS_SERVICIOS,3,FALSE)),"-")</f>
        <v>-</v>
      </c>
      <c r="G83" s="362">
        <f>IFERROR(IF(VLOOKUP(D83,TURNOS_SERVICIOS,4,FALSE)=0,"SIN TURNO",VLOOKUP(D83,TURNOS_SERVICIOS,4,FALSE)),0)</f>
        <v>0</v>
      </c>
      <c r="H83" s="362">
        <f t="shared" ref="H83:H88" si="34">IFERROR(IF(VLOOKUP(D83,TURNOS_SERVICIOS,5,FALSE)=0,"SIN SERVICIO",VLOOKUP(D83,TURNOS_SERVICIOS,5,FALSE)),0)</f>
        <v>0</v>
      </c>
      <c r="I83" s="367">
        <f t="shared" ref="I83:I88" si="35">IFERROR(IF(VLOOKUP(D83,TURNOS_SERVICIOS,6,FALSE)=0,"-",VLOOKUP(D83,TURNOS_SERVICIOS,6,FALSE)),0)</f>
        <v>0</v>
      </c>
      <c r="J83" s="367">
        <f t="shared" ref="J83:J88" si="36">IFERROR(IF(VLOOKUP(D83,TURNOS_SERVICIOS,7,FALSE)=0,"-",VLOOKUP(D83,TURNOS_SERVICIOS,7,FALSE)),0)</f>
        <v>0</v>
      </c>
      <c r="K83" s="368">
        <f t="shared" ref="K83:K88" si="37">IFERROR(VLOOKUP(D83,TURNOS_SERVICIOS,8,FALSE),0)</f>
        <v>0</v>
      </c>
      <c r="L83" s="365" t="str">
        <f t="shared" ref="L83:L88" si="38">IFERROR(IF(VLOOKUP(D83,TURNOS_SERVICIOS,9,FALSE)=0,"",VLOOKUP(D83,TURNOS_SERVICIOS,9,FALSE)),"")</f>
        <v/>
      </c>
      <c r="N83" s="165"/>
    </row>
    <row r="84" spans="1:14" s="166" customFormat="1" hidden="1" x14ac:dyDescent="0.3">
      <c r="A84" s="176">
        <f t="shared" si="33"/>
        <v>0</v>
      </c>
      <c r="B84" s="176" t="s">
        <v>1097</v>
      </c>
      <c r="C84" s="176" t="s">
        <v>1443</v>
      </c>
      <c r="D84" s="369">
        <f>IFERROR(IFERROR(VLOOKUP(C84,PROYECTO_CHARLY,2,FALSE),VLOOKUP(B84,PROYECTO_CHARLY,2,FALSE)),0)</f>
        <v>0</v>
      </c>
      <c r="E84" s="370" t="str">
        <f>IFERROR(IF(VLOOKUP(D84,TURNOS_SERVICIOS,2,FALSE)=0,"-",VLOOKUP(D84,TURNOS_SERVICIOS,2,FALSE)),"-")</f>
        <v>-</v>
      </c>
      <c r="F84" s="371" t="str">
        <f>IFERROR(IF(VLOOKUP(D84,TURNOS_SERVICIOS,3,FALSE)=0,"-",VLOOKUP(D84,TURNOS_SERVICIOS,3,FALSE)),"-")</f>
        <v>-</v>
      </c>
      <c r="G84" s="371">
        <f>IFERROR(IF(VLOOKUP(D84,TURNOS_SERVICIOS,4,FALSE)=0,"SIN TURNO",VLOOKUP(D84,TURNOS_SERVICIOS,4,FALSE)),0)</f>
        <v>0</v>
      </c>
      <c r="H84" s="371">
        <f t="shared" si="34"/>
        <v>0</v>
      </c>
      <c r="I84" s="363">
        <f t="shared" si="35"/>
        <v>0</v>
      </c>
      <c r="J84" s="363">
        <f t="shared" si="36"/>
        <v>0</v>
      </c>
      <c r="K84" s="364">
        <f t="shared" si="37"/>
        <v>0</v>
      </c>
      <c r="L84" s="365" t="str">
        <f t="shared" si="38"/>
        <v/>
      </c>
      <c r="N84" s="165"/>
    </row>
    <row r="85" spans="1:14" s="166" customFormat="1" hidden="1" x14ac:dyDescent="0.3">
      <c r="A85" s="176">
        <f t="shared" si="33"/>
        <v>0</v>
      </c>
      <c r="B85" s="176" t="s">
        <v>1098</v>
      </c>
      <c r="C85" s="176" t="s">
        <v>1444</v>
      </c>
      <c r="D85" s="369">
        <f>IFERROR(IFERROR(VLOOKUP(C85,PROYECTO_CHARLY,2,FALSE),VLOOKUP(B85,PROYECTO_CHARLY,2,FALSE)),0)</f>
        <v>0</v>
      </c>
      <c r="E85" s="370" t="str">
        <f>IFERROR(IF(VLOOKUP(D85,TURNOS_SERVICIOS,2,FALSE)=0,"-",VLOOKUP(D85,TURNOS_SERVICIOS,2,FALSE)),"-")</f>
        <v>-</v>
      </c>
      <c r="F85" s="371" t="str">
        <f>IFERROR(IF(VLOOKUP(D85,TURNOS_SERVICIOS,3,FALSE)=0,"-",VLOOKUP(D85,TURNOS_SERVICIOS,3,FALSE)),"-")</f>
        <v>-</v>
      </c>
      <c r="G85" s="371">
        <f>IFERROR(IF(VLOOKUP(D85,TURNOS_SERVICIOS,4,FALSE)=0,"SIN TURNO",VLOOKUP(D85,TURNOS_SERVICIOS,4,FALSE)),0)</f>
        <v>0</v>
      </c>
      <c r="H85" s="371">
        <f t="shared" si="34"/>
        <v>0</v>
      </c>
      <c r="I85" s="363">
        <f t="shared" si="35"/>
        <v>0</v>
      </c>
      <c r="J85" s="363">
        <f t="shared" si="36"/>
        <v>0</v>
      </c>
      <c r="K85" s="364">
        <f t="shared" si="37"/>
        <v>0</v>
      </c>
      <c r="L85" s="365" t="str">
        <f t="shared" si="38"/>
        <v/>
      </c>
      <c r="N85" s="165"/>
    </row>
    <row r="86" spans="1:14" s="166" customFormat="1" hidden="1" x14ac:dyDescent="0.3">
      <c r="A86" s="176">
        <f t="shared" si="33"/>
        <v>0</v>
      </c>
      <c r="B86" s="176" t="s">
        <v>1099</v>
      </c>
      <c r="C86" s="176" t="s">
        <v>1445</v>
      </c>
      <c r="D86" s="369">
        <f>IFERROR(IFERROR(VLOOKUP(C86,PROYECTO_CHARLY,2,FALSE),VLOOKUP(B86,PROYECTO_CHARLY,2,FALSE)),0)</f>
        <v>0</v>
      </c>
      <c r="E86" s="370" t="str">
        <f>IFERROR(IF(VLOOKUP(D86,TURNOS_SERVICIOS,2,FALSE)=0,"-",VLOOKUP(D86,TURNOS_SERVICIOS,2,FALSE)),"-")</f>
        <v>-</v>
      </c>
      <c r="F86" s="371" t="str">
        <f>IFERROR(IF(VLOOKUP(D86,TURNOS_SERVICIOS,3,FALSE)=0,"-",VLOOKUP(D86,TURNOS_SERVICIOS,3,FALSE)),"-")</f>
        <v>-</v>
      </c>
      <c r="G86" s="371">
        <f>IFERROR(IF(VLOOKUP(D86,TURNOS_SERVICIOS,4,FALSE)=0,"SIN TURNO",VLOOKUP(D86,TURNOS_SERVICIOS,4,FALSE)),0)</f>
        <v>0</v>
      </c>
      <c r="H86" s="371">
        <f t="shared" si="34"/>
        <v>0</v>
      </c>
      <c r="I86" s="363">
        <f t="shared" si="35"/>
        <v>0</v>
      </c>
      <c r="J86" s="363">
        <f t="shared" si="36"/>
        <v>0</v>
      </c>
      <c r="K86" s="364">
        <f t="shared" si="37"/>
        <v>0</v>
      </c>
      <c r="L86" s="365" t="str">
        <f t="shared" si="38"/>
        <v/>
      </c>
      <c r="N86" s="165"/>
    </row>
    <row r="87" spans="1:14" s="166" customFormat="1" hidden="1" x14ac:dyDescent="0.3">
      <c r="A87" s="176">
        <f t="shared" si="33"/>
        <v>0</v>
      </c>
      <c r="B87" s="176" t="s">
        <v>1100</v>
      </c>
      <c r="C87" s="176" t="s">
        <v>1446</v>
      </c>
      <c r="D87" s="369">
        <f>IFERROR(IFERROR(VLOOKUP(C87,PROYECTO_CHARLY,2,FALSE),VLOOKUP(B87,PROYECTO_CHARLY,2,FALSE)),0)</f>
        <v>0</v>
      </c>
      <c r="E87" s="370" t="str">
        <f>IFERROR(IF(VLOOKUP(D87,TURNOS_SERVICIOS,2,FALSE)=0,"-",VLOOKUP(D87,TURNOS_SERVICIOS,2,FALSE)),"-")</f>
        <v>-</v>
      </c>
      <c r="F87" s="371" t="str">
        <f>IFERROR(IF(VLOOKUP(D87,TURNOS_SERVICIOS,3,FALSE)=0,"-",VLOOKUP(D87,TURNOS_SERVICIOS,3,FALSE)),"-")</f>
        <v>-</v>
      </c>
      <c r="G87" s="371">
        <f>IFERROR(IF(VLOOKUP(D87,TURNOS_SERVICIOS,4,FALSE)=0,"SIN TURNO",VLOOKUP(D87,TURNOS_SERVICIOS,4,FALSE)),0)</f>
        <v>0</v>
      </c>
      <c r="H87" s="371">
        <f t="shared" si="34"/>
        <v>0</v>
      </c>
      <c r="I87" s="363">
        <f t="shared" si="35"/>
        <v>0</v>
      </c>
      <c r="J87" s="363">
        <f t="shared" si="36"/>
        <v>0</v>
      </c>
      <c r="K87" s="364">
        <f t="shared" si="37"/>
        <v>0</v>
      </c>
      <c r="L87" s="365" t="str">
        <f t="shared" si="38"/>
        <v/>
      </c>
      <c r="N87" s="165"/>
    </row>
    <row r="88" spans="1:14" s="166" customFormat="1" x14ac:dyDescent="0.3">
      <c r="A88" s="176">
        <f t="shared" si="33"/>
        <v>22</v>
      </c>
      <c r="B88" s="176" t="s">
        <v>2994</v>
      </c>
      <c r="C88" s="176" t="s">
        <v>2995</v>
      </c>
      <c r="D88" s="369" t="s">
        <v>827</v>
      </c>
      <c r="E88" s="370" t="str">
        <f t="shared" ref="E88" si="39">IFERROR(IF(VLOOKUP(D88,TURNOS_SERVICIOS,2,FALSE)=0,"-",VLOOKUP(D88,TURNOS_SERVICIOS,2,FALSE)),"-")</f>
        <v>TENIENTE HUERTA BOHUS PATRICIO ALEJANDRO</v>
      </c>
      <c r="F88" s="371" t="str">
        <f t="shared" ref="F88" si="40">IFERROR(IF(VLOOKUP(D88,TURNOS_SERVICIOS,3,FALSE)=0,"-",VLOOKUP(D88,TURNOS_SERVICIOS,3,FALSE)),"-")</f>
        <v xml:space="preserve"> </v>
      </c>
      <c r="G88" s="371" t="str">
        <f t="shared" ref="G88" si="41">IFERROR(IF(VLOOKUP(D88,TURNOS_SERVICIOS,4,FALSE)=0,"SIN TURNO",VLOOKUP(D88,TURNOS_SERVICIOS,4,FALSE)),0)</f>
        <v>F</v>
      </c>
      <c r="H88" s="371" t="str">
        <f t="shared" si="34"/>
        <v>FRANCO</v>
      </c>
      <c r="I88" s="363" t="str">
        <f t="shared" si="35"/>
        <v>-</v>
      </c>
      <c r="J88" s="363" t="str">
        <f t="shared" si="36"/>
        <v xml:space="preserve"> </v>
      </c>
      <c r="K88" s="364">
        <f t="shared" si="37"/>
        <v>2</v>
      </c>
      <c r="L88" s="365" t="str">
        <f t="shared" si="38"/>
        <v/>
      </c>
      <c r="N88" s="165"/>
    </row>
    <row r="89" spans="1:14" s="166" customFormat="1" x14ac:dyDescent="0.3">
      <c r="A89" s="176">
        <f>IF(D90&lt;&gt;0,22,0)</f>
        <v>22</v>
      </c>
      <c r="B89" s="162"/>
      <c r="C89" s="162"/>
      <c r="D89" s="1123"/>
      <c r="E89" s="1124"/>
      <c r="F89" s="1123"/>
      <c r="G89" s="1123"/>
      <c r="H89" s="1123"/>
      <c r="I89" s="1123"/>
      <c r="J89" s="1123"/>
      <c r="K89" s="1123"/>
      <c r="L89" s="1124"/>
      <c r="N89" s="165"/>
    </row>
    <row r="90" spans="1:14" s="166" customFormat="1" x14ac:dyDescent="0.3">
      <c r="A90" s="176">
        <f>IF(D91&lt;&gt;0,22,0)</f>
        <v>22</v>
      </c>
      <c r="B90" s="176" t="s">
        <v>1101</v>
      </c>
      <c r="C90" s="176" t="s">
        <v>1447</v>
      </c>
      <c r="D90" s="360" t="str">
        <f>IFERROR(IFERROR(VLOOKUP(C90,PROYECTO_CHARLY,2,FALSE),VLOOKUP(B90,PROYECTO_CHARLY,2,FALSE)),0)</f>
        <v>GRIFO 13</v>
      </c>
      <c r="E90" s="361" t="str">
        <f t="shared" ref="E90:E98" si="42">IFERROR(IF(VLOOKUP(D90,TURNOS_SERVICIOS,2,FALSE)=0,"-",VLOOKUP(D90,TURNOS_SERVICIOS,2,FALSE)),"-")</f>
        <v>TENIENTE NAVARRO VELASQUEZ RODOLFO</v>
      </c>
      <c r="F90" s="362" t="str">
        <f t="shared" ref="F90:F98" si="43">IFERROR(IF(VLOOKUP(D90,TURNOS_SERVICIOS,3,FALSE)=0,"-",VLOOKUP(D90,TURNOS_SERVICIOS,3,FALSE)),"-")</f>
        <v>J-1228</v>
      </c>
      <c r="G90" s="362" t="str">
        <f t="shared" ref="G90:G98" si="44">IFERROR(IF(VLOOKUP(D90,TURNOS_SERVICIOS,4,FALSE)=0,"SIN TURNO",VLOOKUP(D90,TURNOS_SERVICIOS,4,FALSE)),0)</f>
        <v>1P</v>
      </c>
      <c r="H90" s="362" t="str">
        <f t="shared" ref="H90:H98" si="45">IFERROR(IF(VLOOKUP(D90,TURNOS_SERVICIOS,5,FALSE)=0,"SIN SERVICIO",VLOOKUP(D90,TURNOS_SERVICIOS,5,FALSE)),0)</f>
        <v>BAQUEDANO</v>
      </c>
      <c r="I90" s="367">
        <f t="shared" ref="I90:I98" si="46">IFERROR(IF(VLOOKUP(D90,TURNOS_SERVICIOS,6,FALSE)=0,"-",VLOOKUP(D90,TURNOS_SERVICIOS,6,FALSE)),0)</f>
        <v>0.33333333333333298</v>
      </c>
      <c r="J90" s="367">
        <f t="shared" ref="J90:J98" si="47">IFERROR(IF(VLOOKUP(D90,TURNOS_SERVICIOS,7,FALSE)=0,"-",VLOOKUP(D90,TURNOS_SERVICIOS,7,FALSE)),0)</f>
        <v>0.83333333333333204</v>
      </c>
      <c r="K90" s="368">
        <f t="shared" ref="K90:K98" si="48">IFERROR(VLOOKUP(D90,TURNOS_SERVICIOS,8,FALSE),0)</f>
        <v>3</v>
      </c>
      <c r="L90" s="365" t="str">
        <f t="shared" ref="L90:L98" si="49">IFERROR(IF(VLOOKUP(D90,TURNOS_SERVICIOS,9,FALSE)=0,"",VLOOKUP(D90,TURNOS_SERVICIOS,9,FALSE)),"")</f>
        <v/>
      </c>
      <c r="N90" s="165"/>
    </row>
    <row r="91" spans="1:14" s="166" customFormat="1" x14ac:dyDescent="0.3">
      <c r="A91" s="176">
        <f>IF(D92&lt;&gt;0,22,0)</f>
        <v>22</v>
      </c>
      <c r="B91" s="176" t="s">
        <v>1102</v>
      </c>
      <c r="C91" s="176" t="s">
        <v>1448</v>
      </c>
      <c r="D91" s="369" t="str">
        <f>IFERROR(IFERROR(VLOOKUP(C91,PROYECTO_CHARLY,2,FALSE),VLOOKUP(B91,PROYECTO_CHARLY,2,FALSE)),0)</f>
        <v>S-30</v>
      </c>
      <c r="E91" s="370" t="str">
        <f t="shared" si="42"/>
        <v>TENIENTE DIAZ CARCAMO OLGA ELIZABETH</v>
      </c>
      <c r="F91" s="371" t="str">
        <f t="shared" si="43"/>
        <v>B-645</v>
      </c>
      <c r="G91" s="371" t="str">
        <f t="shared" si="44"/>
        <v>1P</v>
      </c>
      <c r="H91" s="371" t="str">
        <f t="shared" si="45"/>
        <v>BAQUEDANO</v>
      </c>
      <c r="I91" s="363">
        <f t="shared" si="46"/>
        <v>0.33333333333333331</v>
      </c>
      <c r="J91" s="363">
        <f t="shared" si="47"/>
        <v>0.83333333333333337</v>
      </c>
      <c r="K91" s="364">
        <f t="shared" si="48"/>
        <v>7</v>
      </c>
      <c r="L91" s="365" t="str">
        <f t="shared" si="49"/>
        <v/>
      </c>
      <c r="N91" s="165"/>
    </row>
    <row r="92" spans="1:14" s="166" customFormat="1" x14ac:dyDescent="0.3">
      <c r="A92" s="176">
        <f>IF(D92&lt;&gt;0,22,0)</f>
        <v>22</v>
      </c>
      <c r="B92" s="176" t="s">
        <v>1103</v>
      </c>
      <c r="C92" s="176" t="s">
        <v>1449</v>
      </c>
      <c r="D92" s="369" t="str">
        <f>IFERROR(IFERROR(VLOOKUP(C92,PROYECTO_CHARLY,2,FALSE),VLOOKUP(B92,PROYECTO_CHARLY,2,FALSE)),0)</f>
        <v>S-31</v>
      </c>
      <c r="E92" s="370" t="str">
        <f t="shared" si="42"/>
        <v>SGTO 1RO. CORTES VARA MARCO EDGARDO              (T-J)</v>
      </c>
      <c r="F92" s="371" t="str">
        <f t="shared" si="43"/>
        <v>B-647</v>
      </c>
      <c r="G92" s="371" t="str">
        <f t="shared" si="44"/>
        <v>1P</v>
      </c>
      <c r="H92" s="371" t="str">
        <f t="shared" si="45"/>
        <v>MONUMENTO</v>
      </c>
      <c r="I92" s="363">
        <f t="shared" si="46"/>
        <v>0.33333333333333331</v>
      </c>
      <c r="J92" s="363">
        <f t="shared" si="47"/>
        <v>0.83333333333333337</v>
      </c>
      <c r="K92" s="364">
        <f t="shared" si="48"/>
        <v>8</v>
      </c>
      <c r="L92" s="365" t="str">
        <f t="shared" si="49"/>
        <v/>
      </c>
      <c r="N92" s="165"/>
    </row>
    <row r="93" spans="1:14" s="166" customFormat="1" hidden="1" x14ac:dyDescent="0.3">
      <c r="A93" s="176">
        <v>0</v>
      </c>
      <c r="B93" s="176" t="s">
        <v>1104</v>
      </c>
      <c r="C93" s="176" t="s">
        <v>1450</v>
      </c>
      <c r="D93" s="369" t="s">
        <v>1236</v>
      </c>
      <c r="E93" s="370" t="str">
        <f t="shared" si="42"/>
        <v>-</v>
      </c>
      <c r="F93" s="371" t="str">
        <f t="shared" si="43"/>
        <v>-</v>
      </c>
      <c r="G93" s="371" t="str">
        <f t="shared" si="44"/>
        <v/>
      </c>
      <c r="H93" s="371" t="str">
        <f t="shared" si="45"/>
        <v/>
      </c>
      <c r="I93" s="363" t="str">
        <f t="shared" si="46"/>
        <v>-</v>
      </c>
      <c r="J93" s="363" t="str">
        <f t="shared" si="47"/>
        <v>-</v>
      </c>
      <c r="K93" s="364">
        <f t="shared" si="48"/>
        <v>0</v>
      </c>
      <c r="L93" s="365" t="str">
        <f t="shared" si="49"/>
        <v/>
      </c>
      <c r="N93" s="165"/>
    </row>
    <row r="94" spans="1:14" s="166" customFormat="1" hidden="1" x14ac:dyDescent="0.3">
      <c r="A94" s="176">
        <f>IF(D94&lt;&gt;0,22,0)</f>
        <v>0</v>
      </c>
      <c r="B94" s="176" t="s">
        <v>1105</v>
      </c>
      <c r="C94" s="176" t="s">
        <v>1451</v>
      </c>
      <c r="D94" s="369">
        <f>IFERROR(IFERROR(VLOOKUP(C94,PROYECTO_CHARLY,2,FALSE),VLOOKUP(B94,PROYECTO_CHARLY,2,FALSE)),0)</f>
        <v>0</v>
      </c>
      <c r="E94" s="370" t="str">
        <f t="shared" si="42"/>
        <v>-</v>
      </c>
      <c r="F94" s="371" t="str">
        <f t="shared" si="43"/>
        <v>-</v>
      </c>
      <c r="G94" s="371">
        <f t="shared" si="44"/>
        <v>0</v>
      </c>
      <c r="H94" s="371">
        <f t="shared" si="45"/>
        <v>0</v>
      </c>
      <c r="I94" s="363">
        <f t="shared" si="46"/>
        <v>0</v>
      </c>
      <c r="J94" s="363">
        <f t="shared" si="47"/>
        <v>0</v>
      </c>
      <c r="K94" s="364">
        <f t="shared" si="48"/>
        <v>0</v>
      </c>
      <c r="L94" s="365" t="str">
        <f t="shared" si="49"/>
        <v/>
      </c>
      <c r="N94" s="165"/>
    </row>
    <row r="95" spans="1:14" s="166" customFormat="1" hidden="1" x14ac:dyDescent="0.3">
      <c r="A95" s="176">
        <v>0</v>
      </c>
      <c r="B95" s="176" t="s">
        <v>3113</v>
      </c>
      <c r="C95" s="176" t="s">
        <v>3114</v>
      </c>
      <c r="D95" s="369" t="s">
        <v>1236</v>
      </c>
      <c r="E95" s="370" t="str">
        <f t="shared" ref="E95:E96" si="50">IFERROR(IF(VLOOKUP(D95,TURNOS_SERVICIOS,2,FALSE)=0,"-",VLOOKUP(D95,TURNOS_SERVICIOS,2,FALSE)),"-")</f>
        <v>-</v>
      </c>
      <c r="F95" s="371" t="str">
        <f t="shared" ref="F95:F96" si="51">IFERROR(IF(VLOOKUP(D95,TURNOS_SERVICIOS,3,FALSE)=0,"-",VLOOKUP(D95,TURNOS_SERVICIOS,3,FALSE)),"-")</f>
        <v>-</v>
      </c>
      <c r="G95" s="371" t="str">
        <f t="shared" ref="G95:G96" si="52">IFERROR(IF(VLOOKUP(D95,TURNOS_SERVICIOS,4,FALSE)=0,"SIN TURNO",VLOOKUP(D95,TURNOS_SERVICIOS,4,FALSE)),0)</f>
        <v/>
      </c>
      <c r="H95" s="371" t="str">
        <f t="shared" ref="H95:H96" si="53">IFERROR(IF(VLOOKUP(D95,TURNOS_SERVICIOS,5,FALSE)=0,"SIN SERVICIO",VLOOKUP(D95,TURNOS_SERVICIOS,5,FALSE)),0)</f>
        <v/>
      </c>
      <c r="I95" s="363" t="str">
        <f t="shared" ref="I95:I96" si="54">IFERROR(IF(VLOOKUP(D95,TURNOS_SERVICIOS,6,FALSE)=0,"-",VLOOKUP(D95,TURNOS_SERVICIOS,6,FALSE)),0)</f>
        <v>-</v>
      </c>
      <c r="J95" s="363" t="str">
        <f t="shared" ref="J95:J96" si="55">IFERROR(IF(VLOOKUP(D95,TURNOS_SERVICIOS,7,FALSE)=0,"-",VLOOKUP(D95,TURNOS_SERVICIOS,7,FALSE)),0)</f>
        <v>-</v>
      </c>
      <c r="K95" s="364">
        <f t="shared" ref="K95:K96" si="56">IFERROR(VLOOKUP(D95,TURNOS_SERVICIOS,8,FALSE),0)</f>
        <v>0</v>
      </c>
      <c r="L95" s="365" t="str">
        <f t="shared" ref="L95:L96" si="57">IFERROR(IF(VLOOKUP(D95,TURNOS_SERVICIOS,9,FALSE)=0,"",VLOOKUP(D95,TURNOS_SERVICIOS,9,FALSE)),"")</f>
        <v/>
      </c>
      <c r="N95" s="165"/>
    </row>
    <row r="96" spans="1:14" s="166" customFormat="1" x14ac:dyDescent="0.3">
      <c r="A96" s="176">
        <v>22</v>
      </c>
      <c r="B96" s="176" t="s">
        <v>3115</v>
      </c>
      <c r="C96" s="176" t="s">
        <v>3116</v>
      </c>
      <c r="D96" s="369" t="s">
        <v>713</v>
      </c>
      <c r="E96" s="370" t="str">
        <f t="shared" si="50"/>
        <v>SGTO 2DO. CORTES GALLARDO JAVIER ALBERTO</v>
      </c>
      <c r="F96" s="371" t="str">
        <f t="shared" si="51"/>
        <v>B-499</v>
      </c>
      <c r="G96" s="371" t="str">
        <f t="shared" si="52"/>
        <v>1P</v>
      </c>
      <c r="H96" s="371" t="str">
        <f t="shared" si="53"/>
        <v>LEGUA</v>
      </c>
      <c r="I96" s="363">
        <f t="shared" si="54"/>
        <v>0.33333333333333331</v>
      </c>
      <c r="J96" s="363">
        <f t="shared" si="55"/>
        <v>0.83333333333333337</v>
      </c>
      <c r="K96" s="364">
        <f t="shared" si="56"/>
        <v>6</v>
      </c>
      <c r="L96" s="365" t="str">
        <f t="shared" si="57"/>
        <v/>
      </c>
      <c r="N96" s="165"/>
    </row>
    <row r="97" spans="1:14" s="166" customFormat="1" x14ac:dyDescent="0.3">
      <c r="A97" s="176">
        <v>22</v>
      </c>
      <c r="B97" s="176" t="s">
        <v>3117</v>
      </c>
      <c r="C97" s="176" t="s">
        <v>3118</v>
      </c>
      <c r="D97" s="369" t="s">
        <v>1237</v>
      </c>
      <c r="E97" s="370" t="str">
        <f t="shared" ref="E97" si="58">IFERROR(IF(VLOOKUP(D97,TURNOS_SERVICIOS,2,FALSE)=0,"-",VLOOKUP(D97,TURNOS_SERVICIOS,2,FALSE)),"-")</f>
        <v>-</v>
      </c>
      <c r="F97" s="371" t="str">
        <f t="shared" ref="F97" si="59">IFERROR(IF(VLOOKUP(D97,TURNOS_SERVICIOS,3,FALSE)=0,"-",VLOOKUP(D97,TURNOS_SERVICIOS,3,FALSE)),"-")</f>
        <v>-</v>
      </c>
      <c r="G97" s="371" t="str">
        <f t="shared" ref="G97" si="60">IFERROR(IF(VLOOKUP(D97,TURNOS_SERVICIOS,4,FALSE)=0,"SIN TURNO",VLOOKUP(D97,TURNOS_SERVICIOS,4,FALSE)),0)</f>
        <v/>
      </c>
      <c r="H97" s="371" t="str">
        <f t="shared" ref="H97" si="61">IFERROR(IF(VLOOKUP(D97,TURNOS_SERVICIOS,5,FALSE)=0,"SIN SERVICIO",VLOOKUP(D97,TURNOS_SERVICIOS,5,FALSE)),0)</f>
        <v/>
      </c>
      <c r="I97" s="363" t="str">
        <f t="shared" ref="I97" si="62">IFERROR(IF(VLOOKUP(D97,TURNOS_SERVICIOS,6,FALSE)=0,"-",VLOOKUP(D97,TURNOS_SERVICIOS,6,FALSE)),0)</f>
        <v>-</v>
      </c>
      <c r="J97" s="363" t="str">
        <f t="shared" ref="J97" si="63">IFERROR(IF(VLOOKUP(D97,TURNOS_SERVICIOS,7,FALSE)=0,"-",VLOOKUP(D97,TURNOS_SERVICIOS,7,FALSE)),0)</f>
        <v>-</v>
      </c>
      <c r="K97" s="364">
        <f t="shared" ref="K97" si="64">IFERROR(VLOOKUP(D97,TURNOS_SERVICIOS,8,FALSE),0)</f>
        <v>0</v>
      </c>
      <c r="L97" s="365" t="str">
        <f t="shared" ref="L97" si="65">IFERROR(IF(VLOOKUP(D97,TURNOS_SERVICIOS,9,FALSE)=0,"",VLOOKUP(D97,TURNOS_SERVICIOS,9,FALSE)),"")</f>
        <v/>
      </c>
      <c r="N97" s="165"/>
    </row>
    <row r="98" spans="1:14" s="166" customFormat="1" x14ac:dyDescent="0.3">
      <c r="A98" s="176">
        <f t="shared" ref="A98" si="66">IF(D98&lt;&gt;0,22,0)</f>
        <v>22</v>
      </c>
      <c r="B98" s="176" t="s">
        <v>1105</v>
      </c>
      <c r="C98" s="176" t="s">
        <v>1451</v>
      </c>
      <c r="D98" s="369" t="s">
        <v>194</v>
      </c>
      <c r="E98" s="370" t="str">
        <f t="shared" si="42"/>
        <v>CABO 1RO. HERRERA RIVAS JUVENAL AGUSTIN</v>
      </c>
      <c r="F98" s="371" t="str">
        <f t="shared" si="43"/>
        <v>LA-060</v>
      </c>
      <c r="G98" s="371" t="str">
        <f t="shared" si="44"/>
        <v>1P</v>
      </c>
      <c r="H98" s="371" t="str">
        <f t="shared" si="45"/>
        <v>BAQUEDANO</v>
      </c>
      <c r="I98" s="363">
        <f t="shared" si="46"/>
        <v>0.33333333333333331</v>
      </c>
      <c r="J98" s="363">
        <f t="shared" si="47"/>
        <v>0.83333333333333337</v>
      </c>
      <c r="K98" s="364">
        <f t="shared" si="48"/>
        <v>2</v>
      </c>
      <c r="L98" s="365" t="str">
        <f t="shared" si="49"/>
        <v/>
      </c>
      <c r="N98" s="165"/>
    </row>
    <row r="99" spans="1:14" s="166" customFormat="1" x14ac:dyDescent="0.3">
      <c r="A99" s="176">
        <f>IF(D100&lt;&gt;0,22,0)</f>
        <v>22</v>
      </c>
      <c r="B99" s="162"/>
      <c r="C99" s="162"/>
      <c r="D99" s="1123"/>
      <c r="E99" s="1123"/>
      <c r="F99" s="1123"/>
      <c r="G99" s="1123"/>
      <c r="H99" s="1123"/>
      <c r="I99" s="1123"/>
      <c r="J99" s="1123"/>
      <c r="K99" s="1123"/>
      <c r="L99" s="1124"/>
      <c r="N99" s="165"/>
    </row>
    <row r="100" spans="1:14" s="166" customFormat="1" x14ac:dyDescent="0.3">
      <c r="A100" s="176">
        <f>IF(D100&lt;&gt;0,22,0)</f>
        <v>22</v>
      </c>
      <c r="B100" s="176" t="s">
        <v>1106</v>
      </c>
      <c r="C100" s="176" t="s">
        <v>1453</v>
      </c>
      <c r="D100" s="360" t="str">
        <f>IFERROR(IFERROR(VLOOKUP(C100,PROYECTO_CHARLY,2,FALSE),VLOOKUP(B100,PROYECTO_CHARLY,2,FALSE)),0)</f>
        <v>GRIFO 14</v>
      </c>
      <c r="E100" s="361" t="str">
        <f t="shared" ref="E100:E109" si="67">IFERROR(IF(VLOOKUP(D100,TURNOS_SERVICIOS,2,FALSE)=0,"-",VLOOKUP(D100,TURNOS_SERVICIOS,2,FALSE)),"-")</f>
        <v>TENIENTE ZULOAGA MUÑOZ SEBASTIAN ALEJANDRO</v>
      </c>
      <c r="F100" s="362" t="str">
        <f t="shared" ref="F100:F109" si="68">IFERROR(IF(VLOOKUP(D100,TURNOS_SERVICIOS,3,FALSE)=0,"-",VLOOKUP(D100,TURNOS_SERVICIOS,3,FALSE)),"-")</f>
        <v>J-032</v>
      </c>
      <c r="G100" s="362" t="str">
        <f t="shared" ref="G100:G109" si="69">IFERROR(IF(VLOOKUP(D100,TURNOS_SERVICIOS,4,FALSE)=0,"SIN TURNO",VLOOKUP(D100,TURNOS_SERVICIOS,4,FALSE)),0)</f>
        <v>2P</v>
      </c>
      <c r="H100" s="362" t="str">
        <f t="shared" ref="H100:H109" si="70">IFERROR(IF(VLOOKUP(D100,TURNOS_SERVICIOS,5,FALSE)=0,"SIN SERVICIO",VLOOKUP(D100,TURNOS_SERVICIOS,5,FALSE)),0)</f>
        <v>ARIETE NOCTURNO</v>
      </c>
      <c r="I100" s="367">
        <f t="shared" ref="I100:I109" si="71">IFERROR(IF(VLOOKUP(D100,TURNOS_SERVICIOS,6,FALSE)=0,"-",VLOOKUP(D100,TURNOS_SERVICIOS,6,FALSE)),0)</f>
        <v>0.83333333333333337</v>
      </c>
      <c r="J100" s="367">
        <f t="shared" ref="J100:J109" si="72">IFERROR(IF(VLOOKUP(D100,TURNOS_SERVICIOS,7,FALSE)=0,"-",VLOOKUP(D100,TURNOS_SERVICIOS,7,FALSE)),0)</f>
        <v>0.33333333333333331</v>
      </c>
      <c r="K100" s="368">
        <f t="shared" ref="K100:K109" si="73">IFERROR(VLOOKUP(D100,TURNOS_SERVICIOS,8,FALSE),0)</f>
        <v>3</v>
      </c>
      <c r="L100" s="365" t="str">
        <f t="shared" ref="L100:L109" si="74">IFERROR(IF(VLOOKUP(D100,TURNOS_SERVICIOS,9,FALSE)=0,"",VLOOKUP(D100,TURNOS_SERVICIOS,9,FALSE)),"")</f>
        <v/>
      </c>
      <c r="N100" s="165"/>
    </row>
    <row r="101" spans="1:14" s="166" customFormat="1" x14ac:dyDescent="0.3">
      <c r="A101" s="176">
        <f>IF(D101&lt;&gt;0,22,0)</f>
        <v>22</v>
      </c>
      <c r="B101" s="176" t="s">
        <v>1107</v>
      </c>
      <c r="C101" s="176" t="s">
        <v>1454</v>
      </c>
      <c r="D101" s="360" t="s">
        <v>740</v>
      </c>
      <c r="E101" s="361" t="str">
        <f t="shared" ref="E101" si="75">IFERROR(IF(VLOOKUP(D101,TURNOS_SERVICIOS,2,FALSE)=0,"-",VLOOKUP(D101,TURNOS_SERVICIOS,2,FALSE)),"-")</f>
        <v>SUBOFICIAL ROSALES CALDERON MARCO ANTONIO ( T )</v>
      </c>
      <c r="F101" s="362" t="str">
        <f t="shared" ref="F101" si="76">IFERROR(IF(VLOOKUP(D101,TURNOS_SERVICIOS,3,FALSE)=0,"-",VLOOKUP(D101,TURNOS_SERVICIOS,3,FALSE)),"-")</f>
        <v>B-681</v>
      </c>
      <c r="G101" s="362" t="str">
        <f t="shared" ref="G101" si="77">IFERROR(IF(VLOOKUP(D101,TURNOS_SERVICIOS,4,FALSE)=0,"SIN TURNO",VLOOKUP(D101,TURNOS_SERVICIOS,4,FALSE)),0)</f>
        <v>3T</v>
      </c>
      <c r="H101" s="362" t="str">
        <f t="shared" ref="H101" si="78">IFERROR(IF(VLOOKUP(D101,TURNOS_SERVICIOS,5,FALSE)=0,"SIN SERVICIO",VLOOKUP(D101,TURNOS_SERVICIOS,5,FALSE)),0)</f>
        <v>APS</v>
      </c>
      <c r="I101" s="367">
        <f t="shared" ref="I101" si="79">IFERROR(IF(VLOOKUP(D101,TURNOS_SERVICIOS,6,FALSE)=0,"-",VLOOKUP(D101,TURNOS_SERVICIOS,6,FALSE)),0)</f>
        <v>0.91666666666666663</v>
      </c>
      <c r="J101" s="367">
        <f t="shared" ref="J101" si="80">IFERROR(IF(VLOOKUP(D101,TURNOS_SERVICIOS,7,FALSE)=0,"-",VLOOKUP(D101,TURNOS_SERVICIOS,7,FALSE)),0)</f>
        <v>0.33333333333333331</v>
      </c>
      <c r="K101" s="368">
        <f t="shared" ref="K101" si="81">IFERROR(VLOOKUP(D101,TURNOS_SERVICIOS,8,FALSE),0)</f>
        <v>8</v>
      </c>
      <c r="L101" s="365" t="str">
        <f t="shared" ref="L101" si="82">IFERROR(IF(VLOOKUP(D101,TURNOS_SERVICIOS,9,FALSE)=0,"",VLOOKUP(D101,TURNOS_SERVICIOS,9,FALSE)),"")</f>
        <v/>
      </c>
      <c r="N101" s="165"/>
    </row>
    <row r="102" spans="1:14" s="166" customFormat="1" x14ac:dyDescent="0.3">
      <c r="A102" s="176">
        <f>IF(D102&lt;&gt;0,22,0)</f>
        <v>22</v>
      </c>
      <c r="B102" s="176" t="s">
        <v>2929</v>
      </c>
      <c r="C102" s="176" t="s">
        <v>2928</v>
      </c>
      <c r="D102" s="369" t="s">
        <v>1238</v>
      </c>
      <c r="E102" s="370" t="str">
        <f t="shared" si="67"/>
        <v>-</v>
      </c>
      <c r="F102" s="371" t="str">
        <f t="shared" si="68"/>
        <v>-</v>
      </c>
      <c r="G102" s="371" t="str">
        <f t="shared" si="69"/>
        <v/>
      </c>
      <c r="H102" s="371" t="str">
        <f t="shared" si="70"/>
        <v/>
      </c>
      <c r="I102" s="363" t="str">
        <f t="shared" si="71"/>
        <v>-</v>
      </c>
      <c r="J102" s="363" t="str">
        <f t="shared" si="72"/>
        <v>-</v>
      </c>
      <c r="K102" s="364">
        <f t="shared" si="73"/>
        <v>0</v>
      </c>
      <c r="L102" s="365" t="str">
        <f t="shared" si="74"/>
        <v/>
      </c>
      <c r="N102" s="165"/>
    </row>
    <row r="103" spans="1:14" s="166" customFormat="1" x14ac:dyDescent="0.3">
      <c r="A103" s="176">
        <f t="shared" ref="A103" si="83">IF(D103&lt;&gt;0,22,0)</f>
        <v>22</v>
      </c>
      <c r="B103" s="176" t="s">
        <v>2929</v>
      </c>
      <c r="C103" s="176" t="s">
        <v>2928</v>
      </c>
      <c r="D103" s="369" t="s">
        <v>702</v>
      </c>
      <c r="E103" s="370" t="str">
        <f t="shared" si="67"/>
        <v>SGTO 2DO. HERNANDEZ CRUCES DIEGO ESTEBAN              (T - P- S)</v>
      </c>
      <c r="F103" s="371" t="str">
        <f t="shared" si="68"/>
        <v>B-686</v>
      </c>
      <c r="G103" s="371" t="str">
        <f t="shared" si="69"/>
        <v>2P</v>
      </c>
      <c r="H103" s="371" t="str">
        <f t="shared" si="70"/>
        <v>MONUMENTO / BAQUEDANO</v>
      </c>
      <c r="I103" s="363">
        <f t="shared" si="71"/>
        <v>0.83333333333333337</v>
      </c>
      <c r="J103" s="363">
        <f t="shared" si="72"/>
        <v>0.33333333333333331</v>
      </c>
      <c r="K103" s="364">
        <f t="shared" si="73"/>
        <v>5</v>
      </c>
      <c r="L103" s="365" t="str">
        <f t="shared" si="74"/>
        <v/>
      </c>
      <c r="N103" s="165"/>
    </row>
    <row r="104" spans="1:14" s="166" customFormat="1" hidden="1" x14ac:dyDescent="0.3">
      <c r="A104" s="176">
        <v>0</v>
      </c>
      <c r="B104" s="176" t="s">
        <v>1108</v>
      </c>
      <c r="C104" s="176" t="s">
        <v>1455</v>
      </c>
      <c r="D104" s="369" t="s">
        <v>1239</v>
      </c>
      <c r="E104" s="370" t="str">
        <f t="shared" ref="E104:E105" si="84">IFERROR(IF(VLOOKUP(D104,TURNOS_SERVICIOS,2,FALSE)=0,"-",VLOOKUP(D104,TURNOS_SERVICIOS,2,FALSE)),"-")</f>
        <v>-</v>
      </c>
      <c r="F104" s="371" t="str">
        <f t="shared" ref="F104:F105" si="85">IFERROR(IF(VLOOKUP(D104,TURNOS_SERVICIOS,3,FALSE)=0,"-",VLOOKUP(D104,TURNOS_SERVICIOS,3,FALSE)),"-")</f>
        <v>-</v>
      </c>
      <c r="G104" s="371" t="str">
        <f t="shared" ref="G104:G105" si="86">IFERROR(IF(VLOOKUP(D104,TURNOS_SERVICIOS,4,FALSE)=0,"SIN TURNO",VLOOKUP(D104,TURNOS_SERVICIOS,4,FALSE)),0)</f>
        <v/>
      </c>
      <c r="H104" s="371" t="str">
        <f t="shared" ref="H104:H105" si="87">IFERROR(IF(VLOOKUP(D104,TURNOS_SERVICIOS,5,FALSE)=0,"SIN SERVICIO",VLOOKUP(D104,TURNOS_SERVICIOS,5,FALSE)),0)</f>
        <v/>
      </c>
      <c r="I104" s="363" t="str">
        <f t="shared" ref="I104:I105" si="88">IFERROR(IF(VLOOKUP(D104,TURNOS_SERVICIOS,6,FALSE)=0,"-",VLOOKUP(D104,TURNOS_SERVICIOS,6,FALSE)),0)</f>
        <v>-</v>
      </c>
      <c r="J104" s="363" t="str">
        <f t="shared" ref="J104:J105" si="89">IFERROR(IF(VLOOKUP(D104,TURNOS_SERVICIOS,7,FALSE)=0,"-",VLOOKUP(D104,TURNOS_SERVICIOS,7,FALSE)),0)</f>
        <v>-</v>
      </c>
      <c r="K104" s="364">
        <f t="shared" ref="K104:K105" si="90">IFERROR(VLOOKUP(D104,TURNOS_SERVICIOS,8,FALSE),0)</f>
        <v>0</v>
      </c>
      <c r="L104" s="365" t="str">
        <f t="shared" ref="L104:L105" si="91">IFERROR(IF(VLOOKUP(D104,TURNOS_SERVICIOS,9,FALSE)=0,"",VLOOKUP(D104,TURNOS_SERVICIOS,9,FALSE)),"")</f>
        <v/>
      </c>
      <c r="N104" s="165"/>
    </row>
    <row r="105" spans="1:14" s="166" customFormat="1" x14ac:dyDescent="0.3">
      <c r="A105" s="176">
        <f t="shared" ref="A105:A107" si="92">IF(D105&lt;&gt;0,22,0)</f>
        <v>22</v>
      </c>
      <c r="B105" s="176" t="s">
        <v>1109</v>
      </c>
      <c r="C105" s="176" t="s">
        <v>1456</v>
      </c>
      <c r="D105" s="369" t="s">
        <v>742</v>
      </c>
      <c r="E105" s="370" t="str">
        <f t="shared" si="84"/>
        <v>SUBOFICIAL BRAVO VALDERRAMA OSCAR MAURICIO</v>
      </c>
      <c r="F105" s="371" t="str">
        <f t="shared" si="85"/>
        <v>B-499</v>
      </c>
      <c r="G105" s="371" t="str">
        <f t="shared" si="86"/>
        <v>3T</v>
      </c>
      <c r="H105" s="371" t="str">
        <f t="shared" si="87"/>
        <v>APS</v>
      </c>
      <c r="I105" s="363">
        <f t="shared" si="88"/>
        <v>0.83333333333333337</v>
      </c>
      <c r="J105" s="363">
        <f t="shared" si="89"/>
        <v>0.33333333333333331</v>
      </c>
      <c r="K105" s="364">
        <f t="shared" si="90"/>
        <v>8</v>
      </c>
      <c r="L105" s="365" t="str">
        <f t="shared" si="91"/>
        <v/>
      </c>
      <c r="N105" s="165"/>
    </row>
    <row r="106" spans="1:14" s="166" customFormat="1" x14ac:dyDescent="0.3">
      <c r="A106" s="176">
        <f t="shared" si="92"/>
        <v>22</v>
      </c>
      <c r="B106" s="176" t="s">
        <v>2930</v>
      </c>
      <c r="C106" s="176" t="s">
        <v>2931</v>
      </c>
      <c r="D106" s="369" t="s">
        <v>1240</v>
      </c>
      <c r="E106" s="370" t="str">
        <f t="shared" ref="E106" si="93">IFERROR(IF(VLOOKUP(D106,TURNOS_SERVICIOS,2,FALSE)=0,"-",VLOOKUP(D106,TURNOS_SERVICIOS,2,FALSE)),"-")</f>
        <v>-</v>
      </c>
      <c r="F106" s="371" t="str">
        <f t="shared" ref="F106" si="94">IFERROR(IF(VLOOKUP(D106,TURNOS_SERVICIOS,3,FALSE)=0,"-",VLOOKUP(D106,TURNOS_SERVICIOS,3,FALSE)),"-")</f>
        <v>-</v>
      </c>
      <c r="G106" s="371" t="str">
        <f t="shared" ref="G106" si="95">IFERROR(IF(VLOOKUP(D106,TURNOS_SERVICIOS,4,FALSE)=0,"SIN TURNO",VLOOKUP(D106,TURNOS_SERVICIOS,4,FALSE)),0)</f>
        <v/>
      </c>
      <c r="H106" s="371" t="str">
        <f t="shared" ref="H106" si="96">IFERROR(IF(VLOOKUP(D106,TURNOS_SERVICIOS,5,FALSE)=0,"SIN SERVICIO",VLOOKUP(D106,TURNOS_SERVICIOS,5,FALSE)),0)</f>
        <v/>
      </c>
      <c r="I106" s="363" t="str">
        <f t="shared" ref="I106" si="97">IFERROR(IF(VLOOKUP(D106,TURNOS_SERVICIOS,6,FALSE)=0,"-",VLOOKUP(D106,TURNOS_SERVICIOS,6,FALSE)),0)</f>
        <v>-</v>
      </c>
      <c r="J106" s="363" t="str">
        <f t="shared" ref="J106" si="98">IFERROR(IF(VLOOKUP(D106,TURNOS_SERVICIOS,7,FALSE)=0,"-",VLOOKUP(D106,TURNOS_SERVICIOS,7,FALSE)),0)</f>
        <v>-</v>
      </c>
      <c r="K106" s="364">
        <f t="shared" ref="K106" si="99">IFERROR(VLOOKUP(D106,TURNOS_SERVICIOS,8,FALSE),0)</f>
        <v>0</v>
      </c>
      <c r="L106" s="365" t="str">
        <f t="shared" ref="L106" si="100">IFERROR(IF(VLOOKUP(D106,TURNOS_SERVICIOS,9,FALSE)=0,"",VLOOKUP(D106,TURNOS_SERVICIOS,9,FALSE)),"")</f>
        <v/>
      </c>
      <c r="N106" s="165"/>
    </row>
    <row r="107" spans="1:14" s="166" customFormat="1" x14ac:dyDescent="0.3">
      <c r="A107" s="176">
        <f t="shared" si="92"/>
        <v>22</v>
      </c>
      <c r="B107" s="176" t="s">
        <v>2911</v>
      </c>
      <c r="C107" s="176" t="s">
        <v>2912</v>
      </c>
      <c r="D107" s="369" t="s">
        <v>113</v>
      </c>
      <c r="E107" s="370" t="str">
        <f t="shared" ref="E107" si="101">IFERROR(IF(VLOOKUP(D107,TURNOS_SERVICIOS,2,FALSE)=0,"-",VLOOKUP(D107,TURNOS_SERVICIOS,2,FALSE)),"-")</f>
        <v>SGTO 2DO. MELLA MORALES MARCO ALEXIS</v>
      </c>
      <c r="F107" s="371" t="str">
        <f t="shared" ref="F107" si="102">IFERROR(IF(VLOOKUP(D107,TURNOS_SERVICIOS,3,FALSE)=0,"-",VLOOKUP(D107,TURNOS_SERVICIOS,3,FALSE)),"-")</f>
        <v>LA-062</v>
      </c>
      <c r="G107" s="371" t="str">
        <f t="shared" ref="G107" si="103">IFERROR(IF(VLOOKUP(D107,TURNOS_SERVICIOS,4,FALSE)=0,"SIN TURNO",VLOOKUP(D107,TURNOS_SERVICIOS,4,FALSE)),0)</f>
        <v>2P</v>
      </c>
      <c r="H107" s="371" t="str">
        <f t="shared" ref="H107" si="104">IFERROR(IF(VLOOKUP(D107,TURNOS_SERVICIOS,5,FALSE)=0,"SIN SERVICIO",VLOOKUP(D107,TURNOS_SERVICIOS,5,FALSE)),0)</f>
        <v>ARIETE NOCTURNO</v>
      </c>
      <c r="I107" s="363">
        <f t="shared" ref="I107" si="105">IFERROR(IF(VLOOKUP(D107,TURNOS_SERVICIOS,6,FALSE)=0,"-",VLOOKUP(D107,TURNOS_SERVICIOS,6,FALSE)),0)</f>
        <v>0.83333333333333337</v>
      </c>
      <c r="J107" s="363">
        <f t="shared" ref="J107" si="106">IFERROR(IF(VLOOKUP(D107,TURNOS_SERVICIOS,7,FALSE)=0,"-",VLOOKUP(D107,TURNOS_SERVICIOS,7,FALSE)),0)</f>
        <v>0.33333333333333331</v>
      </c>
      <c r="K107" s="364">
        <f t="shared" ref="K107" si="107">IFERROR(VLOOKUP(D107,TURNOS_SERVICIOS,8,FALSE),0)</f>
        <v>2</v>
      </c>
      <c r="L107" s="365" t="str">
        <f t="shared" ref="L107" si="108">IFERROR(IF(VLOOKUP(D107,TURNOS_SERVICIOS,9,FALSE)=0,"",VLOOKUP(D107,TURNOS_SERVICIOS,9,FALSE)),"")</f>
        <v/>
      </c>
      <c r="N107" s="165"/>
    </row>
    <row r="108" spans="1:14" s="166" customFormat="1" hidden="1" x14ac:dyDescent="0.3">
      <c r="A108" s="176">
        <v>0</v>
      </c>
      <c r="B108" s="176" t="s">
        <v>2911</v>
      </c>
      <c r="C108" s="176" t="s">
        <v>2912</v>
      </c>
      <c r="D108" s="369">
        <f>IFERROR(IFERROR(VLOOKUP(C108,PROYECTO_CHARLY,2,FALSE),VLOOKUP(B108,PROYECTO_CHARLY,2,FALSE)),0)</f>
        <v>0</v>
      </c>
      <c r="E108" s="370" t="str">
        <f t="shared" si="67"/>
        <v>-</v>
      </c>
      <c r="F108" s="371" t="str">
        <f t="shared" si="68"/>
        <v>-</v>
      </c>
      <c r="G108" s="371">
        <f t="shared" si="69"/>
        <v>0</v>
      </c>
      <c r="H108" s="371">
        <f t="shared" si="70"/>
        <v>0</v>
      </c>
      <c r="I108" s="363">
        <f t="shared" si="71"/>
        <v>0</v>
      </c>
      <c r="J108" s="363">
        <f t="shared" si="72"/>
        <v>0</v>
      </c>
      <c r="K108" s="364">
        <f t="shared" si="73"/>
        <v>0</v>
      </c>
      <c r="L108" s="365" t="str">
        <f t="shared" si="74"/>
        <v/>
      </c>
      <c r="N108" s="165"/>
    </row>
    <row r="109" spans="1:14" s="166" customFormat="1" hidden="1" x14ac:dyDescent="0.3">
      <c r="A109" s="176">
        <v>0</v>
      </c>
      <c r="B109" s="176" t="s">
        <v>2934</v>
      </c>
      <c r="C109" s="176" t="s">
        <v>2935</v>
      </c>
      <c r="D109" s="369" t="s">
        <v>113</v>
      </c>
      <c r="E109" s="370" t="str">
        <f t="shared" si="67"/>
        <v>SGTO 2DO. MELLA MORALES MARCO ALEXIS</v>
      </c>
      <c r="F109" s="371" t="str">
        <f t="shared" si="68"/>
        <v>LA-062</v>
      </c>
      <c r="G109" s="371" t="str">
        <f t="shared" si="69"/>
        <v>2P</v>
      </c>
      <c r="H109" s="371" t="str">
        <f t="shared" si="70"/>
        <v>ARIETE NOCTURNO</v>
      </c>
      <c r="I109" s="363">
        <f t="shared" si="71"/>
        <v>0.83333333333333337</v>
      </c>
      <c r="J109" s="363">
        <f t="shared" si="72"/>
        <v>0.33333333333333331</v>
      </c>
      <c r="K109" s="364">
        <f t="shared" si="73"/>
        <v>2</v>
      </c>
      <c r="L109" s="365" t="str">
        <f t="shared" si="74"/>
        <v/>
      </c>
      <c r="N109" s="165"/>
    </row>
    <row r="110" spans="1:14" s="166" customFormat="1" x14ac:dyDescent="0.3">
      <c r="A110" s="176">
        <f>IF(D111&lt;&gt;0,22,0)</f>
        <v>22</v>
      </c>
      <c r="B110" s="162"/>
      <c r="C110" s="162"/>
      <c r="D110" s="1123"/>
      <c r="E110" s="1123"/>
      <c r="F110" s="1123"/>
      <c r="G110" s="1123"/>
      <c r="H110" s="1123"/>
      <c r="I110" s="1123"/>
      <c r="J110" s="1123"/>
      <c r="K110" s="1123"/>
      <c r="L110" s="1124"/>
      <c r="N110" s="165"/>
    </row>
    <row r="111" spans="1:14" s="166" customFormat="1" hidden="1" x14ac:dyDescent="0.3">
      <c r="A111" s="176">
        <v>0</v>
      </c>
      <c r="B111" s="176" t="s">
        <v>1110</v>
      </c>
      <c r="C111" s="176" t="s">
        <v>1457</v>
      </c>
      <c r="D111" s="360" t="str">
        <f>IFERROR(IFERROR(VLOOKUP(C111,PROYECTO_CHARLY,2,FALSE),VLOOKUP(B111,PROYECTO_CHARLY,2,FALSE)),0)</f>
        <v>GRIFO 12</v>
      </c>
      <c r="E111" s="361" t="str">
        <f t="shared" ref="E111:E119" si="109">IFERROR(IF(VLOOKUP(D111,TURNOS_SERVICIOS,2,FALSE)=0,"-",VLOOKUP(D111,TURNOS_SERVICIOS,2,FALSE)),"-")</f>
        <v>CAPITÁN SANCHEZ CASTRO VICTOR MANUEL</v>
      </c>
      <c r="F111" s="362" t="str">
        <f t="shared" ref="F111:F119" si="110">IFERROR(IF(VLOOKUP(D111,TURNOS_SERVICIOS,3,FALSE)=0,"-",VLOOKUP(D111,TURNOS_SERVICIOS,3,FALSE)),"-")</f>
        <v xml:space="preserve"> </v>
      </c>
      <c r="G111" s="362" t="str">
        <f t="shared" ref="G111:G119" si="111">IFERROR(IF(VLOOKUP(D111,TURNOS_SERVICIOS,4,FALSE)=0,"SIN TURNO",VLOOKUP(D111,TURNOS_SERVICIOS,4,FALSE)),0)</f>
        <v>F</v>
      </c>
      <c r="H111" s="362" t="str">
        <f t="shared" ref="H111:H119" si="112">IFERROR(IF(VLOOKUP(D111,TURNOS_SERVICIOS,5,FALSE)=0,"SIN SERVICIO",VLOOKUP(D111,TURNOS_SERVICIOS,5,FALSE)),0)</f>
        <v>FRANCO</v>
      </c>
      <c r="I111" s="367" t="str">
        <f t="shared" ref="I111:I119" si="113">IFERROR(IF(VLOOKUP(D111,TURNOS_SERVICIOS,6,FALSE)=0,"-",VLOOKUP(D111,TURNOS_SERVICIOS,6,FALSE)),0)</f>
        <v>-</v>
      </c>
      <c r="J111" s="367" t="str">
        <f t="shared" ref="J111:J119" si="114">IFERROR(IF(VLOOKUP(D111,TURNOS_SERVICIOS,7,FALSE)=0,"-",VLOOKUP(D111,TURNOS_SERVICIOS,7,FALSE)),0)</f>
        <v xml:space="preserve"> </v>
      </c>
      <c r="K111" s="368">
        <f t="shared" ref="K111:K119" si="115">IFERROR(VLOOKUP(D111,TURNOS_SERVICIOS,8,FALSE),0)</f>
        <v>3</v>
      </c>
      <c r="L111" s="365" t="str">
        <f t="shared" ref="L111:L119" si="116">IFERROR(IF(VLOOKUP(D111,TURNOS_SERVICIOS,9,FALSE)=0,"",VLOOKUP(D111,TURNOS_SERVICIOS,9,FALSE)),"")</f>
        <v/>
      </c>
      <c r="N111" s="165"/>
    </row>
    <row r="112" spans="1:14" s="166" customFormat="1" x14ac:dyDescent="0.3">
      <c r="A112" s="176">
        <f t="shared" ref="A112:A119" si="117">IF(D112&lt;&gt;0,22,0)</f>
        <v>22</v>
      </c>
      <c r="B112" s="176" t="s">
        <v>1111</v>
      </c>
      <c r="C112" s="176" t="s">
        <v>1458</v>
      </c>
      <c r="D112" s="369" t="str">
        <f>IFERROR(IFERROR(VLOOKUP(C112,PROYECTO_CHARLY,2,FALSE),VLOOKUP(B112,PROYECTO_CHARLY,2,FALSE)),0)</f>
        <v>GRIFO 15</v>
      </c>
      <c r="E112" s="370" t="str">
        <f t="shared" si="109"/>
        <v>TENIENTE PALAVECINO LLANOS CAROLINA VIVIANA</v>
      </c>
      <c r="F112" s="371" t="str">
        <f t="shared" si="110"/>
        <v xml:space="preserve"> </v>
      </c>
      <c r="G112" s="371" t="str">
        <f t="shared" si="111"/>
        <v>SN</v>
      </c>
      <c r="H112" s="371" t="str">
        <f t="shared" si="112"/>
        <v>SALIENTE DE SERVICIO</v>
      </c>
      <c r="I112" s="363" t="str">
        <f t="shared" si="113"/>
        <v xml:space="preserve"> </v>
      </c>
      <c r="J112" s="363" t="str">
        <f t="shared" si="114"/>
        <v xml:space="preserve"> </v>
      </c>
      <c r="K112" s="364">
        <f t="shared" si="115"/>
        <v>3</v>
      </c>
      <c r="L112" s="365" t="str">
        <f t="shared" si="116"/>
        <v/>
      </c>
      <c r="N112" s="165"/>
    </row>
    <row r="113" spans="1:14" s="166" customFormat="1" hidden="1" x14ac:dyDescent="0.3">
      <c r="A113" s="176">
        <v>0</v>
      </c>
      <c r="B113" s="176" t="s">
        <v>1112</v>
      </c>
      <c r="C113" s="176" t="s">
        <v>1459</v>
      </c>
      <c r="D113" s="369" t="str">
        <f>IFERROR(IFERROR(VLOOKUP(C113,PROYECTO_CHARLY,2,FALSE),VLOOKUP(B113,PROYECTO_CHARLY,2,FALSE)),0)</f>
        <v>GRIFO 25</v>
      </c>
      <c r="E113" s="370" t="str">
        <f t="shared" si="109"/>
        <v>-</v>
      </c>
      <c r="F113" s="371" t="str">
        <f t="shared" si="110"/>
        <v>-</v>
      </c>
      <c r="G113" s="371" t="str">
        <f t="shared" si="111"/>
        <v/>
      </c>
      <c r="H113" s="371" t="str">
        <f t="shared" si="112"/>
        <v/>
      </c>
      <c r="I113" s="363" t="str">
        <f t="shared" si="113"/>
        <v>-</v>
      </c>
      <c r="J113" s="363" t="str">
        <f t="shared" si="114"/>
        <v>-</v>
      </c>
      <c r="K113" s="364">
        <f t="shared" si="115"/>
        <v>0</v>
      </c>
      <c r="L113" s="365" t="str">
        <f t="shared" si="116"/>
        <v/>
      </c>
      <c r="N113" s="165"/>
    </row>
    <row r="114" spans="1:14" s="166" customFormat="1" x14ac:dyDescent="0.3">
      <c r="A114" s="176">
        <f t="shared" si="117"/>
        <v>22</v>
      </c>
      <c r="B114" s="176" t="s">
        <v>1113</v>
      </c>
      <c r="C114" s="176" t="s">
        <v>1460</v>
      </c>
      <c r="D114" s="369" t="str">
        <f>IFERROR(IFERROR(VLOOKUP(C114,PROYECTO_CHARLY,2,FALSE),VLOOKUP(B114,PROYECTO_CHARLY,2,FALSE)),0)</f>
        <v>S-36</v>
      </c>
      <c r="E114" s="370" t="str">
        <f t="shared" si="109"/>
        <v>SGTO 1RO. ZEPEDA SANTOS ALEX ALEJANDRO</v>
      </c>
      <c r="F114" s="371" t="str">
        <f t="shared" si="110"/>
        <v>-</v>
      </c>
      <c r="G114" s="371" t="str">
        <f t="shared" si="111"/>
        <v>SN</v>
      </c>
      <c r="H114" s="371" t="str">
        <f t="shared" si="112"/>
        <v>SALIENTE SERVICIO</v>
      </c>
      <c r="I114" s="363" t="str">
        <f t="shared" si="113"/>
        <v xml:space="preserve"> </v>
      </c>
      <c r="J114" s="363" t="str">
        <f t="shared" si="114"/>
        <v xml:space="preserve"> </v>
      </c>
      <c r="K114" s="364">
        <f t="shared" si="115"/>
        <v>8</v>
      </c>
      <c r="L114" s="365" t="str">
        <f t="shared" si="116"/>
        <v/>
      </c>
      <c r="N114" s="165"/>
    </row>
    <row r="115" spans="1:14" s="166" customFormat="1" x14ac:dyDescent="0.3">
      <c r="A115" s="176">
        <f t="shared" si="117"/>
        <v>22</v>
      </c>
      <c r="B115" s="176" t="s">
        <v>1114</v>
      </c>
      <c r="C115" s="176" t="s">
        <v>1461</v>
      </c>
      <c r="D115" s="369" t="str">
        <f>IFERROR(IFERROR(VLOOKUP(C115,PROYECTO_CHARLY,2,FALSE),VLOOKUP(B115,PROYECTO_CHARLY,2,FALSE)),0)</f>
        <v>S-37</v>
      </c>
      <c r="E115" s="370" t="str">
        <f t="shared" ref="E115" si="118">IFERROR(IF(VLOOKUP(D115,TURNOS_SERVICIOS,2,FALSE)=0,"-",VLOOKUP(D115,TURNOS_SERVICIOS,2,FALSE)),"-")</f>
        <v>SGTO 1RO. MORALES LEVIO MARCO ANTONIO</v>
      </c>
      <c r="F115" s="371" t="str">
        <f t="shared" ref="F115" si="119">IFERROR(IF(VLOOKUP(D115,TURNOS_SERVICIOS,3,FALSE)=0,"-",VLOOKUP(D115,TURNOS_SERVICIOS,3,FALSE)),"-")</f>
        <v>-</v>
      </c>
      <c r="G115" s="371" t="str">
        <f t="shared" ref="G115" si="120">IFERROR(IF(VLOOKUP(D115,TURNOS_SERVICIOS,4,FALSE)=0,"SIN TURNO",VLOOKUP(D115,TURNOS_SERVICIOS,4,FALSE)),0)</f>
        <v>SN</v>
      </c>
      <c r="H115" s="371" t="str">
        <f t="shared" ref="H115" si="121">IFERROR(IF(VLOOKUP(D115,TURNOS_SERVICIOS,5,FALSE)=0,"SIN SERVICIO",VLOOKUP(D115,TURNOS_SERVICIOS,5,FALSE)),0)</f>
        <v>SALIENTE SERVICIO</v>
      </c>
      <c r="I115" s="363" t="str">
        <f t="shared" ref="I115" si="122">IFERROR(IF(VLOOKUP(D115,TURNOS_SERVICIOS,6,FALSE)=0,"-",VLOOKUP(D115,TURNOS_SERVICIOS,6,FALSE)),0)</f>
        <v>-</v>
      </c>
      <c r="J115" s="363" t="str">
        <f t="shared" ref="J115" si="123">IFERROR(IF(VLOOKUP(D115,TURNOS_SERVICIOS,7,FALSE)=0,"-",VLOOKUP(D115,TURNOS_SERVICIOS,7,FALSE)),0)</f>
        <v xml:space="preserve"> </v>
      </c>
      <c r="K115" s="364">
        <f t="shared" ref="K115" si="124">IFERROR(VLOOKUP(D115,TURNOS_SERVICIOS,8,FALSE),0)</f>
        <v>8</v>
      </c>
      <c r="L115" s="365" t="str">
        <f t="shared" ref="L115" si="125">IFERROR(IF(VLOOKUP(D115,TURNOS_SERVICIOS,9,FALSE)=0,"",VLOOKUP(D115,TURNOS_SERVICIOS,9,FALSE)),"")</f>
        <v/>
      </c>
      <c r="N115" s="165"/>
    </row>
    <row r="116" spans="1:14" s="166" customFormat="1" hidden="1" x14ac:dyDescent="0.3">
      <c r="A116" s="176">
        <v>0</v>
      </c>
      <c r="B116" s="176" t="s">
        <v>1114</v>
      </c>
      <c r="C116" s="176" t="s">
        <v>1461</v>
      </c>
      <c r="D116" s="369" t="s">
        <v>1242</v>
      </c>
      <c r="E116" s="370" t="str">
        <f t="shared" ref="E116" si="126">IFERROR(IF(VLOOKUP(D116,TURNOS_SERVICIOS,2,FALSE)=0,"-",VLOOKUP(D116,TURNOS_SERVICIOS,2,FALSE)),"-")</f>
        <v>-</v>
      </c>
      <c r="F116" s="371" t="str">
        <f t="shared" ref="F116" si="127">IFERROR(IF(VLOOKUP(D116,TURNOS_SERVICIOS,3,FALSE)=0,"-",VLOOKUP(D116,TURNOS_SERVICIOS,3,FALSE)),"-")</f>
        <v>-</v>
      </c>
      <c r="G116" s="371" t="str">
        <f t="shared" ref="G116" si="128">IFERROR(IF(VLOOKUP(D116,TURNOS_SERVICIOS,4,FALSE)=0,"SIN TURNO",VLOOKUP(D116,TURNOS_SERVICIOS,4,FALSE)),0)</f>
        <v/>
      </c>
      <c r="H116" s="371" t="str">
        <f t="shared" ref="H116" si="129">IFERROR(IF(VLOOKUP(D116,TURNOS_SERVICIOS,5,FALSE)=0,"SIN SERVICIO",VLOOKUP(D116,TURNOS_SERVICIOS,5,FALSE)),0)</f>
        <v/>
      </c>
      <c r="I116" s="363" t="str">
        <f t="shared" ref="I116" si="130">IFERROR(IF(VLOOKUP(D116,TURNOS_SERVICIOS,6,FALSE)=0,"-",VLOOKUP(D116,TURNOS_SERVICIOS,6,FALSE)),0)</f>
        <v>-</v>
      </c>
      <c r="J116" s="363" t="str">
        <f t="shared" ref="J116" si="131">IFERROR(IF(VLOOKUP(D116,TURNOS_SERVICIOS,7,FALSE)=0,"-",VLOOKUP(D116,TURNOS_SERVICIOS,7,FALSE)),0)</f>
        <v>-</v>
      </c>
      <c r="K116" s="364">
        <f t="shared" ref="K116" si="132">IFERROR(VLOOKUP(D116,TURNOS_SERVICIOS,8,FALSE),0)</f>
        <v>0</v>
      </c>
      <c r="L116" s="365" t="str">
        <f t="shared" ref="L116" si="133">IFERROR(IF(VLOOKUP(D116,TURNOS_SERVICIOS,9,FALSE)=0,"",VLOOKUP(D116,TURNOS_SERVICIOS,9,FALSE)),"")</f>
        <v/>
      </c>
      <c r="N116" s="165"/>
    </row>
    <row r="117" spans="1:14" s="166" customFormat="1" x14ac:dyDescent="0.3">
      <c r="A117" s="176">
        <v>22</v>
      </c>
      <c r="B117" s="176" t="s">
        <v>1114</v>
      </c>
      <c r="C117" s="176" t="s">
        <v>1461</v>
      </c>
      <c r="D117" s="369" t="s">
        <v>704</v>
      </c>
      <c r="E117" s="370" t="str">
        <f t="shared" ref="E117:E118" si="134">IFERROR(IF(VLOOKUP(D117,TURNOS_SERVICIOS,2,FALSE)=0,"-",VLOOKUP(D117,TURNOS_SERVICIOS,2,FALSE)),"-")</f>
        <v>SUBOFICIAL GATICA NAVARRETE ROBERTO FELIPE</v>
      </c>
      <c r="F117" s="371" t="str">
        <f t="shared" ref="F117:F118" si="135">IFERROR(IF(VLOOKUP(D117,TURNOS_SERVICIOS,3,FALSE)=0,"-",VLOOKUP(D117,TURNOS_SERVICIOS,3,FALSE)),"-")</f>
        <v>-</v>
      </c>
      <c r="G117" s="371" t="str">
        <f t="shared" ref="G117:G118" si="136">IFERROR(IF(VLOOKUP(D117,TURNOS_SERVICIOS,4,FALSE)=0,"SIN TURNO",VLOOKUP(D117,TURNOS_SERVICIOS,4,FALSE)),0)</f>
        <v>SN</v>
      </c>
      <c r="H117" s="371" t="str">
        <f t="shared" ref="H117:H118" si="137">IFERROR(IF(VLOOKUP(D117,TURNOS_SERVICIOS,5,FALSE)=0,"SIN SERVICIO",VLOOKUP(D117,TURNOS_SERVICIOS,5,FALSE)),0)</f>
        <v>SALIENTE SERVICIO</v>
      </c>
      <c r="I117" s="363" t="str">
        <f t="shared" ref="I117:I118" si="138">IFERROR(IF(VLOOKUP(D117,TURNOS_SERVICIOS,6,FALSE)=0,"-",VLOOKUP(D117,TURNOS_SERVICIOS,6,FALSE)),0)</f>
        <v xml:space="preserve"> </v>
      </c>
      <c r="J117" s="363" t="str">
        <f t="shared" ref="J117:J118" si="139">IFERROR(IF(VLOOKUP(D117,TURNOS_SERVICIOS,7,FALSE)=0,"-",VLOOKUP(D117,TURNOS_SERVICIOS,7,FALSE)),0)</f>
        <v xml:space="preserve"> </v>
      </c>
      <c r="K117" s="364">
        <f t="shared" ref="K117:K118" si="140">IFERROR(VLOOKUP(D117,TURNOS_SERVICIOS,8,FALSE),0)</f>
        <v>7</v>
      </c>
      <c r="L117" s="365" t="str">
        <f t="shared" ref="L117:L118" si="141">IFERROR(IF(VLOOKUP(D117,TURNOS_SERVICIOS,9,FALSE)=0,"",VLOOKUP(D117,TURNOS_SERVICIOS,9,FALSE)),"")</f>
        <v/>
      </c>
      <c r="N117" s="165"/>
    </row>
    <row r="118" spans="1:14" s="166" customFormat="1" hidden="1" x14ac:dyDescent="0.3">
      <c r="A118" s="176">
        <v>0</v>
      </c>
      <c r="B118" s="176" t="s">
        <v>1114</v>
      </c>
      <c r="C118" s="176" t="s">
        <v>1461</v>
      </c>
      <c r="D118" s="369" t="s">
        <v>1243</v>
      </c>
      <c r="E118" s="370" t="str">
        <f t="shared" si="134"/>
        <v>-</v>
      </c>
      <c r="F118" s="371" t="str">
        <f t="shared" si="135"/>
        <v>-</v>
      </c>
      <c r="G118" s="371" t="str">
        <f t="shared" si="136"/>
        <v/>
      </c>
      <c r="H118" s="371" t="str">
        <f t="shared" si="137"/>
        <v/>
      </c>
      <c r="I118" s="363" t="str">
        <f t="shared" si="138"/>
        <v>-</v>
      </c>
      <c r="J118" s="363" t="str">
        <f t="shared" si="139"/>
        <v>-</v>
      </c>
      <c r="K118" s="364">
        <f t="shared" si="140"/>
        <v>0</v>
      </c>
      <c r="L118" s="365" t="str">
        <f t="shared" si="141"/>
        <v/>
      </c>
      <c r="N118" s="165"/>
    </row>
    <row r="119" spans="1:14" s="166" customFormat="1" x14ac:dyDescent="0.3">
      <c r="A119" s="176">
        <f t="shared" si="117"/>
        <v>22</v>
      </c>
      <c r="B119" s="176" t="s">
        <v>1114</v>
      </c>
      <c r="C119" s="176" t="s">
        <v>1461</v>
      </c>
      <c r="D119" s="369" t="s">
        <v>195</v>
      </c>
      <c r="E119" s="370" t="str">
        <f t="shared" si="109"/>
        <v>SGTO 1RO. RODRIGUEZ GAETE JOSE DIONISIO</v>
      </c>
      <c r="F119" s="371" t="str">
        <f t="shared" si="110"/>
        <v xml:space="preserve"> </v>
      </c>
      <c r="G119" s="371" t="str">
        <f t="shared" si="111"/>
        <v>SN</v>
      </c>
      <c r="H119" s="371" t="str">
        <f t="shared" si="112"/>
        <v>SALIENTE SERVICIO</v>
      </c>
      <c r="I119" s="363" t="str">
        <f t="shared" si="113"/>
        <v xml:space="preserve"> </v>
      </c>
      <c r="J119" s="363" t="str">
        <f t="shared" si="114"/>
        <v xml:space="preserve"> </v>
      </c>
      <c r="K119" s="364">
        <f t="shared" si="115"/>
        <v>2</v>
      </c>
      <c r="L119" s="365" t="str">
        <f t="shared" si="116"/>
        <v/>
      </c>
      <c r="N119" s="165"/>
    </row>
    <row r="120" spans="1:14" s="166" customFormat="1" x14ac:dyDescent="0.3">
      <c r="A120" s="176">
        <f>IF(D121&lt;&gt;0,22,0)</f>
        <v>22</v>
      </c>
      <c r="B120" s="162"/>
      <c r="C120" s="162"/>
      <c r="D120" s="1123"/>
      <c r="E120" s="1124"/>
      <c r="F120" s="1123"/>
      <c r="G120" s="1123"/>
      <c r="H120" s="1123"/>
      <c r="I120" s="1123"/>
      <c r="J120" s="1123"/>
      <c r="K120" s="1123"/>
      <c r="L120" s="1124"/>
      <c r="N120" s="165"/>
    </row>
    <row r="121" spans="1:14" s="166" customFormat="1" x14ac:dyDescent="0.3">
      <c r="A121" s="176">
        <f t="shared" ref="A121:A126" si="142">IF(D121&lt;&gt;0,22,0)</f>
        <v>22</v>
      </c>
      <c r="B121" s="176" t="s">
        <v>1115</v>
      </c>
      <c r="C121" s="176" t="s">
        <v>1462</v>
      </c>
      <c r="D121" s="360" t="str">
        <f>IFERROR(IFERROR(VLOOKUP(C121,PROYECTO_CHARLY,2,FALSE),VLOOKUP(B121,PROYECTO_CHARLY,2,FALSE)),0)</f>
        <v>GRIFO 20</v>
      </c>
      <c r="E121" s="361" t="str">
        <f t="shared" ref="E121:E127" si="143">IFERROR(IF(VLOOKUP(D121,TURNOS_SERVICIOS,2,FALSE)=0,"-",VLOOKUP(D121,TURNOS_SERVICIOS,2,FALSE)),"-")</f>
        <v>TENIENTE MORAGA RUIZ MARIO IGNACIO</v>
      </c>
      <c r="F121" s="362" t="str">
        <f t="shared" ref="F121:F127" si="144">IFERROR(IF(VLOOKUP(D121,TURNOS_SERVICIOS,3,FALSE)=0,"-",VLOOKUP(D121,TURNOS_SERVICIOS,3,FALSE)),"-")</f>
        <v>B-687</v>
      </c>
      <c r="G121" s="362" t="str">
        <f t="shared" ref="G121:G127" si="145">IFERROR(IF(VLOOKUP(D121,TURNOS_SERVICIOS,4,FALSE)=0,"SIN TURNO",VLOOKUP(D121,TURNOS_SERVICIOS,4,FALSE)),0)</f>
        <v>3T</v>
      </c>
      <c r="H121" s="362" t="str">
        <f t="shared" ref="H121:H127" si="146">IFERROR(IF(VLOOKUP(D121,TURNOS_SERVICIOS,5,FALSE)=0,"SIN SERVICIO",VLOOKUP(D121,TURNOS_SERVICIOS,5,FALSE)),0)</f>
        <v>APS</v>
      </c>
      <c r="I121" s="367">
        <f t="shared" ref="I121:I127" si="147">IFERROR(IF(VLOOKUP(D121,TURNOS_SERVICIOS,6,FALSE)=0,"-",VLOOKUP(D121,TURNOS_SERVICIOS,6,FALSE)),0)</f>
        <v>0.83333333333333337</v>
      </c>
      <c r="J121" s="367">
        <f t="shared" ref="J121:J127" si="148">IFERROR(IF(VLOOKUP(D121,TURNOS_SERVICIOS,7,FALSE)=0,"-",VLOOKUP(D121,TURNOS_SERVICIOS,7,FALSE)),0)</f>
        <v>0.33333333333333331</v>
      </c>
      <c r="K121" s="368">
        <f t="shared" ref="K121:K127" si="149">IFERROR(VLOOKUP(D121,TURNOS_SERVICIOS,8,FALSE),0)</f>
        <v>2</v>
      </c>
      <c r="L121" s="365" t="str">
        <f t="shared" ref="L121:L127" si="150">IFERROR(IF(VLOOKUP(D121,TURNOS_SERVICIOS,9,FALSE)=0,"",VLOOKUP(D121,TURNOS_SERVICIOS,9,FALSE)),"")</f>
        <v/>
      </c>
      <c r="N121" s="165"/>
    </row>
    <row r="122" spans="1:14" s="166" customFormat="1" x14ac:dyDescent="0.3">
      <c r="A122" s="176">
        <f t="shared" si="142"/>
        <v>22</v>
      </c>
      <c r="B122" s="176" t="s">
        <v>1116</v>
      </c>
      <c r="C122" s="176" t="s">
        <v>1463</v>
      </c>
      <c r="D122" s="369" t="str">
        <f>IFERROR(IFERROR(VLOOKUP(C122,PROYECTO_CHARLY,2,FALSE),VLOOKUP(B122,PROYECTO_CHARLY,2,FALSE)),0)</f>
        <v>S-39</v>
      </c>
      <c r="E122" s="370" t="str">
        <f t="shared" si="143"/>
        <v>SGTO 1RO. JARA ELGUETA JUAN</v>
      </c>
      <c r="F122" s="371" t="str">
        <f t="shared" si="144"/>
        <v>B-682</v>
      </c>
      <c r="G122" s="371" t="str">
        <f t="shared" si="145"/>
        <v>1P</v>
      </c>
      <c r="H122" s="371" t="str">
        <f t="shared" si="146"/>
        <v>ARIETE 22</v>
      </c>
      <c r="I122" s="363">
        <f t="shared" si="147"/>
        <v>0.33333333333333331</v>
      </c>
      <c r="J122" s="363" t="str">
        <f t="shared" si="148"/>
        <v>NORM.</v>
      </c>
      <c r="K122" s="364">
        <f t="shared" si="149"/>
        <v>11</v>
      </c>
      <c r="L122" s="365" t="str">
        <f t="shared" si="150"/>
        <v/>
      </c>
      <c r="N122" s="165"/>
    </row>
    <row r="123" spans="1:14" s="166" customFormat="1" x14ac:dyDescent="0.3">
      <c r="A123" s="176">
        <f t="shared" si="142"/>
        <v>22</v>
      </c>
      <c r="B123" s="176" t="s">
        <v>1117</v>
      </c>
      <c r="C123" s="176" t="s">
        <v>1464</v>
      </c>
      <c r="D123" s="369" t="str">
        <f>IFERROR(IFERROR(VLOOKUP(C123,PROYECTO_CHARLY,2,FALSE),VLOOKUP(B123,PROYECTO_CHARLY,2,FALSE)),0)</f>
        <v>S-39-B</v>
      </c>
      <c r="E123" s="370" t="str">
        <f t="shared" si="143"/>
        <v>-</v>
      </c>
      <c r="F123" s="371" t="str">
        <f t="shared" si="144"/>
        <v>-</v>
      </c>
      <c r="G123" s="371" t="str">
        <f t="shared" si="145"/>
        <v/>
      </c>
      <c r="H123" s="371" t="str">
        <f t="shared" si="146"/>
        <v/>
      </c>
      <c r="I123" s="363" t="str">
        <f t="shared" si="147"/>
        <v xml:space="preserve"> </v>
      </c>
      <c r="J123" s="363" t="str">
        <f t="shared" si="148"/>
        <v xml:space="preserve"> </v>
      </c>
      <c r="K123" s="364">
        <f t="shared" si="149"/>
        <v>0</v>
      </c>
      <c r="L123" s="365" t="str">
        <f t="shared" si="150"/>
        <v/>
      </c>
      <c r="N123" s="165"/>
    </row>
    <row r="124" spans="1:14" s="166" customFormat="1" hidden="1" x14ac:dyDescent="0.3">
      <c r="A124" s="176">
        <v>0</v>
      </c>
      <c r="B124" s="176" t="s">
        <v>1117</v>
      </c>
      <c r="C124" s="176" t="s">
        <v>1464</v>
      </c>
      <c r="D124" s="369" t="s">
        <v>1245</v>
      </c>
      <c r="E124" s="370" t="str">
        <f t="shared" ref="E124" si="151">IFERROR(IF(VLOOKUP(D124,TURNOS_SERVICIOS,2,FALSE)=0,"-",VLOOKUP(D124,TURNOS_SERVICIOS,2,FALSE)),"-")</f>
        <v>-</v>
      </c>
      <c r="F124" s="371" t="str">
        <f t="shared" ref="F124" si="152">IFERROR(IF(VLOOKUP(D124,TURNOS_SERVICIOS,3,FALSE)=0,"-",VLOOKUP(D124,TURNOS_SERVICIOS,3,FALSE)),"-")</f>
        <v>-</v>
      </c>
      <c r="G124" s="371" t="str">
        <f t="shared" ref="G124" si="153">IFERROR(IF(VLOOKUP(D124,TURNOS_SERVICIOS,4,FALSE)=0,"SIN TURNO",VLOOKUP(D124,TURNOS_SERVICIOS,4,FALSE)),0)</f>
        <v/>
      </c>
      <c r="H124" s="371" t="str">
        <f t="shared" ref="H124" si="154">IFERROR(IF(VLOOKUP(D124,TURNOS_SERVICIOS,5,FALSE)=0,"SIN SERVICIO",VLOOKUP(D124,TURNOS_SERVICIOS,5,FALSE)),0)</f>
        <v/>
      </c>
      <c r="I124" s="363" t="str">
        <f t="shared" ref="I124" si="155">IFERROR(IF(VLOOKUP(D124,TURNOS_SERVICIOS,6,FALSE)=0,"-",VLOOKUP(D124,TURNOS_SERVICIOS,6,FALSE)),0)</f>
        <v>-</v>
      </c>
      <c r="J124" s="363" t="str">
        <f t="shared" ref="J124" si="156">IFERROR(IF(VLOOKUP(D124,TURNOS_SERVICIOS,7,FALSE)=0,"-",VLOOKUP(D124,TURNOS_SERVICIOS,7,FALSE)),0)</f>
        <v>-</v>
      </c>
      <c r="K124" s="364">
        <f t="shared" ref="K124" si="157">IFERROR(VLOOKUP(D124,TURNOS_SERVICIOS,8,FALSE),0)</f>
        <v>0</v>
      </c>
      <c r="L124" s="365" t="str">
        <f t="shared" ref="L124" si="158">IFERROR(IF(VLOOKUP(D124,TURNOS_SERVICIOS,9,FALSE)=0,"",VLOOKUP(D124,TURNOS_SERVICIOS,9,FALSE)),"")</f>
        <v/>
      </c>
      <c r="N124" s="165"/>
    </row>
    <row r="125" spans="1:14" s="166" customFormat="1" x14ac:dyDescent="0.3">
      <c r="A125" s="176">
        <f t="shared" si="142"/>
        <v>22</v>
      </c>
      <c r="B125" s="176" t="s">
        <v>1118</v>
      </c>
      <c r="C125" s="176" t="s">
        <v>1465</v>
      </c>
      <c r="D125" s="369" t="str">
        <f>IFERROR(IFERROR(VLOOKUP(C125,PROYECTO_CHARLY,2,FALSE),VLOOKUP(B125,PROYECTO_CHARLY,2,FALSE)),0)</f>
        <v>S-40</v>
      </c>
      <c r="E125" s="370" t="str">
        <f t="shared" si="143"/>
        <v>SUBOFICIAL VALENZUELA AGUILERA ENZO ANTONIO</v>
      </c>
      <c r="F125" s="371" t="str">
        <f t="shared" si="144"/>
        <v>B-683</v>
      </c>
      <c r="G125" s="371" t="str">
        <f t="shared" si="145"/>
        <v>1P</v>
      </c>
      <c r="H125" s="371" t="str">
        <f t="shared" si="146"/>
        <v>ARIETE 22</v>
      </c>
      <c r="I125" s="363">
        <f t="shared" si="147"/>
        <v>0.33333333333333331</v>
      </c>
      <c r="J125" s="363" t="str">
        <f t="shared" si="148"/>
        <v>NORM.</v>
      </c>
      <c r="K125" s="364">
        <f t="shared" si="149"/>
        <v>8</v>
      </c>
      <c r="L125" s="365" t="str">
        <f t="shared" si="150"/>
        <v/>
      </c>
      <c r="N125" s="165"/>
    </row>
    <row r="126" spans="1:14" s="166" customFormat="1" x14ac:dyDescent="0.3">
      <c r="A126" s="176">
        <f t="shared" si="142"/>
        <v>22</v>
      </c>
      <c r="B126" s="176" t="s">
        <v>1119</v>
      </c>
      <c r="C126" s="176" t="s">
        <v>1466</v>
      </c>
      <c r="D126" s="369" t="str">
        <f>IFERROR(IFERROR(VLOOKUP(C126,PROYECTO_CHARLY,2,FALSE),VLOOKUP(B126,PROYECTO_CHARLY,2,FALSE)),0)</f>
        <v>S-41</v>
      </c>
      <c r="E126" s="370" t="str">
        <f t="shared" ref="E126" si="159">IFERROR(IF(VLOOKUP(D126,TURNOS_SERVICIOS,2,FALSE)=0,"-",VLOOKUP(D126,TURNOS_SERVICIOS,2,FALSE)),"-")</f>
        <v>SUBOFICIAL HENRIQUEZ JARAMILLO FIDEL</v>
      </c>
      <c r="F126" s="371" t="str">
        <f t="shared" ref="F126" si="160">IFERROR(IF(VLOOKUP(D126,TURNOS_SERVICIOS,3,FALSE)=0,"-",VLOOKUP(D126,TURNOS_SERVICIOS,3,FALSE)),"-")</f>
        <v xml:space="preserve"> B-684</v>
      </c>
      <c r="G126" s="371" t="str">
        <f t="shared" ref="G126" si="161">IFERROR(IF(VLOOKUP(D126,TURNOS_SERVICIOS,4,FALSE)=0,"SIN TURNO",VLOOKUP(D126,TURNOS_SERVICIOS,4,FALSE)),0)</f>
        <v>1P</v>
      </c>
      <c r="H126" s="371" t="str">
        <f t="shared" ref="H126" si="162">IFERROR(IF(VLOOKUP(D126,TURNOS_SERVICIOS,5,FALSE)=0,"SIN SERVICIO",VLOOKUP(D126,TURNOS_SERVICIOS,5,FALSE)),0)</f>
        <v>ARIETE 23</v>
      </c>
      <c r="I126" s="363">
        <f t="shared" ref="I126" si="163">IFERROR(IF(VLOOKUP(D126,TURNOS_SERVICIOS,6,FALSE)=0,"-",VLOOKUP(D126,TURNOS_SERVICIOS,6,FALSE)),0)</f>
        <v>0.33333333333333331</v>
      </c>
      <c r="J126" s="363" t="str">
        <f t="shared" ref="J126" si="164">IFERROR(IF(VLOOKUP(D126,TURNOS_SERVICIOS,7,FALSE)=0,"-",VLOOKUP(D126,TURNOS_SERVICIOS,7,FALSE)),0)</f>
        <v>NORM.</v>
      </c>
      <c r="K126" s="364">
        <f t="shared" ref="K126" si="165">IFERROR(VLOOKUP(D126,TURNOS_SERVICIOS,8,FALSE),0)</f>
        <v>7</v>
      </c>
      <c r="L126" s="365" t="str">
        <f t="shared" ref="L126" si="166">IFERROR(IF(VLOOKUP(D126,TURNOS_SERVICIOS,9,FALSE)=0,"",VLOOKUP(D126,TURNOS_SERVICIOS,9,FALSE)),"")</f>
        <v/>
      </c>
      <c r="N126" s="165"/>
    </row>
    <row r="127" spans="1:14" s="166" customFormat="1" hidden="1" x14ac:dyDescent="0.3">
      <c r="A127" s="176">
        <v>0</v>
      </c>
      <c r="B127" s="176" t="s">
        <v>1119</v>
      </c>
      <c r="C127" s="176" t="s">
        <v>1466</v>
      </c>
      <c r="D127" s="369" t="s">
        <v>196</v>
      </c>
      <c r="E127" s="370" t="str">
        <f t="shared" si="143"/>
        <v>SGTO 2DO. SAN MARTIN FIGUEROA OMAR ALEJANDRO (L - P-LA - T)</v>
      </c>
      <c r="F127" s="371" t="str">
        <f t="shared" si="144"/>
        <v>LA-061</v>
      </c>
      <c r="G127" s="371" t="str">
        <f t="shared" si="145"/>
        <v>1P</v>
      </c>
      <c r="H127" s="371" t="str">
        <f t="shared" si="146"/>
        <v>ARIETE 22</v>
      </c>
      <c r="I127" s="363">
        <f t="shared" si="147"/>
        <v>0.33333333333333331</v>
      </c>
      <c r="J127" s="363" t="str">
        <f t="shared" si="148"/>
        <v>NORM.</v>
      </c>
      <c r="K127" s="364">
        <f t="shared" si="149"/>
        <v>2</v>
      </c>
      <c r="L127" s="365" t="str">
        <f t="shared" si="150"/>
        <v/>
      </c>
      <c r="N127" s="165"/>
    </row>
    <row r="128" spans="1:14" s="166" customFormat="1" x14ac:dyDescent="0.3">
      <c r="A128" s="176">
        <v>22</v>
      </c>
      <c r="B128" s="176" t="s">
        <v>1119</v>
      </c>
      <c r="C128" s="176" t="s">
        <v>1466</v>
      </c>
      <c r="D128" s="369" t="s">
        <v>196</v>
      </c>
      <c r="E128" s="370" t="str">
        <f t="shared" ref="E128:E129" si="167">IFERROR(IF(VLOOKUP(D128,TURNOS_SERVICIOS,2,FALSE)=0,"-",VLOOKUP(D128,TURNOS_SERVICIOS,2,FALSE)),"-")</f>
        <v>SGTO 2DO. SAN MARTIN FIGUEROA OMAR ALEJANDRO (L - P-LA - T)</v>
      </c>
      <c r="F128" s="371" t="str">
        <f t="shared" ref="F128:F129" si="168">IFERROR(IF(VLOOKUP(D128,TURNOS_SERVICIOS,3,FALSE)=0,"-",VLOOKUP(D128,TURNOS_SERVICIOS,3,FALSE)),"-")</f>
        <v>LA-061</v>
      </c>
      <c r="G128" s="371" t="str">
        <f t="shared" ref="G128:G129" si="169">IFERROR(IF(VLOOKUP(D128,TURNOS_SERVICIOS,4,FALSE)=0,"SIN TURNO",VLOOKUP(D128,TURNOS_SERVICIOS,4,FALSE)),0)</f>
        <v>1P</v>
      </c>
      <c r="H128" s="371" t="str">
        <f t="shared" ref="H128:H129" si="170">IFERROR(IF(VLOOKUP(D128,TURNOS_SERVICIOS,5,FALSE)=0,"SIN SERVICIO",VLOOKUP(D128,TURNOS_SERVICIOS,5,FALSE)),0)</f>
        <v>ARIETE 22</v>
      </c>
      <c r="I128" s="363">
        <f t="shared" ref="I128:I129" si="171">IFERROR(IF(VLOOKUP(D128,TURNOS_SERVICIOS,6,FALSE)=0,"-",VLOOKUP(D128,TURNOS_SERVICIOS,6,FALSE)),0)</f>
        <v>0.33333333333333331</v>
      </c>
      <c r="J128" s="363" t="str">
        <f t="shared" ref="J128:J129" si="172">IFERROR(IF(VLOOKUP(D128,TURNOS_SERVICIOS,7,FALSE)=0,"-",VLOOKUP(D128,TURNOS_SERVICIOS,7,FALSE)),0)</f>
        <v>NORM.</v>
      </c>
      <c r="K128" s="364">
        <f t="shared" ref="K128:K129" si="173">IFERROR(VLOOKUP(D128,TURNOS_SERVICIOS,8,FALSE),0)</f>
        <v>2</v>
      </c>
      <c r="L128" s="365" t="str">
        <f t="shared" ref="L128:L129" si="174">IFERROR(IF(VLOOKUP(D128,TURNOS_SERVICIOS,9,FALSE)=0,"",VLOOKUP(D128,TURNOS_SERVICIOS,9,FALSE)),"")</f>
        <v/>
      </c>
      <c r="N128" s="165"/>
    </row>
    <row r="129" spans="1:14" s="166" customFormat="1" hidden="1" x14ac:dyDescent="0.3">
      <c r="A129" s="176">
        <v>0</v>
      </c>
      <c r="B129" s="176" t="s">
        <v>1119</v>
      </c>
      <c r="C129" s="176" t="s">
        <v>1466</v>
      </c>
      <c r="D129" s="369" t="s">
        <v>196</v>
      </c>
      <c r="E129" s="370" t="str">
        <f t="shared" si="167"/>
        <v>SGTO 2DO. SAN MARTIN FIGUEROA OMAR ALEJANDRO (L - P-LA - T)</v>
      </c>
      <c r="F129" s="371" t="str">
        <f t="shared" si="168"/>
        <v>LA-061</v>
      </c>
      <c r="G129" s="371" t="str">
        <f t="shared" si="169"/>
        <v>1P</v>
      </c>
      <c r="H129" s="371" t="str">
        <f t="shared" si="170"/>
        <v>ARIETE 22</v>
      </c>
      <c r="I129" s="363">
        <f t="shared" si="171"/>
        <v>0.33333333333333331</v>
      </c>
      <c r="J129" s="363" t="str">
        <f t="shared" si="172"/>
        <v>NORM.</v>
      </c>
      <c r="K129" s="364">
        <f t="shared" si="173"/>
        <v>2</v>
      </c>
      <c r="L129" s="365" t="str">
        <f t="shared" si="174"/>
        <v/>
      </c>
      <c r="N129" s="165"/>
    </row>
    <row r="130" spans="1:14" s="166" customFormat="1" x14ac:dyDescent="0.3">
      <c r="A130" s="176">
        <f>IF(D131&lt;&gt;0,22,0)</f>
        <v>22</v>
      </c>
      <c r="B130" s="162"/>
      <c r="C130" s="162"/>
      <c r="D130" s="1123"/>
      <c r="E130" s="1123"/>
      <c r="F130" s="1123"/>
      <c r="G130" s="1123"/>
      <c r="H130" s="1123"/>
      <c r="I130" s="1123"/>
      <c r="J130" s="1123"/>
      <c r="K130" s="1123"/>
      <c r="L130" s="1124"/>
      <c r="N130" s="165"/>
    </row>
    <row r="131" spans="1:14" s="166" customFormat="1" x14ac:dyDescent="0.3">
      <c r="A131" s="176">
        <f t="shared" ref="A131:A135" si="175">IF(D131&lt;&gt;0,22,0)</f>
        <v>22</v>
      </c>
      <c r="B131" s="176" t="s">
        <v>1120</v>
      </c>
      <c r="C131" s="176" t="s">
        <v>1467</v>
      </c>
      <c r="D131" s="360" t="str">
        <f>IFERROR(IFERROR(VLOOKUP(C131,PROYECTO_CHARLY,2,FALSE),VLOOKUP(B131,PROYECTO_CHARLY,2,FALSE)),0)</f>
        <v>GRIFO 17</v>
      </c>
      <c r="E131" s="361" t="str">
        <f t="shared" ref="E131:E137" si="176">IFERROR(IF(VLOOKUP(D131,TURNOS_SERVICIOS,2,FALSE)=0,"-",VLOOKUP(D131,TURNOS_SERVICIOS,2,FALSE)),"-")</f>
        <v>TENIENTE ESCOBAR PEREZ MATIAS</v>
      </c>
      <c r="F131" s="362" t="str">
        <f t="shared" ref="F131:F137" si="177">IFERROR(IF(VLOOKUP(D131,TURNOS_SERVICIOS,3,FALSE)=0,"-",VLOOKUP(D131,TURNOS_SERVICIOS,3,FALSE)),"-")</f>
        <v>-</v>
      </c>
      <c r="G131" s="362" t="str">
        <f t="shared" ref="G131:G137" si="178">IFERROR(IF(VLOOKUP(D131,TURNOS_SERVICIOS,4,FALSE)=0,"SIN TURNO",VLOOKUP(D131,TURNOS_SERVICIOS,4,FALSE)),0)</f>
        <v>1T</v>
      </c>
      <c r="H131" s="362" t="str">
        <f t="shared" ref="H131:H137" si="179">IFERROR(IF(VLOOKUP(D131,TURNOS_SERVICIOS,5,FALSE)=0,"SIN SERVICIO",VLOOKUP(D131,TURNOS_SERVICIOS,5,FALSE)),0)</f>
        <v>APRESTO</v>
      </c>
      <c r="I131" s="367">
        <f t="shared" ref="I131:I137" si="180">IFERROR(IF(VLOOKUP(D131,TURNOS_SERVICIOS,6,FALSE)=0,"-",VLOOKUP(D131,TURNOS_SERVICIOS,6,FALSE)),0)</f>
        <v>0.33333333333333331</v>
      </c>
      <c r="J131" s="367">
        <f t="shared" ref="J131:J137" si="181">IFERROR(IF(VLOOKUP(D131,TURNOS_SERVICIOS,7,FALSE)=0,"-",VLOOKUP(D131,TURNOS_SERVICIOS,7,FALSE)),0)</f>
        <v>0.58333333333333337</v>
      </c>
      <c r="K131" s="368">
        <f t="shared" ref="K131:K137" si="182">IFERROR(VLOOKUP(D131,TURNOS_SERVICIOS,8,FALSE),0)</f>
        <v>3</v>
      </c>
      <c r="L131" s="365" t="str">
        <f t="shared" ref="L131:L137" si="183">IFERROR(IF(VLOOKUP(D131,TURNOS_SERVICIOS,9,FALSE)=0,"",VLOOKUP(D131,TURNOS_SERVICIOS,9,FALSE)),"")</f>
        <v/>
      </c>
      <c r="N131" s="165"/>
    </row>
    <row r="132" spans="1:14" s="166" customFormat="1" x14ac:dyDescent="0.3">
      <c r="A132" s="176">
        <f t="shared" si="175"/>
        <v>22</v>
      </c>
      <c r="B132" s="176" t="s">
        <v>1121</v>
      </c>
      <c r="C132" s="176" t="s">
        <v>1468</v>
      </c>
      <c r="D132" s="369" t="str">
        <f>IFERROR(IFERROR(VLOOKUP(C132,PROYECTO_CHARLY,2,FALSE),VLOOKUP(B132,PROYECTO_CHARLY,2,FALSE)),0)</f>
        <v>S-42</v>
      </c>
      <c r="E132" s="370" t="str">
        <f t="shared" si="176"/>
        <v xml:space="preserve">SUBOFICIAL VILLAGRA AREVALO SERGIO HUMBERTO      ( P )  </v>
      </c>
      <c r="F132" s="371" t="str">
        <f t="shared" si="177"/>
        <v>AB-365</v>
      </c>
      <c r="G132" s="371" t="str">
        <f t="shared" si="178"/>
        <v>1T</v>
      </c>
      <c r="H132" s="371" t="str">
        <f t="shared" si="179"/>
        <v>MONEDA</v>
      </c>
      <c r="I132" s="363">
        <f t="shared" si="180"/>
        <v>0.29166666666666669</v>
      </c>
      <c r="J132" s="363">
        <f t="shared" si="181"/>
        <v>0.58333333333333337</v>
      </c>
      <c r="K132" s="364">
        <f t="shared" si="182"/>
        <v>9</v>
      </c>
      <c r="L132" s="365" t="str">
        <f t="shared" si="183"/>
        <v/>
      </c>
      <c r="N132" s="165"/>
    </row>
    <row r="133" spans="1:14" s="166" customFormat="1" x14ac:dyDescent="0.3">
      <c r="A133" s="176">
        <f t="shared" si="175"/>
        <v>22</v>
      </c>
      <c r="B133" s="176" t="s">
        <v>1122</v>
      </c>
      <c r="C133" s="176" t="s">
        <v>1469</v>
      </c>
      <c r="D133" s="369" t="str">
        <f>IFERROR(IFERROR(VLOOKUP(C133,PROYECTO_CHARLY,2,FALSE),VLOOKUP(B133,PROYECTO_CHARLY,2,FALSE)),0)</f>
        <v>S-43</v>
      </c>
      <c r="E133" s="370" t="str">
        <f t="shared" si="176"/>
        <v>SGTO 1RO. CIFUENTES NAVARRETE VICTOR</v>
      </c>
      <c r="F133" s="371" t="str">
        <f t="shared" si="177"/>
        <v>AB-365</v>
      </c>
      <c r="G133" s="371" t="str">
        <f t="shared" si="178"/>
        <v>1T</v>
      </c>
      <c r="H133" s="371" t="str">
        <f t="shared" si="179"/>
        <v>CONSTITUCION</v>
      </c>
      <c r="I133" s="363">
        <f t="shared" si="180"/>
        <v>0.29166666666666669</v>
      </c>
      <c r="J133" s="363">
        <f t="shared" si="181"/>
        <v>0.58333333333333337</v>
      </c>
      <c r="K133" s="364">
        <f t="shared" si="182"/>
        <v>8</v>
      </c>
      <c r="L133" s="365" t="str">
        <f t="shared" si="183"/>
        <v/>
      </c>
      <c r="N133" s="165"/>
    </row>
    <row r="134" spans="1:14" s="166" customFormat="1" x14ac:dyDescent="0.3">
      <c r="A134" s="176">
        <f t="shared" si="175"/>
        <v>22</v>
      </c>
      <c r="B134" s="176" t="s">
        <v>1123</v>
      </c>
      <c r="C134" s="176" t="s">
        <v>1470</v>
      </c>
      <c r="D134" s="369" t="str">
        <f>IFERROR(IFERROR(VLOOKUP(C134,PROYECTO_CHARLY,2,FALSE),VLOOKUP(B134,PROYECTO_CHARLY,2,FALSE)),0)</f>
        <v>S-44</v>
      </c>
      <c r="E134" s="370" t="str">
        <f t="shared" si="176"/>
        <v>SUBOFICIAL ARAVENA ARAYA GEORGE ALEXIS</v>
      </c>
      <c r="F134" s="371" t="str">
        <f t="shared" si="177"/>
        <v>B-685</v>
      </c>
      <c r="G134" s="371" t="str">
        <f t="shared" si="178"/>
        <v>1T</v>
      </c>
      <c r="H134" s="371" t="str">
        <f t="shared" si="179"/>
        <v>CIUDADANIA</v>
      </c>
      <c r="I134" s="363">
        <f t="shared" si="180"/>
        <v>0.29166666666666669</v>
      </c>
      <c r="J134" s="363">
        <f t="shared" si="181"/>
        <v>0.58333333333333337</v>
      </c>
      <c r="K134" s="364">
        <f t="shared" si="182"/>
        <v>7</v>
      </c>
      <c r="L134" s="365" t="str">
        <f t="shared" si="183"/>
        <v/>
      </c>
      <c r="N134" s="165"/>
    </row>
    <row r="135" spans="1:14" s="166" customFormat="1" x14ac:dyDescent="0.3">
      <c r="A135" s="176">
        <f t="shared" si="175"/>
        <v>22</v>
      </c>
      <c r="B135" s="176" t="s">
        <v>1124</v>
      </c>
      <c r="C135" s="176" t="s">
        <v>1471</v>
      </c>
      <c r="D135" s="369" t="str">
        <f>IFERROR(IFERROR(VLOOKUP(C135,PROYECTO_CHARLY,2,FALSE),VLOOKUP(B135,PROYECTO_CHARLY,2,FALSE)),0)</f>
        <v>PTL-17</v>
      </c>
      <c r="E135" s="370" t="str">
        <f t="shared" si="176"/>
        <v>SGTO 1RO. CAAMAÑO JARA RODRIGO ALEJANDRO  ( P-LA)</v>
      </c>
      <c r="F135" s="371" t="str">
        <f t="shared" si="177"/>
        <v>LA-064</v>
      </c>
      <c r="G135" s="371" t="str">
        <f t="shared" si="178"/>
        <v>1T</v>
      </c>
      <c r="H135" s="371" t="str">
        <f t="shared" si="179"/>
        <v>APRESTO</v>
      </c>
      <c r="I135" s="363">
        <f t="shared" si="180"/>
        <v>0.33333333333333331</v>
      </c>
      <c r="J135" s="363">
        <f t="shared" si="181"/>
        <v>0.58333333333333337</v>
      </c>
      <c r="K135" s="364">
        <f t="shared" si="182"/>
        <v>2</v>
      </c>
      <c r="L135" s="365" t="str">
        <f t="shared" si="183"/>
        <v/>
      </c>
      <c r="N135" s="165"/>
    </row>
    <row r="136" spans="1:14" s="166" customFormat="1" hidden="1" x14ac:dyDescent="0.3">
      <c r="A136" s="176">
        <v>0</v>
      </c>
      <c r="B136" s="176" t="s">
        <v>2990</v>
      </c>
      <c r="C136" s="176" t="s">
        <v>2991</v>
      </c>
      <c r="D136" s="369" t="s">
        <v>1249</v>
      </c>
      <c r="E136" s="370" t="str">
        <f t="shared" si="176"/>
        <v>-</v>
      </c>
      <c r="F136" s="371" t="str">
        <f t="shared" ref="F136" si="184">IFERROR(IF(VLOOKUP(D136,TURNOS_SERVICIOS,3,FALSE)=0,"-",VLOOKUP(D136,TURNOS_SERVICIOS,3,FALSE)),"-")</f>
        <v>-</v>
      </c>
      <c r="G136" s="371" t="str">
        <f t="shared" ref="G136" si="185">IFERROR(IF(VLOOKUP(D136,TURNOS_SERVICIOS,4,FALSE)=0,"SIN TURNO",VLOOKUP(D136,TURNOS_SERVICIOS,4,FALSE)),0)</f>
        <v/>
      </c>
      <c r="H136" s="371" t="str">
        <f t="shared" ref="H136" si="186">IFERROR(IF(VLOOKUP(D136,TURNOS_SERVICIOS,5,FALSE)=0,"SIN SERVICIO",VLOOKUP(D136,TURNOS_SERVICIOS,5,FALSE)),0)</f>
        <v/>
      </c>
      <c r="I136" s="363" t="str">
        <f t="shared" ref="I136" si="187">IFERROR(IF(VLOOKUP(D136,TURNOS_SERVICIOS,6,FALSE)=0,"-",VLOOKUP(D136,TURNOS_SERVICIOS,6,FALSE)),0)</f>
        <v>-</v>
      </c>
      <c r="J136" s="363" t="str">
        <f t="shared" ref="J136" si="188">IFERROR(IF(VLOOKUP(D136,TURNOS_SERVICIOS,7,FALSE)=0,"-",VLOOKUP(D136,TURNOS_SERVICIOS,7,FALSE)),0)</f>
        <v>-</v>
      </c>
      <c r="K136" s="364">
        <f t="shared" ref="K136" si="189">IFERROR(VLOOKUP(D136,TURNOS_SERVICIOS,8,FALSE),0)</f>
        <v>0</v>
      </c>
      <c r="L136" s="365" t="str">
        <f t="shared" ref="L136" si="190">IFERROR(IF(VLOOKUP(D136,TURNOS_SERVICIOS,9,FALSE)=0,"",VLOOKUP(D136,TURNOS_SERVICIOS,9,FALSE)),"")</f>
        <v/>
      </c>
      <c r="N136" s="165"/>
    </row>
    <row r="137" spans="1:14" s="166" customFormat="1" x14ac:dyDescent="0.3">
      <c r="A137" s="176">
        <v>22</v>
      </c>
      <c r="B137" s="176" t="s">
        <v>2990</v>
      </c>
      <c r="C137" s="176" t="s">
        <v>2991</v>
      </c>
      <c r="D137" s="369" t="s">
        <v>197</v>
      </c>
      <c r="E137" s="370" t="str">
        <f t="shared" si="176"/>
        <v>SGTO 1RO. CAAMAÑO JARA RODRIGO ALEJANDRO  ( P-LA)</v>
      </c>
      <c r="F137" s="371" t="str">
        <f t="shared" si="177"/>
        <v>LA-064</v>
      </c>
      <c r="G137" s="371" t="str">
        <f t="shared" si="178"/>
        <v>1T</v>
      </c>
      <c r="H137" s="371" t="str">
        <f t="shared" si="179"/>
        <v>APRESTO</v>
      </c>
      <c r="I137" s="363">
        <f t="shared" si="180"/>
        <v>0.33333333333333331</v>
      </c>
      <c r="J137" s="363">
        <f t="shared" si="181"/>
        <v>0.58333333333333337</v>
      </c>
      <c r="K137" s="364">
        <f t="shared" si="182"/>
        <v>2</v>
      </c>
      <c r="L137" s="365" t="str">
        <f t="shared" si="183"/>
        <v/>
      </c>
      <c r="N137" s="165"/>
    </row>
    <row r="138" spans="1:14" s="166" customFormat="1" hidden="1" x14ac:dyDescent="0.3">
      <c r="A138" s="176">
        <v>0</v>
      </c>
      <c r="B138" s="176" t="s">
        <v>2990</v>
      </c>
      <c r="C138" s="176" t="s">
        <v>2991</v>
      </c>
      <c r="D138" s="369" t="s">
        <v>1249</v>
      </c>
      <c r="E138" s="370" t="str">
        <f t="shared" ref="E138" si="191">IFERROR(IF(VLOOKUP(D138,TURNOS_SERVICIOS,2,FALSE)=0,"-",VLOOKUP(D138,TURNOS_SERVICIOS,2,FALSE)),"-")</f>
        <v>-</v>
      </c>
      <c r="F138" s="371" t="str">
        <f t="shared" ref="F138" si="192">IFERROR(IF(VLOOKUP(D138,TURNOS_SERVICIOS,3,FALSE)=0,"-",VLOOKUP(D138,TURNOS_SERVICIOS,3,FALSE)),"-")</f>
        <v>-</v>
      </c>
      <c r="G138" s="371" t="str">
        <f t="shared" ref="G138" si="193">IFERROR(IF(VLOOKUP(D138,TURNOS_SERVICIOS,4,FALSE)=0,"SIN TURNO",VLOOKUP(D138,TURNOS_SERVICIOS,4,FALSE)),0)</f>
        <v/>
      </c>
      <c r="H138" s="371" t="str">
        <f t="shared" ref="H138" si="194">IFERROR(IF(VLOOKUP(D138,TURNOS_SERVICIOS,5,FALSE)=0,"SIN SERVICIO",VLOOKUP(D138,TURNOS_SERVICIOS,5,FALSE)),0)</f>
        <v/>
      </c>
      <c r="I138" s="363" t="str">
        <f t="shared" ref="I138" si="195">IFERROR(IF(VLOOKUP(D138,TURNOS_SERVICIOS,6,FALSE)=0,"-",VLOOKUP(D138,TURNOS_SERVICIOS,6,FALSE)),0)</f>
        <v>-</v>
      </c>
      <c r="J138" s="363" t="str">
        <f t="shared" ref="J138" si="196">IFERROR(IF(VLOOKUP(D138,TURNOS_SERVICIOS,7,FALSE)=0,"-",VLOOKUP(D138,TURNOS_SERVICIOS,7,FALSE)),0)</f>
        <v>-</v>
      </c>
      <c r="K138" s="364">
        <f t="shared" ref="K138" si="197">IFERROR(VLOOKUP(D138,TURNOS_SERVICIOS,8,FALSE),0)</f>
        <v>0</v>
      </c>
      <c r="L138" s="365" t="str">
        <f t="shared" ref="L138" si="198">IFERROR(IF(VLOOKUP(D138,TURNOS_SERVICIOS,9,FALSE)=0,"",VLOOKUP(D138,TURNOS_SERVICIOS,9,FALSE)),"")</f>
        <v/>
      </c>
      <c r="N138" s="165"/>
    </row>
    <row r="139" spans="1:14" s="166" customFormat="1" x14ac:dyDescent="0.3">
      <c r="A139" s="176">
        <f>IF(D140&lt;&gt;0,22,0)</f>
        <v>22</v>
      </c>
      <c r="B139" s="162"/>
      <c r="C139" s="162"/>
      <c r="D139" s="1123"/>
      <c r="E139" s="1123"/>
      <c r="F139" s="1123"/>
      <c r="G139" s="1123"/>
      <c r="H139" s="1123"/>
      <c r="I139" s="1123"/>
      <c r="J139" s="1123"/>
      <c r="K139" s="1123"/>
      <c r="L139" s="1124"/>
      <c r="N139" s="165"/>
    </row>
    <row r="140" spans="1:14" s="166" customFormat="1" x14ac:dyDescent="0.3">
      <c r="A140" s="176">
        <f>IF(D140&lt;&gt;0,22,0)</f>
        <v>22</v>
      </c>
      <c r="B140" s="176" t="s">
        <v>1125</v>
      </c>
      <c r="C140" s="176" t="s">
        <v>2861</v>
      </c>
      <c r="D140" s="360" t="str">
        <f>IFERROR(IFERROR(VLOOKUP(C140,PROYECTO_CHARLY,2,FALSE),VLOOKUP(B140,PROYECTO_CHARLY,2,FALSE)),0)</f>
        <v>GRIFO 18</v>
      </c>
      <c r="E140" s="361" t="str">
        <f t="shared" ref="E140:E148" si="199">IFERROR(IF(VLOOKUP(D140,TURNOS_SERVICIOS,2,FALSE)=0,"-",VLOOKUP(D140,TURNOS_SERVICIOS,2,FALSE)),"-")</f>
        <v>TENIENTE SAENS SUAREZ GASPAR ALONSO</v>
      </c>
      <c r="F140" s="362" t="str">
        <f t="shared" ref="F140:F148" si="200">IFERROR(IF(VLOOKUP(D140,TURNOS_SERVICIOS,3,FALSE)=0,"-",VLOOKUP(D140,TURNOS_SERVICIOS,3,FALSE)),"-")</f>
        <v xml:space="preserve"> </v>
      </c>
      <c r="G140" s="362" t="str">
        <f t="shared" ref="G140:G148" si="201">IFERROR(IF(VLOOKUP(D140,TURNOS_SERVICIOS,4,FALSE)=0,"SIN TURNO",VLOOKUP(D140,TURNOS_SERVICIOS,4,FALSE)),0)</f>
        <v>F</v>
      </c>
      <c r="H140" s="362" t="str">
        <f t="shared" ref="H140:H148" si="202">IFERROR(IF(VLOOKUP(D140,TURNOS_SERVICIOS,5,FALSE)=0,"SIN SERVICIO",VLOOKUP(D140,TURNOS_SERVICIOS,5,FALSE)),0)</f>
        <v>FRANCO</v>
      </c>
      <c r="I140" s="367" t="str">
        <f t="shared" ref="I140:I148" si="203">IFERROR(IF(VLOOKUP(D140,TURNOS_SERVICIOS,6,FALSE)=0,"-",VLOOKUP(D140,TURNOS_SERVICIOS,6,FALSE)),0)</f>
        <v xml:space="preserve"> </v>
      </c>
      <c r="J140" s="367" t="str">
        <f t="shared" ref="J140:J148" si="204">IFERROR(IF(VLOOKUP(D140,TURNOS_SERVICIOS,7,FALSE)=0,"-",VLOOKUP(D140,TURNOS_SERVICIOS,7,FALSE)),0)</f>
        <v xml:space="preserve"> </v>
      </c>
      <c r="K140" s="368">
        <f t="shared" ref="K140:K148" si="205">IFERROR(VLOOKUP(D140,TURNOS_SERVICIOS,8,FALSE),0)</f>
        <v>3</v>
      </c>
      <c r="L140" s="365" t="str">
        <f t="shared" ref="L140:L148" si="206">IFERROR(IF(VLOOKUP(D140,TURNOS_SERVICIOS,9,FALSE)=0,"",VLOOKUP(D140,TURNOS_SERVICIOS,9,FALSE)),"")</f>
        <v/>
      </c>
      <c r="N140" s="165"/>
    </row>
    <row r="141" spans="1:14" s="166" customFormat="1" hidden="1" x14ac:dyDescent="0.3">
      <c r="A141" s="176">
        <v>0</v>
      </c>
      <c r="B141" s="176" t="s">
        <v>1126</v>
      </c>
      <c r="C141" s="176" t="s">
        <v>2862</v>
      </c>
      <c r="D141" s="369" t="str">
        <f>IFERROR(IFERROR(VLOOKUP(C141,PROYECTO_CHARLY,2,FALSE),VLOOKUP(B141,PROYECTO_CHARLY,2,FALSE)),0)</f>
        <v>GRIFO 21</v>
      </c>
      <c r="E141" s="370" t="str">
        <f t="shared" si="199"/>
        <v>TENIENTE HUERTA BOHUS PATRICIO ALEJANDRO</v>
      </c>
      <c r="F141" s="371" t="str">
        <f t="shared" si="200"/>
        <v xml:space="preserve"> </v>
      </c>
      <c r="G141" s="371" t="str">
        <f t="shared" si="201"/>
        <v>F</v>
      </c>
      <c r="H141" s="371" t="str">
        <f t="shared" si="202"/>
        <v>FRANCO</v>
      </c>
      <c r="I141" s="363" t="str">
        <f t="shared" si="203"/>
        <v>-</v>
      </c>
      <c r="J141" s="363" t="str">
        <f t="shared" si="204"/>
        <v xml:space="preserve"> </v>
      </c>
      <c r="K141" s="364">
        <f t="shared" si="205"/>
        <v>2</v>
      </c>
      <c r="L141" s="365" t="str">
        <f t="shared" si="206"/>
        <v/>
      </c>
      <c r="N141" s="165"/>
    </row>
    <row r="142" spans="1:14" s="166" customFormat="1" x14ac:dyDescent="0.3">
      <c r="A142" s="176">
        <f>IF(D142&lt;&gt;0,22,0)</f>
        <v>22</v>
      </c>
      <c r="B142" s="176" t="s">
        <v>1127</v>
      </c>
      <c r="C142" s="176" t="s">
        <v>2863</v>
      </c>
      <c r="D142" s="369" t="str">
        <f>IFERROR(IFERROR(VLOOKUP(C142,PROYECTO_CHARLY,2,FALSE),VLOOKUP(B142,PROYECTO_CHARLY,2,FALSE)),0)</f>
        <v>S-45</v>
      </c>
      <c r="E142" s="370" t="str">
        <f t="shared" si="199"/>
        <v>SGTO 1RO. FERNANDEZ CASTILLO LEONARDO ENRIQUE</v>
      </c>
      <c r="F142" s="371" t="str">
        <f t="shared" si="200"/>
        <v>-</v>
      </c>
      <c r="G142" s="371" t="str">
        <f t="shared" si="201"/>
        <v>F</v>
      </c>
      <c r="H142" s="371" t="str">
        <f t="shared" si="202"/>
        <v>FRANCO</v>
      </c>
      <c r="I142" s="363" t="str">
        <f t="shared" si="203"/>
        <v xml:space="preserve"> </v>
      </c>
      <c r="J142" s="363" t="str">
        <f t="shared" si="204"/>
        <v xml:space="preserve"> </v>
      </c>
      <c r="K142" s="364">
        <f t="shared" si="205"/>
        <v>9</v>
      </c>
      <c r="L142" s="365" t="str">
        <f t="shared" si="206"/>
        <v/>
      </c>
      <c r="N142" s="165"/>
    </row>
    <row r="143" spans="1:14" s="166" customFormat="1" hidden="1" x14ac:dyDescent="0.3">
      <c r="A143" s="176">
        <v>0</v>
      </c>
      <c r="B143" s="176" t="s">
        <v>1128</v>
      </c>
      <c r="C143" s="176" t="s">
        <v>2864</v>
      </c>
      <c r="D143" s="369" t="str">
        <f>IFERROR(IFERROR(VLOOKUP(C143,PROYECTO_CHARLY,2,FALSE),VLOOKUP(B143,PROYECTO_CHARLY,2,FALSE)),0)</f>
        <v>S-46</v>
      </c>
      <c r="E143" s="370" t="str">
        <f t="shared" si="199"/>
        <v>SUBOFICIAL BAHAMONDE SEPULVEDA LUIS GONZALO        (L - P-T)</v>
      </c>
      <c r="F143" s="371" t="str">
        <f t="shared" si="200"/>
        <v>-</v>
      </c>
      <c r="G143" s="371" t="str">
        <f t="shared" si="201"/>
        <v>F</v>
      </c>
      <c r="H143" s="371" t="str">
        <f t="shared" si="202"/>
        <v>FRANCO</v>
      </c>
      <c r="I143" s="363" t="str">
        <f t="shared" si="203"/>
        <v xml:space="preserve"> </v>
      </c>
      <c r="J143" s="363" t="str">
        <f t="shared" si="204"/>
        <v xml:space="preserve"> </v>
      </c>
      <c r="K143" s="364">
        <f t="shared" si="205"/>
        <v>7</v>
      </c>
      <c r="L143" s="365" t="str">
        <f t="shared" si="206"/>
        <v/>
      </c>
      <c r="N143" s="165"/>
    </row>
    <row r="144" spans="1:14" s="166" customFormat="1" x14ac:dyDescent="0.3">
      <c r="A144" s="176">
        <f>IF(D144&lt;&gt;0,22,0)</f>
        <v>22</v>
      </c>
      <c r="B144" s="176" t="s">
        <v>1129</v>
      </c>
      <c r="C144" s="176" t="s">
        <v>2865</v>
      </c>
      <c r="D144" s="369" t="s">
        <v>717</v>
      </c>
      <c r="E144" s="370" t="str">
        <f t="shared" si="199"/>
        <v>SUBOFICIAL BAHAMONDE SEPULVEDA LUIS GONZALO        (L - P-T)</v>
      </c>
      <c r="F144" s="371" t="str">
        <f t="shared" si="200"/>
        <v>-</v>
      </c>
      <c r="G144" s="371" t="str">
        <f t="shared" si="201"/>
        <v>F</v>
      </c>
      <c r="H144" s="371" t="str">
        <f t="shared" si="202"/>
        <v>FRANCO</v>
      </c>
      <c r="I144" s="363" t="str">
        <f t="shared" si="203"/>
        <v xml:space="preserve"> </v>
      </c>
      <c r="J144" s="363" t="str">
        <f t="shared" si="204"/>
        <v xml:space="preserve"> </v>
      </c>
      <c r="K144" s="364">
        <f t="shared" si="205"/>
        <v>7</v>
      </c>
      <c r="L144" s="365" t="str">
        <f t="shared" si="206"/>
        <v/>
      </c>
      <c r="N144" s="165"/>
    </row>
    <row r="145" spans="1:14" s="166" customFormat="1" x14ac:dyDescent="0.3">
      <c r="A145" s="176">
        <f>IF(D145&lt;&gt;0,22,0)</f>
        <v>22</v>
      </c>
      <c r="B145" s="176" t="s">
        <v>2978</v>
      </c>
      <c r="C145" s="176" t="s">
        <v>2979</v>
      </c>
      <c r="D145" s="369" t="s">
        <v>703</v>
      </c>
      <c r="E145" s="370" t="str">
        <f t="shared" ref="E145" si="207">IFERROR(IF(VLOOKUP(D145,TURNOS_SERVICIOS,2,FALSE)=0,"NO DESIGNADO",VLOOKUP(D145,TURNOS_SERVICIOS,2,FALSE)),"NO DESIGNADO")</f>
        <v>SUBOFICIAL BARROS SOLAR FELIX                                (L -T -S)</v>
      </c>
      <c r="F145" s="371" t="str">
        <f t="shared" si="200"/>
        <v>-</v>
      </c>
      <c r="G145" s="371" t="str">
        <f t="shared" si="201"/>
        <v>F</v>
      </c>
      <c r="H145" s="371" t="str">
        <f t="shared" si="202"/>
        <v>FRANCO</v>
      </c>
      <c r="I145" s="363" t="str">
        <f t="shared" si="203"/>
        <v xml:space="preserve"> </v>
      </c>
      <c r="J145" s="363" t="str">
        <f t="shared" si="204"/>
        <v xml:space="preserve"> </v>
      </c>
      <c r="K145" s="364">
        <f t="shared" si="205"/>
        <v>9</v>
      </c>
      <c r="L145" s="365" t="str">
        <f t="shared" si="206"/>
        <v/>
      </c>
      <c r="N145" s="165"/>
    </row>
    <row r="146" spans="1:14" s="166" customFormat="1" hidden="1" x14ac:dyDescent="0.3">
      <c r="A146" s="176">
        <f>IF(D146&lt;&gt;0,22,0)</f>
        <v>0</v>
      </c>
      <c r="B146" s="176" t="s">
        <v>3019</v>
      </c>
      <c r="C146" s="176" t="s">
        <v>3020</v>
      </c>
      <c r="D146" s="369"/>
      <c r="E146" s="370" t="str">
        <f t="shared" ref="E146" si="208">IFERROR(IF(VLOOKUP(D146,TURNOS_SERVICIOS,2,FALSE)=0,"-",VLOOKUP(D146,TURNOS_SERVICIOS,2,FALSE)),"-")</f>
        <v>-</v>
      </c>
      <c r="F146" s="371" t="str">
        <f t="shared" ref="F146" si="209">IFERROR(IF(VLOOKUP(D146,TURNOS_SERVICIOS,3,FALSE)=0,"-",VLOOKUP(D146,TURNOS_SERVICIOS,3,FALSE)),"-")</f>
        <v>-</v>
      </c>
      <c r="G146" s="371">
        <f t="shared" ref="G146" si="210">IFERROR(IF(VLOOKUP(D146,TURNOS_SERVICIOS,4,FALSE)=0,"SIN TURNO",VLOOKUP(D146,TURNOS_SERVICIOS,4,FALSE)),0)</f>
        <v>0</v>
      </c>
      <c r="H146" s="371">
        <f t="shared" ref="H146" si="211">IFERROR(IF(VLOOKUP(D146,TURNOS_SERVICIOS,5,FALSE)=0,"SIN SERVICIO",VLOOKUP(D146,TURNOS_SERVICIOS,5,FALSE)),0)</f>
        <v>0</v>
      </c>
      <c r="I146" s="363">
        <f t="shared" ref="I146" si="212">IFERROR(IF(VLOOKUP(D146,TURNOS_SERVICIOS,6,FALSE)=0,"-",VLOOKUP(D146,TURNOS_SERVICIOS,6,FALSE)),0)</f>
        <v>0</v>
      </c>
      <c r="J146" s="363">
        <f t="shared" ref="J146" si="213">IFERROR(IF(VLOOKUP(D146,TURNOS_SERVICIOS,7,FALSE)=0,"-",VLOOKUP(D146,TURNOS_SERVICIOS,7,FALSE)),0)</f>
        <v>0</v>
      </c>
      <c r="K146" s="364">
        <f t="shared" ref="K146" si="214">IFERROR(VLOOKUP(D146,TURNOS_SERVICIOS,8,FALSE),0)</f>
        <v>0</v>
      </c>
      <c r="L146" s="365" t="str">
        <f t="shared" ref="L146" si="215">IFERROR(IF(VLOOKUP(D146,TURNOS_SERVICIOS,9,FALSE)=0,"",VLOOKUP(D146,TURNOS_SERVICIOS,9,FALSE)),"")</f>
        <v/>
      </c>
      <c r="N146" s="165"/>
    </row>
    <row r="147" spans="1:14" s="166" customFormat="1" hidden="1" x14ac:dyDescent="0.3">
      <c r="A147" s="176">
        <v>0</v>
      </c>
      <c r="B147" s="176" t="s">
        <v>3019</v>
      </c>
      <c r="C147" s="176" t="s">
        <v>3020</v>
      </c>
      <c r="D147" s="369" t="s">
        <v>1252</v>
      </c>
      <c r="E147" s="370" t="str">
        <f t="shared" si="199"/>
        <v>-</v>
      </c>
      <c r="F147" s="371" t="str">
        <f t="shared" si="200"/>
        <v>-</v>
      </c>
      <c r="G147" s="371" t="str">
        <f t="shared" si="201"/>
        <v/>
      </c>
      <c r="H147" s="371" t="str">
        <f t="shared" si="202"/>
        <v/>
      </c>
      <c r="I147" s="363" t="str">
        <f t="shared" si="203"/>
        <v>-</v>
      </c>
      <c r="J147" s="363" t="str">
        <f t="shared" si="204"/>
        <v>-</v>
      </c>
      <c r="K147" s="364">
        <f t="shared" si="205"/>
        <v>0</v>
      </c>
      <c r="L147" s="365" t="str">
        <f t="shared" si="206"/>
        <v/>
      </c>
      <c r="N147" s="165"/>
    </row>
    <row r="148" spans="1:14" s="166" customFormat="1" x14ac:dyDescent="0.3">
      <c r="A148" s="176">
        <f>IF(D148&lt;&gt;0,22,0)</f>
        <v>22</v>
      </c>
      <c r="B148" s="176" t="s">
        <v>3021</v>
      </c>
      <c r="C148" s="176" t="s">
        <v>3022</v>
      </c>
      <c r="D148" s="369" t="s">
        <v>198</v>
      </c>
      <c r="E148" s="370" t="str">
        <f t="shared" si="199"/>
        <v>SGTO 1RO. PULIDO PASMINO OSCAR GONZALO (L - P - LA - T)</v>
      </c>
      <c r="F148" s="371" t="str">
        <f t="shared" si="200"/>
        <v xml:space="preserve"> </v>
      </c>
      <c r="G148" s="371" t="str">
        <f t="shared" si="201"/>
        <v>F</v>
      </c>
      <c r="H148" s="371" t="str">
        <f t="shared" si="202"/>
        <v>FRANCO</v>
      </c>
      <c r="I148" s="363" t="str">
        <f t="shared" si="203"/>
        <v xml:space="preserve"> </v>
      </c>
      <c r="J148" s="363" t="str">
        <f t="shared" si="204"/>
        <v xml:space="preserve"> </v>
      </c>
      <c r="K148" s="364">
        <f t="shared" si="205"/>
        <v>2</v>
      </c>
      <c r="L148" s="365" t="str">
        <f t="shared" si="206"/>
        <v/>
      </c>
      <c r="N148" s="165"/>
    </row>
    <row r="149" spans="1:14" s="166" customFormat="1" x14ac:dyDescent="0.3">
      <c r="A149" s="176">
        <f>IF(D151&lt;&gt;0,22,0)</f>
        <v>22</v>
      </c>
      <c r="B149" s="162"/>
      <c r="C149" s="162"/>
      <c r="D149" s="1123"/>
      <c r="E149" s="1123"/>
      <c r="F149" s="1123"/>
      <c r="G149" s="1123"/>
      <c r="H149" s="1123"/>
      <c r="I149" s="1123"/>
      <c r="J149" s="1123"/>
      <c r="K149" s="1123"/>
      <c r="L149" s="1124"/>
      <c r="N149" s="165"/>
    </row>
    <row r="150" spans="1:14" s="166" customFormat="1" x14ac:dyDescent="0.3">
      <c r="A150" s="176">
        <v>22</v>
      </c>
      <c r="B150" s="176" t="s">
        <v>1130</v>
      </c>
      <c r="C150" s="176" t="s">
        <v>2866</v>
      </c>
      <c r="D150" s="360" t="s">
        <v>669</v>
      </c>
      <c r="E150" s="361" t="str">
        <f t="shared" ref="E150:E157" si="216">IFERROR(IF(VLOOKUP(D150,TURNOS_SERVICIOS,2,FALSE)=0,"-",VLOOKUP(D150,TURNOS_SERVICIOS,2,FALSE)),"-")</f>
        <v>-</v>
      </c>
      <c r="F150" s="362" t="str">
        <f t="shared" ref="F150:F157" si="217">IFERROR(IF(VLOOKUP(D150,TURNOS_SERVICIOS,3,FALSE)=0,"-",VLOOKUP(D150,TURNOS_SERVICIOS,3,FALSE)),"-")</f>
        <v>-</v>
      </c>
      <c r="G150" s="362" t="str">
        <f t="shared" ref="G150:G157" si="218">IFERROR(IF(VLOOKUP(D150,TURNOS_SERVICIOS,4,FALSE)=0,"SIN TURNO",VLOOKUP(D150,TURNOS_SERVICIOS,4,FALSE)),0)</f>
        <v/>
      </c>
      <c r="H150" s="362" t="str">
        <f t="shared" ref="H150:H157" si="219">IFERROR(IF(VLOOKUP(D150,TURNOS_SERVICIOS,5,FALSE)=0,"SIN SERVICIO",VLOOKUP(D150,TURNOS_SERVICIOS,5,FALSE)),0)</f>
        <v/>
      </c>
      <c r="I150" s="367" t="str">
        <f t="shared" ref="I150:I157" si="220">IFERROR(IF(VLOOKUP(D150,TURNOS_SERVICIOS,6,FALSE)=0,"-",VLOOKUP(D150,TURNOS_SERVICIOS,6,FALSE)),0)</f>
        <v>-</v>
      </c>
      <c r="J150" s="367" t="str">
        <f t="shared" ref="J150:J157" si="221">IFERROR(IF(VLOOKUP(D150,TURNOS_SERVICIOS,7,FALSE)=0,"-",VLOOKUP(D150,TURNOS_SERVICIOS,7,FALSE)),0)</f>
        <v>-</v>
      </c>
      <c r="K150" s="368">
        <f t="shared" ref="K150:K157" si="222">IFERROR(VLOOKUP(D150,TURNOS_SERVICIOS,8,FALSE),0)</f>
        <v>0</v>
      </c>
      <c r="L150" s="365" t="str">
        <f t="shared" ref="L150:L157" si="223">IFERROR(IF(VLOOKUP(D150,TURNOS_SERVICIOS,9,FALSE)=0,"",VLOOKUP(D150,TURNOS_SERVICIOS,9,FALSE)),"")</f>
        <v/>
      </c>
      <c r="N150" s="165"/>
    </row>
    <row r="151" spans="1:14" s="166" customFormat="1" hidden="1" x14ac:dyDescent="0.3">
      <c r="A151" s="176">
        <v>0</v>
      </c>
      <c r="B151" s="176" t="s">
        <v>1130</v>
      </c>
      <c r="C151" s="176" t="s">
        <v>2866</v>
      </c>
      <c r="D151" s="360" t="str">
        <f>IFERROR(IFERROR(VLOOKUP(C151,PROYECTO_CHARLY,2,FALSE),VLOOKUP(B151,PROYECTO_CHARLY,2,FALSE)),0)</f>
        <v>S-48</v>
      </c>
      <c r="E151" s="361" t="str">
        <f t="shared" si="216"/>
        <v xml:space="preserve">SGTO 2DO. MILLAR SOLIS AQUILINO JUAN ANDRES   </v>
      </c>
      <c r="F151" s="362" t="str">
        <f t="shared" si="217"/>
        <v>-</v>
      </c>
      <c r="G151" s="362" t="str">
        <f t="shared" si="218"/>
        <v>F</v>
      </c>
      <c r="H151" s="362" t="str">
        <f t="shared" si="219"/>
        <v>FRANCO</v>
      </c>
      <c r="I151" s="367" t="str">
        <f t="shared" si="220"/>
        <v xml:space="preserve"> </v>
      </c>
      <c r="J151" s="367" t="str">
        <f t="shared" si="221"/>
        <v xml:space="preserve"> </v>
      </c>
      <c r="K151" s="368">
        <f t="shared" si="222"/>
        <v>10</v>
      </c>
      <c r="L151" s="365" t="str">
        <f t="shared" si="223"/>
        <v/>
      </c>
      <c r="N151" s="165"/>
    </row>
    <row r="152" spans="1:14" s="166" customFormat="1" hidden="1" x14ac:dyDescent="0.3">
      <c r="A152" s="176">
        <v>0</v>
      </c>
      <c r="B152" s="176" t="s">
        <v>1130</v>
      </c>
      <c r="C152" s="176" t="s">
        <v>2866</v>
      </c>
      <c r="D152" s="360" t="s">
        <v>757</v>
      </c>
      <c r="E152" s="361" t="str">
        <f t="shared" si="216"/>
        <v>SGTO 1RO. PORTILLA ARAYA LEONARDO MANUEL</v>
      </c>
      <c r="F152" s="362" t="str">
        <f t="shared" si="217"/>
        <v>-</v>
      </c>
      <c r="G152" s="362" t="str">
        <f t="shared" si="218"/>
        <v>F</v>
      </c>
      <c r="H152" s="362" t="str">
        <f t="shared" si="219"/>
        <v>FRANCO</v>
      </c>
      <c r="I152" s="367" t="str">
        <f t="shared" si="220"/>
        <v xml:space="preserve"> </v>
      </c>
      <c r="J152" s="367" t="str">
        <f t="shared" si="221"/>
        <v xml:space="preserve"> </v>
      </c>
      <c r="K152" s="368">
        <f t="shared" si="222"/>
        <v>10</v>
      </c>
      <c r="L152" s="365" t="str">
        <f t="shared" si="223"/>
        <v xml:space="preserve"> </v>
      </c>
      <c r="N152" s="165"/>
    </row>
    <row r="153" spans="1:14" s="166" customFormat="1" x14ac:dyDescent="0.3">
      <c r="A153" s="176">
        <v>22</v>
      </c>
      <c r="B153" s="176" t="s">
        <v>1130</v>
      </c>
      <c r="C153" s="176" t="s">
        <v>2866</v>
      </c>
      <c r="D153" s="360" t="s">
        <v>730</v>
      </c>
      <c r="E153" s="370" t="str">
        <f t="shared" ref="E153:E154" si="224">IFERROR(IF(VLOOKUP(D153,TURNOS_SERVICIOS,2,FALSE)=0,"-",VLOOKUP(D153,TURNOS_SERVICIOS,2,FALSE)),"-")</f>
        <v xml:space="preserve">SGTO 2DO. MILLAR SOLIS AQUILINO JUAN ANDRES   </v>
      </c>
      <c r="F153" s="371" t="str">
        <f t="shared" ref="F153:F155" si="225">IFERROR(IF(VLOOKUP(D153,TURNOS_SERVICIOS,3,FALSE)=0,"-",VLOOKUP(D153,TURNOS_SERVICIOS,3,FALSE)),"-")</f>
        <v>-</v>
      </c>
      <c r="G153" s="371" t="str">
        <f t="shared" ref="G153:G155" si="226">IFERROR(IF(VLOOKUP(D153,TURNOS_SERVICIOS,4,FALSE)=0,"SIN TURNO",VLOOKUP(D153,TURNOS_SERVICIOS,4,FALSE)),0)</f>
        <v>F</v>
      </c>
      <c r="H153" s="371" t="str">
        <f t="shared" ref="H153:H155" si="227">IFERROR(IF(VLOOKUP(D153,TURNOS_SERVICIOS,5,FALSE)=0,"SIN SERVICIO",VLOOKUP(D153,TURNOS_SERVICIOS,5,FALSE)),0)</f>
        <v>FRANCO</v>
      </c>
      <c r="I153" s="363" t="str">
        <f t="shared" ref="I153:I155" si="228">IFERROR(IF(VLOOKUP(D153,TURNOS_SERVICIOS,6,FALSE)=0,"-",VLOOKUP(D153,TURNOS_SERVICIOS,6,FALSE)),0)</f>
        <v xml:space="preserve"> </v>
      </c>
      <c r="J153" s="363" t="str">
        <f t="shared" ref="J153:J155" si="229">IFERROR(IF(VLOOKUP(D153,TURNOS_SERVICIOS,7,FALSE)=0,"-",VLOOKUP(D153,TURNOS_SERVICIOS,7,FALSE)),0)</f>
        <v xml:space="preserve"> </v>
      </c>
      <c r="K153" s="364">
        <f t="shared" ref="K153:K155" si="230">IFERROR(VLOOKUP(D153,TURNOS_SERVICIOS,8,FALSE),0)</f>
        <v>10</v>
      </c>
      <c r="L153" s="365" t="str">
        <f t="shared" ref="L153:L155" si="231">IFERROR(IF(VLOOKUP(D153,TURNOS_SERVICIOS,9,FALSE)=0,"",VLOOKUP(D153,TURNOS_SERVICIOS,9,FALSE)),"")</f>
        <v/>
      </c>
      <c r="N153" s="165"/>
    </row>
    <row r="154" spans="1:14" s="166" customFormat="1" x14ac:dyDescent="0.3">
      <c r="A154" s="176">
        <f>IF(D154&lt;&gt;0,22,0)</f>
        <v>22</v>
      </c>
      <c r="B154" s="176" t="s">
        <v>1131</v>
      </c>
      <c r="C154" s="176" t="s">
        <v>2867</v>
      </c>
      <c r="D154" s="360" t="s">
        <v>757</v>
      </c>
      <c r="E154" s="370" t="str">
        <f t="shared" si="224"/>
        <v>SGTO 1RO. PORTILLA ARAYA LEONARDO MANUEL</v>
      </c>
      <c r="F154" s="371" t="str">
        <f t="shared" si="225"/>
        <v>-</v>
      </c>
      <c r="G154" s="371" t="str">
        <f t="shared" si="226"/>
        <v>F</v>
      </c>
      <c r="H154" s="371" t="str">
        <f t="shared" si="227"/>
        <v>FRANCO</v>
      </c>
      <c r="I154" s="363" t="str">
        <f t="shared" si="228"/>
        <v xml:space="preserve"> </v>
      </c>
      <c r="J154" s="363" t="str">
        <f t="shared" si="229"/>
        <v xml:space="preserve"> </v>
      </c>
      <c r="K154" s="364">
        <f t="shared" si="230"/>
        <v>10</v>
      </c>
      <c r="L154" s="365" t="str">
        <f t="shared" si="231"/>
        <v xml:space="preserve"> </v>
      </c>
      <c r="N154" s="165"/>
    </row>
    <row r="155" spans="1:14" s="166" customFormat="1" x14ac:dyDescent="0.3">
      <c r="A155" s="176">
        <f>IF(D155&lt;&gt;0,22,0)</f>
        <v>22</v>
      </c>
      <c r="B155" s="176" t="s">
        <v>2942</v>
      </c>
      <c r="C155" s="176" t="s">
        <v>2943</v>
      </c>
      <c r="D155" s="369" t="s">
        <v>769</v>
      </c>
      <c r="E155" s="370" t="str">
        <f t="shared" ref="E155" si="232">IFERROR(IF(VLOOKUP(D155,TURNOS_SERVICIOS,2,FALSE)=0,"NO DESIGNADO",VLOOKUP(D155,TURNOS_SERVICIOS,2,FALSE)),"NO DESIGNADO")</f>
        <v>-</v>
      </c>
      <c r="F155" s="371" t="str">
        <f t="shared" si="225"/>
        <v>-</v>
      </c>
      <c r="G155" s="371" t="str">
        <f t="shared" si="226"/>
        <v/>
      </c>
      <c r="H155" s="371" t="str">
        <f t="shared" si="227"/>
        <v/>
      </c>
      <c r="I155" s="363" t="str">
        <f t="shared" si="228"/>
        <v>-</v>
      </c>
      <c r="J155" s="363" t="str">
        <f t="shared" si="229"/>
        <v>-</v>
      </c>
      <c r="K155" s="364">
        <f t="shared" si="230"/>
        <v>0</v>
      </c>
      <c r="L155" s="365" t="str">
        <f t="shared" si="231"/>
        <v/>
      </c>
      <c r="N155" s="165"/>
    </row>
    <row r="156" spans="1:14" s="166" customFormat="1" hidden="1" x14ac:dyDescent="0.3">
      <c r="A156" s="176">
        <v>0</v>
      </c>
      <c r="B156" s="176" t="s">
        <v>1132</v>
      </c>
      <c r="C156" s="176" t="s">
        <v>2868</v>
      </c>
      <c r="D156" s="369" t="str">
        <f>IFERROR(IFERROR(VLOOKUP(C156,PROYECTO_CHARLY,2,FALSE),VLOOKUP(B156,PROYECTO_CHARLY,2,FALSE)),0)</f>
        <v>PTL-19</v>
      </c>
      <c r="E156" s="370" t="str">
        <f t="shared" si="216"/>
        <v>-</v>
      </c>
      <c r="F156" s="371" t="str">
        <f t="shared" si="217"/>
        <v>-</v>
      </c>
      <c r="G156" s="371" t="str">
        <f t="shared" si="218"/>
        <v/>
      </c>
      <c r="H156" s="371" t="str">
        <f t="shared" si="219"/>
        <v/>
      </c>
      <c r="I156" s="363" t="str">
        <f t="shared" si="220"/>
        <v>-</v>
      </c>
      <c r="J156" s="363" t="str">
        <f t="shared" si="221"/>
        <v>-</v>
      </c>
      <c r="K156" s="364">
        <f t="shared" si="222"/>
        <v>0</v>
      </c>
      <c r="L156" s="365" t="str">
        <f t="shared" si="223"/>
        <v/>
      </c>
      <c r="N156" s="165"/>
    </row>
    <row r="157" spans="1:14" s="166" customFormat="1" hidden="1" x14ac:dyDescent="0.3">
      <c r="A157" s="176">
        <f>IF(D157&lt;&gt;0,22,0)</f>
        <v>0</v>
      </c>
      <c r="B157" s="176" t="s">
        <v>1133</v>
      </c>
      <c r="C157" s="176" t="s">
        <v>2869</v>
      </c>
      <c r="D157" s="369">
        <f>IFERROR(IFERROR(VLOOKUP(C157,PROYECTO_CHARLY,2,FALSE),VLOOKUP(B157,PROYECTO_CHARLY,2,FALSE)),0)</f>
        <v>0</v>
      </c>
      <c r="E157" s="370" t="str">
        <f t="shared" si="216"/>
        <v>-</v>
      </c>
      <c r="F157" s="371" t="str">
        <f t="shared" si="217"/>
        <v>-</v>
      </c>
      <c r="G157" s="371">
        <f t="shared" si="218"/>
        <v>0</v>
      </c>
      <c r="H157" s="371">
        <f t="shared" si="219"/>
        <v>0</v>
      </c>
      <c r="I157" s="363">
        <f t="shared" si="220"/>
        <v>0</v>
      </c>
      <c r="J157" s="363">
        <f t="shared" si="221"/>
        <v>0</v>
      </c>
      <c r="K157" s="364">
        <f t="shared" si="222"/>
        <v>0</v>
      </c>
      <c r="L157" s="365" t="str">
        <f t="shared" si="223"/>
        <v/>
      </c>
      <c r="N157" s="165"/>
    </row>
    <row r="158" spans="1:14" s="166" customFormat="1" hidden="1" x14ac:dyDescent="0.3">
      <c r="A158" s="176">
        <f>IF(D159&lt;&gt;0,22,0)</f>
        <v>0</v>
      </c>
      <c r="B158" s="162"/>
      <c r="C158" s="162"/>
      <c r="D158" s="1123"/>
      <c r="E158" s="1123"/>
      <c r="F158" s="1123"/>
      <c r="G158" s="1123"/>
      <c r="H158" s="1123"/>
      <c r="I158" s="1123"/>
      <c r="J158" s="1123"/>
      <c r="K158" s="1123"/>
      <c r="L158" s="1124"/>
      <c r="N158" s="165"/>
    </row>
    <row r="159" spans="1:14" s="166" customFormat="1" hidden="1" x14ac:dyDescent="0.3">
      <c r="A159" s="176">
        <f>IF(D159&lt;&gt;0,22,0)</f>
        <v>0</v>
      </c>
      <c r="B159" s="176" t="s">
        <v>1134</v>
      </c>
      <c r="C159" s="176" t="s">
        <v>2874</v>
      </c>
      <c r="D159" s="360">
        <f>IFERROR(IFERROR(VLOOKUP(C159,PROYECTO_CHARLY,2,FALSE),VLOOKUP(B159,PROYECTO_CHARLY,2,FALSE)),0)</f>
        <v>0</v>
      </c>
      <c r="E159" s="361" t="str">
        <f>IFERROR(IF(VLOOKUP(D159,TURNOS_SERVICIOS,2,FALSE)=0,"-",VLOOKUP(D159,TURNOS_SERVICIOS,2,FALSE)),"-")</f>
        <v>-</v>
      </c>
      <c r="F159" s="362" t="str">
        <f>IFERROR(IF(VLOOKUP(D159,TURNOS_SERVICIOS,3,FALSE)=0,"-",VLOOKUP(D159,TURNOS_SERVICIOS,3,FALSE)),"-")</f>
        <v>-</v>
      </c>
      <c r="G159" s="362">
        <f>IFERROR(IF(VLOOKUP(D159,TURNOS_SERVICIOS,4,FALSE)=0,"SIN TURNO",VLOOKUP(D159,TURNOS_SERVICIOS,4,FALSE)),0)</f>
        <v>0</v>
      </c>
      <c r="H159" s="362">
        <f>IFERROR(IF(VLOOKUP(D159,TURNOS_SERVICIOS,5,FALSE)=0,"SIN SERVICIO",VLOOKUP(D159,TURNOS_SERVICIOS,5,FALSE)),0)</f>
        <v>0</v>
      </c>
      <c r="I159" s="367">
        <f>IFERROR(IF(VLOOKUP(D159,TURNOS_SERVICIOS,6,FALSE)=0,"-",VLOOKUP(D159,TURNOS_SERVICIOS,6,FALSE)),0)</f>
        <v>0</v>
      </c>
      <c r="J159" s="367">
        <f>IFERROR(IF(VLOOKUP(D159,TURNOS_SERVICIOS,7,FALSE)=0,"-",VLOOKUP(D159,TURNOS_SERVICIOS,7,FALSE)),0)</f>
        <v>0</v>
      </c>
      <c r="K159" s="368">
        <f>IFERROR(VLOOKUP(D159,TURNOS_SERVICIOS,8,FALSE),0)</f>
        <v>0</v>
      </c>
      <c r="L159" s="365" t="str">
        <f>IFERROR(IF(VLOOKUP(D159,TURNOS_SERVICIOS,9,FALSE)=0,"",VLOOKUP(D159,TURNOS_SERVICIOS,9,FALSE)),"")</f>
        <v/>
      </c>
      <c r="N159" s="165"/>
    </row>
    <row r="160" spans="1:14" s="166" customFormat="1" hidden="1" x14ac:dyDescent="0.3">
      <c r="A160" s="176">
        <f>IF(D160&lt;&gt;0,22,0)</f>
        <v>0</v>
      </c>
      <c r="B160" s="176" t="s">
        <v>1135</v>
      </c>
      <c r="C160" s="176" t="s">
        <v>2875</v>
      </c>
      <c r="D160" s="369">
        <f>IFERROR(IFERROR(VLOOKUP(C160,PROYECTO_CHARLY,2,FALSE),VLOOKUP(B160,PROYECTO_CHARLY,2,FALSE)),0)</f>
        <v>0</v>
      </c>
      <c r="E160" s="370" t="str">
        <f>IFERROR(IF(VLOOKUP(D160,TURNOS_SERVICIOS,2,FALSE)=0,"-",VLOOKUP(D160,TURNOS_SERVICIOS,2,FALSE)),"-")</f>
        <v>-</v>
      </c>
      <c r="F160" s="371" t="str">
        <f>IFERROR(IF(VLOOKUP(D160,TURNOS_SERVICIOS,3,FALSE)=0,"-",VLOOKUP(D160,TURNOS_SERVICIOS,3,FALSE)),"-")</f>
        <v>-</v>
      </c>
      <c r="G160" s="371">
        <f>IFERROR(IF(VLOOKUP(D160,TURNOS_SERVICIOS,4,FALSE)=0,"SIN TURNO",VLOOKUP(D160,TURNOS_SERVICIOS,4,FALSE)),0)</f>
        <v>0</v>
      </c>
      <c r="H160" s="371">
        <f>IFERROR(IF(VLOOKUP(D160,TURNOS_SERVICIOS,5,FALSE)=0,"SIN SERVICIO",VLOOKUP(D160,TURNOS_SERVICIOS,5,FALSE)),0)</f>
        <v>0</v>
      </c>
      <c r="I160" s="363">
        <f>IFERROR(IF(VLOOKUP(D160,TURNOS_SERVICIOS,6,FALSE)=0,"-",VLOOKUP(D160,TURNOS_SERVICIOS,6,FALSE)),0)</f>
        <v>0</v>
      </c>
      <c r="J160" s="363">
        <f>IFERROR(IF(VLOOKUP(D160,TURNOS_SERVICIOS,7,FALSE)=0,"-",VLOOKUP(D160,TURNOS_SERVICIOS,7,FALSE)),0)</f>
        <v>0</v>
      </c>
      <c r="K160" s="364">
        <f>IFERROR(VLOOKUP(D160,TURNOS_SERVICIOS,8,FALSE),0)</f>
        <v>0</v>
      </c>
      <c r="L160" s="365" t="str">
        <f>IFERROR(IF(VLOOKUP(D160,TURNOS_SERVICIOS,9,FALSE)=0,"",VLOOKUP(D160,TURNOS_SERVICIOS,9,FALSE)),"")</f>
        <v/>
      </c>
      <c r="N160" s="165"/>
    </row>
    <row r="161" spans="1:14" s="166" customFormat="1" hidden="1" x14ac:dyDescent="0.3">
      <c r="A161" s="176">
        <f>IF(D161&lt;&gt;0,22,0)</f>
        <v>0</v>
      </c>
      <c r="B161" s="176" t="s">
        <v>1136</v>
      </c>
      <c r="C161" s="176" t="s">
        <v>2876</v>
      </c>
      <c r="D161" s="369">
        <f>IFERROR(IFERROR(VLOOKUP(C161,PROYECTO_CHARLY,2,FALSE),VLOOKUP(B161,PROYECTO_CHARLY,2,FALSE)),0)</f>
        <v>0</v>
      </c>
      <c r="E161" s="370" t="str">
        <f>IFERROR(IF(VLOOKUP(D161,TURNOS_SERVICIOS,2,FALSE)=0,"-",VLOOKUP(D161,TURNOS_SERVICIOS,2,FALSE)),"-")</f>
        <v>-</v>
      </c>
      <c r="F161" s="371" t="str">
        <f>IFERROR(IF(VLOOKUP(D161,TURNOS_SERVICIOS,3,FALSE)=0,"-",VLOOKUP(D161,TURNOS_SERVICIOS,3,FALSE)),"-")</f>
        <v>-</v>
      </c>
      <c r="G161" s="371">
        <f>IFERROR(IF(VLOOKUP(D161,TURNOS_SERVICIOS,4,FALSE)=0,"SIN TURNO",VLOOKUP(D161,TURNOS_SERVICIOS,4,FALSE)),0)</f>
        <v>0</v>
      </c>
      <c r="H161" s="371">
        <f>IFERROR(IF(VLOOKUP(D161,TURNOS_SERVICIOS,5,FALSE)=0,"SIN SERVICIO",VLOOKUP(D161,TURNOS_SERVICIOS,5,FALSE)),0)</f>
        <v>0</v>
      </c>
      <c r="I161" s="363">
        <f>IFERROR(IF(VLOOKUP(D161,TURNOS_SERVICIOS,6,FALSE)=0,"-",VLOOKUP(D161,TURNOS_SERVICIOS,6,FALSE)),0)</f>
        <v>0</v>
      </c>
      <c r="J161" s="363">
        <f>IFERROR(IF(VLOOKUP(D161,TURNOS_SERVICIOS,7,FALSE)=0,"-",VLOOKUP(D161,TURNOS_SERVICIOS,7,FALSE)),0)</f>
        <v>0</v>
      </c>
      <c r="K161" s="364">
        <f>IFERROR(VLOOKUP(D161,TURNOS_SERVICIOS,8,FALSE),0)</f>
        <v>0</v>
      </c>
      <c r="L161" s="365" t="str">
        <f>IFERROR(IF(VLOOKUP(D161,TURNOS_SERVICIOS,9,FALSE)=0,"",VLOOKUP(D161,TURNOS_SERVICIOS,9,FALSE)),"")</f>
        <v/>
      </c>
      <c r="N161" s="165"/>
    </row>
    <row r="162" spans="1:14" s="166" customFormat="1" hidden="1" x14ac:dyDescent="0.3">
      <c r="A162" s="176">
        <f>IF(D162&lt;&gt;0,22,0)</f>
        <v>0</v>
      </c>
      <c r="B162" s="176" t="s">
        <v>1137</v>
      </c>
      <c r="C162" s="176" t="s">
        <v>2877</v>
      </c>
      <c r="D162" s="369">
        <f>IFERROR(IFERROR(VLOOKUP(C162,PROYECTO_CHARLY,2,FALSE),VLOOKUP(B162,PROYECTO_CHARLY,2,FALSE)),0)</f>
        <v>0</v>
      </c>
      <c r="E162" s="370" t="str">
        <f>IFERROR(IF(VLOOKUP(D162,TURNOS_SERVICIOS,2,FALSE)=0,"-",VLOOKUP(D162,TURNOS_SERVICIOS,2,FALSE)),"-")</f>
        <v>-</v>
      </c>
      <c r="F162" s="371" t="str">
        <f>IFERROR(IF(VLOOKUP(D162,TURNOS_SERVICIOS,3,FALSE)=0,"-",VLOOKUP(D162,TURNOS_SERVICIOS,3,FALSE)),"-")</f>
        <v>-</v>
      </c>
      <c r="G162" s="371">
        <f>IFERROR(IF(VLOOKUP(D162,TURNOS_SERVICIOS,4,FALSE)=0,"SIN TURNO",VLOOKUP(D162,TURNOS_SERVICIOS,4,FALSE)),0)</f>
        <v>0</v>
      </c>
      <c r="H162" s="371">
        <f>IFERROR(IF(VLOOKUP(D162,TURNOS_SERVICIOS,5,FALSE)=0,"SIN SERVICIO",VLOOKUP(D162,TURNOS_SERVICIOS,5,FALSE)),0)</f>
        <v>0</v>
      </c>
      <c r="I162" s="363">
        <f>IFERROR(IF(VLOOKUP(D162,TURNOS_SERVICIOS,6,FALSE)=0,"-",VLOOKUP(D162,TURNOS_SERVICIOS,6,FALSE)),0)</f>
        <v>0</v>
      </c>
      <c r="J162" s="363">
        <f>IFERROR(IF(VLOOKUP(D162,TURNOS_SERVICIOS,7,FALSE)=0,"-",VLOOKUP(D162,TURNOS_SERVICIOS,7,FALSE)),0)</f>
        <v>0</v>
      </c>
      <c r="K162" s="364">
        <f>IFERROR(VLOOKUP(D162,TURNOS_SERVICIOS,8,FALSE),0)</f>
        <v>0</v>
      </c>
      <c r="L162" s="365" t="str">
        <f>IFERROR(IF(VLOOKUP(D162,TURNOS_SERVICIOS,9,FALSE)=0,"",VLOOKUP(D162,TURNOS_SERVICIOS,9,FALSE)),"")</f>
        <v/>
      </c>
      <c r="N162" s="165"/>
    </row>
    <row r="163" spans="1:14" s="166" customFormat="1" hidden="1" x14ac:dyDescent="0.3">
      <c r="A163" s="176">
        <f>IF(D163&lt;&gt;0,22,0)</f>
        <v>0</v>
      </c>
      <c r="B163" s="176" t="s">
        <v>1138</v>
      </c>
      <c r="C163" s="176" t="s">
        <v>2878</v>
      </c>
      <c r="D163" s="369">
        <f>IFERROR(IFERROR(VLOOKUP(C163,PROYECTO_CHARLY,2,FALSE),VLOOKUP(B163,PROYECTO_CHARLY,2,FALSE)),0)</f>
        <v>0</v>
      </c>
      <c r="E163" s="370" t="str">
        <f>IFERROR(IF(VLOOKUP(D163,TURNOS_SERVICIOS,2,FALSE)=0,"-",VLOOKUP(D163,TURNOS_SERVICIOS,2,FALSE)),"-")</f>
        <v>-</v>
      </c>
      <c r="F163" s="371" t="str">
        <f>IFERROR(IF(VLOOKUP(D163,TURNOS_SERVICIOS,3,FALSE)=0,"-",VLOOKUP(D163,TURNOS_SERVICIOS,3,FALSE)),"-")</f>
        <v>-</v>
      </c>
      <c r="G163" s="371">
        <f>IFERROR(IF(VLOOKUP(D163,TURNOS_SERVICIOS,4,FALSE)=0,"SIN TURNO",VLOOKUP(D163,TURNOS_SERVICIOS,4,FALSE)),0)</f>
        <v>0</v>
      </c>
      <c r="H163" s="371">
        <f>IFERROR(IF(VLOOKUP(D163,TURNOS_SERVICIOS,5,FALSE)=0,"SIN SERVICIO",VLOOKUP(D163,TURNOS_SERVICIOS,5,FALSE)),0)</f>
        <v>0</v>
      </c>
      <c r="I163" s="363">
        <f>IFERROR(IF(VLOOKUP(D163,TURNOS_SERVICIOS,6,FALSE)=0,"-",VLOOKUP(D163,TURNOS_SERVICIOS,6,FALSE)),0)</f>
        <v>0</v>
      </c>
      <c r="J163" s="363">
        <f>IFERROR(IF(VLOOKUP(D163,TURNOS_SERVICIOS,7,FALSE)=0,"-",VLOOKUP(D163,TURNOS_SERVICIOS,7,FALSE)),0)</f>
        <v>0</v>
      </c>
      <c r="K163" s="364">
        <f>IFERROR(VLOOKUP(D163,TURNOS_SERVICIOS,8,FALSE),0)</f>
        <v>0</v>
      </c>
      <c r="L163" s="365" t="str">
        <f>IFERROR(IF(VLOOKUP(D163,TURNOS_SERVICIOS,9,FALSE)=0,"",VLOOKUP(D163,TURNOS_SERVICIOS,9,FALSE)),"")</f>
        <v/>
      </c>
      <c r="N163" s="165"/>
    </row>
    <row r="164" spans="1:14" s="166" customFormat="1" hidden="1" x14ac:dyDescent="0.3">
      <c r="A164" s="176" t="e">
        <f>IF(#REF!&lt;&gt;0,22,0)</f>
        <v>#REF!</v>
      </c>
      <c r="B164" s="162"/>
      <c r="C164" s="162"/>
      <c r="D164" s="1123"/>
      <c r="E164" s="1123"/>
      <c r="F164" s="1123"/>
      <c r="G164" s="1123"/>
      <c r="H164" s="1123"/>
      <c r="I164" s="1123"/>
      <c r="J164" s="1123"/>
      <c r="K164" s="1123"/>
      <c r="L164" s="1124"/>
      <c r="N164" s="165"/>
    </row>
    <row r="165" spans="1:14" s="166" customFormat="1" hidden="1" x14ac:dyDescent="0.3">
      <c r="A165" s="176">
        <f>IF(D165&lt;&gt;0,22,0)</f>
        <v>0</v>
      </c>
      <c r="B165" s="176" t="s">
        <v>1139</v>
      </c>
      <c r="C165" s="176" t="s">
        <v>2879</v>
      </c>
      <c r="D165" s="369">
        <f>IFERROR(IFERROR(VLOOKUP(C165,PROYECTO_CHARLY,2,FALSE),VLOOKUP(B165,PROYECTO_CHARLY,2,FALSE)),0)</f>
        <v>0</v>
      </c>
      <c r="E165" s="370" t="str">
        <f>IFERROR(IF(VLOOKUP(D165,TURNOS_SERVICIOS,2,FALSE)=0,"-",VLOOKUP(D165,TURNOS_SERVICIOS,2,FALSE)),"-")</f>
        <v>-</v>
      </c>
      <c r="F165" s="371" t="str">
        <f>IFERROR(IF(VLOOKUP(D165,TURNOS_SERVICIOS,3,FALSE)=0,"-",VLOOKUP(D165,TURNOS_SERVICIOS,3,FALSE)),"-")</f>
        <v>-</v>
      </c>
      <c r="G165" s="371">
        <f>IFERROR(IF(VLOOKUP(D165,TURNOS_SERVICIOS,4,FALSE)=0,"SIN TURNO",VLOOKUP(D165,TURNOS_SERVICIOS,4,FALSE)),0)</f>
        <v>0</v>
      </c>
      <c r="H165" s="371">
        <f>IFERROR(IF(VLOOKUP(D165,TURNOS_SERVICIOS,5,FALSE)=0,"SIN SERVICIO",VLOOKUP(D165,TURNOS_SERVICIOS,5,FALSE)),0)</f>
        <v>0</v>
      </c>
      <c r="I165" s="363">
        <f>IFERROR(IF(VLOOKUP(D165,TURNOS_SERVICIOS,6,FALSE)=0,"-",VLOOKUP(D165,TURNOS_SERVICIOS,6,FALSE)),0)</f>
        <v>0</v>
      </c>
      <c r="J165" s="363">
        <f>IFERROR(IF(VLOOKUP(D165,TURNOS_SERVICIOS,7,FALSE)=0,"-",VLOOKUP(D165,TURNOS_SERVICIOS,7,FALSE)),0)</f>
        <v>0</v>
      </c>
      <c r="K165" s="364">
        <f>IFERROR(VLOOKUP(D165,TURNOS_SERVICIOS,8,FALSE),0)</f>
        <v>0</v>
      </c>
      <c r="L165" s="365" t="str">
        <f>IFERROR(IF(VLOOKUP(D165,TURNOS_SERVICIOS,9,FALSE)=0,"",VLOOKUP(D165,TURNOS_SERVICIOS,9,FALSE)),"")</f>
        <v/>
      </c>
      <c r="N165" s="165"/>
    </row>
    <row r="166" spans="1:14" s="166" customFormat="1" hidden="1" x14ac:dyDescent="0.3">
      <c r="A166" s="176">
        <f>IF(D166&lt;&gt;0,22,0)</f>
        <v>0</v>
      </c>
      <c r="B166" s="176" t="s">
        <v>1140</v>
      </c>
      <c r="C166" s="176" t="s">
        <v>2880</v>
      </c>
      <c r="D166" s="369">
        <f>IFERROR(IFERROR(VLOOKUP(C166,PROYECTO_CHARLY,2,FALSE),VLOOKUP(B166,PROYECTO_CHARLY,2,FALSE)),0)</f>
        <v>0</v>
      </c>
      <c r="E166" s="370" t="str">
        <f>IFERROR(IF(VLOOKUP(D166,TURNOS_SERVICIOS,2,FALSE)=0,"-",VLOOKUP(D166,TURNOS_SERVICIOS,2,FALSE)),"-")</f>
        <v>-</v>
      </c>
      <c r="F166" s="371" t="str">
        <f>IFERROR(IF(VLOOKUP(D166,TURNOS_SERVICIOS,3,FALSE)=0,"-",VLOOKUP(D166,TURNOS_SERVICIOS,3,FALSE)),"-")</f>
        <v>-</v>
      </c>
      <c r="G166" s="371">
        <f>IFERROR(IF(VLOOKUP(D166,TURNOS_SERVICIOS,4,FALSE)=0,"SIN TURNO",VLOOKUP(D166,TURNOS_SERVICIOS,4,FALSE)),0)</f>
        <v>0</v>
      </c>
      <c r="H166" s="371">
        <f>IFERROR(IF(VLOOKUP(D166,TURNOS_SERVICIOS,5,FALSE)=0,"SIN SERVICIO",VLOOKUP(D166,TURNOS_SERVICIOS,5,FALSE)),0)</f>
        <v>0</v>
      </c>
      <c r="I166" s="363">
        <f>IFERROR(IF(VLOOKUP(D166,TURNOS_SERVICIOS,6,FALSE)=0,"-",VLOOKUP(D166,TURNOS_SERVICIOS,6,FALSE)),0)</f>
        <v>0</v>
      </c>
      <c r="J166" s="363">
        <f>IFERROR(IF(VLOOKUP(D166,TURNOS_SERVICIOS,7,FALSE)=0,"-",VLOOKUP(D166,TURNOS_SERVICIOS,7,FALSE)),0)</f>
        <v>0</v>
      </c>
      <c r="K166" s="364">
        <f>IFERROR(VLOOKUP(D166,TURNOS_SERVICIOS,8,FALSE),0)</f>
        <v>0</v>
      </c>
      <c r="L166" s="365" t="str">
        <f>IFERROR(IF(VLOOKUP(D166,TURNOS_SERVICIOS,9,FALSE)=0,"",VLOOKUP(D166,TURNOS_SERVICIOS,9,FALSE)),"")</f>
        <v/>
      </c>
      <c r="N166" s="165"/>
    </row>
    <row r="167" spans="1:14" s="166" customFormat="1" hidden="1" x14ac:dyDescent="0.3">
      <c r="A167" s="176">
        <f>IF(D167&lt;&gt;0,22,0)</f>
        <v>0</v>
      </c>
      <c r="B167" s="176" t="s">
        <v>1141</v>
      </c>
      <c r="C167" s="176" t="s">
        <v>2881</v>
      </c>
      <c r="D167" s="369">
        <f>IFERROR(IFERROR(VLOOKUP(C167,PROYECTO_CHARLY,2,FALSE),VLOOKUP(B167,PROYECTO_CHARLY,2,FALSE)),0)</f>
        <v>0</v>
      </c>
      <c r="E167" s="370" t="str">
        <f>IFERROR(IF(VLOOKUP(D167,TURNOS_SERVICIOS,2,FALSE)=0,"-",VLOOKUP(D167,TURNOS_SERVICIOS,2,FALSE)),"-")</f>
        <v>-</v>
      </c>
      <c r="F167" s="371" t="str">
        <f>IFERROR(IF(VLOOKUP(D167,TURNOS_SERVICIOS,3,FALSE)=0,"-",VLOOKUP(D167,TURNOS_SERVICIOS,3,FALSE)),"-")</f>
        <v>-</v>
      </c>
      <c r="G167" s="371">
        <f>IFERROR(IF(VLOOKUP(D167,TURNOS_SERVICIOS,4,FALSE)=0,"SIN TURNO",VLOOKUP(D167,TURNOS_SERVICIOS,4,FALSE)),0)</f>
        <v>0</v>
      </c>
      <c r="H167" s="371">
        <f>IFERROR(IF(VLOOKUP(D167,TURNOS_SERVICIOS,5,FALSE)=0,"SIN SERVICIO",VLOOKUP(D167,TURNOS_SERVICIOS,5,FALSE)),0)</f>
        <v>0</v>
      </c>
      <c r="I167" s="363">
        <f>IFERROR(IF(VLOOKUP(D167,TURNOS_SERVICIOS,6,FALSE)=0,"-",VLOOKUP(D167,TURNOS_SERVICIOS,6,FALSE)),0)</f>
        <v>0</v>
      </c>
      <c r="J167" s="363">
        <f>IFERROR(IF(VLOOKUP(D167,TURNOS_SERVICIOS,7,FALSE)=0,"-",VLOOKUP(D167,TURNOS_SERVICIOS,7,FALSE)),0)</f>
        <v>0</v>
      </c>
      <c r="K167" s="364">
        <f>IFERROR(VLOOKUP(D167,TURNOS_SERVICIOS,8,FALSE),0)</f>
        <v>0</v>
      </c>
      <c r="L167" s="365" t="str">
        <f>IFERROR(IF(VLOOKUP(D167,TURNOS_SERVICIOS,9,FALSE)=0,"",VLOOKUP(D167,TURNOS_SERVICIOS,9,FALSE)),"")</f>
        <v/>
      </c>
      <c r="N167" s="165"/>
    </row>
    <row r="168" spans="1:14" s="166" customFormat="1" hidden="1" x14ac:dyDescent="0.3">
      <c r="A168" s="176">
        <f>IF(D168&lt;&gt;0,22,0)</f>
        <v>0</v>
      </c>
      <c r="B168" s="176" t="s">
        <v>1142</v>
      </c>
      <c r="C168" s="176" t="s">
        <v>2882</v>
      </c>
      <c r="D168" s="369">
        <f>IFERROR(IFERROR(VLOOKUP(C168,PROYECTO_CHARLY,2,FALSE),VLOOKUP(B168,PROYECTO_CHARLY,2,FALSE)),0)</f>
        <v>0</v>
      </c>
      <c r="E168" s="370" t="str">
        <f>IFERROR(IF(VLOOKUP(D168,TURNOS_SERVICIOS,2,FALSE)=0,"-",VLOOKUP(D168,TURNOS_SERVICIOS,2,FALSE)),"-")</f>
        <v>-</v>
      </c>
      <c r="F168" s="371" t="str">
        <f>IFERROR(IF(VLOOKUP(D168,TURNOS_SERVICIOS,3,FALSE)=0,"-",VLOOKUP(D168,TURNOS_SERVICIOS,3,FALSE)),"-")</f>
        <v>-</v>
      </c>
      <c r="G168" s="371">
        <f>IFERROR(IF(VLOOKUP(D168,TURNOS_SERVICIOS,4,FALSE)=0,"SIN TURNO",VLOOKUP(D168,TURNOS_SERVICIOS,4,FALSE)),0)</f>
        <v>0</v>
      </c>
      <c r="H168" s="371">
        <f>IFERROR(IF(VLOOKUP(D168,TURNOS_SERVICIOS,5,FALSE)=0,"SIN SERVICIO",VLOOKUP(D168,TURNOS_SERVICIOS,5,FALSE)),0)</f>
        <v>0</v>
      </c>
      <c r="I168" s="363">
        <f>IFERROR(IF(VLOOKUP(D168,TURNOS_SERVICIOS,6,FALSE)=0,"-",VLOOKUP(D168,TURNOS_SERVICIOS,6,FALSE)),0)</f>
        <v>0</v>
      </c>
      <c r="J168" s="363">
        <f>IFERROR(IF(VLOOKUP(D168,TURNOS_SERVICIOS,7,FALSE)=0,"-",VLOOKUP(D168,TURNOS_SERVICIOS,7,FALSE)),0)</f>
        <v>0</v>
      </c>
      <c r="K168" s="364">
        <f>IFERROR(VLOOKUP(D168,TURNOS_SERVICIOS,8,FALSE),0)</f>
        <v>0</v>
      </c>
      <c r="L168" s="365" t="str">
        <f>IFERROR(IF(VLOOKUP(D168,TURNOS_SERVICIOS,9,FALSE)=0,"",VLOOKUP(D168,TURNOS_SERVICIOS,9,FALSE)),"")</f>
        <v/>
      </c>
      <c r="N168" s="165"/>
    </row>
    <row r="169" spans="1:14" s="166" customFormat="1" hidden="1" x14ac:dyDescent="0.3">
      <c r="A169" s="176">
        <f>IF(D170&lt;&gt;0,22,0)</f>
        <v>0</v>
      </c>
      <c r="B169" s="162"/>
      <c r="C169" s="162"/>
      <c r="D169" s="1123"/>
      <c r="E169" s="1123"/>
      <c r="F169" s="1123"/>
      <c r="G169" s="1123"/>
      <c r="H169" s="1123"/>
      <c r="I169" s="1123"/>
      <c r="J169" s="1123"/>
      <c r="K169" s="1123"/>
      <c r="L169" s="1123"/>
      <c r="N169" s="165"/>
    </row>
    <row r="170" spans="1:14" s="166" customFormat="1" hidden="1" x14ac:dyDescent="0.3">
      <c r="A170" s="176">
        <f>IF(D170&lt;&gt;0,22,0)</f>
        <v>0</v>
      </c>
      <c r="B170" s="176" t="s">
        <v>1143</v>
      </c>
      <c r="C170" s="176" t="s">
        <v>2883</v>
      </c>
      <c r="D170" s="360">
        <f>IFERROR(IFERROR(VLOOKUP(C170,PROYECTO_CHARLY,2,FALSE),VLOOKUP(B170,PROYECTO_CHARLY,2,FALSE)),0)</f>
        <v>0</v>
      </c>
      <c r="E170" s="361" t="str">
        <f>IFERROR(IF(VLOOKUP(D170,TURNOS_SERVICIOS,2,FALSE)=0,"-",VLOOKUP(D170,TURNOS_SERVICIOS,2,FALSE)),"-")</f>
        <v>-</v>
      </c>
      <c r="F170" s="362" t="str">
        <f>IFERROR(IF(VLOOKUP(D170,TURNOS_SERVICIOS,3,FALSE)=0,"-",VLOOKUP(D170,TURNOS_SERVICIOS,3,FALSE)),"-")</f>
        <v>-</v>
      </c>
      <c r="G170" s="362">
        <f>IFERROR(IF(VLOOKUP(D170,TURNOS_SERVICIOS,4,FALSE)=0,"SIN TURNO",VLOOKUP(D170,TURNOS_SERVICIOS,4,FALSE)),0)</f>
        <v>0</v>
      </c>
      <c r="H170" s="362">
        <f>IFERROR(IF(VLOOKUP(D170,TURNOS_SERVICIOS,5,FALSE)=0,"SIN SERVICIO",VLOOKUP(D170,TURNOS_SERVICIOS,5,FALSE)),0)</f>
        <v>0</v>
      </c>
      <c r="I170" s="367">
        <f>IFERROR(IF(VLOOKUP(D170,TURNOS_SERVICIOS,6,FALSE)=0,"-",VLOOKUP(D170,TURNOS_SERVICIOS,6,FALSE)),0)</f>
        <v>0</v>
      </c>
      <c r="J170" s="367">
        <f>IFERROR(IF(VLOOKUP(D170,TURNOS_SERVICIOS,7,FALSE)=0,"-",VLOOKUP(D170,TURNOS_SERVICIOS,7,FALSE)),0)</f>
        <v>0</v>
      </c>
      <c r="K170" s="368">
        <f>IFERROR(VLOOKUP(D170,TURNOS_SERVICIOS,8,FALSE),0)</f>
        <v>0</v>
      </c>
      <c r="L170" s="365" t="str">
        <f>IFERROR(IF(VLOOKUP(D170,TURNOS_SERVICIOS,9,FALSE)=0,"",VLOOKUP(D170,TURNOS_SERVICIOS,9,FALSE)),"")</f>
        <v/>
      </c>
      <c r="N170" s="165"/>
    </row>
    <row r="171" spans="1:14" s="166" customFormat="1" hidden="1" x14ac:dyDescent="0.3">
      <c r="A171" s="176">
        <f>IF(D171&lt;&gt;0,22,0)</f>
        <v>0</v>
      </c>
      <c r="B171" s="176" t="s">
        <v>1144</v>
      </c>
      <c r="C171" s="176" t="s">
        <v>2884</v>
      </c>
      <c r="D171" s="369">
        <f>IFERROR(IFERROR(VLOOKUP(C171,PROYECTO_CHARLY,2,FALSE),VLOOKUP(B171,PROYECTO_CHARLY,2,FALSE)),0)</f>
        <v>0</v>
      </c>
      <c r="E171" s="370" t="str">
        <f>IFERROR(IF(VLOOKUP(D171,TURNOS_SERVICIOS,2,FALSE)=0,"-",VLOOKUP(D171,TURNOS_SERVICIOS,2,FALSE)),"-")</f>
        <v>-</v>
      </c>
      <c r="F171" s="371" t="str">
        <f>IFERROR(IF(VLOOKUP(D171,TURNOS_SERVICIOS,3,FALSE)=0,"-",VLOOKUP(D171,TURNOS_SERVICIOS,3,FALSE)),"-")</f>
        <v>-</v>
      </c>
      <c r="G171" s="371">
        <f>IFERROR(IF(VLOOKUP(D171,TURNOS_SERVICIOS,4,FALSE)=0,"SIN TURNO",VLOOKUP(D171,TURNOS_SERVICIOS,4,FALSE)),0)</f>
        <v>0</v>
      </c>
      <c r="H171" s="371">
        <f>IFERROR(IF(VLOOKUP(D171,TURNOS_SERVICIOS,5,FALSE)=0,"SIN SERVICIO",VLOOKUP(D171,TURNOS_SERVICIOS,5,FALSE)),0)</f>
        <v>0</v>
      </c>
      <c r="I171" s="363">
        <f>IFERROR(IF(VLOOKUP(D171,TURNOS_SERVICIOS,6,FALSE)=0,"-",VLOOKUP(D171,TURNOS_SERVICIOS,6,FALSE)),0)</f>
        <v>0</v>
      </c>
      <c r="J171" s="363">
        <f>IFERROR(IF(VLOOKUP(D171,TURNOS_SERVICIOS,7,FALSE)=0,"-",VLOOKUP(D171,TURNOS_SERVICIOS,7,FALSE)),0)</f>
        <v>0</v>
      </c>
      <c r="K171" s="364">
        <f>IFERROR(VLOOKUP(D171,TURNOS_SERVICIOS,8,FALSE),0)</f>
        <v>0</v>
      </c>
      <c r="L171" s="365" t="str">
        <f>IFERROR(IF(VLOOKUP(D171,TURNOS_SERVICIOS,9,FALSE)=0,"",VLOOKUP(D171,TURNOS_SERVICIOS,9,FALSE)),"")</f>
        <v/>
      </c>
      <c r="N171" s="165"/>
    </row>
    <row r="172" spans="1:14" s="166" customFormat="1" hidden="1" x14ac:dyDescent="0.3">
      <c r="A172" s="176">
        <f>IF(D172&lt;&gt;0,22,0)</f>
        <v>0</v>
      </c>
      <c r="B172" s="176" t="s">
        <v>1145</v>
      </c>
      <c r="C172" s="176" t="s">
        <v>2885</v>
      </c>
      <c r="D172" s="369">
        <f>IFERROR(IFERROR(VLOOKUP(C172,PROYECTO_CHARLY,2,FALSE),VLOOKUP(B172,PROYECTO_CHARLY,2,FALSE)),0)</f>
        <v>0</v>
      </c>
      <c r="E172" s="370" t="str">
        <f>IFERROR(IF(VLOOKUP(D172,TURNOS_SERVICIOS,2,FALSE)=0,"-",VLOOKUP(D172,TURNOS_SERVICIOS,2,FALSE)),"-")</f>
        <v>-</v>
      </c>
      <c r="F172" s="371" t="str">
        <f>IFERROR(IF(VLOOKUP(D172,TURNOS_SERVICIOS,3,FALSE)=0,"-",VLOOKUP(D172,TURNOS_SERVICIOS,3,FALSE)),"-")</f>
        <v>-</v>
      </c>
      <c r="G172" s="371">
        <f>IFERROR(IF(VLOOKUP(D172,TURNOS_SERVICIOS,4,FALSE)=0,"SIN TURNO",VLOOKUP(D172,TURNOS_SERVICIOS,4,FALSE)),0)</f>
        <v>0</v>
      </c>
      <c r="H172" s="371">
        <f>IFERROR(IF(VLOOKUP(D172,TURNOS_SERVICIOS,5,FALSE)=0,"SIN SERVICIO",VLOOKUP(D172,TURNOS_SERVICIOS,5,FALSE)),0)</f>
        <v>0</v>
      </c>
      <c r="I172" s="363">
        <f>IFERROR(IF(VLOOKUP(D172,TURNOS_SERVICIOS,6,FALSE)=0,"-",VLOOKUP(D172,TURNOS_SERVICIOS,6,FALSE)),0)</f>
        <v>0</v>
      </c>
      <c r="J172" s="363">
        <f>IFERROR(IF(VLOOKUP(D172,TURNOS_SERVICIOS,7,FALSE)=0,"-",VLOOKUP(D172,TURNOS_SERVICIOS,7,FALSE)),0)</f>
        <v>0</v>
      </c>
      <c r="K172" s="364">
        <f>IFERROR(VLOOKUP(D172,TURNOS_SERVICIOS,8,FALSE),0)</f>
        <v>0</v>
      </c>
      <c r="L172" s="365" t="str">
        <f>IFERROR(IF(VLOOKUP(D172,TURNOS_SERVICIOS,9,FALSE)=0,"",VLOOKUP(D172,TURNOS_SERVICIOS,9,FALSE)),"")</f>
        <v/>
      </c>
      <c r="N172" s="165"/>
    </row>
    <row r="173" spans="1:14" s="166" customFormat="1" hidden="1" x14ac:dyDescent="0.3">
      <c r="A173" s="176">
        <f>IF(D173&lt;&gt;0,22,0)</f>
        <v>0</v>
      </c>
      <c r="B173" s="176" t="s">
        <v>1146</v>
      </c>
      <c r="C173" s="176" t="s">
        <v>2886</v>
      </c>
      <c r="D173" s="369">
        <f>IFERROR(IFERROR(VLOOKUP(C173,PROYECTO_CHARLY,2,FALSE),VLOOKUP(B173,PROYECTO_CHARLY,2,FALSE)),0)</f>
        <v>0</v>
      </c>
      <c r="E173" s="370" t="str">
        <f>IFERROR(IF(VLOOKUP(D173,TURNOS_SERVICIOS,2,FALSE)=0,"-",VLOOKUP(D173,TURNOS_SERVICIOS,2,FALSE)),"-")</f>
        <v>-</v>
      </c>
      <c r="F173" s="371" t="str">
        <f>IFERROR(IF(VLOOKUP(D173,TURNOS_SERVICIOS,3,FALSE)=0,"-",VLOOKUP(D173,TURNOS_SERVICIOS,3,FALSE)),"-")</f>
        <v>-</v>
      </c>
      <c r="G173" s="371">
        <f>IFERROR(IF(VLOOKUP(D173,TURNOS_SERVICIOS,4,FALSE)=0,"SIN TURNO",VLOOKUP(D173,TURNOS_SERVICIOS,4,FALSE)),0)</f>
        <v>0</v>
      </c>
      <c r="H173" s="371">
        <f>IFERROR(IF(VLOOKUP(D173,TURNOS_SERVICIOS,5,FALSE)=0,"SIN SERVICIO",VLOOKUP(D173,TURNOS_SERVICIOS,5,FALSE)),0)</f>
        <v>0</v>
      </c>
      <c r="I173" s="363">
        <f>IFERROR(IF(VLOOKUP(D173,TURNOS_SERVICIOS,6,FALSE)=0,"-",VLOOKUP(D173,TURNOS_SERVICIOS,6,FALSE)),0)</f>
        <v>0</v>
      </c>
      <c r="J173" s="363">
        <f>IFERROR(IF(VLOOKUP(D173,TURNOS_SERVICIOS,7,FALSE)=0,"-",VLOOKUP(D173,TURNOS_SERVICIOS,7,FALSE)),0)</f>
        <v>0</v>
      </c>
      <c r="K173" s="364">
        <f>IFERROR(VLOOKUP(D173,TURNOS_SERVICIOS,8,FALSE),0)</f>
        <v>0</v>
      </c>
      <c r="L173" s="365" t="str">
        <f>IFERROR(IF(VLOOKUP(D173,TURNOS_SERVICIOS,9,FALSE)=0,"",VLOOKUP(D173,TURNOS_SERVICIOS,9,FALSE)),"")</f>
        <v/>
      </c>
      <c r="N173" s="165"/>
    </row>
    <row r="174" spans="1:14" s="166" customFormat="1" hidden="1" x14ac:dyDescent="0.3">
      <c r="A174" s="176">
        <f>IF(D174&lt;&gt;0,22,0)</f>
        <v>0</v>
      </c>
      <c r="B174" s="176" t="s">
        <v>1147</v>
      </c>
      <c r="C174" s="176" t="s">
        <v>2887</v>
      </c>
      <c r="D174" s="369">
        <f>IFERROR(IFERROR(VLOOKUP(C174,PROYECTO_CHARLY,2,FALSE),VLOOKUP(B174,PROYECTO_CHARLY,2,FALSE)),0)</f>
        <v>0</v>
      </c>
      <c r="E174" s="370" t="str">
        <f>IFERROR(IF(VLOOKUP(D174,TURNOS_SERVICIOS,2,FALSE)=0,"-",VLOOKUP(D174,TURNOS_SERVICIOS,2,FALSE)),"-")</f>
        <v>-</v>
      </c>
      <c r="F174" s="371" t="str">
        <f>IFERROR(IF(VLOOKUP(D174,TURNOS_SERVICIOS,3,FALSE)=0,"-",VLOOKUP(D174,TURNOS_SERVICIOS,3,FALSE)),"-")</f>
        <v>-</v>
      </c>
      <c r="G174" s="371">
        <f>IFERROR(IF(VLOOKUP(D174,TURNOS_SERVICIOS,4,FALSE)=0,"SIN TURNO",VLOOKUP(D174,TURNOS_SERVICIOS,4,FALSE)),0)</f>
        <v>0</v>
      </c>
      <c r="H174" s="371">
        <f>IFERROR(IF(VLOOKUP(D174,TURNOS_SERVICIOS,5,FALSE)=0,"SIN SERVICIO",VLOOKUP(D174,TURNOS_SERVICIOS,5,FALSE)),0)</f>
        <v>0</v>
      </c>
      <c r="I174" s="363">
        <f>IFERROR(IF(VLOOKUP(D174,TURNOS_SERVICIOS,6,FALSE)=0,"-",VLOOKUP(D174,TURNOS_SERVICIOS,6,FALSE)),0)</f>
        <v>0</v>
      </c>
      <c r="J174" s="363">
        <f>IFERROR(IF(VLOOKUP(D174,TURNOS_SERVICIOS,7,FALSE)=0,"-",VLOOKUP(D174,TURNOS_SERVICIOS,7,FALSE)),0)</f>
        <v>0</v>
      </c>
      <c r="K174" s="364">
        <f>IFERROR(VLOOKUP(D174,TURNOS_SERVICIOS,8,FALSE),0)</f>
        <v>0</v>
      </c>
      <c r="L174" s="365" t="str">
        <f>IFERROR(IF(VLOOKUP(D174,TURNOS_SERVICIOS,9,FALSE)=0,"",VLOOKUP(D174,TURNOS_SERVICIOS,9,FALSE)),"")</f>
        <v/>
      </c>
      <c r="N174" s="165"/>
    </row>
    <row r="175" spans="1:14" s="166" customFormat="1" hidden="1" x14ac:dyDescent="0.3">
      <c r="A175" s="176">
        <f>IF(D176&lt;&gt;0,22,0)</f>
        <v>0</v>
      </c>
      <c r="B175" s="162"/>
      <c r="C175" s="162"/>
      <c r="D175" s="1123"/>
      <c r="E175" s="1124"/>
      <c r="F175" s="1123"/>
      <c r="G175" s="1123"/>
      <c r="H175" s="1123"/>
      <c r="I175" s="1123"/>
      <c r="J175" s="1123"/>
      <c r="K175" s="1123"/>
      <c r="L175" s="1124"/>
      <c r="N175" s="165"/>
    </row>
    <row r="176" spans="1:14" s="166" customFormat="1" hidden="1" x14ac:dyDescent="0.3">
      <c r="A176" s="176">
        <f>IF(D176&lt;&gt;0,22,0)</f>
        <v>0</v>
      </c>
      <c r="B176" s="176" t="s">
        <v>1629</v>
      </c>
      <c r="C176" s="176"/>
      <c r="D176" s="360">
        <f>IFERROR(IFERROR(VLOOKUP(C176,PROYECTO_CHARLY,2,FALSE),VLOOKUP(B176,PROYECTO_CHARLY,2,FALSE)),0)</f>
        <v>0</v>
      </c>
      <c r="E176" s="361" t="str">
        <f>IFERROR(IF(VLOOKUP(D176,TURNOS_SERVICIOS,2,FALSE)=0,"-",VLOOKUP(D176,TURNOS_SERVICIOS,2,FALSE)),"-")</f>
        <v>-</v>
      </c>
      <c r="F176" s="362" t="str">
        <f>IFERROR(IF(VLOOKUP(D176,TURNOS_SERVICIOS,3,FALSE)=0,"-",VLOOKUP(D176,TURNOS_SERVICIOS,3,FALSE)),"-")</f>
        <v>-</v>
      </c>
      <c r="G176" s="362">
        <f>IFERROR(IF(VLOOKUP(D176,TURNOS_SERVICIOS,4,FALSE)=0,"SIN TURNO",VLOOKUP(D176,TURNOS_SERVICIOS,4,FALSE)),0)</f>
        <v>0</v>
      </c>
      <c r="H176" s="362">
        <f>IFERROR(IF(VLOOKUP(D176,TURNOS_SERVICIOS,5,FALSE)=0,"SIN SERVICIO",VLOOKUP(D176,TURNOS_SERVICIOS,5,FALSE)),0)</f>
        <v>0</v>
      </c>
      <c r="I176" s="367">
        <f>IFERROR(IF(VLOOKUP(D176,TURNOS_SERVICIOS,6,FALSE)=0,"-",VLOOKUP(D176,TURNOS_SERVICIOS,6,FALSE)),0)</f>
        <v>0</v>
      </c>
      <c r="J176" s="367">
        <f>IFERROR(IF(VLOOKUP(D176,TURNOS_SERVICIOS,7,FALSE)=0,"-",VLOOKUP(D176,TURNOS_SERVICIOS,7,FALSE)),0)</f>
        <v>0</v>
      </c>
      <c r="K176" s="368">
        <f>IFERROR(VLOOKUP(D176,TURNOS_SERVICIOS,8,FALSE),0)</f>
        <v>0</v>
      </c>
      <c r="L176" s="365" t="str">
        <f>IFERROR(IF(VLOOKUP(D176,TURNOS_SERVICIOS,9,FALSE)=0,"",VLOOKUP(D176,TURNOS_SERVICIOS,9,FALSE)),"")</f>
        <v/>
      </c>
      <c r="N176" s="165"/>
    </row>
    <row r="177" spans="1:14" s="166" customFormat="1" hidden="1" x14ac:dyDescent="0.3">
      <c r="A177" s="176">
        <f>IF(D177&lt;&gt;0,22,0)</f>
        <v>0</v>
      </c>
      <c r="B177" s="176" t="s">
        <v>1630</v>
      </c>
      <c r="C177" s="176"/>
      <c r="D177" s="369">
        <f>IFERROR(IFERROR(VLOOKUP(C177,PROYECTO_CHARLY,2,FALSE),VLOOKUP(B177,PROYECTO_CHARLY,2,FALSE)),0)</f>
        <v>0</v>
      </c>
      <c r="E177" s="370" t="str">
        <f>IFERROR(IF(VLOOKUP(D177,TURNOS_SERVICIOS,2,FALSE)=0,"-",VLOOKUP(D177,TURNOS_SERVICIOS,2,FALSE)),"-")</f>
        <v>-</v>
      </c>
      <c r="F177" s="371" t="str">
        <f>IFERROR(IF(VLOOKUP(D177,TURNOS_SERVICIOS,3,FALSE)=0,"-",VLOOKUP(D177,TURNOS_SERVICIOS,3,FALSE)),"-")</f>
        <v>-</v>
      </c>
      <c r="G177" s="371">
        <f>IFERROR(IF(VLOOKUP(D177,TURNOS_SERVICIOS,4,FALSE)=0,"SIN TURNO",VLOOKUP(D177,TURNOS_SERVICIOS,4,FALSE)),0)</f>
        <v>0</v>
      </c>
      <c r="H177" s="371">
        <f>IFERROR(IF(VLOOKUP(D177,TURNOS_SERVICIOS,5,FALSE)=0,"SIN SERVICIO",VLOOKUP(D177,TURNOS_SERVICIOS,5,FALSE)),0)</f>
        <v>0</v>
      </c>
      <c r="I177" s="363">
        <f>IFERROR(IF(VLOOKUP(D177,TURNOS_SERVICIOS,6,FALSE)=0,"-",VLOOKUP(D177,TURNOS_SERVICIOS,6,FALSE)),0)</f>
        <v>0</v>
      </c>
      <c r="J177" s="363">
        <f>IFERROR(IF(VLOOKUP(D177,TURNOS_SERVICIOS,7,FALSE)=0,"-",VLOOKUP(D177,TURNOS_SERVICIOS,7,FALSE)),0)</f>
        <v>0</v>
      </c>
      <c r="K177" s="364">
        <f>IFERROR(VLOOKUP(D177,TURNOS_SERVICIOS,8,FALSE),0)</f>
        <v>0</v>
      </c>
      <c r="L177" s="365" t="str">
        <f>IFERROR(IF(VLOOKUP(D177,TURNOS_SERVICIOS,9,FALSE)=0,"",VLOOKUP(D177,TURNOS_SERVICIOS,9,FALSE)),"")</f>
        <v/>
      </c>
      <c r="N177" s="165"/>
    </row>
    <row r="178" spans="1:14" s="166" customFormat="1" hidden="1" x14ac:dyDescent="0.3">
      <c r="A178" s="176">
        <f>IF(D178&lt;&gt;0,22,0)</f>
        <v>0</v>
      </c>
      <c r="B178" s="176" t="s">
        <v>1631</v>
      </c>
      <c r="C178" s="176"/>
      <c r="D178" s="369">
        <f>IFERROR(IFERROR(VLOOKUP(C178,PROYECTO_CHARLY,2,FALSE),VLOOKUP(B178,PROYECTO_CHARLY,2,FALSE)),0)</f>
        <v>0</v>
      </c>
      <c r="E178" s="370" t="str">
        <f>IFERROR(IF(VLOOKUP(D178,TURNOS_SERVICIOS,2,FALSE)=0,"-",VLOOKUP(D178,TURNOS_SERVICIOS,2,FALSE)),"-")</f>
        <v>-</v>
      </c>
      <c r="F178" s="371" t="str">
        <f>IFERROR(IF(VLOOKUP(D178,TURNOS_SERVICIOS,3,FALSE)=0,"-",VLOOKUP(D178,TURNOS_SERVICIOS,3,FALSE)),"-")</f>
        <v>-</v>
      </c>
      <c r="G178" s="371">
        <f>IFERROR(IF(VLOOKUP(D178,TURNOS_SERVICIOS,4,FALSE)=0,"SIN TURNO",VLOOKUP(D178,TURNOS_SERVICIOS,4,FALSE)),0)</f>
        <v>0</v>
      </c>
      <c r="H178" s="371">
        <f>IFERROR(IF(VLOOKUP(D178,TURNOS_SERVICIOS,5,FALSE)=0,"SIN SERVICIO",VLOOKUP(D178,TURNOS_SERVICIOS,5,FALSE)),0)</f>
        <v>0</v>
      </c>
      <c r="I178" s="363">
        <f>IFERROR(IF(VLOOKUP(D178,TURNOS_SERVICIOS,6,FALSE)=0,"-",VLOOKUP(D178,TURNOS_SERVICIOS,6,FALSE)),0)</f>
        <v>0</v>
      </c>
      <c r="J178" s="363">
        <f>IFERROR(IF(VLOOKUP(D178,TURNOS_SERVICIOS,7,FALSE)=0,"-",VLOOKUP(D178,TURNOS_SERVICIOS,7,FALSE)),0)</f>
        <v>0</v>
      </c>
      <c r="K178" s="364">
        <f>IFERROR(VLOOKUP(D178,TURNOS_SERVICIOS,8,FALSE),0)</f>
        <v>0</v>
      </c>
      <c r="L178" s="365" t="str">
        <f>IFERROR(IF(VLOOKUP(D178,TURNOS_SERVICIOS,9,FALSE)=0,"",VLOOKUP(D178,TURNOS_SERVICIOS,9,FALSE)),"")</f>
        <v/>
      </c>
      <c r="N178" s="165"/>
    </row>
    <row r="179" spans="1:14" s="166" customFormat="1" hidden="1" x14ac:dyDescent="0.3">
      <c r="A179" s="176">
        <f>IF(D179&lt;&gt;0,22,0)</f>
        <v>0</v>
      </c>
      <c r="B179" s="176" t="s">
        <v>1632</v>
      </c>
      <c r="C179" s="176"/>
      <c r="D179" s="369">
        <f>IFERROR(IFERROR(VLOOKUP(C179,PROYECTO_CHARLY,2,FALSE),VLOOKUP(B179,PROYECTO_CHARLY,2,FALSE)),0)</f>
        <v>0</v>
      </c>
      <c r="E179" s="370" t="str">
        <f>IFERROR(IF(VLOOKUP(D179,TURNOS_SERVICIOS,2,FALSE)=0,"-",VLOOKUP(D179,TURNOS_SERVICIOS,2,FALSE)),"-")</f>
        <v>-</v>
      </c>
      <c r="F179" s="371" t="str">
        <f>IFERROR(IF(VLOOKUP(D179,TURNOS_SERVICIOS,3,FALSE)=0,"-",VLOOKUP(D179,TURNOS_SERVICIOS,3,FALSE)),"-")</f>
        <v>-</v>
      </c>
      <c r="G179" s="371">
        <f>IFERROR(IF(VLOOKUP(D179,TURNOS_SERVICIOS,4,FALSE)=0,"SIN TURNO",VLOOKUP(D179,TURNOS_SERVICIOS,4,FALSE)),0)</f>
        <v>0</v>
      </c>
      <c r="H179" s="371">
        <f>IFERROR(IF(VLOOKUP(D179,TURNOS_SERVICIOS,5,FALSE)=0,"SIN SERVICIO",VLOOKUP(D179,TURNOS_SERVICIOS,5,FALSE)),0)</f>
        <v>0</v>
      </c>
      <c r="I179" s="363">
        <f>IFERROR(IF(VLOOKUP(D179,TURNOS_SERVICIOS,6,FALSE)=0,"-",VLOOKUP(D179,TURNOS_SERVICIOS,6,FALSE)),0)</f>
        <v>0</v>
      </c>
      <c r="J179" s="363">
        <f>IFERROR(IF(VLOOKUP(D179,TURNOS_SERVICIOS,7,FALSE)=0,"-",VLOOKUP(D179,TURNOS_SERVICIOS,7,FALSE)),0)</f>
        <v>0</v>
      </c>
      <c r="K179" s="364">
        <f>IFERROR(VLOOKUP(D179,TURNOS_SERVICIOS,8,FALSE),0)</f>
        <v>0</v>
      </c>
      <c r="L179" s="365" t="str">
        <f>IFERROR(IF(VLOOKUP(D179,TURNOS_SERVICIOS,9,FALSE)=0,"",VLOOKUP(D179,TURNOS_SERVICIOS,9,FALSE)),"")</f>
        <v/>
      </c>
      <c r="N179" s="165"/>
    </row>
    <row r="180" spans="1:14" s="166" customFormat="1" hidden="1" x14ac:dyDescent="0.3">
      <c r="A180" s="176">
        <f>IF(D180&lt;&gt;0,22,0)</f>
        <v>0</v>
      </c>
      <c r="B180" s="176" t="s">
        <v>1633</v>
      </c>
      <c r="C180" s="176"/>
      <c r="D180" s="369">
        <f>IFERROR(IFERROR(VLOOKUP(C180,PROYECTO_CHARLY,2,FALSE),VLOOKUP(B180,PROYECTO_CHARLY,2,FALSE)),0)</f>
        <v>0</v>
      </c>
      <c r="E180" s="370" t="str">
        <f>IFERROR(IF(VLOOKUP(D180,TURNOS_SERVICIOS,2,FALSE)=0,"-",VLOOKUP(D180,TURNOS_SERVICIOS,2,FALSE)),"-")</f>
        <v>-</v>
      </c>
      <c r="F180" s="371" t="str">
        <f>IFERROR(IF(VLOOKUP(D180,TURNOS_SERVICIOS,3,FALSE)=0,"-",VLOOKUP(D180,TURNOS_SERVICIOS,3,FALSE)),"-")</f>
        <v>-</v>
      </c>
      <c r="G180" s="371">
        <f>IFERROR(IF(VLOOKUP(D180,TURNOS_SERVICIOS,4,FALSE)=0,"SIN TURNO",VLOOKUP(D180,TURNOS_SERVICIOS,4,FALSE)),0)</f>
        <v>0</v>
      </c>
      <c r="H180" s="371">
        <f>IFERROR(IF(VLOOKUP(D180,TURNOS_SERVICIOS,5,FALSE)=0,"SIN SERVICIO",VLOOKUP(D180,TURNOS_SERVICIOS,5,FALSE)),0)</f>
        <v>0</v>
      </c>
      <c r="I180" s="363">
        <f>IFERROR(IF(VLOOKUP(D180,TURNOS_SERVICIOS,6,FALSE)=0,"-",VLOOKUP(D180,TURNOS_SERVICIOS,6,FALSE)),0)</f>
        <v>0</v>
      </c>
      <c r="J180" s="363">
        <f>IFERROR(IF(VLOOKUP(D180,TURNOS_SERVICIOS,7,FALSE)=0,"-",VLOOKUP(D180,TURNOS_SERVICIOS,7,FALSE)),0)</f>
        <v>0</v>
      </c>
      <c r="K180" s="364">
        <f>IFERROR(VLOOKUP(D180,TURNOS_SERVICIOS,8,FALSE),0)</f>
        <v>0</v>
      </c>
      <c r="L180" s="365" t="str">
        <f>IFERROR(IF(VLOOKUP(D180,TURNOS_SERVICIOS,9,FALSE)=0,"",VLOOKUP(D180,TURNOS_SERVICIOS,9,FALSE)),"")</f>
        <v/>
      </c>
      <c r="N180" s="165"/>
    </row>
    <row r="181" spans="1:14" s="166" customFormat="1" hidden="1" x14ac:dyDescent="0.3">
      <c r="A181" s="162">
        <f>IF(SUM(A182:A192)&gt;0,22,0)</f>
        <v>0</v>
      </c>
      <c r="B181" s="162"/>
      <c r="C181" s="162"/>
      <c r="D181" s="1123" t="s">
        <v>1493</v>
      </c>
      <c r="E181" s="1124"/>
      <c r="F181" s="1123"/>
      <c r="G181" s="1123"/>
      <c r="H181" s="1123"/>
      <c r="I181" s="1123"/>
      <c r="J181" s="1123"/>
      <c r="K181" s="1123"/>
      <c r="L181" s="1124"/>
      <c r="N181" s="165"/>
    </row>
    <row r="182" spans="1:14" s="166" customFormat="1" hidden="1" x14ac:dyDescent="0.3">
      <c r="A182" s="176">
        <f t="shared" ref="A182:A191" si="233">IF(D182&lt;&gt;0,22,0)</f>
        <v>0</v>
      </c>
      <c r="B182" s="176" t="s">
        <v>1506</v>
      </c>
      <c r="C182" s="176"/>
      <c r="D182" s="360">
        <f t="shared" ref="D182:D191" si="234">IFERROR(IFERROR(VLOOKUP(C182,PROYECTO_CHARLY,2,FALSE),VLOOKUP(B182,PROYECTO_CHARLY,2,FALSE)),0)</f>
        <v>0</v>
      </c>
      <c r="E182" s="370" t="str">
        <f t="shared" ref="E182:E192" si="235">IFERROR(IF(VLOOKUP(D182,TURNOS_SERVICIOS,2,FALSE)=0,"NO DESIGNADO",VLOOKUP(D182,TURNOS_SERVICIOS,2,FALSE)),"NO DESIGNADO")</f>
        <v>NO DESIGNADO</v>
      </c>
      <c r="F182" s="371" t="str">
        <f t="shared" ref="F182:F192" si="236">IFERROR(IF(VLOOKUP(D182,TURNOS_SERVICIOS,3,FALSE)=0,"-",VLOOKUP(D182,TURNOS_SERVICIOS,3,FALSE)),"-")</f>
        <v>-</v>
      </c>
      <c r="G182" s="362">
        <f t="shared" ref="G182:G191" si="237">IFERROR(IF(VLOOKUP(D182,TURNOS_SERVICIOS,4,FALSE)=0,"SIN TURNO",VLOOKUP(D182,TURNOS_SERVICIOS,4,FALSE)),0)</f>
        <v>0</v>
      </c>
      <c r="H182" s="362">
        <f t="shared" ref="H182:H191" si="238">IFERROR(IF(VLOOKUP(D182,TURNOS_SERVICIOS,5,FALSE)=0,"SIN SERVICIO",VLOOKUP(D182,TURNOS_SERVICIOS,5,FALSE)),0)</f>
        <v>0</v>
      </c>
      <c r="I182" s="363">
        <f t="shared" ref="I182:I191" si="239">IFERROR(IF(VLOOKUP(D182,TURNOS_SERVICIOS,6,FALSE)=0,0,VLOOKUP(D182,TURNOS_SERVICIOS,6,FALSE)),0)</f>
        <v>0</v>
      </c>
      <c r="J182" s="363">
        <f t="shared" ref="J182:J191" si="240">IFERROR(IF(VLOOKUP(D182,TURNOS_SERVICIOS,7,FALSE)=0,0,VLOOKUP(D182,TURNOS_SERVICIOS,7,FALSE)),0)</f>
        <v>0</v>
      </c>
      <c r="K182" s="364">
        <f t="shared" ref="K182:K191" si="241">IFERROR(VLOOKUP(D182,TURNOS_SERVICIOS,8,FALSE),0)</f>
        <v>0</v>
      </c>
      <c r="L182" s="365" t="str">
        <f t="shared" ref="L182:L191" si="242">IFERROR(IF(VLOOKUP(D182,TURNOS_SERVICIOS,9,FALSE)=0,"",VLOOKUP(D182,TURNOS_SERVICIOS,9,FALSE)),"")</f>
        <v/>
      </c>
      <c r="N182" s="165"/>
    </row>
    <row r="183" spans="1:14" s="166" customFormat="1" hidden="1" x14ac:dyDescent="0.3">
      <c r="A183" s="176">
        <f t="shared" si="233"/>
        <v>0</v>
      </c>
      <c r="B183" s="176" t="s">
        <v>1507</v>
      </c>
      <c r="C183" s="176"/>
      <c r="D183" s="360">
        <f t="shared" si="234"/>
        <v>0</v>
      </c>
      <c r="E183" s="370" t="str">
        <f t="shared" si="235"/>
        <v>NO DESIGNADO</v>
      </c>
      <c r="F183" s="371" t="str">
        <f t="shared" si="236"/>
        <v>-</v>
      </c>
      <c r="G183" s="362">
        <f t="shared" si="237"/>
        <v>0</v>
      </c>
      <c r="H183" s="362">
        <f t="shared" si="238"/>
        <v>0</v>
      </c>
      <c r="I183" s="363">
        <f t="shared" si="239"/>
        <v>0</v>
      </c>
      <c r="J183" s="363">
        <f t="shared" si="240"/>
        <v>0</v>
      </c>
      <c r="K183" s="364">
        <f t="shared" si="241"/>
        <v>0</v>
      </c>
      <c r="L183" s="365" t="str">
        <f t="shared" si="242"/>
        <v/>
      </c>
      <c r="N183" s="165"/>
    </row>
    <row r="184" spans="1:14" s="166" customFormat="1" hidden="1" x14ac:dyDescent="0.3">
      <c r="A184" s="176">
        <f t="shared" si="233"/>
        <v>0</v>
      </c>
      <c r="B184" s="176" t="s">
        <v>1481</v>
      </c>
      <c r="C184" s="176"/>
      <c r="D184" s="360">
        <f t="shared" si="234"/>
        <v>0</v>
      </c>
      <c r="E184" s="370" t="str">
        <f t="shared" si="235"/>
        <v>NO DESIGNADO</v>
      </c>
      <c r="F184" s="371" t="str">
        <f t="shared" si="236"/>
        <v>-</v>
      </c>
      <c r="G184" s="362">
        <f t="shared" si="237"/>
        <v>0</v>
      </c>
      <c r="H184" s="362">
        <f t="shared" si="238"/>
        <v>0</v>
      </c>
      <c r="I184" s="363">
        <f t="shared" si="239"/>
        <v>0</v>
      </c>
      <c r="J184" s="363">
        <f t="shared" si="240"/>
        <v>0</v>
      </c>
      <c r="K184" s="364">
        <f t="shared" si="241"/>
        <v>0</v>
      </c>
      <c r="L184" s="365" t="str">
        <f t="shared" si="242"/>
        <v/>
      </c>
      <c r="N184" s="165"/>
    </row>
    <row r="185" spans="1:14" s="166" customFormat="1" hidden="1" x14ac:dyDescent="0.3">
      <c r="A185" s="176">
        <f t="shared" si="233"/>
        <v>0</v>
      </c>
      <c r="B185" s="176" t="s">
        <v>1482</v>
      </c>
      <c r="C185" s="176"/>
      <c r="D185" s="360">
        <f t="shared" si="234"/>
        <v>0</v>
      </c>
      <c r="E185" s="370" t="str">
        <f t="shared" si="235"/>
        <v>NO DESIGNADO</v>
      </c>
      <c r="F185" s="371" t="str">
        <f t="shared" si="236"/>
        <v>-</v>
      </c>
      <c r="G185" s="362">
        <f t="shared" si="237"/>
        <v>0</v>
      </c>
      <c r="H185" s="362">
        <f t="shared" si="238"/>
        <v>0</v>
      </c>
      <c r="I185" s="363">
        <f t="shared" si="239"/>
        <v>0</v>
      </c>
      <c r="J185" s="363">
        <f t="shared" si="240"/>
        <v>0</v>
      </c>
      <c r="K185" s="364">
        <f t="shared" si="241"/>
        <v>0</v>
      </c>
      <c r="L185" s="365" t="str">
        <f t="shared" si="242"/>
        <v/>
      </c>
      <c r="N185" s="165"/>
    </row>
    <row r="186" spans="1:14" s="166" customFormat="1" hidden="1" x14ac:dyDescent="0.3">
      <c r="A186" s="176">
        <f t="shared" si="233"/>
        <v>0</v>
      </c>
      <c r="B186" s="176" t="s">
        <v>1475</v>
      </c>
      <c r="C186" s="176"/>
      <c r="D186" s="369">
        <f t="shared" si="234"/>
        <v>0</v>
      </c>
      <c r="E186" s="370" t="str">
        <f t="shared" si="235"/>
        <v>NO DESIGNADO</v>
      </c>
      <c r="F186" s="371" t="str">
        <f t="shared" si="236"/>
        <v>-</v>
      </c>
      <c r="G186" s="371">
        <f t="shared" si="237"/>
        <v>0</v>
      </c>
      <c r="H186" s="371">
        <f t="shared" si="238"/>
        <v>0</v>
      </c>
      <c r="I186" s="363">
        <f t="shared" si="239"/>
        <v>0</v>
      </c>
      <c r="J186" s="363">
        <f t="shared" si="240"/>
        <v>0</v>
      </c>
      <c r="K186" s="364">
        <f t="shared" si="241"/>
        <v>0</v>
      </c>
      <c r="L186" s="365" t="str">
        <f t="shared" si="242"/>
        <v/>
      </c>
      <c r="N186" s="165"/>
    </row>
    <row r="187" spans="1:14" s="166" customFormat="1" hidden="1" x14ac:dyDescent="0.3">
      <c r="A187" s="176">
        <f t="shared" si="233"/>
        <v>0</v>
      </c>
      <c r="B187" s="176" t="s">
        <v>1476</v>
      </c>
      <c r="C187" s="176"/>
      <c r="D187" s="369">
        <f t="shared" si="234"/>
        <v>0</v>
      </c>
      <c r="E187" s="370" t="str">
        <f t="shared" si="235"/>
        <v>NO DESIGNADO</v>
      </c>
      <c r="F187" s="371" t="str">
        <f t="shared" si="236"/>
        <v>-</v>
      </c>
      <c r="G187" s="371">
        <f t="shared" si="237"/>
        <v>0</v>
      </c>
      <c r="H187" s="371">
        <f t="shared" si="238"/>
        <v>0</v>
      </c>
      <c r="I187" s="363">
        <f t="shared" si="239"/>
        <v>0</v>
      </c>
      <c r="J187" s="363">
        <f t="shared" si="240"/>
        <v>0</v>
      </c>
      <c r="K187" s="364">
        <f t="shared" si="241"/>
        <v>0</v>
      </c>
      <c r="L187" s="365" t="str">
        <f t="shared" si="242"/>
        <v/>
      </c>
      <c r="N187" s="165"/>
    </row>
    <row r="188" spans="1:14" s="166" customFormat="1" hidden="1" x14ac:dyDescent="0.3">
      <c r="A188" s="176">
        <f t="shared" si="233"/>
        <v>0</v>
      </c>
      <c r="B188" s="176" t="s">
        <v>1477</v>
      </c>
      <c r="C188" s="176"/>
      <c r="D188" s="369">
        <f t="shared" si="234"/>
        <v>0</v>
      </c>
      <c r="E188" s="370" t="str">
        <f t="shared" si="235"/>
        <v>NO DESIGNADO</v>
      </c>
      <c r="F188" s="371" t="str">
        <f t="shared" si="236"/>
        <v>-</v>
      </c>
      <c r="G188" s="371">
        <f t="shared" si="237"/>
        <v>0</v>
      </c>
      <c r="H188" s="371">
        <f t="shared" si="238"/>
        <v>0</v>
      </c>
      <c r="I188" s="363">
        <f t="shared" si="239"/>
        <v>0</v>
      </c>
      <c r="J188" s="363">
        <f t="shared" si="240"/>
        <v>0</v>
      </c>
      <c r="K188" s="364">
        <f t="shared" si="241"/>
        <v>0</v>
      </c>
      <c r="L188" s="365" t="str">
        <f t="shared" si="242"/>
        <v/>
      </c>
      <c r="N188" s="165"/>
    </row>
    <row r="189" spans="1:14" s="166" customFormat="1" hidden="1" x14ac:dyDescent="0.3">
      <c r="A189" s="176">
        <f t="shared" si="233"/>
        <v>0</v>
      </c>
      <c r="B189" s="176" t="s">
        <v>1478</v>
      </c>
      <c r="C189" s="176"/>
      <c r="D189" s="369">
        <f t="shared" si="234"/>
        <v>0</v>
      </c>
      <c r="E189" s="370" t="str">
        <f t="shared" si="235"/>
        <v>NO DESIGNADO</v>
      </c>
      <c r="F189" s="371" t="str">
        <f t="shared" si="236"/>
        <v>-</v>
      </c>
      <c r="G189" s="371">
        <f t="shared" si="237"/>
        <v>0</v>
      </c>
      <c r="H189" s="371">
        <f t="shared" si="238"/>
        <v>0</v>
      </c>
      <c r="I189" s="363">
        <f t="shared" si="239"/>
        <v>0</v>
      </c>
      <c r="J189" s="363">
        <f t="shared" si="240"/>
        <v>0</v>
      </c>
      <c r="K189" s="364">
        <f t="shared" si="241"/>
        <v>0</v>
      </c>
      <c r="L189" s="365" t="str">
        <f t="shared" si="242"/>
        <v/>
      </c>
      <c r="N189" s="165"/>
    </row>
    <row r="190" spans="1:14" s="166" customFormat="1" hidden="1" x14ac:dyDescent="0.3">
      <c r="A190" s="176">
        <f t="shared" si="233"/>
        <v>0</v>
      </c>
      <c r="B190" s="176" t="s">
        <v>1479</v>
      </c>
      <c r="C190" s="176"/>
      <c r="D190" s="369">
        <f t="shared" si="234"/>
        <v>0</v>
      </c>
      <c r="E190" s="370" t="str">
        <f t="shared" si="235"/>
        <v>NO DESIGNADO</v>
      </c>
      <c r="F190" s="371" t="str">
        <f t="shared" si="236"/>
        <v>-</v>
      </c>
      <c r="G190" s="371">
        <f t="shared" si="237"/>
        <v>0</v>
      </c>
      <c r="H190" s="371">
        <f t="shared" si="238"/>
        <v>0</v>
      </c>
      <c r="I190" s="363">
        <f t="shared" si="239"/>
        <v>0</v>
      </c>
      <c r="J190" s="363">
        <f t="shared" si="240"/>
        <v>0</v>
      </c>
      <c r="K190" s="364">
        <f t="shared" si="241"/>
        <v>0</v>
      </c>
      <c r="L190" s="365" t="str">
        <f t="shared" si="242"/>
        <v/>
      </c>
      <c r="N190" s="165"/>
    </row>
    <row r="191" spans="1:14" s="166" customFormat="1" hidden="1" x14ac:dyDescent="0.3">
      <c r="A191" s="176">
        <f t="shared" si="233"/>
        <v>0</v>
      </c>
      <c r="B191" s="176" t="s">
        <v>1480</v>
      </c>
      <c r="C191" s="176"/>
      <c r="D191" s="369">
        <f t="shared" si="234"/>
        <v>0</v>
      </c>
      <c r="E191" s="370" t="str">
        <f t="shared" si="235"/>
        <v>NO DESIGNADO</v>
      </c>
      <c r="F191" s="371" t="str">
        <f t="shared" si="236"/>
        <v>-</v>
      </c>
      <c r="G191" s="371">
        <f t="shared" si="237"/>
        <v>0</v>
      </c>
      <c r="H191" s="371">
        <f t="shared" si="238"/>
        <v>0</v>
      </c>
      <c r="I191" s="363">
        <f t="shared" si="239"/>
        <v>0</v>
      </c>
      <c r="J191" s="363">
        <f t="shared" si="240"/>
        <v>0</v>
      </c>
      <c r="K191" s="364">
        <f t="shared" si="241"/>
        <v>0</v>
      </c>
      <c r="L191" s="365" t="str">
        <f t="shared" si="242"/>
        <v/>
      </c>
      <c r="N191" s="165"/>
    </row>
    <row r="192" spans="1:14" s="166" customFormat="1" hidden="1" x14ac:dyDescent="0.3">
      <c r="A192" s="176">
        <f>IF(AND(D192&lt;&gt;0,E192&lt;&gt;"-"),22,0)</f>
        <v>0</v>
      </c>
      <c r="B192" s="176"/>
      <c r="C192" s="176"/>
      <c r="D192" s="369" t="s">
        <v>1411</v>
      </c>
      <c r="E192" s="370" t="str">
        <f t="shared" si="235"/>
        <v>-</v>
      </c>
      <c r="F192" s="371" t="str">
        <f t="shared" si="236"/>
        <v>-</v>
      </c>
      <c r="G192" s="371" t="str">
        <f>IF(VLOOKUP(D192,TURNOS_SERVICIOS,4,FALSE)=0,"SIN TURNO",VLOOKUP(D192,TURNOS_SERVICIOS,4,FALSE))</f>
        <v>SIN TURNO</v>
      </c>
      <c r="H192" s="371" t="str">
        <f>IF(VLOOKUP(D192,TURNOS_SERVICIOS,5,FALSE)=0,"SIN SERVICIO",VLOOKUP(D192,TURNOS_SERVICIOS,5,FALSE))</f>
        <v>SIN SERVICIO</v>
      </c>
      <c r="I192" s="363" t="str">
        <f>IF(VLOOKUP(D192,TURNOS_SERVICIOS,6,FALSE)=0,"-",VLOOKUP(D192,TURNOS_SERVICIOS,6,FALSE))</f>
        <v>-</v>
      </c>
      <c r="J192" s="363" t="str">
        <f>IF(VLOOKUP(D192,TURNOS_SERVICIOS,7,FALSE)=0,"-",VLOOKUP(D192,TURNOS_SERVICIOS,7,FALSE))</f>
        <v>-</v>
      </c>
      <c r="K192" s="364">
        <f>VLOOKUP(D192,TURNOS_SERVICIOS,8,FALSE)</f>
        <v>0</v>
      </c>
      <c r="L192" s="365" t="str">
        <f>IF(VLOOKUP(D192,TURNOS_SERVICIOS,9,FALSE)=0,"",VLOOKUP(D192,TURNOS_SERVICIOS,9,FALSE))</f>
        <v/>
      </c>
      <c r="N192" s="165"/>
    </row>
    <row r="193" spans="1:14" s="166" customFormat="1" hidden="1" x14ac:dyDescent="0.3">
      <c r="A193" s="162">
        <f>IF(SUM(A194:A201)&gt;0,22,0)</f>
        <v>0</v>
      </c>
      <c r="B193" s="162"/>
      <c r="C193" s="162"/>
      <c r="D193" s="1123" t="s">
        <v>1661</v>
      </c>
      <c r="E193" s="1124"/>
      <c r="F193" s="1123"/>
      <c r="G193" s="1123"/>
      <c r="H193" s="1123"/>
      <c r="I193" s="1123"/>
      <c r="J193" s="1123"/>
      <c r="K193" s="1123"/>
      <c r="L193" s="1124"/>
      <c r="N193" s="165"/>
    </row>
    <row r="194" spans="1:14" s="166" customFormat="1" hidden="1" x14ac:dyDescent="0.3">
      <c r="A194" s="176">
        <f t="shared" ref="A194:A201" si="243">IF(D194&lt;&gt;0,22,0)</f>
        <v>0</v>
      </c>
      <c r="B194" s="176" t="s">
        <v>1662</v>
      </c>
      <c r="C194" s="176"/>
      <c r="D194" s="360">
        <f t="shared" ref="D194:D201" si="244">IFERROR(IFERROR(VLOOKUP(C194,PROYECTO_CHARLY,2,FALSE),VLOOKUP(B194,PROYECTO_CHARLY,2,FALSE)),0)</f>
        <v>0</v>
      </c>
      <c r="E194" s="370" t="str">
        <f t="shared" ref="E194:E201" si="245">IFERROR(IF(VLOOKUP(D194,TURNOS_SERVICIOS,2,FALSE)=0,"NO DESIGNADO",VLOOKUP(D194,TURNOS_SERVICIOS,2,FALSE)),"NO DESIGNADO")</f>
        <v>NO DESIGNADO</v>
      </c>
      <c r="F194" s="371" t="str">
        <f t="shared" ref="F194:F201" si="246">IFERROR(IF(VLOOKUP(D194,TURNOS_SERVICIOS,3,FALSE)=0,"-",VLOOKUP(D194,TURNOS_SERVICIOS,3,FALSE)),"-")</f>
        <v>-</v>
      </c>
      <c r="G194" s="362">
        <f t="shared" ref="G194:G201" si="247">IFERROR(IF(VLOOKUP(D194,TURNOS_SERVICIOS,4,FALSE)=0,"SIN TURNO",VLOOKUP(D194,TURNOS_SERVICIOS,4,FALSE)),0)</f>
        <v>0</v>
      </c>
      <c r="H194" s="362">
        <f t="shared" ref="H194:H201" si="248">IFERROR(IF(VLOOKUP(D194,TURNOS_SERVICIOS,5,FALSE)=0,"SIN SERVICIO",VLOOKUP(D194,TURNOS_SERVICIOS,5,FALSE)),0)</f>
        <v>0</v>
      </c>
      <c r="I194" s="363">
        <f t="shared" ref="I194:I201" si="249">IFERROR(IF(VLOOKUP(D194,TURNOS_SERVICIOS,6,FALSE)=0,0,VLOOKUP(D194,TURNOS_SERVICIOS,6,FALSE)),0)</f>
        <v>0</v>
      </c>
      <c r="J194" s="363">
        <f t="shared" ref="J194:J201" si="250">IFERROR(IF(VLOOKUP(D194,TURNOS_SERVICIOS,7,FALSE)=0,0,VLOOKUP(D194,TURNOS_SERVICIOS,7,FALSE)),0)</f>
        <v>0</v>
      </c>
      <c r="K194" s="364">
        <f t="shared" ref="K194:K201" si="251">IFERROR(VLOOKUP(D194,TURNOS_SERVICIOS,8,FALSE),0)</f>
        <v>0</v>
      </c>
      <c r="L194" s="365" t="str">
        <f t="shared" ref="L194:L201" si="252">IFERROR(IF(VLOOKUP(D194,TURNOS_SERVICIOS,9,FALSE)=0,"",VLOOKUP(D194,TURNOS_SERVICIOS,9,FALSE)),"")</f>
        <v/>
      </c>
      <c r="N194" s="165"/>
    </row>
    <row r="195" spans="1:14" s="166" customFormat="1" hidden="1" x14ac:dyDescent="0.3">
      <c r="A195" s="176">
        <f t="shared" si="243"/>
        <v>0</v>
      </c>
      <c r="B195" s="176" t="s">
        <v>1663</v>
      </c>
      <c r="C195" s="176"/>
      <c r="D195" s="360">
        <f t="shared" si="244"/>
        <v>0</v>
      </c>
      <c r="E195" s="370" t="str">
        <f t="shared" si="245"/>
        <v>NO DESIGNADO</v>
      </c>
      <c r="F195" s="371" t="str">
        <f t="shared" si="246"/>
        <v>-</v>
      </c>
      <c r="G195" s="362">
        <f t="shared" si="247"/>
        <v>0</v>
      </c>
      <c r="H195" s="362">
        <f t="shared" si="248"/>
        <v>0</v>
      </c>
      <c r="I195" s="363">
        <f t="shared" si="249"/>
        <v>0</v>
      </c>
      <c r="J195" s="363">
        <f t="shared" si="250"/>
        <v>0</v>
      </c>
      <c r="K195" s="364">
        <f t="shared" si="251"/>
        <v>0</v>
      </c>
      <c r="L195" s="365" t="str">
        <f t="shared" si="252"/>
        <v/>
      </c>
      <c r="N195" s="165"/>
    </row>
    <row r="196" spans="1:14" s="166" customFormat="1" hidden="1" x14ac:dyDescent="0.3">
      <c r="A196" s="176">
        <f t="shared" si="243"/>
        <v>0</v>
      </c>
      <c r="B196" s="176" t="s">
        <v>1664</v>
      </c>
      <c r="C196" s="176"/>
      <c r="D196" s="360">
        <f t="shared" si="244"/>
        <v>0</v>
      </c>
      <c r="E196" s="370" t="str">
        <f t="shared" si="245"/>
        <v>NO DESIGNADO</v>
      </c>
      <c r="F196" s="371" t="str">
        <f t="shared" si="246"/>
        <v>-</v>
      </c>
      <c r="G196" s="362">
        <f t="shared" si="247"/>
        <v>0</v>
      </c>
      <c r="H196" s="362">
        <f t="shared" si="248"/>
        <v>0</v>
      </c>
      <c r="I196" s="363">
        <f t="shared" si="249"/>
        <v>0</v>
      </c>
      <c r="J196" s="363">
        <f t="shared" si="250"/>
        <v>0</v>
      </c>
      <c r="K196" s="364">
        <f t="shared" si="251"/>
        <v>0</v>
      </c>
      <c r="L196" s="365" t="str">
        <f t="shared" si="252"/>
        <v/>
      </c>
      <c r="N196" s="165"/>
    </row>
    <row r="197" spans="1:14" s="166" customFormat="1" hidden="1" x14ac:dyDescent="0.3">
      <c r="A197" s="176">
        <f t="shared" si="243"/>
        <v>0</v>
      </c>
      <c r="B197" s="176" t="s">
        <v>1665</v>
      </c>
      <c r="C197" s="176"/>
      <c r="D197" s="360">
        <f t="shared" si="244"/>
        <v>0</v>
      </c>
      <c r="E197" s="370" t="str">
        <f t="shared" si="245"/>
        <v>NO DESIGNADO</v>
      </c>
      <c r="F197" s="371" t="str">
        <f t="shared" si="246"/>
        <v>-</v>
      </c>
      <c r="G197" s="362">
        <f t="shared" si="247"/>
        <v>0</v>
      </c>
      <c r="H197" s="362">
        <f t="shared" si="248"/>
        <v>0</v>
      </c>
      <c r="I197" s="363">
        <f t="shared" si="249"/>
        <v>0</v>
      </c>
      <c r="J197" s="363">
        <f t="shared" si="250"/>
        <v>0</v>
      </c>
      <c r="K197" s="364">
        <f t="shared" si="251"/>
        <v>0</v>
      </c>
      <c r="L197" s="365" t="str">
        <f t="shared" si="252"/>
        <v/>
      </c>
      <c r="N197" s="165"/>
    </row>
    <row r="198" spans="1:14" s="166" customFormat="1" hidden="1" x14ac:dyDescent="0.3">
      <c r="A198" s="176">
        <f t="shared" si="243"/>
        <v>0</v>
      </c>
      <c r="B198" s="176" t="s">
        <v>1666</v>
      </c>
      <c r="C198" s="176"/>
      <c r="D198" s="360">
        <f t="shared" si="244"/>
        <v>0</v>
      </c>
      <c r="E198" s="370" t="str">
        <f t="shared" si="245"/>
        <v>NO DESIGNADO</v>
      </c>
      <c r="F198" s="371" t="str">
        <f t="shared" si="246"/>
        <v>-</v>
      </c>
      <c r="G198" s="362">
        <f t="shared" si="247"/>
        <v>0</v>
      </c>
      <c r="H198" s="362">
        <f t="shared" si="248"/>
        <v>0</v>
      </c>
      <c r="I198" s="363">
        <f t="shared" si="249"/>
        <v>0</v>
      </c>
      <c r="J198" s="363">
        <f t="shared" si="250"/>
        <v>0</v>
      </c>
      <c r="K198" s="364">
        <f t="shared" si="251"/>
        <v>0</v>
      </c>
      <c r="L198" s="365" t="str">
        <f t="shared" si="252"/>
        <v/>
      </c>
      <c r="N198" s="165"/>
    </row>
    <row r="199" spans="1:14" s="166" customFormat="1" hidden="1" x14ac:dyDescent="0.3">
      <c r="A199" s="176">
        <f t="shared" si="243"/>
        <v>0</v>
      </c>
      <c r="B199" s="176" t="s">
        <v>1667</v>
      </c>
      <c r="C199" s="176"/>
      <c r="D199" s="360">
        <f t="shared" si="244"/>
        <v>0</v>
      </c>
      <c r="E199" s="370" t="str">
        <f t="shared" si="245"/>
        <v>NO DESIGNADO</v>
      </c>
      <c r="F199" s="371" t="str">
        <f t="shared" si="246"/>
        <v>-</v>
      </c>
      <c r="G199" s="362">
        <f t="shared" si="247"/>
        <v>0</v>
      </c>
      <c r="H199" s="362">
        <f t="shared" si="248"/>
        <v>0</v>
      </c>
      <c r="I199" s="363">
        <f t="shared" si="249"/>
        <v>0</v>
      </c>
      <c r="J199" s="363">
        <f t="shared" si="250"/>
        <v>0</v>
      </c>
      <c r="K199" s="364">
        <f t="shared" si="251"/>
        <v>0</v>
      </c>
      <c r="L199" s="365" t="str">
        <f t="shared" si="252"/>
        <v/>
      </c>
      <c r="N199" s="165"/>
    </row>
    <row r="200" spans="1:14" s="166" customFormat="1" hidden="1" x14ac:dyDescent="0.3">
      <c r="A200" s="176">
        <f t="shared" si="243"/>
        <v>0</v>
      </c>
      <c r="B200" s="176" t="s">
        <v>1668</v>
      </c>
      <c r="C200" s="176"/>
      <c r="D200" s="360">
        <f t="shared" si="244"/>
        <v>0</v>
      </c>
      <c r="E200" s="370" t="str">
        <f t="shared" si="245"/>
        <v>NO DESIGNADO</v>
      </c>
      <c r="F200" s="371" t="str">
        <f t="shared" si="246"/>
        <v>-</v>
      </c>
      <c r="G200" s="362">
        <f t="shared" si="247"/>
        <v>0</v>
      </c>
      <c r="H200" s="362">
        <f t="shared" si="248"/>
        <v>0</v>
      </c>
      <c r="I200" s="363">
        <f t="shared" si="249"/>
        <v>0</v>
      </c>
      <c r="J200" s="363">
        <f t="shared" si="250"/>
        <v>0</v>
      </c>
      <c r="K200" s="364">
        <f t="shared" si="251"/>
        <v>0</v>
      </c>
      <c r="L200" s="365" t="str">
        <f t="shared" si="252"/>
        <v/>
      </c>
      <c r="N200" s="165"/>
    </row>
    <row r="201" spans="1:14" s="166" customFormat="1" hidden="1" x14ac:dyDescent="0.3">
      <c r="A201" s="176">
        <f t="shared" si="243"/>
        <v>0</v>
      </c>
      <c r="B201" s="176" t="s">
        <v>1669</v>
      </c>
      <c r="C201" s="176"/>
      <c r="D201" s="360">
        <f t="shared" si="244"/>
        <v>0</v>
      </c>
      <c r="E201" s="370" t="str">
        <f t="shared" si="245"/>
        <v>NO DESIGNADO</v>
      </c>
      <c r="F201" s="371" t="str">
        <f t="shared" si="246"/>
        <v>-</v>
      </c>
      <c r="G201" s="362">
        <f t="shared" si="247"/>
        <v>0</v>
      </c>
      <c r="H201" s="362">
        <f t="shared" si="248"/>
        <v>0</v>
      </c>
      <c r="I201" s="363">
        <f t="shared" si="249"/>
        <v>0</v>
      </c>
      <c r="J201" s="363">
        <f t="shared" si="250"/>
        <v>0</v>
      </c>
      <c r="K201" s="364">
        <f t="shared" si="251"/>
        <v>0</v>
      </c>
      <c r="L201" s="365" t="str">
        <f t="shared" si="252"/>
        <v/>
      </c>
      <c r="N201" s="165"/>
    </row>
    <row r="202" spans="1:14" s="166" customFormat="1" hidden="1" x14ac:dyDescent="0.3">
      <c r="A202" s="162">
        <f>IF(SUM(A203:A206)&gt;0,22,0)</f>
        <v>0</v>
      </c>
      <c r="B202" s="162"/>
      <c r="C202" s="162"/>
      <c r="D202" s="1123" t="s">
        <v>1488</v>
      </c>
      <c r="E202" s="1124"/>
      <c r="F202" s="1123"/>
      <c r="G202" s="1123"/>
      <c r="H202" s="1123"/>
      <c r="I202" s="1123"/>
      <c r="J202" s="1123"/>
      <c r="K202" s="1123"/>
      <c r="L202" s="1124"/>
      <c r="N202" s="165"/>
    </row>
    <row r="203" spans="1:14" s="166" customFormat="1" hidden="1" x14ac:dyDescent="0.3">
      <c r="A203" s="176">
        <f>IF(D203&lt;&gt;0,22,0)</f>
        <v>0</v>
      </c>
      <c r="B203" s="176" t="s">
        <v>1484</v>
      </c>
      <c r="C203" s="176"/>
      <c r="D203" s="360">
        <f>IFERROR(IFERROR(VLOOKUP(C203,PROYECTO_CHARLY,2,FALSE),VLOOKUP(B203,PROYECTO_CHARLY,2,FALSE)),0)</f>
        <v>0</v>
      </c>
      <c r="E203" s="370" t="str">
        <f>IFERROR(IF(VLOOKUP(D203,TURNOS_SERVICIOS,2,FALSE)=0,"NO DESIGNADO",VLOOKUP(D203,TURNOS_SERVICIOS,2,FALSE)),"NO DESIGNADO")</f>
        <v>NO DESIGNADO</v>
      </c>
      <c r="F203" s="371" t="str">
        <f>IFERROR(IF(VLOOKUP(D203,TURNOS_SERVICIOS,3,FALSE)=0,"-",VLOOKUP(D203,TURNOS_SERVICIOS,3,FALSE)),"-")</f>
        <v>-</v>
      </c>
      <c r="G203" s="362">
        <f>IFERROR(IF(VLOOKUP(D203,TURNOS_SERVICIOS,4,FALSE)=0,"SIN TURNO",VLOOKUP(D203,TURNOS_SERVICIOS,4,FALSE)),0)</f>
        <v>0</v>
      </c>
      <c r="H203" s="362">
        <f>IFERROR(IF(VLOOKUP(D203,TURNOS_SERVICIOS,5,FALSE)=0,"SIN SERVICIO",VLOOKUP(D203,TURNOS_SERVICIOS,5,FALSE)),0)</f>
        <v>0</v>
      </c>
      <c r="I203" s="363">
        <f>IFERROR(IF(VLOOKUP(D203,TURNOS_SERVICIOS,6,FALSE)=0,0,VLOOKUP(D203,TURNOS_SERVICIOS,6,FALSE)),0)</f>
        <v>0</v>
      </c>
      <c r="J203" s="363">
        <f>IFERROR(IF(VLOOKUP(D203,TURNOS_SERVICIOS,7,FALSE)=0,0,VLOOKUP(D203,TURNOS_SERVICIOS,7,FALSE)),0)</f>
        <v>0</v>
      </c>
      <c r="K203" s="364">
        <f>IFERROR(VLOOKUP(D203,TURNOS_SERVICIOS,8,FALSE),0)</f>
        <v>0</v>
      </c>
      <c r="L203" s="365" t="str">
        <f>IFERROR(IF(VLOOKUP(D203,TURNOS_SERVICIOS,9,FALSE)=0,"",VLOOKUP(D203,TURNOS_SERVICIOS,9,FALSE)),"")</f>
        <v/>
      </c>
      <c r="N203" s="165"/>
    </row>
    <row r="204" spans="1:14" s="166" customFormat="1" hidden="1" x14ac:dyDescent="0.3">
      <c r="A204" s="176">
        <f>IF(D204&lt;&gt;0,22,0)</f>
        <v>0</v>
      </c>
      <c r="B204" s="176" t="s">
        <v>1485</v>
      </c>
      <c r="C204" s="176"/>
      <c r="D204" s="360">
        <f>IFERROR(IFERROR(VLOOKUP(C204,PROYECTO_CHARLY,2,FALSE),VLOOKUP(B204,PROYECTO_CHARLY,2,FALSE)),0)</f>
        <v>0</v>
      </c>
      <c r="E204" s="370" t="str">
        <f>IFERROR(IF(VLOOKUP(D204,TURNOS_SERVICIOS,2,FALSE)=0,"NO DESIGNADO",VLOOKUP(D204,TURNOS_SERVICIOS,2,FALSE)),"NO DESIGNADO")</f>
        <v>NO DESIGNADO</v>
      </c>
      <c r="F204" s="371" t="str">
        <f>IFERROR(IF(VLOOKUP(D204,TURNOS_SERVICIOS,3,FALSE)=0,"-",VLOOKUP(D204,TURNOS_SERVICIOS,3,FALSE)),"-")</f>
        <v>-</v>
      </c>
      <c r="G204" s="362">
        <f>IFERROR(IF(VLOOKUP(D204,TURNOS_SERVICIOS,4,FALSE)=0,"SIN TURNO",VLOOKUP(D204,TURNOS_SERVICIOS,4,FALSE)),0)</f>
        <v>0</v>
      </c>
      <c r="H204" s="362">
        <f>IFERROR(IF(VLOOKUP(D204,TURNOS_SERVICIOS,5,FALSE)=0,"SIN SERVICIO",VLOOKUP(D204,TURNOS_SERVICIOS,5,FALSE)),0)</f>
        <v>0</v>
      </c>
      <c r="I204" s="363">
        <f>IFERROR(IF(VLOOKUP(D204,TURNOS_SERVICIOS,6,FALSE)=0,0,VLOOKUP(D204,TURNOS_SERVICIOS,6,FALSE)),0)</f>
        <v>0</v>
      </c>
      <c r="J204" s="363">
        <f>IFERROR(IF(VLOOKUP(D204,TURNOS_SERVICIOS,7,FALSE)=0,0,VLOOKUP(D204,TURNOS_SERVICIOS,7,FALSE)),0)</f>
        <v>0</v>
      </c>
      <c r="K204" s="364">
        <f>IFERROR(VLOOKUP(D204,TURNOS_SERVICIOS,8,FALSE),0)</f>
        <v>0</v>
      </c>
      <c r="L204" s="365" t="str">
        <f>IFERROR(IF(VLOOKUP(D204,TURNOS_SERVICIOS,9,FALSE)=0,"",VLOOKUP(D204,TURNOS_SERVICIOS,9,FALSE)),"")</f>
        <v/>
      </c>
      <c r="N204" s="165"/>
    </row>
    <row r="205" spans="1:14" s="166" customFormat="1" hidden="1" x14ac:dyDescent="0.3">
      <c r="A205" s="176">
        <f>IF(D205&lt;&gt;0,22,0)</f>
        <v>0</v>
      </c>
      <c r="B205" s="176" t="s">
        <v>1486</v>
      </c>
      <c r="C205" s="176"/>
      <c r="D205" s="360">
        <f>IFERROR(IFERROR(VLOOKUP(C205,PROYECTO_CHARLY,2,FALSE),VLOOKUP(B205,PROYECTO_CHARLY,2,FALSE)),0)</f>
        <v>0</v>
      </c>
      <c r="E205" s="370" t="str">
        <f>IFERROR(IF(VLOOKUP(D205,TURNOS_SERVICIOS,2,FALSE)=0,"NO DESIGNADO",VLOOKUP(D205,TURNOS_SERVICIOS,2,FALSE)),"NO DESIGNADO")</f>
        <v>NO DESIGNADO</v>
      </c>
      <c r="F205" s="371" t="str">
        <f>IFERROR(IF(VLOOKUP(D205,TURNOS_SERVICIOS,3,FALSE)=0,"-",VLOOKUP(D205,TURNOS_SERVICIOS,3,FALSE)),"-")</f>
        <v>-</v>
      </c>
      <c r="G205" s="362">
        <f>IFERROR(IF(VLOOKUP(D205,TURNOS_SERVICIOS,4,FALSE)=0,"SIN TURNO",VLOOKUP(D205,TURNOS_SERVICIOS,4,FALSE)),0)</f>
        <v>0</v>
      </c>
      <c r="H205" s="362">
        <f>IFERROR(IF(VLOOKUP(D205,TURNOS_SERVICIOS,5,FALSE)=0,"SIN SERVICIO",VLOOKUP(D205,TURNOS_SERVICIOS,5,FALSE)),0)</f>
        <v>0</v>
      </c>
      <c r="I205" s="363">
        <f>IFERROR(IF(VLOOKUP(D205,TURNOS_SERVICIOS,6,FALSE)=0,0,VLOOKUP(D205,TURNOS_SERVICIOS,6,FALSE)),0)</f>
        <v>0</v>
      </c>
      <c r="J205" s="363">
        <f>IFERROR(IF(VLOOKUP(D205,TURNOS_SERVICIOS,7,FALSE)=0,0,VLOOKUP(D205,TURNOS_SERVICIOS,7,FALSE)),0)</f>
        <v>0</v>
      </c>
      <c r="K205" s="364">
        <f>IFERROR(VLOOKUP(D205,TURNOS_SERVICIOS,8,FALSE),0)</f>
        <v>0</v>
      </c>
      <c r="L205" s="365" t="str">
        <f>IFERROR(IF(VLOOKUP(D205,TURNOS_SERVICIOS,9,FALSE)=0,"",VLOOKUP(D205,TURNOS_SERVICIOS,9,FALSE)),"")</f>
        <v/>
      </c>
      <c r="N205" s="165"/>
    </row>
    <row r="206" spans="1:14" s="166" customFormat="1" hidden="1" x14ac:dyDescent="0.3">
      <c r="A206" s="176">
        <f>IF(D206&lt;&gt;0,22,0)</f>
        <v>0</v>
      </c>
      <c r="B206" s="176" t="s">
        <v>1487</v>
      </c>
      <c r="C206" s="176"/>
      <c r="D206" s="360">
        <f>IFERROR(IFERROR(VLOOKUP(C206,PROYECTO_CHARLY,2,FALSE),VLOOKUP(B206,PROYECTO_CHARLY,2,FALSE)),0)</f>
        <v>0</v>
      </c>
      <c r="E206" s="370" t="str">
        <f>IFERROR(IF(VLOOKUP(D206,TURNOS_SERVICIOS,2,FALSE)=0,"NO DESIGNADO",VLOOKUP(D206,TURNOS_SERVICIOS,2,FALSE)),"NO DESIGNADO")</f>
        <v>NO DESIGNADO</v>
      </c>
      <c r="F206" s="371" t="str">
        <f>IFERROR(IF(VLOOKUP(D206,TURNOS_SERVICIOS,3,FALSE)=0,"-",VLOOKUP(D206,TURNOS_SERVICIOS,3,FALSE)),"-")</f>
        <v>-</v>
      </c>
      <c r="G206" s="362">
        <f>IFERROR(IF(VLOOKUP(D206,TURNOS_SERVICIOS,4,FALSE)=0,"SIN TURNO",VLOOKUP(D206,TURNOS_SERVICIOS,4,FALSE)),0)</f>
        <v>0</v>
      </c>
      <c r="H206" s="362">
        <f>IFERROR(IF(VLOOKUP(D206,TURNOS_SERVICIOS,5,FALSE)=0,"SIN SERVICIO",VLOOKUP(D206,TURNOS_SERVICIOS,5,FALSE)),0)</f>
        <v>0</v>
      </c>
      <c r="I206" s="363">
        <f>IFERROR(IF(VLOOKUP(D206,TURNOS_SERVICIOS,6,FALSE)=0,0,VLOOKUP(D206,TURNOS_SERVICIOS,6,FALSE)),0)</f>
        <v>0</v>
      </c>
      <c r="J206" s="363">
        <f>IFERROR(IF(VLOOKUP(D206,TURNOS_SERVICIOS,7,FALSE)=0,0,VLOOKUP(D206,TURNOS_SERVICIOS,7,FALSE)),0)</f>
        <v>0</v>
      </c>
      <c r="K206" s="364">
        <f>IFERROR(VLOOKUP(D206,TURNOS_SERVICIOS,8,FALSE),0)</f>
        <v>0</v>
      </c>
      <c r="L206" s="365" t="str">
        <f>IFERROR(IF(VLOOKUP(D206,TURNOS_SERVICIOS,9,FALSE)=0,"",VLOOKUP(D206,TURNOS_SERVICIOS,9,FALSE)),"")</f>
        <v/>
      </c>
      <c r="N206" s="165"/>
    </row>
    <row r="207" spans="1:14" s="166" customFormat="1" hidden="1" x14ac:dyDescent="0.3">
      <c r="A207" s="162">
        <f>IF(SUM(A208:A211)&gt;0,22,0)</f>
        <v>0</v>
      </c>
      <c r="B207" s="162"/>
      <c r="C207" s="162"/>
      <c r="D207" s="1123" t="s">
        <v>1505</v>
      </c>
      <c r="E207" s="1124"/>
      <c r="F207" s="1123"/>
      <c r="G207" s="1123"/>
      <c r="H207" s="1123"/>
      <c r="I207" s="1123"/>
      <c r="J207" s="1123"/>
      <c r="K207" s="1123"/>
      <c r="L207" s="1124"/>
      <c r="N207" s="165"/>
    </row>
    <row r="208" spans="1:14" s="166" customFormat="1" hidden="1" x14ac:dyDescent="0.3">
      <c r="A208" s="176">
        <f>IF(D208&lt;&gt;0,22,0)</f>
        <v>0</v>
      </c>
      <c r="B208" s="176" t="s">
        <v>1489</v>
      </c>
      <c r="C208" s="176"/>
      <c r="D208" s="360">
        <f>IFERROR(IFERROR(VLOOKUP(C208,PROYECTO_CHARLY,2,FALSE),VLOOKUP(B208,PROYECTO_CHARLY,2,FALSE)),0)</f>
        <v>0</v>
      </c>
      <c r="E208" s="370" t="str">
        <f>IFERROR(IF(VLOOKUP(D208,TURNOS_SERVICIOS,2,FALSE)=0,"NO DESIGNADO",VLOOKUP(D208,TURNOS_SERVICIOS,2,FALSE)),"NO DESIGNADO")</f>
        <v>NO DESIGNADO</v>
      </c>
      <c r="F208" s="371" t="str">
        <f>IFERROR(IF(VLOOKUP(D208,TURNOS_SERVICIOS,3,FALSE)=0,"-",VLOOKUP(D208,TURNOS_SERVICIOS,3,FALSE)),"-")</f>
        <v>-</v>
      </c>
      <c r="G208" s="362">
        <f>IFERROR(IF(VLOOKUP(D208,TURNOS_SERVICIOS,4,FALSE)=0,"SIN TURNO",VLOOKUP(D208,TURNOS_SERVICIOS,4,FALSE)),0)</f>
        <v>0</v>
      </c>
      <c r="H208" s="362">
        <f>IFERROR(IF(VLOOKUP(D208,TURNOS_SERVICIOS,5,FALSE)=0,"SIN SERVICIO",VLOOKUP(D208,TURNOS_SERVICIOS,5,FALSE)),0)</f>
        <v>0</v>
      </c>
      <c r="I208" s="363">
        <f>IFERROR(IF(VLOOKUP(D208,TURNOS_SERVICIOS,6,FALSE)=0,0,VLOOKUP(D208,TURNOS_SERVICIOS,6,FALSE)),0)</f>
        <v>0</v>
      </c>
      <c r="J208" s="363">
        <f>IFERROR(IF(VLOOKUP(D208,TURNOS_SERVICIOS,7,FALSE)=0,0,VLOOKUP(D208,TURNOS_SERVICIOS,7,FALSE)),0)</f>
        <v>0</v>
      </c>
      <c r="K208" s="364">
        <f>IFERROR(VLOOKUP(D208,TURNOS_SERVICIOS,8,FALSE),0)</f>
        <v>0</v>
      </c>
      <c r="L208" s="365" t="str">
        <f>IFERROR(IF(VLOOKUP(D208,TURNOS_SERVICIOS,9,FALSE)=0,"",VLOOKUP(D208,TURNOS_SERVICIOS,9,FALSE)),"")</f>
        <v/>
      </c>
      <c r="N208" s="165"/>
    </row>
    <row r="209" spans="1:14" s="166" customFormat="1" hidden="1" x14ac:dyDescent="0.3">
      <c r="A209" s="176">
        <f>IF(D209&lt;&gt;0,22,0)</f>
        <v>0</v>
      </c>
      <c r="B209" s="176" t="s">
        <v>1490</v>
      </c>
      <c r="C209" s="176"/>
      <c r="D209" s="360">
        <f>IFERROR(IFERROR(VLOOKUP(C209,PROYECTO_CHARLY,2,FALSE),VLOOKUP(B209,PROYECTO_CHARLY,2,FALSE)),0)</f>
        <v>0</v>
      </c>
      <c r="E209" s="370" t="str">
        <f>IFERROR(IF(VLOOKUP(D209,TURNOS_SERVICIOS,2,FALSE)=0,"NO DESIGNADO",VLOOKUP(D209,TURNOS_SERVICIOS,2,FALSE)),"NO DESIGNADO")</f>
        <v>NO DESIGNADO</v>
      </c>
      <c r="F209" s="371" t="str">
        <f>IFERROR(IF(VLOOKUP(D209,TURNOS_SERVICIOS,3,FALSE)=0,"-",VLOOKUP(D209,TURNOS_SERVICIOS,3,FALSE)),"-")</f>
        <v>-</v>
      </c>
      <c r="G209" s="362">
        <f>IFERROR(IF(VLOOKUP(D209,TURNOS_SERVICIOS,4,FALSE)=0,"SIN TURNO",VLOOKUP(D209,TURNOS_SERVICIOS,4,FALSE)),0)</f>
        <v>0</v>
      </c>
      <c r="H209" s="362">
        <f>IFERROR(IF(VLOOKUP(D209,TURNOS_SERVICIOS,5,FALSE)=0,"SIN SERVICIO",VLOOKUP(D209,TURNOS_SERVICIOS,5,FALSE)),0)</f>
        <v>0</v>
      </c>
      <c r="I209" s="363">
        <f>IFERROR(IF(VLOOKUP(D209,TURNOS_SERVICIOS,6,FALSE)=0,0,VLOOKUP(D209,TURNOS_SERVICIOS,6,FALSE)),0)</f>
        <v>0</v>
      </c>
      <c r="J209" s="363">
        <f>IFERROR(IF(VLOOKUP(D209,TURNOS_SERVICIOS,7,FALSE)=0,0,VLOOKUP(D209,TURNOS_SERVICIOS,7,FALSE)),0)</f>
        <v>0</v>
      </c>
      <c r="K209" s="364">
        <f>IFERROR(VLOOKUP(D209,TURNOS_SERVICIOS,8,FALSE),0)</f>
        <v>0</v>
      </c>
      <c r="L209" s="365" t="str">
        <f>IFERROR(IF(VLOOKUP(D209,TURNOS_SERVICIOS,9,FALSE)=0,"",VLOOKUP(D209,TURNOS_SERVICIOS,9,FALSE)),"")</f>
        <v/>
      </c>
      <c r="N209" s="165"/>
    </row>
    <row r="210" spans="1:14" s="166" customFormat="1" hidden="1" x14ac:dyDescent="0.3">
      <c r="A210" s="176">
        <f>IF(D210&lt;&gt;0,22,0)</f>
        <v>0</v>
      </c>
      <c r="B210" s="176" t="s">
        <v>1491</v>
      </c>
      <c r="C210" s="176"/>
      <c r="D210" s="360">
        <f>IFERROR(IFERROR(VLOOKUP(C210,PROYECTO_CHARLY,2,FALSE),VLOOKUP(B210,PROYECTO_CHARLY,2,FALSE)),0)</f>
        <v>0</v>
      </c>
      <c r="E210" s="370" t="str">
        <f>IFERROR(IF(VLOOKUP(D210,TURNOS_SERVICIOS,2,FALSE)=0,"NO DESIGNADO",VLOOKUP(D210,TURNOS_SERVICIOS,2,FALSE)),"NO DESIGNADO")</f>
        <v>NO DESIGNADO</v>
      </c>
      <c r="F210" s="371" t="str">
        <f>IFERROR(IF(VLOOKUP(D210,TURNOS_SERVICIOS,3,FALSE)=0,"-",VLOOKUP(D210,TURNOS_SERVICIOS,3,FALSE)),"-")</f>
        <v>-</v>
      </c>
      <c r="G210" s="362">
        <f>IFERROR(IF(VLOOKUP(D210,TURNOS_SERVICIOS,4,FALSE)=0,"SIN TURNO",VLOOKUP(D210,TURNOS_SERVICIOS,4,FALSE)),0)</f>
        <v>0</v>
      </c>
      <c r="H210" s="362">
        <f>IFERROR(IF(VLOOKUP(D210,TURNOS_SERVICIOS,5,FALSE)=0,"SIN SERVICIO",VLOOKUP(D210,TURNOS_SERVICIOS,5,FALSE)),0)</f>
        <v>0</v>
      </c>
      <c r="I210" s="363">
        <f>IFERROR(IF(VLOOKUP(D210,TURNOS_SERVICIOS,6,FALSE)=0,0,VLOOKUP(D210,TURNOS_SERVICIOS,6,FALSE)),0)</f>
        <v>0</v>
      </c>
      <c r="J210" s="363">
        <f>IFERROR(IF(VLOOKUP(D210,TURNOS_SERVICIOS,7,FALSE)=0,0,VLOOKUP(D210,TURNOS_SERVICIOS,7,FALSE)),0)</f>
        <v>0</v>
      </c>
      <c r="K210" s="364">
        <f>IFERROR(VLOOKUP(D210,TURNOS_SERVICIOS,8,FALSE),0)</f>
        <v>0</v>
      </c>
      <c r="L210" s="365" t="str">
        <f>IFERROR(IF(VLOOKUP(D210,TURNOS_SERVICIOS,9,FALSE)=0,"",VLOOKUP(D210,TURNOS_SERVICIOS,9,FALSE)),"")</f>
        <v/>
      </c>
      <c r="N210" s="165"/>
    </row>
    <row r="211" spans="1:14" s="166" customFormat="1" hidden="1" x14ac:dyDescent="0.3">
      <c r="A211" s="176">
        <f>IF(D211&lt;&gt;0,22,0)</f>
        <v>0</v>
      </c>
      <c r="B211" s="176" t="s">
        <v>1492</v>
      </c>
      <c r="C211" s="176"/>
      <c r="D211" s="360">
        <f>IFERROR(IFERROR(VLOOKUP(C211,PROYECTO_CHARLY,2,FALSE),VLOOKUP(B211,PROYECTO_CHARLY,2,FALSE)),0)</f>
        <v>0</v>
      </c>
      <c r="E211" s="370" t="str">
        <f>IFERROR(IF(VLOOKUP(D211,TURNOS_SERVICIOS,2,FALSE)=0,"NO DESIGNADO",VLOOKUP(D211,TURNOS_SERVICIOS,2,FALSE)),"NO DESIGNADO")</f>
        <v>NO DESIGNADO</v>
      </c>
      <c r="F211" s="371" t="str">
        <f>IFERROR(IF(VLOOKUP(D211,TURNOS_SERVICIOS,3,FALSE)=0,"-",VLOOKUP(D211,TURNOS_SERVICIOS,3,FALSE)),"-")</f>
        <v>-</v>
      </c>
      <c r="G211" s="362">
        <f>IFERROR(IF(VLOOKUP(D211,TURNOS_SERVICIOS,4,FALSE)=0,"SIN TURNO",VLOOKUP(D211,TURNOS_SERVICIOS,4,FALSE)),0)</f>
        <v>0</v>
      </c>
      <c r="H211" s="362">
        <f>IFERROR(IF(VLOOKUP(D211,TURNOS_SERVICIOS,5,FALSE)=0,"SIN SERVICIO",VLOOKUP(D211,TURNOS_SERVICIOS,5,FALSE)),0)</f>
        <v>0</v>
      </c>
      <c r="I211" s="363">
        <f>IFERROR(IF(VLOOKUP(D211,TURNOS_SERVICIOS,6,FALSE)=0,0,VLOOKUP(D211,TURNOS_SERVICIOS,6,FALSE)),0)</f>
        <v>0</v>
      </c>
      <c r="J211" s="363">
        <f>IFERROR(IF(VLOOKUP(D211,TURNOS_SERVICIOS,7,FALSE)=0,0,VLOOKUP(D211,TURNOS_SERVICIOS,7,FALSE)),0)</f>
        <v>0</v>
      </c>
      <c r="K211" s="364">
        <f>IFERROR(VLOOKUP(D211,TURNOS_SERVICIOS,8,FALSE),0)</f>
        <v>0</v>
      </c>
      <c r="L211" s="365" t="str">
        <f>IFERROR(IF(VLOOKUP(D211,TURNOS_SERVICIOS,9,FALSE)=0,"",VLOOKUP(D211,TURNOS_SERVICIOS,9,FALSE)),"")</f>
        <v/>
      </c>
      <c r="N211" s="165"/>
    </row>
    <row r="212" spans="1:14" s="166" customFormat="1" hidden="1" x14ac:dyDescent="0.3">
      <c r="A212" s="162">
        <f>IF(SUM(A213:A232)&gt;0,22,0)</f>
        <v>0</v>
      </c>
      <c r="B212" s="162"/>
      <c r="C212" s="162"/>
      <c r="D212" s="1123" t="s">
        <v>1504</v>
      </c>
      <c r="E212" s="1124"/>
      <c r="F212" s="1123"/>
      <c r="G212" s="1123"/>
      <c r="H212" s="1123"/>
      <c r="I212" s="1123"/>
      <c r="J212" s="1123"/>
      <c r="K212" s="1123"/>
      <c r="L212" s="1123"/>
      <c r="N212" s="165"/>
    </row>
    <row r="213" spans="1:14" s="166" customFormat="1" hidden="1" x14ac:dyDescent="0.3">
      <c r="A213" s="176">
        <f t="shared" ref="A213:A232" si="253">IFERROR(IF(AND(G213="1T",C213=0,H213&lt;&gt;"METRO"),22,0),0)</f>
        <v>0</v>
      </c>
      <c r="B213" s="177" t="s">
        <v>1276</v>
      </c>
      <c r="C213" s="177">
        <f t="shared" ref="C213:C232" si="254">SUMIF($D$24:$D$211,D213,$A$24:$A$211)</f>
        <v>0</v>
      </c>
      <c r="D213" s="369" t="str">
        <f t="shared" ref="D213:D232" si="255">IFERROR(VLOOKUP(B213,PROYECTO_DELTA,3,FALSE),"N.D.")</f>
        <v>N.D.</v>
      </c>
      <c r="E213" s="370" t="str">
        <f t="shared" ref="E213:E232" si="256">IFERROR(IF(VLOOKUP(D213,TURNOS_SERVICIOS,2,FALSE)=0,"NO DESIGNADO",VLOOKUP(D213,TURNOS_SERVICIOS,2,FALSE)),"NO DESIGNADO")</f>
        <v>NO DESIGNADO</v>
      </c>
      <c r="F213" s="371" t="str">
        <f t="shared" ref="F213:F232" si="257">IFERROR(IF(VLOOKUP(D213,TURNOS_SERVICIOS,3,FALSE)=0,"-",VLOOKUP(D213,TURNOS_SERVICIOS,3,FALSE)),"-")</f>
        <v>-</v>
      </c>
      <c r="G213" s="371">
        <f t="shared" ref="G213:G232" si="258">IFERROR(IF(VLOOKUP(D213,TURNOS_SERVICIOS,4,FALSE)=0,"SIN TURNO",VLOOKUP(D213,TURNOS_SERVICIOS,4,FALSE)),0)</f>
        <v>0</v>
      </c>
      <c r="H213" s="371">
        <f t="shared" ref="H213:H232" si="259">IFERROR(IF(VLOOKUP(D213,TURNOS_SERVICIOS,5,FALSE)=0,"SIN SERVICIO",VLOOKUP(D213,TURNOS_SERVICIOS,5,FALSE)),0)</f>
        <v>0</v>
      </c>
      <c r="I213" s="363">
        <f t="shared" ref="I213:I232" si="260">IFERROR(IF(VLOOKUP(D213,TURNOS_SERVICIOS,6,FALSE)=0,0,VLOOKUP(D213,TURNOS_SERVICIOS,6,FALSE)),0)</f>
        <v>0</v>
      </c>
      <c r="J213" s="363">
        <f t="shared" ref="J213:J232" si="261">IFERROR(IF(VLOOKUP(D213,TURNOS_SERVICIOS,7,FALSE)=0,0,VLOOKUP(D213,TURNOS_SERVICIOS,7,FALSE)),0)</f>
        <v>0</v>
      </c>
      <c r="K213" s="364">
        <f t="shared" ref="K213:K232" si="262">IFERROR(VLOOKUP(D213,TURNOS_SERVICIOS,8,FALSE),0)</f>
        <v>0</v>
      </c>
      <c r="L213" s="365" t="str">
        <f t="shared" ref="L213:L232" si="263">IFERROR(IF(VLOOKUP(D213,TURNOS_SERVICIOS,9,FALSE)=0,"",VLOOKUP(D213,TURNOS_SERVICIOS,9,FALSE)),"")</f>
        <v/>
      </c>
      <c r="N213" s="165"/>
    </row>
    <row r="214" spans="1:14" s="166" customFormat="1" hidden="1" x14ac:dyDescent="0.3">
      <c r="A214" s="176">
        <f t="shared" si="253"/>
        <v>0</v>
      </c>
      <c r="B214" s="177" t="s">
        <v>1277</v>
      </c>
      <c r="C214" s="177">
        <f t="shared" si="254"/>
        <v>0</v>
      </c>
      <c r="D214" s="369" t="str">
        <f t="shared" si="255"/>
        <v>N.D.</v>
      </c>
      <c r="E214" s="370" t="str">
        <f t="shared" si="256"/>
        <v>NO DESIGNADO</v>
      </c>
      <c r="F214" s="371" t="str">
        <f t="shared" si="257"/>
        <v>-</v>
      </c>
      <c r="G214" s="371">
        <f t="shared" si="258"/>
        <v>0</v>
      </c>
      <c r="H214" s="371">
        <f t="shared" si="259"/>
        <v>0</v>
      </c>
      <c r="I214" s="363">
        <f t="shared" si="260"/>
        <v>0</v>
      </c>
      <c r="J214" s="363">
        <f t="shared" si="261"/>
        <v>0</v>
      </c>
      <c r="K214" s="364">
        <f t="shared" si="262"/>
        <v>0</v>
      </c>
      <c r="L214" s="365" t="str">
        <f t="shared" si="263"/>
        <v/>
      </c>
      <c r="N214" s="165"/>
    </row>
    <row r="215" spans="1:14" s="166" customFormat="1" hidden="1" x14ac:dyDescent="0.3">
      <c r="A215" s="176">
        <f t="shared" si="253"/>
        <v>0</v>
      </c>
      <c r="B215" s="177" t="s">
        <v>1278</v>
      </c>
      <c r="C215" s="177">
        <f t="shared" si="254"/>
        <v>0</v>
      </c>
      <c r="D215" s="369" t="str">
        <f t="shared" si="255"/>
        <v>N.D.</v>
      </c>
      <c r="E215" s="370" t="str">
        <f t="shared" si="256"/>
        <v>NO DESIGNADO</v>
      </c>
      <c r="F215" s="371" t="str">
        <f t="shared" si="257"/>
        <v>-</v>
      </c>
      <c r="G215" s="371">
        <f t="shared" si="258"/>
        <v>0</v>
      </c>
      <c r="H215" s="371">
        <f t="shared" si="259"/>
        <v>0</v>
      </c>
      <c r="I215" s="363">
        <f t="shared" si="260"/>
        <v>0</v>
      </c>
      <c r="J215" s="363">
        <f t="shared" si="261"/>
        <v>0</v>
      </c>
      <c r="K215" s="364">
        <f t="shared" si="262"/>
        <v>0</v>
      </c>
      <c r="L215" s="365" t="str">
        <f t="shared" si="263"/>
        <v/>
      </c>
      <c r="N215" s="165"/>
    </row>
    <row r="216" spans="1:14" s="166" customFormat="1" hidden="1" x14ac:dyDescent="0.3">
      <c r="A216" s="176">
        <f t="shared" si="253"/>
        <v>0</v>
      </c>
      <c r="B216" s="177" t="s">
        <v>1279</v>
      </c>
      <c r="C216" s="177">
        <f t="shared" si="254"/>
        <v>0</v>
      </c>
      <c r="D216" s="369" t="str">
        <f t="shared" si="255"/>
        <v>N.D.</v>
      </c>
      <c r="E216" s="370" t="str">
        <f t="shared" si="256"/>
        <v>NO DESIGNADO</v>
      </c>
      <c r="F216" s="371" t="str">
        <f t="shared" si="257"/>
        <v>-</v>
      </c>
      <c r="G216" s="371">
        <f t="shared" si="258"/>
        <v>0</v>
      </c>
      <c r="H216" s="371">
        <f t="shared" si="259"/>
        <v>0</v>
      </c>
      <c r="I216" s="363">
        <f t="shared" si="260"/>
        <v>0</v>
      </c>
      <c r="J216" s="363">
        <f t="shared" si="261"/>
        <v>0</v>
      </c>
      <c r="K216" s="364">
        <f t="shared" si="262"/>
        <v>0</v>
      </c>
      <c r="L216" s="365" t="str">
        <f t="shared" si="263"/>
        <v/>
      </c>
      <c r="N216" s="165"/>
    </row>
    <row r="217" spans="1:14" s="166" customFormat="1" hidden="1" x14ac:dyDescent="0.3">
      <c r="A217" s="176">
        <f t="shared" si="253"/>
        <v>0</v>
      </c>
      <c r="B217" s="177" t="s">
        <v>1280</v>
      </c>
      <c r="C217" s="177">
        <f t="shared" si="254"/>
        <v>0</v>
      </c>
      <c r="D217" s="369" t="str">
        <f t="shared" si="255"/>
        <v>N.D.</v>
      </c>
      <c r="E217" s="370" t="str">
        <f t="shared" si="256"/>
        <v>NO DESIGNADO</v>
      </c>
      <c r="F217" s="371" t="str">
        <f t="shared" si="257"/>
        <v>-</v>
      </c>
      <c r="G217" s="371">
        <f t="shared" si="258"/>
        <v>0</v>
      </c>
      <c r="H217" s="371">
        <f t="shared" si="259"/>
        <v>0</v>
      </c>
      <c r="I217" s="363">
        <f t="shared" si="260"/>
        <v>0</v>
      </c>
      <c r="J217" s="363">
        <f t="shared" si="261"/>
        <v>0</v>
      </c>
      <c r="K217" s="364">
        <f t="shared" si="262"/>
        <v>0</v>
      </c>
      <c r="L217" s="365" t="str">
        <f t="shared" si="263"/>
        <v/>
      </c>
      <c r="N217" s="165"/>
    </row>
    <row r="218" spans="1:14" s="166" customFormat="1" hidden="1" x14ac:dyDescent="0.3">
      <c r="A218" s="176">
        <f t="shared" si="253"/>
        <v>0</v>
      </c>
      <c r="B218" s="177" t="s">
        <v>1281</v>
      </c>
      <c r="C218" s="177">
        <f t="shared" si="254"/>
        <v>0</v>
      </c>
      <c r="D218" s="369" t="str">
        <f t="shared" si="255"/>
        <v>N.D.</v>
      </c>
      <c r="E218" s="370" t="str">
        <f t="shared" si="256"/>
        <v>NO DESIGNADO</v>
      </c>
      <c r="F218" s="371" t="str">
        <f t="shared" si="257"/>
        <v>-</v>
      </c>
      <c r="G218" s="371">
        <f t="shared" si="258"/>
        <v>0</v>
      </c>
      <c r="H218" s="371">
        <f t="shared" si="259"/>
        <v>0</v>
      </c>
      <c r="I218" s="363">
        <f t="shared" si="260"/>
        <v>0</v>
      </c>
      <c r="J218" s="363">
        <f t="shared" si="261"/>
        <v>0</v>
      </c>
      <c r="K218" s="364">
        <f t="shared" si="262"/>
        <v>0</v>
      </c>
      <c r="L218" s="365" t="str">
        <f t="shared" si="263"/>
        <v/>
      </c>
      <c r="N218" s="165"/>
    </row>
    <row r="219" spans="1:14" s="166" customFormat="1" hidden="1" x14ac:dyDescent="0.3">
      <c r="A219" s="176">
        <f t="shared" si="253"/>
        <v>0</v>
      </c>
      <c r="B219" s="177" t="s">
        <v>1282</v>
      </c>
      <c r="C219" s="177">
        <f t="shared" si="254"/>
        <v>0</v>
      </c>
      <c r="D219" s="369" t="str">
        <f t="shared" si="255"/>
        <v>N.D.</v>
      </c>
      <c r="E219" s="370" t="str">
        <f t="shared" si="256"/>
        <v>NO DESIGNADO</v>
      </c>
      <c r="F219" s="371" t="str">
        <f t="shared" si="257"/>
        <v>-</v>
      </c>
      <c r="G219" s="371">
        <f t="shared" si="258"/>
        <v>0</v>
      </c>
      <c r="H219" s="371">
        <f t="shared" si="259"/>
        <v>0</v>
      </c>
      <c r="I219" s="363">
        <f t="shared" si="260"/>
        <v>0</v>
      </c>
      <c r="J219" s="363">
        <f t="shared" si="261"/>
        <v>0</v>
      </c>
      <c r="K219" s="364">
        <f t="shared" si="262"/>
        <v>0</v>
      </c>
      <c r="L219" s="365" t="str">
        <f t="shared" si="263"/>
        <v/>
      </c>
      <c r="N219" s="165"/>
    </row>
    <row r="220" spans="1:14" s="166" customFormat="1" hidden="1" x14ac:dyDescent="0.3">
      <c r="A220" s="176">
        <f t="shared" si="253"/>
        <v>0</v>
      </c>
      <c r="B220" s="177" t="s">
        <v>1283</v>
      </c>
      <c r="C220" s="177">
        <f t="shared" si="254"/>
        <v>0</v>
      </c>
      <c r="D220" s="369" t="str">
        <f t="shared" si="255"/>
        <v>N.D.</v>
      </c>
      <c r="E220" s="370" t="str">
        <f t="shared" si="256"/>
        <v>NO DESIGNADO</v>
      </c>
      <c r="F220" s="371" t="str">
        <f t="shared" si="257"/>
        <v>-</v>
      </c>
      <c r="G220" s="371">
        <f t="shared" si="258"/>
        <v>0</v>
      </c>
      <c r="H220" s="371">
        <f t="shared" si="259"/>
        <v>0</v>
      </c>
      <c r="I220" s="363">
        <f t="shared" si="260"/>
        <v>0</v>
      </c>
      <c r="J220" s="363">
        <f t="shared" si="261"/>
        <v>0</v>
      </c>
      <c r="K220" s="364">
        <f t="shared" si="262"/>
        <v>0</v>
      </c>
      <c r="L220" s="365" t="str">
        <f t="shared" si="263"/>
        <v/>
      </c>
      <c r="N220" s="165"/>
    </row>
    <row r="221" spans="1:14" s="166" customFormat="1" hidden="1" x14ac:dyDescent="0.3">
      <c r="A221" s="176">
        <f t="shared" si="253"/>
        <v>0</v>
      </c>
      <c r="B221" s="177" t="s">
        <v>1284</v>
      </c>
      <c r="C221" s="177">
        <f t="shared" si="254"/>
        <v>0</v>
      </c>
      <c r="D221" s="369" t="str">
        <f t="shared" si="255"/>
        <v>N.D.</v>
      </c>
      <c r="E221" s="370" t="str">
        <f t="shared" si="256"/>
        <v>NO DESIGNADO</v>
      </c>
      <c r="F221" s="371" t="str">
        <f t="shared" si="257"/>
        <v>-</v>
      </c>
      <c r="G221" s="371">
        <f t="shared" si="258"/>
        <v>0</v>
      </c>
      <c r="H221" s="371">
        <f t="shared" si="259"/>
        <v>0</v>
      </c>
      <c r="I221" s="363">
        <f t="shared" si="260"/>
        <v>0</v>
      </c>
      <c r="J221" s="363">
        <f t="shared" si="261"/>
        <v>0</v>
      </c>
      <c r="K221" s="364">
        <f t="shared" si="262"/>
        <v>0</v>
      </c>
      <c r="L221" s="365" t="str">
        <f t="shared" si="263"/>
        <v/>
      </c>
      <c r="N221" s="165"/>
    </row>
    <row r="222" spans="1:14" s="166" customFormat="1" hidden="1" x14ac:dyDescent="0.3">
      <c r="A222" s="176">
        <f t="shared" si="253"/>
        <v>0</v>
      </c>
      <c r="B222" s="177" t="s">
        <v>1285</v>
      </c>
      <c r="C222" s="177">
        <f t="shared" si="254"/>
        <v>0</v>
      </c>
      <c r="D222" s="369" t="str">
        <f t="shared" si="255"/>
        <v>N.D.</v>
      </c>
      <c r="E222" s="370" t="str">
        <f t="shared" si="256"/>
        <v>NO DESIGNADO</v>
      </c>
      <c r="F222" s="371" t="str">
        <f t="shared" si="257"/>
        <v>-</v>
      </c>
      <c r="G222" s="371">
        <f t="shared" si="258"/>
        <v>0</v>
      </c>
      <c r="H222" s="371">
        <f t="shared" si="259"/>
        <v>0</v>
      </c>
      <c r="I222" s="363">
        <f t="shared" si="260"/>
        <v>0</v>
      </c>
      <c r="J222" s="363">
        <f t="shared" si="261"/>
        <v>0</v>
      </c>
      <c r="K222" s="364">
        <f t="shared" si="262"/>
        <v>0</v>
      </c>
      <c r="L222" s="365" t="str">
        <f t="shared" si="263"/>
        <v/>
      </c>
      <c r="N222" s="165"/>
    </row>
    <row r="223" spans="1:14" s="166" customFormat="1" hidden="1" x14ac:dyDescent="0.3">
      <c r="A223" s="176">
        <f t="shared" si="253"/>
        <v>0</v>
      </c>
      <c r="B223" s="177" t="s">
        <v>1286</v>
      </c>
      <c r="C223" s="177">
        <f t="shared" si="254"/>
        <v>0</v>
      </c>
      <c r="D223" s="369" t="str">
        <f t="shared" si="255"/>
        <v>N.D.</v>
      </c>
      <c r="E223" s="370" t="str">
        <f t="shared" si="256"/>
        <v>NO DESIGNADO</v>
      </c>
      <c r="F223" s="371" t="str">
        <f t="shared" si="257"/>
        <v>-</v>
      </c>
      <c r="G223" s="371">
        <f t="shared" si="258"/>
        <v>0</v>
      </c>
      <c r="H223" s="371">
        <f t="shared" si="259"/>
        <v>0</v>
      </c>
      <c r="I223" s="363">
        <f t="shared" si="260"/>
        <v>0</v>
      </c>
      <c r="J223" s="363">
        <f t="shared" si="261"/>
        <v>0</v>
      </c>
      <c r="K223" s="364">
        <f t="shared" si="262"/>
        <v>0</v>
      </c>
      <c r="L223" s="365" t="str">
        <f t="shared" si="263"/>
        <v/>
      </c>
      <c r="N223" s="165"/>
    </row>
    <row r="224" spans="1:14" s="166" customFormat="1" hidden="1" x14ac:dyDescent="0.3">
      <c r="A224" s="176">
        <f t="shared" si="253"/>
        <v>0</v>
      </c>
      <c r="B224" s="177" t="s">
        <v>1287</v>
      </c>
      <c r="C224" s="177">
        <f t="shared" si="254"/>
        <v>0</v>
      </c>
      <c r="D224" s="369" t="str">
        <f t="shared" si="255"/>
        <v>N.D.</v>
      </c>
      <c r="E224" s="370" t="str">
        <f t="shared" si="256"/>
        <v>NO DESIGNADO</v>
      </c>
      <c r="F224" s="371" t="str">
        <f t="shared" si="257"/>
        <v>-</v>
      </c>
      <c r="G224" s="371">
        <f t="shared" si="258"/>
        <v>0</v>
      </c>
      <c r="H224" s="371">
        <f t="shared" si="259"/>
        <v>0</v>
      </c>
      <c r="I224" s="363">
        <f t="shared" si="260"/>
        <v>0</v>
      </c>
      <c r="J224" s="363">
        <f t="shared" si="261"/>
        <v>0</v>
      </c>
      <c r="K224" s="364">
        <f t="shared" si="262"/>
        <v>0</v>
      </c>
      <c r="L224" s="365" t="str">
        <f t="shared" si="263"/>
        <v/>
      </c>
      <c r="N224" s="165"/>
    </row>
    <row r="225" spans="1:14" s="166" customFormat="1" hidden="1" x14ac:dyDescent="0.3">
      <c r="A225" s="176">
        <f t="shared" si="253"/>
        <v>0</v>
      </c>
      <c r="B225" s="177" t="s">
        <v>1288</v>
      </c>
      <c r="C225" s="177">
        <f t="shared" si="254"/>
        <v>0</v>
      </c>
      <c r="D225" s="369" t="str">
        <f t="shared" si="255"/>
        <v>N.D.</v>
      </c>
      <c r="E225" s="370" t="str">
        <f t="shared" si="256"/>
        <v>NO DESIGNADO</v>
      </c>
      <c r="F225" s="371" t="str">
        <f t="shared" si="257"/>
        <v>-</v>
      </c>
      <c r="G225" s="371">
        <f t="shared" si="258"/>
        <v>0</v>
      </c>
      <c r="H225" s="371">
        <f t="shared" si="259"/>
        <v>0</v>
      </c>
      <c r="I225" s="363">
        <f t="shared" si="260"/>
        <v>0</v>
      </c>
      <c r="J225" s="363">
        <f t="shared" si="261"/>
        <v>0</v>
      </c>
      <c r="K225" s="364">
        <f t="shared" si="262"/>
        <v>0</v>
      </c>
      <c r="L225" s="365" t="str">
        <f t="shared" si="263"/>
        <v/>
      </c>
      <c r="N225" s="165"/>
    </row>
    <row r="226" spans="1:14" s="166" customFormat="1" hidden="1" x14ac:dyDescent="0.3">
      <c r="A226" s="176">
        <f t="shared" si="253"/>
        <v>0</v>
      </c>
      <c r="B226" s="177" t="s">
        <v>1289</v>
      </c>
      <c r="C226" s="177">
        <f t="shared" si="254"/>
        <v>0</v>
      </c>
      <c r="D226" s="369" t="str">
        <f t="shared" si="255"/>
        <v>N.D.</v>
      </c>
      <c r="E226" s="370" t="str">
        <f t="shared" si="256"/>
        <v>NO DESIGNADO</v>
      </c>
      <c r="F226" s="371" t="str">
        <f t="shared" si="257"/>
        <v>-</v>
      </c>
      <c r="G226" s="371">
        <f t="shared" si="258"/>
        <v>0</v>
      </c>
      <c r="H226" s="371">
        <f t="shared" si="259"/>
        <v>0</v>
      </c>
      <c r="I226" s="363">
        <f t="shared" si="260"/>
        <v>0</v>
      </c>
      <c r="J226" s="363">
        <f t="shared" si="261"/>
        <v>0</v>
      </c>
      <c r="K226" s="364">
        <f t="shared" si="262"/>
        <v>0</v>
      </c>
      <c r="L226" s="365" t="str">
        <f t="shared" si="263"/>
        <v/>
      </c>
      <c r="N226" s="165"/>
    </row>
    <row r="227" spans="1:14" s="166" customFormat="1" hidden="1" x14ac:dyDescent="0.3">
      <c r="A227" s="176">
        <f t="shared" si="253"/>
        <v>0</v>
      </c>
      <c r="B227" s="177" t="s">
        <v>1290</v>
      </c>
      <c r="C227" s="177">
        <f t="shared" si="254"/>
        <v>0</v>
      </c>
      <c r="D227" s="369" t="str">
        <f t="shared" si="255"/>
        <v>N.D.</v>
      </c>
      <c r="E227" s="370" t="str">
        <f t="shared" si="256"/>
        <v>NO DESIGNADO</v>
      </c>
      <c r="F227" s="371" t="str">
        <f t="shared" si="257"/>
        <v>-</v>
      </c>
      <c r="G227" s="371">
        <f t="shared" si="258"/>
        <v>0</v>
      </c>
      <c r="H227" s="371">
        <f t="shared" si="259"/>
        <v>0</v>
      </c>
      <c r="I227" s="363">
        <f t="shared" si="260"/>
        <v>0</v>
      </c>
      <c r="J227" s="363">
        <f t="shared" si="261"/>
        <v>0</v>
      </c>
      <c r="K227" s="364">
        <f t="shared" si="262"/>
        <v>0</v>
      </c>
      <c r="L227" s="365" t="str">
        <f t="shared" si="263"/>
        <v/>
      </c>
      <c r="N227" s="165"/>
    </row>
    <row r="228" spans="1:14" s="166" customFormat="1" hidden="1" x14ac:dyDescent="0.3">
      <c r="A228" s="176">
        <f t="shared" si="253"/>
        <v>0</v>
      </c>
      <c r="B228" s="177" t="s">
        <v>1291</v>
      </c>
      <c r="C228" s="177">
        <f t="shared" si="254"/>
        <v>0</v>
      </c>
      <c r="D228" s="369" t="str">
        <f t="shared" si="255"/>
        <v>N.D.</v>
      </c>
      <c r="E228" s="370" t="str">
        <f t="shared" si="256"/>
        <v>NO DESIGNADO</v>
      </c>
      <c r="F228" s="371" t="str">
        <f t="shared" si="257"/>
        <v>-</v>
      </c>
      <c r="G228" s="371">
        <f t="shared" si="258"/>
        <v>0</v>
      </c>
      <c r="H228" s="371">
        <f t="shared" si="259"/>
        <v>0</v>
      </c>
      <c r="I228" s="363">
        <f t="shared" si="260"/>
        <v>0</v>
      </c>
      <c r="J228" s="363">
        <f t="shared" si="261"/>
        <v>0</v>
      </c>
      <c r="K228" s="364">
        <f t="shared" si="262"/>
        <v>0</v>
      </c>
      <c r="L228" s="365" t="str">
        <f t="shared" si="263"/>
        <v/>
      </c>
      <c r="N228" s="165"/>
    </row>
    <row r="229" spans="1:14" s="166" customFormat="1" hidden="1" x14ac:dyDescent="0.3">
      <c r="A229" s="176">
        <f t="shared" si="253"/>
        <v>0</v>
      </c>
      <c r="B229" s="177" t="s">
        <v>1292</v>
      </c>
      <c r="C229" s="177">
        <f t="shared" si="254"/>
        <v>0</v>
      </c>
      <c r="D229" s="369" t="str">
        <f t="shared" si="255"/>
        <v>N.D.</v>
      </c>
      <c r="E229" s="370" t="str">
        <f t="shared" si="256"/>
        <v>NO DESIGNADO</v>
      </c>
      <c r="F229" s="371" t="str">
        <f t="shared" si="257"/>
        <v>-</v>
      </c>
      <c r="G229" s="371">
        <f t="shared" si="258"/>
        <v>0</v>
      </c>
      <c r="H229" s="371">
        <f t="shared" si="259"/>
        <v>0</v>
      </c>
      <c r="I229" s="363">
        <f t="shared" si="260"/>
        <v>0</v>
      </c>
      <c r="J229" s="363">
        <f t="shared" si="261"/>
        <v>0</v>
      </c>
      <c r="K229" s="364">
        <f t="shared" si="262"/>
        <v>0</v>
      </c>
      <c r="L229" s="365" t="str">
        <f t="shared" si="263"/>
        <v/>
      </c>
      <c r="N229" s="165"/>
    </row>
    <row r="230" spans="1:14" s="166" customFormat="1" hidden="1" x14ac:dyDescent="0.3">
      <c r="A230" s="176">
        <f t="shared" si="253"/>
        <v>0</v>
      </c>
      <c r="B230" s="177" t="s">
        <v>1293</v>
      </c>
      <c r="C230" s="177">
        <f t="shared" si="254"/>
        <v>0</v>
      </c>
      <c r="D230" s="369" t="str">
        <f t="shared" si="255"/>
        <v>N.D.</v>
      </c>
      <c r="E230" s="370" t="str">
        <f t="shared" si="256"/>
        <v>NO DESIGNADO</v>
      </c>
      <c r="F230" s="371" t="str">
        <f t="shared" si="257"/>
        <v>-</v>
      </c>
      <c r="G230" s="371">
        <f t="shared" si="258"/>
        <v>0</v>
      </c>
      <c r="H230" s="371">
        <f t="shared" si="259"/>
        <v>0</v>
      </c>
      <c r="I230" s="363">
        <f t="shared" si="260"/>
        <v>0</v>
      </c>
      <c r="J230" s="363">
        <f t="shared" si="261"/>
        <v>0</v>
      </c>
      <c r="K230" s="364">
        <f t="shared" si="262"/>
        <v>0</v>
      </c>
      <c r="L230" s="365" t="str">
        <f t="shared" si="263"/>
        <v/>
      </c>
      <c r="N230" s="165"/>
    </row>
    <row r="231" spans="1:14" s="166" customFormat="1" hidden="1" x14ac:dyDescent="0.3">
      <c r="A231" s="176">
        <f t="shared" si="253"/>
        <v>0</v>
      </c>
      <c r="B231" s="177" t="s">
        <v>1294</v>
      </c>
      <c r="C231" s="177">
        <f t="shared" si="254"/>
        <v>0</v>
      </c>
      <c r="D231" s="369" t="str">
        <f t="shared" si="255"/>
        <v>N.D.</v>
      </c>
      <c r="E231" s="370" t="str">
        <f t="shared" si="256"/>
        <v>NO DESIGNADO</v>
      </c>
      <c r="F231" s="371" t="str">
        <f t="shared" si="257"/>
        <v>-</v>
      </c>
      <c r="G231" s="371">
        <f t="shared" si="258"/>
        <v>0</v>
      </c>
      <c r="H231" s="371">
        <f t="shared" si="259"/>
        <v>0</v>
      </c>
      <c r="I231" s="363">
        <f t="shared" si="260"/>
        <v>0</v>
      </c>
      <c r="J231" s="363">
        <f t="shared" si="261"/>
        <v>0</v>
      </c>
      <c r="K231" s="364">
        <f t="shared" si="262"/>
        <v>0</v>
      </c>
      <c r="L231" s="365" t="str">
        <f t="shared" si="263"/>
        <v/>
      </c>
      <c r="N231" s="165"/>
    </row>
    <row r="232" spans="1:14" s="166" customFormat="1" hidden="1" x14ac:dyDescent="0.3">
      <c r="A232" s="176">
        <f t="shared" si="253"/>
        <v>0</v>
      </c>
      <c r="B232" s="177" t="s">
        <v>1295</v>
      </c>
      <c r="C232" s="177">
        <f t="shared" si="254"/>
        <v>0</v>
      </c>
      <c r="D232" s="369" t="str">
        <f t="shared" si="255"/>
        <v>N.D.</v>
      </c>
      <c r="E232" s="370" t="str">
        <f t="shared" si="256"/>
        <v>NO DESIGNADO</v>
      </c>
      <c r="F232" s="371" t="str">
        <f t="shared" si="257"/>
        <v>-</v>
      </c>
      <c r="G232" s="371">
        <f t="shared" si="258"/>
        <v>0</v>
      </c>
      <c r="H232" s="371">
        <f t="shared" si="259"/>
        <v>0</v>
      </c>
      <c r="I232" s="363">
        <f t="shared" si="260"/>
        <v>0</v>
      </c>
      <c r="J232" s="363">
        <f t="shared" si="261"/>
        <v>0</v>
      </c>
      <c r="K232" s="364">
        <f t="shared" si="262"/>
        <v>0</v>
      </c>
      <c r="L232" s="365" t="str">
        <f t="shared" si="263"/>
        <v/>
      </c>
      <c r="N232" s="165"/>
    </row>
    <row r="233" spans="1:14" s="166" customFormat="1" hidden="1" x14ac:dyDescent="0.3">
      <c r="A233" s="162">
        <f>IF(SUM(A234:A253)&gt;0,22,0)</f>
        <v>0</v>
      </c>
      <c r="B233" s="162"/>
      <c r="C233" s="162"/>
      <c r="D233" s="1123" t="s">
        <v>1503</v>
      </c>
      <c r="E233" s="1124"/>
      <c r="F233" s="1123"/>
      <c r="G233" s="1123"/>
      <c r="H233" s="1123"/>
      <c r="I233" s="1123"/>
      <c r="J233" s="1123"/>
      <c r="K233" s="1123"/>
      <c r="L233" s="1124"/>
      <c r="N233" s="165"/>
    </row>
    <row r="234" spans="1:14" s="166" customFormat="1" hidden="1" x14ac:dyDescent="0.3">
      <c r="A234" s="176">
        <f>IFERROR(IF(AND(G234="2T",C234=0,H234&lt;&gt;"METRO"),22,0),0)</f>
        <v>0</v>
      </c>
      <c r="B234" s="177" t="s">
        <v>1296</v>
      </c>
      <c r="C234" s="177">
        <f t="shared" ref="C234:C253" si="264">SUMIF($D$24:$D$211,D234,$A$24:$A$211)</f>
        <v>0</v>
      </c>
      <c r="D234" s="369" t="str">
        <f t="shared" ref="D234:D253" si="265">IFERROR(VLOOKUP(B234,PROYECTO_DELTA,3,FALSE),"N.D.")</f>
        <v>N.D.</v>
      </c>
      <c r="E234" s="370" t="str">
        <f t="shared" ref="E234:E253" si="266">IFERROR(IF(VLOOKUP(D234,TURNOS_SERVICIOS,2,FALSE)=0,"NO DESIGNADO",VLOOKUP(D234,TURNOS_SERVICIOS,2,FALSE)),"NO DESIGNADO")</f>
        <v>NO DESIGNADO</v>
      </c>
      <c r="F234" s="371" t="str">
        <f t="shared" ref="F234:F253" si="267">IFERROR(IF(VLOOKUP(D234,TURNOS_SERVICIOS,3,FALSE)=0,"-",VLOOKUP(D234,TURNOS_SERVICIOS,3,FALSE)),"-")</f>
        <v>-</v>
      </c>
      <c r="G234" s="371">
        <f t="shared" ref="G234:G253" si="268">IFERROR(IF(VLOOKUP(D234,TURNOS_SERVICIOS,4,FALSE)=0,"SIN TURNO",VLOOKUP(D234,TURNOS_SERVICIOS,4,FALSE)),0)</f>
        <v>0</v>
      </c>
      <c r="H234" s="371">
        <f t="shared" ref="H234:H253" si="269">IFERROR(IF(VLOOKUP(D234,TURNOS_SERVICIOS,5,FALSE)=0,"SIN SERVICIO",VLOOKUP(D234,TURNOS_SERVICIOS,5,FALSE)),0)</f>
        <v>0</v>
      </c>
      <c r="I234" s="363">
        <f t="shared" ref="I234:I253" si="270">IFERROR(IF(VLOOKUP(D234,TURNOS_SERVICIOS,6,FALSE)=0,0,VLOOKUP(D234,TURNOS_SERVICIOS,6,FALSE)),0)</f>
        <v>0</v>
      </c>
      <c r="J234" s="363">
        <f t="shared" ref="J234:J253" si="271">IFERROR(IF(VLOOKUP(D234,TURNOS_SERVICIOS,7,FALSE)=0,0,VLOOKUP(D234,TURNOS_SERVICIOS,7,FALSE)),0)</f>
        <v>0</v>
      </c>
      <c r="K234" s="364">
        <f t="shared" ref="K234:K253" si="272">IFERROR(VLOOKUP(D234,TURNOS_SERVICIOS,8,FALSE),0)</f>
        <v>0</v>
      </c>
      <c r="L234" s="365" t="str">
        <f t="shared" ref="L234:L253" si="273">IFERROR(IF(VLOOKUP(D234,TURNOS_SERVICIOS,9,FALSE)=0,"",VLOOKUP(D234,TURNOS_SERVICIOS,9,FALSE)),"")</f>
        <v/>
      </c>
      <c r="N234" s="165"/>
    </row>
    <row r="235" spans="1:14" s="166" customFormat="1" hidden="1" x14ac:dyDescent="0.3">
      <c r="A235" s="176">
        <f t="shared" ref="A235:A253" si="274">IFERROR(IF(AND(G235="2T",C235=0,H235&lt;&gt;"METRO"),22,0),0)</f>
        <v>0</v>
      </c>
      <c r="B235" s="177" t="s">
        <v>1297</v>
      </c>
      <c r="C235" s="177">
        <f t="shared" si="264"/>
        <v>0</v>
      </c>
      <c r="D235" s="369" t="str">
        <f t="shared" si="265"/>
        <v>N.D.</v>
      </c>
      <c r="E235" s="370" t="str">
        <f t="shared" si="266"/>
        <v>NO DESIGNADO</v>
      </c>
      <c r="F235" s="371" t="str">
        <f t="shared" si="267"/>
        <v>-</v>
      </c>
      <c r="G235" s="371">
        <f t="shared" si="268"/>
        <v>0</v>
      </c>
      <c r="H235" s="371">
        <f t="shared" si="269"/>
        <v>0</v>
      </c>
      <c r="I235" s="363">
        <f t="shared" si="270"/>
        <v>0</v>
      </c>
      <c r="J235" s="363">
        <f t="shared" si="271"/>
        <v>0</v>
      </c>
      <c r="K235" s="364">
        <f t="shared" si="272"/>
        <v>0</v>
      </c>
      <c r="L235" s="365" t="str">
        <f t="shared" si="273"/>
        <v/>
      </c>
      <c r="N235" s="165"/>
    </row>
    <row r="236" spans="1:14" s="166" customFormat="1" hidden="1" x14ac:dyDescent="0.3">
      <c r="A236" s="176">
        <f t="shared" si="274"/>
        <v>0</v>
      </c>
      <c r="B236" s="177" t="s">
        <v>1298</v>
      </c>
      <c r="C236" s="177">
        <f t="shared" si="264"/>
        <v>0</v>
      </c>
      <c r="D236" s="369" t="str">
        <f t="shared" si="265"/>
        <v>N.D.</v>
      </c>
      <c r="E236" s="370" t="str">
        <f t="shared" si="266"/>
        <v>NO DESIGNADO</v>
      </c>
      <c r="F236" s="371" t="str">
        <f t="shared" si="267"/>
        <v>-</v>
      </c>
      <c r="G236" s="371">
        <f t="shared" si="268"/>
        <v>0</v>
      </c>
      <c r="H236" s="371">
        <f t="shared" si="269"/>
        <v>0</v>
      </c>
      <c r="I236" s="363">
        <f t="shared" si="270"/>
        <v>0</v>
      </c>
      <c r="J236" s="363">
        <f t="shared" si="271"/>
        <v>0</v>
      </c>
      <c r="K236" s="364">
        <f t="shared" si="272"/>
        <v>0</v>
      </c>
      <c r="L236" s="365" t="str">
        <f t="shared" si="273"/>
        <v/>
      </c>
      <c r="N236" s="165"/>
    </row>
    <row r="237" spans="1:14" s="166" customFormat="1" hidden="1" x14ac:dyDescent="0.3">
      <c r="A237" s="176">
        <f t="shared" si="274"/>
        <v>0</v>
      </c>
      <c r="B237" s="177" t="s">
        <v>1299</v>
      </c>
      <c r="C237" s="177">
        <f t="shared" si="264"/>
        <v>0</v>
      </c>
      <c r="D237" s="369" t="str">
        <f t="shared" si="265"/>
        <v>N.D.</v>
      </c>
      <c r="E237" s="370" t="str">
        <f t="shared" si="266"/>
        <v>NO DESIGNADO</v>
      </c>
      <c r="F237" s="371" t="str">
        <f t="shared" si="267"/>
        <v>-</v>
      </c>
      <c r="G237" s="371">
        <f t="shared" si="268"/>
        <v>0</v>
      </c>
      <c r="H237" s="371">
        <f t="shared" si="269"/>
        <v>0</v>
      </c>
      <c r="I237" s="363">
        <f t="shared" si="270"/>
        <v>0</v>
      </c>
      <c r="J237" s="363">
        <f t="shared" si="271"/>
        <v>0</v>
      </c>
      <c r="K237" s="364">
        <f t="shared" si="272"/>
        <v>0</v>
      </c>
      <c r="L237" s="365" t="str">
        <f t="shared" si="273"/>
        <v/>
      </c>
      <c r="N237" s="165"/>
    </row>
    <row r="238" spans="1:14" s="166" customFormat="1" hidden="1" x14ac:dyDescent="0.3">
      <c r="A238" s="176">
        <f t="shared" si="274"/>
        <v>0</v>
      </c>
      <c r="B238" s="177" t="s">
        <v>1300</v>
      </c>
      <c r="C238" s="177">
        <f t="shared" si="264"/>
        <v>0</v>
      </c>
      <c r="D238" s="369" t="str">
        <f t="shared" si="265"/>
        <v>N.D.</v>
      </c>
      <c r="E238" s="370" t="str">
        <f t="shared" si="266"/>
        <v>NO DESIGNADO</v>
      </c>
      <c r="F238" s="371" t="str">
        <f t="shared" si="267"/>
        <v>-</v>
      </c>
      <c r="G238" s="371">
        <f t="shared" si="268"/>
        <v>0</v>
      </c>
      <c r="H238" s="371">
        <f t="shared" si="269"/>
        <v>0</v>
      </c>
      <c r="I238" s="363">
        <f t="shared" si="270"/>
        <v>0</v>
      </c>
      <c r="J238" s="363">
        <f t="shared" si="271"/>
        <v>0</v>
      </c>
      <c r="K238" s="364">
        <f t="shared" si="272"/>
        <v>0</v>
      </c>
      <c r="L238" s="365" t="str">
        <f t="shared" si="273"/>
        <v/>
      </c>
      <c r="N238" s="165"/>
    </row>
    <row r="239" spans="1:14" s="166" customFormat="1" hidden="1" x14ac:dyDescent="0.3">
      <c r="A239" s="176">
        <f t="shared" si="274"/>
        <v>0</v>
      </c>
      <c r="B239" s="177" t="s">
        <v>1301</v>
      </c>
      <c r="C239" s="177">
        <f t="shared" si="264"/>
        <v>0</v>
      </c>
      <c r="D239" s="369" t="str">
        <f t="shared" si="265"/>
        <v>N.D.</v>
      </c>
      <c r="E239" s="370" t="str">
        <f t="shared" si="266"/>
        <v>NO DESIGNADO</v>
      </c>
      <c r="F239" s="371" t="str">
        <f t="shared" si="267"/>
        <v>-</v>
      </c>
      <c r="G239" s="371">
        <f t="shared" si="268"/>
        <v>0</v>
      </c>
      <c r="H239" s="371">
        <f t="shared" si="269"/>
        <v>0</v>
      </c>
      <c r="I239" s="363">
        <f t="shared" si="270"/>
        <v>0</v>
      </c>
      <c r="J239" s="363">
        <f t="shared" si="271"/>
        <v>0</v>
      </c>
      <c r="K239" s="364">
        <f t="shared" si="272"/>
        <v>0</v>
      </c>
      <c r="L239" s="365" t="str">
        <f t="shared" si="273"/>
        <v/>
      </c>
      <c r="N239" s="165"/>
    </row>
    <row r="240" spans="1:14" s="166" customFormat="1" hidden="1" x14ac:dyDescent="0.3">
      <c r="A240" s="176">
        <f t="shared" si="274"/>
        <v>0</v>
      </c>
      <c r="B240" s="177" t="s">
        <v>1302</v>
      </c>
      <c r="C240" s="177">
        <f t="shared" si="264"/>
        <v>0</v>
      </c>
      <c r="D240" s="369" t="str">
        <f t="shared" si="265"/>
        <v>N.D.</v>
      </c>
      <c r="E240" s="370" t="str">
        <f t="shared" si="266"/>
        <v>NO DESIGNADO</v>
      </c>
      <c r="F240" s="371" t="str">
        <f t="shared" si="267"/>
        <v>-</v>
      </c>
      <c r="G240" s="371">
        <f t="shared" si="268"/>
        <v>0</v>
      </c>
      <c r="H240" s="371">
        <f t="shared" si="269"/>
        <v>0</v>
      </c>
      <c r="I240" s="363">
        <f t="shared" si="270"/>
        <v>0</v>
      </c>
      <c r="J240" s="363">
        <f t="shared" si="271"/>
        <v>0</v>
      </c>
      <c r="K240" s="364">
        <f t="shared" si="272"/>
        <v>0</v>
      </c>
      <c r="L240" s="365" t="str">
        <f t="shared" si="273"/>
        <v/>
      </c>
      <c r="N240" s="165"/>
    </row>
    <row r="241" spans="1:14" s="166" customFormat="1" hidden="1" x14ac:dyDescent="0.3">
      <c r="A241" s="176">
        <f t="shared" si="274"/>
        <v>0</v>
      </c>
      <c r="B241" s="177" t="s">
        <v>1303</v>
      </c>
      <c r="C241" s="177">
        <f t="shared" si="264"/>
        <v>0</v>
      </c>
      <c r="D241" s="369" t="str">
        <f t="shared" si="265"/>
        <v>N.D.</v>
      </c>
      <c r="E241" s="370" t="str">
        <f t="shared" si="266"/>
        <v>NO DESIGNADO</v>
      </c>
      <c r="F241" s="371" t="str">
        <f t="shared" si="267"/>
        <v>-</v>
      </c>
      <c r="G241" s="371">
        <f t="shared" si="268"/>
        <v>0</v>
      </c>
      <c r="H241" s="371">
        <f t="shared" si="269"/>
        <v>0</v>
      </c>
      <c r="I241" s="363">
        <f t="shared" si="270"/>
        <v>0</v>
      </c>
      <c r="J241" s="363">
        <f t="shared" si="271"/>
        <v>0</v>
      </c>
      <c r="K241" s="364">
        <f t="shared" si="272"/>
        <v>0</v>
      </c>
      <c r="L241" s="365" t="str">
        <f t="shared" si="273"/>
        <v/>
      </c>
      <c r="N241" s="165"/>
    </row>
    <row r="242" spans="1:14" s="166" customFormat="1" hidden="1" x14ac:dyDescent="0.3">
      <c r="A242" s="176">
        <f t="shared" si="274"/>
        <v>0</v>
      </c>
      <c r="B242" s="177" t="s">
        <v>1304</v>
      </c>
      <c r="C242" s="177">
        <f t="shared" si="264"/>
        <v>0</v>
      </c>
      <c r="D242" s="369" t="str">
        <f t="shared" si="265"/>
        <v>N.D.</v>
      </c>
      <c r="E242" s="370" t="str">
        <f t="shared" si="266"/>
        <v>NO DESIGNADO</v>
      </c>
      <c r="F242" s="371" t="str">
        <f t="shared" si="267"/>
        <v>-</v>
      </c>
      <c r="G242" s="371">
        <f t="shared" si="268"/>
        <v>0</v>
      </c>
      <c r="H242" s="371">
        <f t="shared" si="269"/>
        <v>0</v>
      </c>
      <c r="I242" s="363">
        <f t="shared" si="270"/>
        <v>0</v>
      </c>
      <c r="J242" s="363">
        <f t="shared" si="271"/>
        <v>0</v>
      </c>
      <c r="K242" s="364">
        <f t="shared" si="272"/>
        <v>0</v>
      </c>
      <c r="L242" s="365" t="str">
        <f t="shared" si="273"/>
        <v/>
      </c>
      <c r="N242" s="165"/>
    </row>
    <row r="243" spans="1:14" s="166" customFormat="1" hidden="1" x14ac:dyDescent="0.3">
      <c r="A243" s="176">
        <f t="shared" si="274"/>
        <v>0</v>
      </c>
      <c r="B243" s="177" t="s">
        <v>1305</v>
      </c>
      <c r="C243" s="177">
        <f t="shared" si="264"/>
        <v>0</v>
      </c>
      <c r="D243" s="369" t="str">
        <f t="shared" si="265"/>
        <v>N.D.</v>
      </c>
      <c r="E243" s="370" t="str">
        <f t="shared" si="266"/>
        <v>NO DESIGNADO</v>
      </c>
      <c r="F243" s="371" t="str">
        <f t="shared" si="267"/>
        <v>-</v>
      </c>
      <c r="G243" s="371">
        <f t="shared" si="268"/>
        <v>0</v>
      </c>
      <c r="H243" s="371">
        <f t="shared" si="269"/>
        <v>0</v>
      </c>
      <c r="I243" s="363">
        <f t="shared" si="270"/>
        <v>0</v>
      </c>
      <c r="J243" s="363">
        <f t="shared" si="271"/>
        <v>0</v>
      </c>
      <c r="K243" s="364">
        <f t="shared" si="272"/>
        <v>0</v>
      </c>
      <c r="L243" s="365" t="str">
        <f t="shared" si="273"/>
        <v/>
      </c>
      <c r="N243" s="165"/>
    </row>
    <row r="244" spans="1:14" s="166" customFormat="1" hidden="1" x14ac:dyDescent="0.3">
      <c r="A244" s="176">
        <f t="shared" si="274"/>
        <v>0</v>
      </c>
      <c r="B244" s="177" t="s">
        <v>1306</v>
      </c>
      <c r="C244" s="177">
        <f t="shared" si="264"/>
        <v>0</v>
      </c>
      <c r="D244" s="369" t="str">
        <f t="shared" si="265"/>
        <v>N.D.</v>
      </c>
      <c r="E244" s="370" t="str">
        <f t="shared" si="266"/>
        <v>NO DESIGNADO</v>
      </c>
      <c r="F244" s="371" t="str">
        <f t="shared" si="267"/>
        <v>-</v>
      </c>
      <c r="G244" s="371">
        <f t="shared" si="268"/>
        <v>0</v>
      </c>
      <c r="H244" s="371">
        <f t="shared" si="269"/>
        <v>0</v>
      </c>
      <c r="I244" s="363">
        <f t="shared" si="270"/>
        <v>0</v>
      </c>
      <c r="J244" s="363">
        <f t="shared" si="271"/>
        <v>0</v>
      </c>
      <c r="K244" s="364">
        <f t="shared" si="272"/>
        <v>0</v>
      </c>
      <c r="L244" s="365" t="str">
        <f t="shared" si="273"/>
        <v/>
      </c>
      <c r="N244" s="165"/>
    </row>
    <row r="245" spans="1:14" s="166" customFormat="1" hidden="1" x14ac:dyDescent="0.3">
      <c r="A245" s="176">
        <f t="shared" si="274"/>
        <v>0</v>
      </c>
      <c r="B245" s="177" t="s">
        <v>1307</v>
      </c>
      <c r="C245" s="177">
        <f t="shared" si="264"/>
        <v>0</v>
      </c>
      <c r="D245" s="369" t="str">
        <f t="shared" si="265"/>
        <v>N.D.</v>
      </c>
      <c r="E245" s="370" t="str">
        <f t="shared" si="266"/>
        <v>NO DESIGNADO</v>
      </c>
      <c r="F245" s="371" t="str">
        <f t="shared" si="267"/>
        <v>-</v>
      </c>
      <c r="G245" s="371">
        <f t="shared" si="268"/>
        <v>0</v>
      </c>
      <c r="H245" s="371">
        <f t="shared" si="269"/>
        <v>0</v>
      </c>
      <c r="I245" s="363">
        <f t="shared" si="270"/>
        <v>0</v>
      </c>
      <c r="J245" s="363">
        <f t="shared" si="271"/>
        <v>0</v>
      </c>
      <c r="K245" s="364">
        <f t="shared" si="272"/>
        <v>0</v>
      </c>
      <c r="L245" s="365" t="str">
        <f t="shared" si="273"/>
        <v/>
      </c>
      <c r="N245" s="165"/>
    </row>
    <row r="246" spans="1:14" s="166" customFormat="1" hidden="1" x14ac:dyDescent="0.3">
      <c r="A246" s="176">
        <f t="shared" si="274"/>
        <v>0</v>
      </c>
      <c r="B246" s="177" t="s">
        <v>1308</v>
      </c>
      <c r="C246" s="177">
        <f t="shared" si="264"/>
        <v>0</v>
      </c>
      <c r="D246" s="369" t="str">
        <f t="shared" si="265"/>
        <v>N.D.</v>
      </c>
      <c r="E246" s="370" t="str">
        <f t="shared" si="266"/>
        <v>NO DESIGNADO</v>
      </c>
      <c r="F246" s="371" t="str">
        <f t="shared" si="267"/>
        <v>-</v>
      </c>
      <c r="G246" s="371">
        <f t="shared" si="268"/>
        <v>0</v>
      </c>
      <c r="H246" s="371">
        <f t="shared" si="269"/>
        <v>0</v>
      </c>
      <c r="I246" s="363">
        <f t="shared" si="270"/>
        <v>0</v>
      </c>
      <c r="J246" s="363">
        <f t="shared" si="271"/>
        <v>0</v>
      </c>
      <c r="K246" s="364">
        <f t="shared" si="272"/>
        <v>0</v>
      </c>
      <c r="L246" s="365" t="str">
        <f t="shared" si="273"/>
        <v/>
      </c>
      <c r="N246" s="165"/>
    </row>
    <row r="247" spans="1:14" s="166" customFormat="1" hidden="1" x14ac:dyDescent="0.3">
      <c r="A247" s="176">
        <f t="shared" si="274"/>
        <v>0</v>
      </c>
      <c r="B247" s="177" t="s">
        <v>1309</v>
      </c>
      <c r="C247" s="177">
        <f t="shared" si="264"/>
        <v>0</v>
      </c>
      <c r="D247" s="369" t="str">
        <f t="shared" si="265"/>
        <v>N.D.</v>
      </c>
      <c r="E247" s="370" t="str">
        <f t="shared" si="266"/>
        <v>NO DESIGNADO</v>
      </c>
      <c r="F247" s="371" t="str">
        <f t="shared" si="267"/>
        <v>-</v>
      </c>
      <c r="G247" s="371">
        <f t="shared" si="268"/>
        <v>0</v>
      </c>
      <c r="H247" s="371">
        <f t="shared" si="269"/>
        <v>0</v>
      </c>
      <c r="I247" s="363">
        <f t="shared" si="270"/>
        <v>0</v>
      </c>
      <c r="J247" s="363">
        <f t="shared" si="271"/>
        <v>0</v>
      </c>
      <c r="K247" s="364">
        <f t="shared" si="272"/>
        <v>0</v>
      </c>
      <c r="L247" s="365" t="str">
        <f t="shared" si="273"/>
        <v/>
      </c>
      <c r="N247" s="165"/>
    </row>
    <row r="248" spans="1:14" s="166" customFormat="1" hidden="1" x14ac:dyDescent="0.3">
      <c r="A248" s="176">
        <f t="shared" si="274"/>
        <v>0</v>
      </c>
      <c r="B248" s="177" t="s">
        <v>1310</v>
      </c>
      <c r="C248" s="177">
        <f t="shared" si="264"/>
        <v>0</v>
      </c>
      <c r="D248" s="369" t="str">
        <f t="shared" si="265"/>
        <v>N.D.</v>
      </c>
      <c r="E248" s="370" t="str">
        <f t="shared" si="266"/>
        <v>NO DESIGNADO</v>
      </c>
      <c r="F248" s="371" t="str">
        <f t="shared" si="267"/>
        <v>-</v>
      </c>
      <c r="G248" s="371">
        <f t="shared" si="268"/>
        <v>0</v>
      </c>
      <c r="H248" s="371">
        <f t="shared" si="269"/>
        <v>0</v>
      </c>
      <c r="I248" s="363">
        <f t="shared" si="270"/>
        <v>0</v>
      </c>
      <c r="J248" s="363">
        <f t="shared" si="271"/>
        <v>0</v>
      </c>
      <c r="K248" s="364">
        <f t="shared" si="272"/>
        <v>0</v>
      </c>
      <c r="L248" s="365" t="str">
        <f t="shared" si="273"/>
        <v/>
      </c>
      <c r="N248" s="165"/>
    </row>
    <row r="249" spans="1:14" s="166" customFormat="1" hidden="1" x14ac:dyDescent="0.3">
      <c r="A249" s="176">
        <f t="shared" si="274"/>
        <v>0</v>
      </c>
      <c r="B249" s="177" t="s">
        <v>1311</v>
      </c>
      <c r="C249" s="177">
        <f t="shared" si="264"/>
        <v>0</v>
      </c>
      <c r="D249" s="369" t="str">
        <f t="shared" si="265"/>
        <v>N.D.</v>
      </c>
      <c r="E249" s="370" t="str">
        <f t="shared" si="266"/>
        <v>NO DESIGNADO</v>
      </c>
      <c r="F249" s="371" t="str">
        <f t="shared" si="267"/>
        <v>-</v>
      </c>
      <c r="G249" s="371">
        <f t="shared" si="268"/>
        <v>0</v>
      </c>
      <c r="H249" s="371">
        <f t="shared" si="269"/>
        <v>0</v>
      </c>
      <c r="I249" s="363">
        <f t="shared" si="270"/>
        <v>0</v>
      </c>
      <c r="J249" s="363">
        <f t="shared" si="271"/>
        <v>0</v>
      </c>
      <c r="K249" s="364">
        <f t="shared" si="272"/>
        <v>0</v>
      </c>
      <c r="L249" s="365" t="str">
        <f t="shared" si="273"/>
        <v/>
      </c>
      <c r="N249" s="165"/>
    </row>
    <row r="250" spans="1:14" s="166" customFormat="1" hidden="1" x14ac:dyDescent="0.3">
      <c r="A250" s="176">
        <f t="shared" si="274"/>
        <v>0</v>
      </c>
      <c r="B250" s="177" t="s">
        <v>1312</v>
      </c>
      <c r="C250" s="177">
        <f t="shared" si="264"/>
        <v>0</v>
      </c>
      <c r="D250" s="369" t="str">
        <f t="shared" si="265"/>
        <v>N.D.</v>
      </c>
      <c r="E250" s="370" t="str">
        <f t="shared" si="266"/>
        <v>NO DESIGNADO</v>
      </c>
      <c r="F250" s="371" t="str">
        <f t="shared" si="267"/>
        <v>-</v>
      </c>
      <c r="G250" s="371">
        <f t="shared" si="268"/>
        <v>0</v>
      </c>
      <c r="H250" s="371">
        <f t="shared" si="269"/>
        <v>0</v>
      </c>
      <c r="I250" s="363">
        <f t="shared" si="270"/>
        <v>0</v>
      </c>
      <c r="J250" s="363">
        <f t="shared" si="271"/>
        <v>0</v>
      </c>
      <c r="K250" s="364">
        <f t="shared" si="272"/>
        <v>0</v>
      </c>
      <c r="L250" s="365" t="str">
        <f t="shared" si="273"/>
        <v/>
      </c>
      <c r="N250" s="165"/>
    </row>
    <row r="251" spans="1:14" s="166" customFormat="1" hidden="1" x14ac:dyDescent="0.3">
      <c r="A251" s="176">
        <f t="shared" si="274"/>
        <v>0</v>
      </c>
      <c r="B251" s="177" t="s">
        <v>1313</v>
      </c>
      <c r="C251" s="177">
        <f t="shared" si="264"/>
        <v>0</v>
      </c>
      <c r="D251" s="369" t="str">
        <f t="shared" si="265"/>
        <v>N.D.</v>
      </c>
      <c r="E251" s="370" t="str">
        <f t="shared" si="266"/>
        <v>NO DESIGNADO</v>
      </c>
      <c r="F251" s="371" t="str">
        <f t="shared" si="267"/>
        <v>-</v>
      </c>
      <c r="G251" s="371">
        <f t="shared" si="268"/>
        <v>0</v>
      </c>
      <c r="H251" s="371">
        <f t="shared" si="269"/>
        <v>0</v>
      </c>
      <c r="I251" s="363">
        <f t="shared" si="270"/>
        <v>0</v>
      </c>
      <c r="J251" s="363">
        <f t="shared" si="271"/>
        <v>0</v>
      </c>
      <c r="K251" s="364">
        <f t="shared" si="272"/>
        <v>0</v>
      </c>
      <c r="L251" s="365" t="str">
        <f t="shared" si="273"/>
        <v/>
      </c>
      <c r="N251" s="165"/>
    </row>
    <row r="252" spans="1:14" s="166" customFormat="1" hidden="1" x14ac:dyDescent="0.3">
      <c r="A252" s="176">
        <f t="shared" si="274"/>
        <v>0</v>
      </c>
      <c r="B252" s="177" t="s">
        <v>1314</v>
      </c>
      <c r="C252" s="177">
        <f t="shared" si="264"/>
        <v>0</v>
      </c>
      <c r="D252" s="369" t="str">
        <f t="shared" si="265"/>
        <v>N.D.</v>
      </c>
      <c r="E252" s="370" t="str">
        <f t="shared" si="266"/>
        <v>NO DESIGNADO</v>
      </c>
      <c r="F252" s="371" t="str">
        <f t="shared" si="267"/>
        <v>-</v>
      </c>
      <c r="G252" s="371">
        <f t="shared" si="268"/>
        <v>0</v>
      </c>
      <c r="H252" s="371">
        <f t="shared" si="269"/>
        <v>0</v>
      </c>
      <c r="I252" s="363">
        <f t="shared" si="270"/>
        <v>0</v>
      </c>
      <c r="J252" s="363">
        <f t="shared" si="271"/>
        <v>0</v>
      </c>
      <c r="K252" s="364">
        <f t="shared" si="272"/>
        <v>0</v>
      </c>
      <c r="L252" s="365" t="str">
        <f t="shared" si="273"/>
        <v/>
      </c>
      <c r="N252" s="165"/>
    </row>
    <row r="253" spans="1:14" s="166" customFormat="1" hidden="1" x14ac:dyDescent="0.3">
      <c r="A253" s="176">
        <f t="shared" si="274"/>
        <v>0</v>
      </c>
      <c r="B253" s="177" t="s">
        <v>1315</v>
      </c>
      <c r="C253" s="177">
        <f t="shared" si="264"/>
        <v>0</v>
      </c>
      <c r="D253" s="369" t="str">
        <f t="shared" si="265"/>
        <v>N.D.</v>
      </c>
      <c r="E253" s="370" t="str">
        <f t="shared" si="266"/>
        <v>NO DESIGNADO</v>
      </c>
      <c r="F253" s="371" t="str">
        <f t="shared" si="267"/>
        <v>-</v>
      </c>
      <c r="G253" s="371">
        <f t="shared" si="268"/>
        <v>0</v>
      </c>
      <c r="H253" s="371">
        <f t="shared" si="269"/>
        <v>0</v>
      </c>
      <c r="I253" s="363">
        <f t="shared" si="270"/>
        <v>0</v>
      </c>
      <c r="J253" s="363">
        <f t="shared" si="271"/>
        <v>0</v>
      </c>
      <c r="K253" s="364">
        <f t="shared" si="272"/>
        <v>0</v>
      </c>
      <c r="L253" s="365" t="str">
        <f t="shared" si="273"/>
        <v/>
      </c>
      <c r="N253" s="165"/>
    </row>
    <row r="254" spans="1:14" s="166" customFormat="1" hidden="1" x14ac:dyDescent="0.3">
      <c r="A254" s="162">
        <f>IF(SUM(A255:A274)&gt;0,22,0)</f>
        <v>0</v>
      </c>
      <c r="B254" s="162"/>
      <c r="C254" s="162"/>
      <c r="D254" s="1123" t="s">
        <v>1502</v>
      </c>
      <c r="E254" s="1123"/>
      <c r="F254" s="1123"/>
      <c r="G254" s="1123"/>
      <c r="H254" s="1123"/>
      <c r="I254" s="1123"/>
      <c r="J254" s="1123"/>
      <c r="K254" s="1123"/>
      <c r="L254" s="1123"/>
      <c r="N254" s="165"/>
    </row>
    <row r="255" spans="1:14" s="166" customFormat="1" hidden="1" x14ac:dyDescent="0.3">
      <c r="A255" s="176">
        <f>IFERROR(IF(AND(G255="3T",C255=0,H255&lt;&gt;"METRO"),22,0),0)</f>
        <v>0</v>
      </c>
      <c r="B255" s="177" t="s">
        <v>1316</v>
      </c>
      <c r="C255" s="177">
        <f t="shared" ref="C255:C274" si="275">SUMIF($D$24:$D$211,D255,$A$24:$A$211)</f>
        <v>0</v>
      </c>
      <c r="D255" s="369" t="str">
        <f t="shared" ref="D255:D274" si="276">IFERROR(VLOOKUP(B255,PROYECTO_DELTA,3,FALSE),"N.D.")</f>
        <v>N.D.</v>
      </c>
      <c r="E255" s="370" t="str">
        <f t="shared" ref="E255:E274" si="277">IFERROR(IF(VLOOKUP(D255,TURNOS_SERVICIOS,2,FALSE)=0,"NO DESIGNADO",VLOOKUP(D255,TURNOS_SERVICIOS,2,FALSE)),"NO DESIGNADO")</f>
        <v>NO DESIGNADO</v>
      </c>
      <c r="F255" s="371" t="str">
        <f t="shared" ref="F255:F274" si="278">IFERROR(IF(VLOOKUP(D255,TURNOS_SERVICIOS,3,FALSE)=0,"-",VLOOKUP(D255,TURNOS_SERVICIOS,3,FALSE)),"-")</f>
        <v>-</v>
      </c>
      <c r="G255" s="371">
        <f t="shared" ref="G255:G274" si="279">IFERROR(IF(VLOOKUP(D255,TURNOS_SERVICIOS,4,FALSE)=0,"SIN TURNO",VLOOKUP(D255,TURNOS_SERVICIOS,4,FALSE)),0)</f>
        <v>0</v>
      </c>
      <c r="H255" s="371">
        <f t="shared" ref="H255:H274" si="280">IFERROR(IF(VLOOKUP(D255,TURNOS_SERVICIOS,5,FALSE)=0,"SIN SERVICIO",VLOOKUP(D255,TURNOS_SERVICIOS,5,FALSE)),0)</f>
        <v>0</v>
      </c>
      <c r="I255" s="363">
        <f t="shared" ref="I255:I274" si="281">IFERROR(IF(VLOOKUP(D255,TURNOS_SERVICIOS,6,FALSE)=0,0,VLOOKUP(D255,TURNOS_SERVICIOS,6,FALSE)),0)</f>
        <v>0</v>
      </c>
      <c r="J255" s="363">
        <f t="shared" ref="J255:J274" si="282">IFERROR(IF(VLOOKUP(D255,TURNOS_SERVICIOS,7,FALSE)=0,0,VLOOKUP(D255,TURNOS_SERVICIOS,7,FALSE)),0)</f>
        <v>0</v>
      </c>
      <c r="K255" s="364">
        <f t="shared" ref="K255:K274" si="283">IFERROR(VLOOKUP(D255,TURNOS_SERVICIOS,8,FALSE),0)</f>
        <v>0</v>
      </c>
      <c r="L255" s="365" t="str">
        <f t="shared" ref="L255:L274" si="284">IFERROR(IF(VLOOKUP(D255,TURNOS_SERVICIOS,9,FALSE)=0,"",VLOOKUP(D255,TURNOS_SERVICIOS,9,FALSE)),"")</f>
        <v/>
      </c>
      <c r="N255" s="165"/>
    </row>
    <row r="256" spans="1:14" s="166" customFormat="1" hidden="1" x14ac:dyDescent="0.3">
      <c r="A256" s="176">
        <f t="shared" ref="A256:A274" si="285">IFERROR(IF(AND(G256="3T",C256=0,H256&lt;&gt;"METRO"),22,0),0)</f>
        <v>0</v>
      </c>
      <c r="B256" s="177" t="s">
        <v>1317</v>
      </c>
      <c r="C256" s="177">
        <f t="shared" si="275"/>
        <v>0</v>
      </c>
      <c r="D256" s="369" t="str">
        <f t="shared" si="276"/>
        <v>N.D.</v>
      </c>
      <c r="E256" s="370" t="str">
        <f t="shared" si="277"/>
        <v>NO DESIGNADO</v>
      </c>
      <c r="F256" s="371" t="str">
        <f t="shared" si="278"/>
        <v>-</v>
      </c>
      <c r="G256" s="371">
        <f t="shared" si="279"/>
        <v>0</v>
      </c>
      <c r="H256" s="371">
        <f t="shared" si="280"/>
        <v>0</v>
      </c>
      <c r="I256" s="363">
        <f t="shared" si="281"/>
        <v>0</v>
      </c>
      <c r="J256" s="363">
        <f t="shared" si="282"/>
        <v>0</v>
      </c>
      <c r="K256" s="364">
        <f t="shared" si="283"/>
        <v>0</v>
      </c>
      <c r="L256" s="365" t="str">
        <f t="shared" si="284"/>
        <v/>
      </c>
      <c r="N256" s="165"/>
    </row>
    <row r="257" spans="1:14" s="166" customFormat="1" hidden="1" x14ac:dyDescent="0.3">
      <c r="A257" s="176">
        <f t="shared" si="285"/>
        <v>0</v>
      </c>
      <c r="B257" s="177" t="s">
        <v>1318</v>
      </c>
      <c r="C257" s="177">
        <f t="shared" si="275"/>
        <v>0</v>
      </c>
      <c r="D257" s="369" t="str">
        <f t="shared" si="276"/>
        <v>N.D.</v>
      </c>
      <c r="E257" s="370" t="str">
        <f t="shared" si="277"/>
        <v>NO DESIGNADO</v>
      </c>
      <c r="F257" s="371" t="str">
        <f t="shared" si="278"/>
        <v>-</v>
      </c>
      <c r="G257" s="371">
        <f t="shared" si="279"/>
        <v>0</v>
      </c>
      <c r="H257" s="371">
        <f t="shared" si="280"/>
        <v>0</v>
      </c>
      <c r="I257" s="363">
        <f t="shared" si="281"/>
        <v>0</v>
      </c>
      <c r="J257" s="363">
        <f t="shared" si="282"/>
        <v>0</v>
      </c>
      <c r="K257" s="364">
        <f t="shared" si="283"/>
        <v>0</v>
      </c>
      <c r="L257" s="365" t="str">
        <f t="shared" si="284"/>
        <v/>
      </c>
      <c r="N257" s="165"/>
    </row>
    <row r="258" spans="1:14" s="166" customFormat="1" hidden="1" x14ac:dyDescent="0.3">
      <c r="A258" s="176">
        <f t="shared" si="285"/>
        <v>0</v>
      </c>
      <c r="B258" s="177" t="s">
        <v>1319</v>
      </c>
      <c r="C258" s="177">
        <f t="shared" si="275"/>
        <v>0</v>
      </c>
      <c r="D258" s="369" t="str">
        <f t="shared" si="276"/>
        <v>N.D.</v>
      </c>
      <c r="E258" s="370" t="str">
        <f t="shared" si="277"/>
        <v>NO DESIGNADO</v>
      </c>
      <c r="F258" s="371" t="str">
        <f t="shared" si="278"/>
        <v>-</v>
      </c>
      <c r="G258" s="371">
        <f t="shared" si="279"/>
        <v>0</v>
      </c>
      <c r="H258" s="371">
        <f t="shared" si="280"/>
        <v>0</v>
      </c>
      <c r="I258" s="363">
        <f t="shared" si="281"/>
        <v>0</v>
      </c>
      <c r="J258" s="363">
        <f t="shared" si="282"/>
        <v>0</v>
      </c>
      <c r="K258" s="364">
        <f t="shared" si="283"/>
        <v>0</v>
      </c>
      <c r="L258" s="365" t="str">
        <f t="shared" si="284"/>
        <v/>
      </c>
      <c r="N258" s="165"/>
    </row>
    <row r="259" spans="1:14" s="166" customFormat="1" hidden="1" x14ac:dyDescent="0.3">
      <c r="A259" s="176">
        <f t="shared" si="285"/>
        <v>0</v>
      </c>
      <c r="B259" s="177" t="s">
        <v>1320</v>
      </c>
      <c r="C259" s="177">
        <f t="shared" si="275"/>
        <v>0</v>
      </c>
      <c r="D259" s="369" t="str">
        <f t="shared" si="276"/>
        <v>N.D.</v>
      </c>
      <c r="E259" s="370" t="str">
        <f t="shared" si="277"/>
        <v>NO DESIGNADO</v>
      </c>
      <c r="F259" s="371" t="str">
        <f t="shared" si="278"/>
        <v>-</v>
      </c>
      <c r="G259" s="371">
        <f t="shared" si="279"/>
        <v>0</v>
      </c>
      <c r="H259" s="371">
        <f t="shared" si="280"/>
        <v>0</v>
      </c>
      <c r="I259" s="363">
        <f t="shared" si="281"/>
        <v>0</v>
      </c>
      <c r="J259" s="363">
        <f t="shared" si="282"/>
        <v>0</v>
      </c>
      <c r="K259" s="364">
        <f t="shared" si="283"/>
        <v>0</v>
      </c>
      <c r="L259" s="365" t="str">
        <f t="shared" si="284"/>
        <v/>
      </c>
      <c r="N259" s="165"/>
    </row>
    <row r="260" spans="1:14" s="166" customFormat="1" hidden="1" x14ac:dyDescent="0.3">
      <c r="A260" s="176">
        <f t="shared" si="285"/>
        <v>0</v>
      </c>
      <c r="B260" s="177" t="s">
        <v>1321</v>
      </c>
      <c r="C260" s="177">
        <f t="shared" si="275"/>
        <v>0</v>
      </c>
      <c r="D260" s="369" t="str">
        <f t="shared" si="276"/>
        <v>N.D.</v>
      </c>
      <c r="E260" s="370" t="str">
        <f t="shared" si="277"/>
        <v>NO DESIGNADO</v>
      </c>
      <c r="F260" s="371" t="str">
        <f t="shared" si="278"/>
        <v>-</v>
      </c>
      <c r="G260" s="371">
        <f t="shared" si="279"/>
        <v>0</v>
      </c>
      <c r="H260" s="371">
        <f t="shared" si="280"/>
        <v>0</v>
      </c>
      <c r="I260" s="363">
        <f t="shared" si="281"/>
        <v>0</v>
      </c>
      <c r="J260" s="363">
        <f t="shared" si="282"/>
        <v>0</v>
      </c>
      <c r="K260" s="364">
        <f t="shared" si="283"/>
        <v>0</v>
      </c>
      <c r="L260" s="365" t="str">
        <f t="shared" si="284"/>
        <v/>
      </c>
      <c r="N260" s="165"/>
    </row>
    <row r="261" spans="1:14" s="166" customFormat="1" hidden="1" x14ac:dyDescent="0.3">
      <c r="A261" s="176">
        <f t="shared" si="285"/>
        <v>0</v>
      </c>
      <c r="B261" s="177" t="s">
        <v>1322</v>
      </c>
      <c r="C261" s="177">
        <f t="shared" si="275"/>
        <v>0</v>
      </c>
      <c r="D261" s="369" t="str">
        <f t="shared" si="276"/>
        <v>N.D.</v>
      </c>
      <c r="E261" s="370" t="str">
        <f t="shared" si="277"/>
        <v>NO DESIGNADO</v>
      </c>
      <c r="F261" s="371" t="str">
        <f t="shared" si="278"/>
        <v>-</v>
      </c>
      <c r="G261" s="371">
        <f t="shared" si="279"/>
        <v>0</v>
      </c>
      <c r="H261" s="371">
        <f t="shared" si="280"/>
        <v>0</v>
      </c>
      <c r="I261" s="363">
        <f t="shared" si="281"/>
        <v>0</v>
      </c>
      <c r="J261" s="363">
        <f t="shared" si="282"/>
        <v>0</v>
      </c>
      <c r="K261" s="364">
        <f t="shared" si="283"/>
        <v>0</v>
      </c>
      <c r="L261" s="365" t="str">
        <f t="shared" si="284"/>
        <v/>
      </c>
      <c r="N261" s="165"/>
    </row>
    <row r="262" spans="1:14" s="166" customFormat="1" hidden="1" x14ac:dyDescent="0.3">
      <c r="A262" s="176">
        <f t="shared" si="285"/>
        <v>0</v>
      </c>
      <c r="B262" s="177" t="s">
        <v>1323</v>
      </c>
      <c r="C262" s="177">
        <f t="shared" si="275"/>
        <v>0</v>
      </c>
      <c r="D262" s="369" t="str">
        <f t="shared" si="276"/>
        <v>N.D.</v>
      </c>
      <c r="E262" s="370" t="str">
        <f t="shared" si="277"/>
        <v>NO DESIGNADO</v>
      </c>
      <c r="F262" s="371" t="str">
        <f t="shared" si="278"/>
        <v>-</v>
      </c>
      <c r="G262" s="371">
        <f t="shared" si="279"/>
        <v>0</v>
      </c>
      <c r="H262" s="371">
        <f t="shared" si="280"/>
        <v>0</v>
      </c>
      <c r="I262" s="363">
        <f t="shared" si="281"/>
        <v>0</v>
      </c>
      <c r="J262" s="363">
        <f t="shared" si="282"/>
        <v>0</v>
      </c>
      <c r="K262" s="364">
        <f t="shared" si="283"/>
        <v>0</v>
      </c>
      <c r="L262" s="365" t="str">
        <f t="shared" si="284"/>
        <v/>
      </c>
      <c r="N262" s="165"/>
    </row>
    <row r="263" spans="1:14" s="166" customFormat="1" hidden="1" x14ac:dyDescent="0.3">
      <c r="A263" s="176">
        <f t="shared" si="285"/>
        <v>0</v>
      </c>
      <c r="B263" s="177" t="s">
        <v>1324</v>
      </c>
      <c r="C263" s="177">
        <f t="shared" si="275"/>
        <v>0</v>
      </c>
      <c r="D263" s="369" t="str">
        <f t="shared" si="276"/>
        <v>N.D.</v>
      </c>
      <c r="E263" s="370" t="str">
        <f t="shared" si="277"/>
        <v>NO DESIGNADO</v>
      </c>
      <c r="F263" s="371" t="str">
        <f t="shared" si="278"/>
        <v>-</v>
      </c>
      <c r="G263" s="371">
        <f t="shared" si="279"/>
        <v>0</v>
      </c>
      <c r="H263" s="371">
        <f t="shared" si="280"/>
        <v>0</v>
      </c>
      <c r="I263" s="363">
        <f t="shared" si="281"/>
        <v>0</v>
      </c>
      <c r="J263" s="363">
        <f t="shared" si="282"/>
        <v>0</v>
      </c>
      <c r="K263" s="364">
        <f t="shared" si="283"/>
        <v>0</v>
      </c>
      <c r="L263" s="365" t="str">
        <f t="shared" si="284"/>
        <v/>
      </c>
      <c r="N263" s="165"/>
    </row>
    <row r="264" spans="1:14" s="166" customFormat="1" hidden="1" x14ac:dyDescent="0.3">
      <c r="A264" s="176">
        <f t="shared" si="285"/>
        <v>0</v>
      </c>
      <c r="B264" s="177" t="s">
        <v>1325</v>
      </c>
      <c r="C264" s="177">
        <f t="shared" si="275"/>
        <v>0</v>
      </c>
      <c r="D264" s="369" t="str">
        <f t="shared" si="276"/>
        <v>N.D.</v>
      </c>
      <c r="E264" s="370" t="str">
        <f t="shared" si="277"/>
        <v>NO DESIGNADO</v>
      </c>
      <c r="F264" s="371" t="str">
        <f t="shared" si="278"/>
        <v>-</v>
      </c>
      <c r="G264" s="371">
        <f t="shared" si="279"/>
        <v>0</v>
      </c>
      <c r="H264" s="371">
        <f t="shared" si="280"/>
        <v>0</v>
      </c>
      <c r="I264" s="363">
        <f t="shared" si="281"/>
        <v>0</v>
      </c>
      <c r="J264" s="363">
        <f t="shared" si="282"/>
        <v>0</v>
      </c>
      <c r="K264" s="364">
        <f t="shared" si="283"/>
        <v>0</v>
      </c>
      <c r="L264" s="365" t="str">
        <f t="shared" si="284"/>
        <v/>
      </c>
      <c r="N264" s="165"/>
    </row>
    <row r="265" spans="1:14" s="166" customFormat="1" hidden="1" x14ac:dyDescent="0.3">
      <c r="A265" s="176">
        <f t="shared" si="285"/>
        <v>0</v>
      </c>
      <c r="B265" s="177" t="s">
        <v>1326</v>
      </c>
      <c r="C265" s="177">
        <f t="shared" si="275"/>
        <v>0</v>
      </c>
      <c r="D265" s="369" t="str">
        <f t="shared" si="276"/>
        <v>N.D.</v>
      </c>
      <c r="E265" s="370" t="str">
        <f t="shared" si="277"/>
        <v>NO DESIGNADO</v>
      </c>
      <c r="F265" s="371" t="str">
        <f t="shared" si="278"/>
        <v>-</v>
      </c>
      <c r="G265" s="371">
        <f t="shared" si="279"/>
        <v>0</v>
      </c>
      <c r="H265" s="371">
        <f t="shared" si="280"/>
        <v>0</v>
      </c>
      <c r="I265" s="363">
        <f t="shared" si="281"/>
        <v>0</v>
      </c>
      <c r="J265" s="363">
        <f t="shared" si="282"/>
        <v>0</v>
      </c>
      <c r="K265" s="364">
        <f t="shared" si="283"/>
        <v>0</v>
      </c>
      <c r="L265" s="365" t="str">
        <f t="shared" si="284"/>
        <v/>
      </c>
      <c r="N265" s="165"/>
    </row>
    <row r="266" spans="1:14" s="166" customFormat="1" hidden="1" x14ac:dyDescent="0.3">
      <c r="A266" s="176">
        <f t="shared" si="285"/>
        <v>0</v>
      </c>
      <c r="B266" s="177" t="s">
        <v>1327</v>
      </c>
      <c r="C266" s="177">
        <f t="shared" si="275"/>
        <v>0</v>
      </c>
      <c r="D266" s="369" t="str">
        <f t="shared" si="276"/>
        <v>N.D.</v>
      </c>
      <c r="E266" s="370" t="str">
        <f t="shared" si="277"/>
        <v>NO DESIGNADO</v>
      </c>
      <c r="F266" s="371" t="str">
        <f t="shared" si="278"/>
        <v>-</v>
      </c>
      <c r="G266" s="371">
        <f t="shared" si="279"/>
        <v>0</v>
      </c>
      <c r="H266" s="371">
        <f t="shared" si="280"/>
        <v>0</v>
      </c>
      <c r="I266" s="363">
        <f t="shared" si="281"/>
        <v>0</v>
      </c>
      <c r="J266" s="363">
        <f t="shared" si="282"/>
        <v>0</v>
      </c>
      <c r="K266" s="364">
        <f t="shared" si="283"/>
        <v>0</v>
      </c>
      <c r="L266" s="365" t="str">
        <f t="shared" si="284"/>
        <v/>
      </c>
      <c r="N266" s="165"/>
    </row>
    <row r="267" spans="1:14" s="166" customFormat="1" hidden="1" x14ac:dyDescent="0.3">
      <c r="A267" s="176">
        <f t="shared" si="285"/>
        <v>0</v>
      </c>
      <c r="B267" s="177" t="s">
        <v>1328</v>
      </c>
      <c r="C267" s="177">
        <f t="shared" si="275"/>
        <v>0</v>
      </c>
      <c r="D267" s="369" t="str">
        <f t="shared" si="276"/>
        <v>N.D.</v>
      </c>
      <c r="E267" s="370" t="str">
        <f t="shared" si="277"/>
        <v>NO DESIGNADO</v>
      </c>
      <c r="F267" s="371" t="str">
        <f t="shared" si="278"/>
        <v>-</v>
      </c>
      <c r="G267" s="371">
        <f t="shared" si="279"/>
        <v>0</v>
      </c>
      <c r="H267" s="371">
        <f t="shared" si="280"/>
        <v>0</v>
      </c>
      <c r="I267" s="363">
        <f t="shared" si="281"/>
        <v>0</v>
      </c>
      <c r="J267" s="363">
        <f t="shared" si="282"/>
        <v>0</v>
      </c>
      <c r="K267" s="364">
        <f t="shared" si="283"/>
        <v>0</v>
      </c>
      <c r="L267" s="365" t="str">
        <f t="shared" si="284"/>
        <v/>
      </c>
      <c r="N267" s="165"/>
    </row>
    <row r="268" spans="1:14" s="166" customFormat="1" hidden="1" x14ac:dyDescent="0.3">
      <c r="A268" s="176">
        <f t="shared" si="285"/>
        <v>0</v>
      </c>
      <c r="B268" s="177" t="s">
        <v>1329</v>
      </c>
      <c r="C268" s="177">
        <f t="shared" si="275"/>
        <v>0</v>
      </c>
      <c r="D268" s="369" t="str">
        <f t="shared" si="276"/>
        <v>N.D.</v>
      </c>
      <c r="E268" s="370" t="str">
        <f t="shared" si="277"/>
        <v>NO DESIGNADO</v>
      </c>
      <c r="F268" s="371" t="str">
        <f t="shared" si="278"/>
        <v>-</v>
      </c>
      <c r="G268" s="371">
        <f t="shared" si="279"/>
        <v>0</v>
      </c>
      <c r="H268" s="371">
        <f t="shared" si="280"/>
        <v>0</v>
      </c>
      <c r="I268" s="363">
        <f t="shared" si="281"/>
        <v>0</v>
      </c>
      <c r="J268" s="363">
        <f t="shared" si="282"/>
        <v>0</v>
      </c>
      <c r="K268" s="364">
        <f t="shared" si="283"/>
        <v>0</v>
      </c>
      <c r="L268" s="365" t="str">
        <f t="shared" si="284"/>
        <v/>
      </c>
      <c r="N268" s="165"/>
    </row>
    <row r="269" spans="1:14" s="166" customFormat="1" hidden="1" x14ac:dyDescent="0.3">
      <c r="A269" s="176">
        <f t="shared" si="285"/>
        <v>0</v>
      </c>
      <c r="B269" s="177" t="s">
        <v>1330</v>
      </c>
      <c r="C269" s="177">
        <f t="shared" si="275"/>
        <v>0</v>
      </c>
      <c r="D269" s="369" t="str">
        <f t="shared" si="276"/>
        <v>N.D.</v>
      </c>
      <c r="E269" s="370" t="str">
        <f t="shared" si="277"/>
        <v>NO DESIGNADO</v>
      </c>
      <c r="F269" s="371" t="str">
        <f t="shared" si="278"/>
        <v>-</v>
      </c>
      <c r="G269" s="371">
        <f t="shared" si="279"/>
        <v>0</v>
      </c>
      <c r="H269" s="371">
        <f t="shared" si="280"/>
        <v>0</v>
      </c>
      <c r="I269" s="363">
        <f t="shared" si="281"/>
        <v>0</v>
      </c>
      <c r="J269" s="363">
        <f t="shared" si="282"/>
        <v>0</v>
      </c>
      <c r="K269" s="364">
        <f t="shared" si="283"/>
        <v>0</v>
      </c>
      <c r="L269" s="365" t="str">
        <f t="shared" si="284"/>
        <v/>
      </c>
      <c r="N269" s="165"/>
    </row>
    <row r="270" spans="1:14" s="166" customFormat="1" hidden="1" x14ac:dyDescent="0.3">
      <c r="A270" s="176">
        <f t="shared" si="285"/>
        <v>0</v>
      </c>
      <c r="B270" s="177" t="s">
        <v>1331</v>
      </c>
      <c r="C270" s="177">
        <f t="shared" si="275"/>
        <v>0</v>
      </c>
      <c r="D270" s="369" t="str">
        <f t="shared" si="276"/>
        <v>N.D.</v>
      </c>
      <c r="E270" s="370" t="str">
        <f t="shared" si="277"/>
        <v>NO DESIGNADO</v>
      </c>
      <c r="F270" s="371" t="str">
        <f t="shared" si="278"/>
        <v>-</v>
      </c>
      <c r="G270" s="371">
        <f t="shared" si="279"/>
        <v>0</v>
      </c>
      <c r="H270" s="371">
        <f t="shared" si="280"/>
        <v>0</v>
      </c>
      <c r="I270" s="363">
        <f t="shared" si="281"/>
        <v>0</v>
      </c>
      <c r="J270" s="363">
        <f t="shared" si="282"/>
        <v>0</v>
      </c>
      <c r="K270" s="364">
        <f t="shared" si="283"/>
        <v>0</v>
      </c>
      <c r="L270" s="365" t="str">
        <f t="shared" si="284"/>
        <v/>
      </c>
      <c r="N270" s="165"/>
    </row>
    <row r="271" spans="1:14" s="166" customFormat="1" hidden="1" x14ac:dyDescent="0.3">
      <c r="A271" s="176">
        <f t="shared" si="285"/>
        <v>0</v>
      </c>
      <c r="B271" s="177" t="s">
        <v>1332</v>
      </c>
      <c r="C271" s="177">
        <f t="shared" si="275"/>
        <v>0</v>
      </c>
      <c r="D271" s="369" t="str">
        <f t="shared" si="276"/>
        <v>N.D.</v>
      </c>
      <c r="E271" s="370" t="str">
        <f t="shared" si="277"/>
        <v>NO DESIGNADO</v>
      </c>
      <c r="F271" s="371" t="str">
        <f t="shared" si="278"/>
        <v>-</v>
      </c>
      <c r="G271" s="371">
        <f t="shared" si="279"/>
        <v>0</v>
      </c>
      <c r="H271" s="371">
        <f t="shared" si="280"/>
        <v>0</v>
      </c>
      <c r="I271" s="363">
        <f t="shared" si="281"/>
        <v>0</v>
      </c>
      <c r="J271" s="363">
        <f t="shared" si="282"/>
        <v>0</v>
      </c>
      <c r="K271" s="364">
        <f t="shared" si="283"/>
        <v>0</v>
      </c>
      <c r="L271" s="365" t="str">
        <f t="shared" si="284"/>
        <v/>
      </c>
      <c r="N271" s="165"/>
    </row>
    <row r="272" spans="1:14" s="166" customFormat="1" hidden="1" x14ac:dyDescent="0.3">
      <c r="A272" s="176">
        <f t="shared" si="285"/>
        <v>0</v>
      </c>
      <c r="B272" s="177" t="s">
        <v>1333</v>
      </c>
      <c r="C272" s="177">
        <f t="shared" si="275"/>
        <v>0</v>
      </c>
      <c r="D272" s="369" t="str">
        <f t="shared" si="276"/>
        <v>N.D.</v>
      </c>
      <c r="E272" s="370" t="str">
        <f t="shared" si="277"/>
        <v>NO DESIGNADO</v>
      </c>
      <c r="F272" s="371" t="str">
        <f t="shared" si="278"/>
        <v>-</v>
      </c>
      <c r="G272" s="371">
        <f t="shared" si="279"/>
        <v>0</v>
      </c>
      <c r="H272" s="371">
        <f t="shared" si="280"/>
        <v>0</v>
      </c>
      <c r="I272" s="363">
        <f t="shared" si="281"/>
        <v>0</v>
      </c>
      <c r="J272" s="363">
        <f t="shared" si="282"/>
        <v>0</v>
      </c>
      <c r="K272" s="364">
        <f t="shared" si="283"/>
        <v>0</v>
      </c>
      <c r="L272" s="365" t="str">
        <f t="shared" si="284"/>
        <v/>
      </c>
      <c r="N272" s="165"/>
    </row>
    <row r="273" spans="1:14" s="166" customFormat="1" hidden="1" x14ac:dyDescent="0.3">
      <c r="A273" s="176">
        <f t="shared" si="285"/>
        <v>0</v>
      </c>
      <c r="B273" s="177" t="s">
        <v>1334</v>
      </c>
      <c r="C273" s="177">
        <f t="shared" si="275"/>
        <v>0</v>
      </c>
      <c r="D273" s="369" t="str">
        <f t="shared" si="276"/>
        <v>N.D.</v>
      </c>
      <c r="E273" s="370" t="str">
        <f t="shared" si="277"/>
        <v>NO DESIGNADO</v>
      </c>
      <c r="F273" s="371" t="str">
        <f t="shared" si="278"/>
        <v>-</v>
      </c>
      <c r="G273" s="371">
        <f t="shared" si="279"/>
        <v>0</v>
      </c>
      <c r="H273" s="371">
        <f t="shared" si="280"/>
        <v>0</v>
      </c>
      <c r="I273" s="363">
        <f t="shared" si="281"/>
        <v>0</v>
      </c>
      <c r="J273" s="363">
        <f t="shared" si="282"/>
        <v>0</v>
      </c>
      <c r="K273" s="364">
        <f t="shared" si="283"/>
        <v>0</v>
      </c>
      <c r="L273" s="365" t="str">
        <f t="shared" si="284"/>
        <v/>
      </c>
      <c r="N273" s="165"/>
    </row>
    <row r="274" spans="1:14" s="166" customFormat="1" hidden="1" x14ac:dyDescent="0.3">
      <c r="A274" s="176">
        <f t="shared" si="285"/>
        <v>0</v>
      </c>
      <c r="B274" s="177" t="s">
        <v>1335</v>
      </c>
      <c r="C274" s="177">
        <f t="shared" si="275"/>
        <v>0</v>
      </c>
      <c r="D274" s="369" t="str">
        <f t="shared" si="276"/>
        <v>N.D.</v>
      </c>
      <c r="E274" s="370" t="str">
        <f t="shared" si="277"/>
        <v>NO DESIGNADO</v>
      </c>
      <c r="F274" s="371" t="str">
        <f t="shared" si="278"/>
        <v>-</v>
      </c>
      <c r="G274" s="371">
        <f t="shared" si="279"/>
        <v>0</v>
      </c>
      <c r="H274" s="371">
        <f t="shared" si="280"/>
        <v>0</v>
      </c>
      <c r="I274" s="363">
        <f t="shared" si="281"/>
        <v>0</v>
      </c>
      <c r="J274" s="363">
        <f t="shared" si="282"/>
        <v>0</v>
      </c>
      <c r="K274" s="364">
        <f t="shared" si="283"/>
        <v>0</v>
      </c>
      <c r="L274" s="365" t="str">
        <f t="shared" si="284"/>
        <v/>
      </c>
      <c r="N274" s="165"/>
    </row>
    <row r="275" spans="1:14" s="166" customFormat="1" hidden="1" x14ac:dyDescent="0.3">
      <c r="A275" s="162">
        <f>IF(SUM(A276:A305)&gt;0,22,0)</f>
        <v>0</v>
      </c>
      <c r="B275" s="162"/>
      <c r="C275" s="162"/>
      <c r="D275" s="1123" t="s">
        <v>1501</v>
      </c>
      <c r="E275" s="1124"/>
      <c r="F275" s="1123"/>
      <c r="G275" s="1123"/>
      <c r="H275" s="1123"/>
      <c r="I275" s="1123"/>
      <c r="J275" s="1123"/>
      <c r="K275" s="1123"/>
      <c r="L275" s="1124"/>
      <c r="N275" s="165"/>
    </row>
    <row r="276" spans="1:14" s="166" customFormat="1" hidden="1" x14ac:dyDescent="0.3">
      <c r="A276" s="176">
        <f>IFERROR(IF(AND(G276="1P",C276=0,H276&lt;&gt;"METRO"),22,0),0)</f>
        <v>0</v>
      </c>
      <c r="B276" s="177" t="s">
        <v>1336</v>
      </c>
      <c r="C276" s="177">
        <f t="shared" ref="C276:C305" si="286">SUMIF($D$24:$D$211,D276,$A$24:$A$211)</f>
        <v>0</v>
      </c>
      <c r="D276" s="369" t="str">
        <f t="shared" ref="D276:D301" si="287">IFERROR(VLOOKUP(B276,PROYECTO_DELTA,3,FALSE),"N.D.")</f>
        <v>N.D.</v>
      </c>
      <c r="E276" s="370" t="str">
        <f t="shared" ref="E276:E301" si="288">IFERROR(IF(VLOOKUP(D276,TURNOS_SERVICIOS,2,FALSE)=0,"NO DESIGNADO",VLOOKUP(D276,TURNOS_SERVICIOS,2,FALSE)),"NO DESIGNADO")</f>
        <v>NO DESIGNADO</v>
      </c>
      <c r="F276" s="371" t="str">
        <f t="shared" ref="F276:F301" si="289">IFERROR(IF(VLOOKUP(D276,TURNOS_SERVICIOS,3,FALSE)=0,"-",VLOOKUP(D276,TURNOS_SERVICIOS,3,FALSE)),"-")</f>
        <v>-</v>
      </c>
      <c r="G276" s="371">
        <f t="shared" ref="G276:G301" si="290">IFERROR(IF(VLOOKUP(D276,TURNOS_SERVICIOS,4,FALSE)=0,"SIN TURNO",VLOOKUP(D276,TURNOS_SERVICIOS,4,FALSE)),0)</f>
        <v>0</v>
      </c>
      <c r="H276" s="371">
        <f t="shared" ref="H276:H301" si="291">IFERROR(IF(VLOOKUP(D276,TURNOS_SERVICIOS,5,FALSE)=0,"SIN SERVICIO",VLOOKUP(D276,TURNOS_SERVICIOS,5,FALSE)),0)</f>
        <v>0</v>
      </c>
      <c r="I276" s="363">
        <f t="shared" ref="I276:I301" si="292">IFERROR(IF(VLOOKUP(D276,TURNOS_SERVICIOS,6,FALSE)=0,0,VLOOKUP(D276,TURNOS_SERVICIOS,6,FALSE)),0)</f>
        <v>0</v>
      </c>
      <c r="J276" s="363">
        <f t="shared" ref="J276:J301" si="293">IFERROR(IF(VLOOKUP(D276,TURNOS_SERVICIOS,7,FALSE)=0,0,VLOOKUP(D276,TURNOS_SERVICIOS,7,FALSE)),0)</f>
        <v>0</v>
      </c>
      <c r="K276" s="364">
        <f t="shared" ref="K276:K301" si="294">IFERROR(VLOOKUP(D276,TURNOS_SERVICIOS,8,FALSE),0)</f>
        <v>0</v>
      </c>
      <c r="L276" s="365" t="str">
        <f t="shared" ref="L276:L301" si="295">IFERROR(IF(VLOOKUP(D276,TURNOS_SERVICIOS,9,FALSE)=0,"",VLOOKUP(D276,TURNOS_SERVICIOS,9,FALSE)),"")</f>
        <v/>
      </c>
      <c r="N276" s="165"/>
    </row>
    <row r="277" spans="1:14" s="166" customFormat="1" hidden="1" x14ac:dyDescent="0.3">
      <c r="A277" s="176">
        <f t="shared" ref="A277:A301" si="296">IFERROR(IF(AND(G277="1P",C277=0,H277&lt;&gt;"METRO"),22,0),0)</f>
        <v>0</v>
      </c>
      <c r="B277" s="177" t="s">
        <v>1337</v>
      </c>
      <c r="C277" s="177">
        <f t="shared" si="286"/>
        <v>0</v>
      </c>
      <c r="D277" s="369" t="str">
        <f t="shared" si="287"/>
        <v>N.D.</v>
      </c>
      <c r="E277" s="370" t="str">
        <f t="shared" si="288"/>
        <v>NO DESIGNADO</v>
      </c>
      <c r="F277" s="371" t="str">
        <f t="shared" si="289"/>
        <v>-</v>
      </c>
      <c r="G277" s="371">
        <f t="shared" si="290"/>
        <v>0</v>
      </c>
      <c r="H277" s="371">
        <f t="shared" si="291"/>
        <v>0</v>
      </c>
      <c r="I277" s="363">
        <f t="shared" si="292"/>
        <v>0</v>
      </c>
      <c r="J277" s="363">
        <f t="shared" si="293"/>
        <v>0</v>
      </c>
      <c r="K277" s="364">
        <f t="shared" si="294"/>
        <v>0</v>
      </c>
      <c r="L277" s="365" t="str">
        <f t="shared" si="295"/>
        <v/>
      </c>
      <c r="N277" s="165"/>
    </row>
    <row r="278" spans="1:14" s="166" customFormat="1" hidden="1" x14ac:dyDescent="0.3">
      <c r="A278" s="176">
        <f t="shared" si="296"/>
        <v>0</v>
      </c>
      <c r="B278" s="177" t="s">
        <v>1338</v>
      </c>
      <c r="C278" s="177">
        <f t="shared" si="286"/>
        <v>0</v>
      </c>
      <c r="D278" s="369" t="str">
        <f t="shared" si="287"/>
        <v>N.D.</v>
      </c>
      <c r="E278" s="370" t="str">
        <f t="shared" si="288"/>
        <v>NO DESIGNADO</v>
      </c>
      <c r="F278" s="371" t="str">
        <f t="shared" si="289"/>
        <v>-</v>
      </c>
      <c r="G278" s="371">
        <f t="shared" si="290"/>
        <v>0</v>
      </c>
      <c r="H278" s="371">
        <f t="shared" si="291"/>
        <v>0</v>
      </c>
      <c r="I278" s="363">
        <f t="shared" si="292"/>
        <v>0</v>
      </c>
      <c r="J278" s="363">
        <f t="shared" si="293"/>
        <v>0</v>
      </c>
      <c r="K278" s="364">
        <f t="shared" si="294"/>
        <v>0</v>
      </c>
      <c r="L278" s="365" t="str">
        <f t="shared" si="295"/>
        <v/>
      </c>
      <c r="N278" s="165"/>
    </row>
    <row r="279" spans="1:14" s="166" customFormat="1" hidden="1" x14ac:dyDescent="0.3">
      <c r="A279" s="176">
        <f t="shared" si="296"/>
        <v>0</v>
      </c>
      <c r="B279" s="177" t="s">
        <v>1339</v>
      </c>
      <c r="C279" s="177">
        <f t="shared" si="286"/>
        <v>0</v>
      </c>
      <c r="D279" s="369" t="str">
        <f t="shared" si="287"/>
        <v>N.D.</v>
      </c>
      <c r="E279" s="370" t="str">
        <f t="shared" si="288"/>
        <v>NO DESIGNADO</v>
      </c>
      <c r="F279" s="371" t="str">
        <f t="shared" si="289"/>
        <v>-</v>
      </c>
      <c r="G279" s="371">
        <f t="shared" si="290"/>
        <v>0</v>
      </c>
      <c r="H279" s="371">
        <f t="shared" si="291"/>
        <v>0</v>
      </c>
      <c r="I279" s="363">
        <f t="shared" si="292"/>
        <v>0</v>
      </c>
      <c r="J279" s="363">
        <f t="shared" si="293"/>
        <v>0</v>
      </c>
      <c r="K279" s="364">
        <f t="shared" si="294"/>
        <v>0</v>
      </c>
      <c r="L279" s="365" t="str">
        <f t="shared" si="295"/>
        <v/>
      </c>
      <c r="N279" s="165"/>
    </row>
    <row r="280" spans="1:14" s="166" customFormat="1" hidden="1" x14ac:dyDescent="0.3">
      <c r="A280" s="176">
        <f t="shared" si="296"/>
        <v>0</v>
      </c>
      <c r="B280" s="177" t="s">
        <v>1340</v>
      </c>
      <c r="C280" s="177">
        <f t="shared" si="286"/>
        <v>0</v>
      </c>
      <c r="D280" s="369" t="str">
        <f t="shared" si="287"/>
        <v>N.D.</v>
      </c>
      <c r="E280" s="370" t="str">
        <f t="shared" si="288"/>
        <v>NO DESIGNADO</v>
      </c>
      <c r="F280" s="371" t="str">
        <f t="shared" si="289"/>
        <v>-</v>
      </c>
      <c r="G280" s="371">
        <f t="shared" si="290"/>
        <v>0</v>
      </c>
      <c r="H280" s="371">
        <f t="shared" si="291"/>
        <v>0</v>
      </c>
      <c r="I280" s="363">
        <f t="shared" si="292"/>
        <v>0</v>
      </c>
      <c r="J280" s="363">
        <f t="shared" si="293"/>
        <v>0</v>
      </c>
      <c r="K280" s="364">
        <f t="shared" si="294"/>
        <v>0</v>
      </c>
      <c r="L280" s="365" t="str">
        <f t="shared" si="295"/>
        <v/>
      </c>
      <c r="N280" s="165"/>
    </row>
    <row r="281" spans="1:14" s="166" customFormat="1" hidden="1" x14ac:dyDescent="0.3">
      <c r="A281" s="176">
        <f t="shared" si="296"/>
        <v>0</v>
      </c>
      <c r="B281" s="177" t="s">
        <v>1341</v>
      </c>
      <c r="C281" s="177">
        <f t="shared" si="286"/>
        <v>0</v>
      </c>
      <c r="D281" s="369" t="str">
        <f t="shared" si="287"/>
        <v>N.D.</v>
      </c>
      <c r="E281" s="370" t="str">
        <f t="shared" si="288"/>
        <v>NO DESIGNADO</v>
      </c>
      <c r="F281" s="371" t="str">
        <f t="shared" si="289"/>
        <v>-</v>
      </c>
      <c r="G281" s="371">
        <f t="shared" si="290"/>
        <v>0</v>
      </c>
      <c r="H281" s="371">
        <f t="shared" si="291"/>
        <v>0</v>
      </c>
      <c r="I281" s="363">
        <f t="shared" si="292"/>
        <v>0</v>
      </c>
      <c r="J281" s="363">
        <f t="shared" si="293"/>
        <v>0</v>
      </c>
      <c r="K281" s="364">
        <f t="shared" si="294"/>
        <v>0</v>
      </c>
      <c r="L281" s="365" t="str">
        <f t="shared" si="295"/>
        <v/>
      </c>
      <c r="N281" s="165"/>
    </row>
    <row r="282" spans="1:14" s="166" customFormat="1" hidden="1" x14ac:dyDescent="0.3">
      <c r="A282" s="176">
        <f t="shared" si="296"/>
        <v>0</v>
      </c>
      <c r="B282" s="177" t="s">
        <v>1342</v>
      </c>
      <c r="C282" s="177">
        <f t="shared" si="286"/>
        <v>0</v>
      </c>
      <c r="D282" s="369" t="str">
        <f t="shared" si="287"/>
        <v>N.D.</v>
      </c>
      <c r="E282" s="370" t="str">
        <f t="shared" si="288"/>
        <v>NO DESIGNADO</v>
      </c>
      <c r="F282" s="371" t="str">
        <f t="shared" si="289"/>
        <v>-</v>
      </c>
      <c r="G282" s="371">
        <f t="shared" si="290"/>
        <v>0</v>
      </c>
      <c r="H282" s="371">
        <f t="shared" si="291"/>
        <v>0</v>
      </c>
      <c r="I282" s="363">
        <f t="shared" si="292"/>
        <v>0</v>
      </c>
      <c r="J282" s="363">
        <f t="shared" si="293"/>
        <v>0</v>
      </c>
      <c r="K282" s="364">
        <f t="shared" si="294"/>
        <v>0</v>
      </c>
      <c r="L282" s="365" t="str">
        <f t="shared" si="295"/>
        <v/>
      </c>
      <c r="N282" s="165"/>
    </row>
    <row r="283" spans="1:14" s="166" customFormat="1" hidden="1" x14ac:dyDescent="0.3">
      <c r="A283" s="176">
        <f t="shared" si="296"/>
        <v>0</v>
      </c>
      <c r="B283" s="177" t="s">
        <v>1343</v>
      </c>
      <c r="C283" s="177">
        <f t="shared" si="286"/>
        <v>0</v>
      </c>
      <c r="D283" s="369" t="str">
        <f t="shared" si="287"/>
        <v>N.D.</v>
      </c>
      <c r="E283" s="370" t="str">
        <f t="shared" si="288"/>
        <v>NO DESIGNADO</v>
      </c>
      <c r="F283" s="371" t="str">
        <f t="shared" si="289"/>
        <v>-</v>
      </c>
      <c r="G283" s="371">
        <f t="shared" si="290"/>
        <v>0</v>
      </c>
      <c r="H283" s="371">
        <f t="shared" si="291"/>
        <v>0</v>
      </c>
      <c r="I283" s="363">
        <f t="shared" si="292"/>
        <v>0</v>
      </c>
      <c r="J283" s="363">
        <f t="shared" si="293"/>
        <v>0</v>
      </c>
      <c r="K283" s="364">
        <f t="shared" si="294"/>
        <v>0</v>
      </c>
      <c r="L283" s="365" t="str">
        <f t="shared" si="295"/>
        <v/>
      </c>
      <c r="N283" s="165"/>
    </row>
    <row r="284" spans="1:14" s="166" customFormat="1" hidden="1" x14ac:dyDescent="0.3">
      <c r="A284" s="176">
        <f t="shared" si="296"/>
        <v>0</v>
      </c>
      <c r="B284" s="177" t="s">
        <v>1344</v>
      </c>
      <c r="C284" s="177">
        <f t="shared" si="286"/>
        <v>0</v>
      </c>
      <c r="D284" s="369" t="str">
        <f t="shared" si="287"/>
        <v>N.D.</v>
      </c>
      <c r="E284" s="370" t="str">
        <f t="shared" si="288"/>
        <v>NO DESIGNADO</v>
      </c>
      <c r="F284" s="371" t="str">
        <f t="shared" si="289"/>
        <v>-</v>
      </c>
      <c r="G284" s="371">
        <f t="shared" si="290"/>
        <v>0</v>
      </c>
      <c r="H284" s="371">
        <f t="shared" si="291"/>
        <v>0</v>
      </c>
      <c r="I284" s="363">
        <f t="shared" si="292"/>
        <v>0</v>
      </c>
      <c r="J284" s="363">
        <f t="shared" si="293"/>
        <v>0</v>
      </c>
      <c r="K284" s="364">
        <f t="shared" si="294"/>
        <v>0</v>
      </c>
      <c r="L284" s="365" t="str">
        <f t="shared" si="295"/>
        <v/>
      </c>
      <c r="N284" s="165"/>
    </row>
    <row r="285" spans="1:14" s="166" customFormat="1" hidden="1" x14ac:dyDescent="0.3">
      <c r="A285" s="176">
        <f t="shared" si="296"/>
        <v>0</v>
      </c>
      <c r="B285" s="177" t="s">
        <v>1345</v>
      </c>
      <c r="C285" s="177">
        <f t="shared" si="286"/>
        <v>0</v>
      </c>
      <c r="D285" s="369" t="str">
        <f t="shared" si="287"/>
        <v>N.D.</v>
      </c>
      <c r="E285" s="370" t="str">
        <f t="shared" si="288"/>
        <v>NO DESIGNADO</v>
      </c>
      <c r="F285" s="371" t="str">
        <f t="shared" si="289"/>
        <v>-</v>
      </c>
      <c r="G285" s="371">
        <f t="shared" si="290"/>
        <v>0</v>
      </c>
      <c r="H285" s="371">
        <f t="shared" si="291"/>
        <v>0</v>
      </c>
      <c r="I285" s="363">
        <f t="shared" si="292"/>
        <v>0</v>
      </c>
      <c r="J285" s="363">
        <f t="shared" si="293"/>
        <v>0</v>
      </c>
      <c r="K285" s="364">
        <f t="shared" si="294"/>
        <v>0</v>
      </c>
      <c r="L285" s="365" t="str">
        <f t="shared" si="295"/>
        <v/>
      </c>
      <c r="N285" s="165"/>
    </row>
    <row r="286" spans="1:14" s="166" customFormat="1" hidden="1" x14ac:dyDescent="0.3">
      <c r="A286" s="176">
        <f t="shared" si="296"/>
        <v>0</v>
      </c>
      <c r="B286" s="177" t="s">
        <v>1346</v>
      </c>
      <c r="C286" s="177">
        <f t="shared" si="286"/>
        <v>0</v>
      </c>
      <c r="D286" s="369" t="str">
        <f t="shared" si="287"/>
        <v>N.D.</v>
      </c>
      <c r="E286" s="370" t="str">
        <f t="shared" si="288"/>
        <v>NO DESIGNADO</v>
      </c>
      <c r="F286" s="371" t="str">
        <f t="shared" si="289"/>
        <v>-</v>
      </c>
      <c r="G286" s="371">
        <f t="shared" si="290"/>
        <v>0</v>
      </c>
      <c r="H286" s="371">
        <f t="shared" si="291"/>
        <v>0</v>
      </c>
      <c r="I286" s="363">
        <f t="shared" si="292"/>
        <v>0</v>
      </c>
      <c r="J286" s="363">
        <f t="shared" si="293"/>
        <v>0</v>
      </c>
      <c r="K286" s="364">
        <f t="shared" si="294"/>
        <v>0</v>
      </c>
      <c r="L286" s="365" t="str">
        <f t="shared" si="295"/>
        <v/>
      </c>
      <c r="N286" s="165"/>
    </row>
    <row r="287" spans="1:14" s="166" customFormat="1" hidden="1" x14ac:dyDescent="0.3">
      <c r="A287" s="176">
        <f t="shared" si="296"/>
        <v>0</v>
      </c>
      <c r="B287" s="177" t="s">
        <v>1347</v>
      </c>
      <c r="C287" s="177">
        <f t="shared" si="286"/>
        <v>0</v>
      </c>
      <c r="D287" s="369" t="str">
        <f t="shared" si="287"/>
        <v>N.D.</v>
      </c>
      <c r="E287" s="370" t="str">
        <f t="shared" si="288"/>
        <v>NO DESIGNADO</v>
      </c>
      <c r="F287" s="371" t="str">
        <f t="shared" si="289"/>
        <v>-</v>
      </c>
      <c r="G287" s="371">
        <f t="shared" si="290"/>
        <v>0</v>
      </c>
      <c r="H287" s="371">
        <f t="shared" si="291"/>
        <v>0</v>
      </c>
      <c r="I287" s="363">
        <f t="shared" si="292"/>
        <v>0</v>
      </c>
      <c r="J287" s="363">
        <f t="shared" si="293"/>
        <v>0</v>
      </c>
      <c r="K287" s="364">
        <f t="shared" si="294"/>
        <v>0</v>
      </c>
      <c r="L287" s="365" t="str">
        <f t="shared" si="295"/>
        <v/>
      </c>
      <c r="N287" s="165"/>
    </row>
    <row r="288" spans="1:14" s="166" customFormat="1" hidden="1" x14ac:dyDescent="0.3">
      <c r="A288" s="176">
        <f t="shared" si="296"/>
        <v>0</v>
      </c>
      <c r="B288" s="177" t="s">
        <v>1348</v>
      </c>
      <c r="C288" s="177">
        <f t="shared" si="286"/>
        <v>0</v>
      </c>
      <c r="D288" s="369" t="str">
        <f t="shared" si="287"/>
        <v>N.D.</v>
      </c>
      <c r="E288" s="370" t="str">
        <f t="shared" si="288"/>
        <v>NO DESIGNADO</v>
      </c>
      <c r="F288" s="371" t="str">
        <f t="shared" si="289"/>
        <v>-</v>
      </c>
      <c r="G288" s="371">
        <f t="shared" si="290"/>
        <v>0</v>
      </c>
      <c r="H288" s="371">
        <f t="shared" si="291"/>
        <v>0</v>
      </c>
      <c r="I288" s="363">
        <f t="shared" si="292"/>
        <v>0</v>
      </c>
      <c r="J288" s="363">
        <f t="shared" si="293"/>
        <v>0</v>
      </c>
      <c r="K288" s="364">
        <f t="shared" si="294"/>
        <v>0</v>
      </c>
      <c r="L288" s="365" t="str">
        <f t="shared" si="295"/>
        <v/>
      </c>
      <c r="N288" s="165"/>
    </row>
    <row r="289" spans="1:14" s="166" customFormat="1" hidden="1" x14ac:dyDescent="0.3">
      <c r="A289" s="176">
        <f t="shared" si="296"/>
        <v>0</v>
      </c>
      <c r="B289" s="177" t="s">
        <v>1349</v>
      </c>
      <c r="C289" s="177">
        <f t="shared" si="286"/>
        <v>0</v>
      </c>
      <c r="D289" s="369" t="str">
        <f t="shared" si="287"/>
        <v>N.D.</v>
      </c>
      <c r="E289" s="370" t="str">
        <f t="shared" si="288"/>
        <v>NO DESIGNADO</v>
      </c>
      <c r="F289" s="371" t="str">
        <f t="shared" si="289"/>
        <v>-</v>
      </c>
      <c r="G289" s="371">
        <f t="shared" si="290"/>
        <v>0</v>
      </c>
      <c r="H289" s="371">
        <f t="shared" si="291"/>
        <v>0</v>
      </c>
      <c r="I289" s="363">
        <f t="shared" si="292"/>
        <v>0</v>
      </c>
      <c r="J289" s="363">
        <f t="shared" si="293"/>
        <v>0</v>
      </c>
      <c r="K289" s="364">
        <f t="shared" si="294"/>
        <v>0</v>
      </c>
      <c r="L289" s="365" t="str">
        <f t="shared" si="295"/>
        <v/>
      </c>
      <c r="N289" s="165"/>
    </row>
    <row r="290" spans="1:14" s="166" customFormat="1" hidden="1" x14ac:dyDescent="0.3">
      <c r="A290" s="176">
        <f t="shared" si="296"/>
        <v>0</v>
      </c>
      <c r="B290" s="177" t="s">
        <v>1350</v>
      </c>
      <c r="C290" s="177">
        <f t="shared" si="286"/>
        <v>0</v>
      </c>
      <c r="D290" s="369" t="str">
        <f t="shared" si="287"/>
        <v>N.D.</v>
      </c>
      <c r="E290" s="370" t="str">
        <f t="shared" si="288"/>
        <v>NO DESIGNADO</v>
      </c>
      <c r="F290" s="371" t="str">
        <f t="shared" si="289"/>
        <v>-</v>
      </c>
      <c r="G290" s="371">
        <f t="shared" si="290"/>
        <v>0</v>
      </c>
      <c r="H290" s="371">
        <f t="shared" si="291"/>
        <v>0</v>
      </c>
      <c r="I290" s="363">
        <f t="shared" si="292"/>
        <v>0</v>
      </c>
      <c r="J290" s="363">
        <f t="shared" si="293"/>
        <v>0</v>
      </c>
      <c r="K290" s="364">
        <f t="shared" si="294"/>
        <v>0</v>
      </c>
      <c r="L290" s="365" t="str">
        <f t="shared" si="295"/>
        <v/>
      </c>
      <c r="N290" s="165"/>
    </row>
    <row r="291" spans="1:14" s="166" customFormat="1" hidden="1" x14ac:dyDescent="0.3">
      <c r="A291" s="176">
        <f t="shared" si="296"/>
        <v>0</v>
      </c>
      <c r="B291" s="177" t="s">
        <v>1351</v>
      </c>
      <c r="C291" s="177">
        <f t="shared" si="286"/>
        <v>0</v>
      </c>
      <c r="D291" s="369" t="str">
        <f t="shared" si="287"/>
        <v>N.D.</v>
      </c>
      <c r="E291" s="370" t="str">
        <f t="shared" si="288"/>
        <v>NO DESIGNADO</v>
      </c>
      <c r="F291" s="371" t="str">
        <f t="shared" si="289"/>
        <v>-</v>
      </c>
      <c r="G291" s="371">
        <f t="shared" si="290"/>
        <v>0</v>
      </c>
      <c r="H291" s="371">
        <f t="shared" si="291"/>
        <v>0</v>
      </c>
      <c r="I291" s="363">
        <f t="shared" si="292"/>
        <v>0</v>
      </c>
      <c r="J291" s="363">
        <f t="shared" si="293"/>
        <v>0</v>
      </c>
      <c r="K291" s="364">
        <f t="shared" si="294"/>
        <v>0</v>
      </c>
      <c r="L291" s="365" t="str">
        <f t="shared" si="295"/>
        <v/>
      </c>
      <c r="N291" s="165"/>
    </row>
    <row r="292" spans="1:14" s="166" customFormat="1" hidden="1" x14ac:dyDescent="0.3">
      <c r="A292" s="176">
        <f t="shared" si="296"/>
        <v>0</v>
      </c>
      <c r="B292" s="177" t="s">
        <v>1352</v>
      </c>
      <c r="C292" s="177">
        <f t="shared" si="286"/>
        <v>0</v>
      </c>
      <c r="D292" s="369" t="str">
        <f t="shared" si="287"/>
        <v>N.D.</v>
      </c>
      <c r="E292" s="370" t="str">
        <f t="shared" si="288"/>
        <v>NO DESIGNADO</v>
      </c>
      <c r="F292" s="371" t="str">
        <f t="shared" si="289"/>
        <v>-</v>
      </c>
      <c r="G292" s="371">
        <f t="shared" si="290"/>
        <v>0</v>
      </c>
      <c r="H292" s="371">
        <f t="shared" si="291"/>
        <v>0</v>
      </c>
      <c r="I292" s="363">
        <f t="shared" si="292"/>
        <v>0</v>
      </c>
      <c r="J292" s="363">
        <f t="shared" si="293"/>
        <v>0</v>
      </c>
      <c r="K292" s="364">
        <f t="shared" si="294"/>
        <v>0</v>
      </c>
      <c r="L292" s="365" t="str">
        <f t="shared" si="295"/>
        <v/>
      </c>
      <c r="N292" s="165"/>
    </row>
    <row r="293" spans="1:14" s="166" customFormat="1" hidden="1" x14ac:dyDescent="0.3">
      <c r="A293" s="176">
        <f t="shared" si="296"/>
        <v>0</v>
      </c>
      <c r="B293" s="177" t="s">
        <v>1353</v>
      </c>
      <c r="C293" s="177">
        <f t="shared" si="286"/>
        <v>0</v>
      </c>
      <c r="D293" s="369" t="str">
        <f t="shared" si="287"/>
        <v>N.D.</v>
      </c>
      <c r="E293" s="370" t="str">
        <f t="shared" si="288"/>
        <v>NO DESIGNADO</v>
      </c>
      <c r="F293" s="371" t="str">
        <f t="shared" si="289"/>
        <v>-</v>
      </c>
      <c r="G293" s="371">
        <f t="shared" si="290"/>
        <v>0</v>
      </c>
      <c r="H293" s="371">
        <f t="shared" si="291"/>
        <v>0</v>
      </c>
      <c r="I293" s="363">
        <f t="shared" si="292"/>
        <v>0</v>
      </c>
      <c r="J293" s="363">
        <f t="shared" si="293"/>
        <v>0</v>
      </c>
      <c r="K293" s="364">
        <f t="shared" si="294"/>
        <v>0</v>
      </c>
      <c r="L293" s="365" t="str">
        <f t="shared" si="295"/>
        <v/>
      </c>
      <c r="N293" s="165"/>
    </row>
    <row r="294" spans="1:14" s="166" customFormat="1" hidden="1" x14ac:dyDescent="0.3">
      <c r="A294" s="176">
        <f t="shared" si="296"/>
        <v>0</v>
      </c>
      <c r="B294" s="177" t="s">
        <v>1354</v>
      </c>
      <c r="C294" s="177">
        <f t="shared" si="286"/>
        <v>0</v>
      </c>
      <c r="D294" s="369" t="str">
        <f t="shared" si="287"/>
        <v>N.D.</v>
      </c>
      <c r="E294" s="370" t="str">
        <f t="shared" si="288"/>
        <v>NO DESIGNADO</v>
      </c>
      <c r="F294" s="371" t="str">
        <f t="shared" si="289"/>
        <v>-</v>
      </c>
      <c r="G294" s="371">
        <f t="shared" si="290"/>
        <v>0</v>
      </c>
      <c r="H294" s="371">
        <f t="shared" si="291"/>
        <v>0</v>
      </c>
      <c r="I294" s="363">
        <f t="shared" si="292"/>
        <v>0</v>
      </c>
      <c r="J294" s="363">
        <f t="shared" si="293"/>
        <v>0</v>
      </c>
      <c r="K294" s="364">
        <f t="shared" si="294"/>
        <v>0</v>
      </c>
      <c r="L294" s="365" t="str">
        <f t="shared" si="295"/>
        <v/>
      </c>
      <c r="N294" s="165"/>
    </row>
    <row r="295" spans="1:14" s="166" customFormat="1" hidden="1" x14ac:dyDescent="0.3">
      <c r="A295" s="176">
        <f t="shared" si="296"/>
        <v>0</v>
      </c>
      <c r="B295" s="177" t="s">
        <v>1355</v>
      </c>
      <c r="C295" s="177">
        <f t="shared" si="286"/>
        <v>0</v>
      </c>
      <c r="D295" s="369" t="str">
        <f t="shared" si="287"/>
        <v>N.D.</v>
      </c>
      <c r="E295" s="370" t="str">
        <f t="shared" si="288"/>
        <v>NO DESIGNADO</v>
      </c>
      <c r="F295" s="371" t="str">
        <f t="shared" si="289"/>
        <v>-</v>
      </c>
      <c r="G295" s="371">
        <f t="shared" si="290"/>
        <v>0</v>
      </c>
      <c r="H295" s="371">
        <f t="shared" si="291"/>
        <v>0</v>
      </c>
      <c r="I295" s="363">
        <f t="shared" si="292"/>
        <v>0</v>
      </c>
      <c r="J295" s="363">
        <f t="shared" si="293"/>
        <v>0</v>
      </c>
      <c r="K295" s="364">
        <f t="shared" si="294"/>
        <v>0</v>
      </c>
      <c r="L295" s="365" t="str">
        <f t="shared" si="295"/>
        <v/>
      </c>
      <c r="N295" s="165"/>
    </row>
    <row r="296" spans="1:14" s="166" customFormat="1" hidden="1" x14ac:dyDescent="0.3">
      <c r="A296" s="176">
        <f t="shared" si="296"/>
        <v>0</v>
      </c>
      <c r="B296" s="177" t="s">
        <v>1614</v>
      </c>
      <c r="C296" s="177">
        <f t="shared" si="286"/>
        <v>0</v>
      </c>
      <c r="D296" s="369" t="str">
        <f t="shared" si="287"/>
        <v>N.D.</v>
      </c>
      <c r="E296" s="370" t="str">
        <f t="shared" si="288"/>
        <v>NO DESIGNADO</v>
      </c>
      <c r="F296" s="371" t="str">
        <f t="shared" si="289"/>
        <v>-</v>
      </c>
      <c r="G296" s="371">
        <f t="shared" si="290"/>
        <v>0</v>
      </c>
      <c r="H296" s="371">
        <f t="shared" si="291"/>
        <v>0</v>
      </c>
      <c r="I296" s="363">
        <f t="shared" si="292"/>
        <v>0</v>
      </c>
      <c r="J296" s="363">
        <f t="shared" si="293"/>
        <v>0</v>
      </c>
      <c r="K296" s="364">
        <f t="shared" si="294"/>
        <v>0</v>
      </c>
      <c r="L296" s="365" t="str">
        <f t="shared" si="295"/>
        <v/>
      </c>
      <c r="N296" s="165"/>
    </row>
    <row r="297" spans="1:14" s="166" customFormat="1" hidden="1" x14ac:dyDescent="0.3">
      <c r="A297" s="176">
        <f t="shared" si="296"/>
        <v>0</v>
      </c>
      <c r="B297" s="177" t="s">
        <v>1615</v>
      </c>
      <c r="C297" s="177">
        <f t="shared" si="286"/>
        <v>0</v>
      </c>
      <c r="D297" s="369" t="str">
        <f t="shared" si="287"/>
        <v>N.D.</v>
      </c>
      <c r="E297" s="370" t="str">
        <f t="shared" si="288"/>
        <v>NO DESIGNADO</v>
      </c>
      <c r="F297" s="371" t="str">
        <f t="shared" si="289"/>
        <v>-</v>
      </c>
      <c r="G297" s="371">
        <f t="shared" si="290"/>
        <v>0</v>
      </c>
      <c r="H297" s="371">
        <f t="shared" si="291"/>
        <v>0</v>
      </c>
      <c r="I297" s="363">
        <f t="shared" si="292"/>
        <v>0</v>
      </c>
      <c r="J297" s="363">
        <f t="shared" si="293"/>
        <v>0</v>
      </c>
      <c r="K297" s="364">
        <f t="shared" si="294"/>
        <v>0</v>
      </c>
      <c r="L297" s="365" t="str">
        <f t="shared" si="295"/>
        <v/>
      </c>
      <c r="N297" s="165"/>
    </row>
    <row r="298" spans="1:14" s="166" customFormat="1" hidden="1" x14ac:dyDescent="0.3">
      <c r="A298" s="176">
        <f t="shared" si="296"/>
        <v>0</v>
      </c>
      <c r="B298" s="177" t="s">
        <v>1616</v>
      </c>
      <c r="C298" s="177">
        <f t="shared" si="286"/>
        <v>0</v>
      </c>
      <c r="D298" s="369" t="str">
        <f t="shared" si="287"/>
        <v>N.D.</v>
      </c>
      <c r="E298" s="370" t="str">
        <f t="shared" si="288"/>
        <v>NO DESIGNADO</v>
      </c>
      <c r="F298" s="371" t="str">
        <f t="shared" si="289"/>
        <v>-</v>
      </c>
      <c r="G298" s="371">
        <f t="shared" si="290"/>
        <v>0</v>
      </c>
      <c r="H298" s="371">
        <f t="shared" si="291"/>
        <v>0</v>
      </c>
      <c r="I298" s="363">
        <f t="shared" si="292"/>
        <v>0</v>
      </c>
      <c r="J298" s="363">
        <f t="shared" si="293"/>
        <v>0</v>
      </c>
      <c r="K298" s="364">
        <f t="shared" si="294"/>
        <v>0</v>
      </c>
      <c r="L298" s="365" t="str">
        <f t="shared" si="295"/>
        <v/>
      </c>
      <c r="N298" s="165"/>
    </row>
    <row r="299" spans="1:14" s="166" customFormat="1" hidden="1" x14ac:dyDescent="0.3">
      <c r="A299" s="176">
        <f t="shared" si="296"/>
        <v>0</v>
      </c>
      <c r="B299" s="177" t="s">
        <v>1617</v>
      </c>
      <c r="C299" s="177">
        <f t="shared" si="286"/>
        <v>0</v>
      </c>
      <c r="D299" s="369" t="str">
        <f t="shared" si="287"/>
        <v>N.D.</v>
      </c>
      <c r="E299" s="370" t="str">
        <f t="shared" si="288"/>
        <v>NO DESIGNADO</v>
      </c>
      <c r="F299" s="371" t="str">
        <f t="shared" si="289"/>
        <v>-</v>
      </c>
      <c r="G299" s="371">
        <f t="shared" si="290"/>
        <v>0</v>
      </c>
      <c r="H299" s="371">
        <f t="shared" si="291"/>
        <v>0</v>
      </c>
      <c r="I299" s="363">
        <f t="shared" si="292"/>
        <v>0</v>
      </c>
      <c r="J299" s="363">
        <f t="shared" si="293"/>
        <v>0</v>
      </c>
      <c r="K299" s="364">
        <f t="shared" si="294"/>
        <v>0</v>
      </c>
      <c r="L299" s="365" t="str">
        <f t="shared" si="295"/>
        <v/>
      </c>
      <c r="N299" s="165"/>
    </row>
    <row r="300" spans="1:14" s="166" customFormat="1" hidden="1" x14ac:dyDescent="0.3">
      <c r="A300" s="176">
        <f t="shared" si="296"/>
        <v>0</v>
      </c>
      <c r="B300" s="177" t="s">
        <v>1618</v>
      </c>
      <c r="C300" s="177">
        <f t="shared" si="286"/>
        <v>0</v>
      </c>
      <c r="D300" s="369" t="str">
        <f t="shared" si="287"/>
        <v>N.D.</v>
      </c>
      <c r="E300" s="370" t="str">
        <f t="shared" si="288"/>
        <v>NO DESIGNADO</v>
      </c>
      <c r="F300" s="371" t="str">
        <f t="shared" si="289"/>
        <v>-</v>
      </c>
      <c r="G300" s="371">
        <f t="shared" si="290"/>
        <v>0</v>
      </c>
      <c r="H300" s="371">
        <f t="shared" si="291"/>
        <v>0</v>
      </c>
      <c r="I300" s="363">
        <f t="shared" si="292"/>
        <v>0</v>
      </c>
      <c r="J300" s="363">
        <f t="shared" si="293"/>
        <v>0</v>
      </c>
      <c r="K300" s="364">
        <f t="shared" si="294"/>
        <v>0</v>
      </c>
      <c r="L300" s="365" t="str">
        <f t="shared" si="295"/>
        <v/>
      </c>
      <c r="N300" s="165"/>
    </row>
    <row r="301" spans="1:14" s="166" customFormat="1" hidden="1" x14ac:dyDescent="0.3">
      <c r="A301" s="176">
        <f t="shared" si="296"/>
        <v>0</v>
      </c>
      <c r="B301" s="177" t="s">
        <v>1619</v>
      </c>
      <c r="C301" s="177">
        <f t="shared" si="286"/>
        <v>0</v>
      </c>
      <c r="D301" s="369" t="str">
        <f t="shared" si="287"/>
        <v>N.D.</v>
      </c>
      <c r="E301" s="370" t="str">
        <f t="shared" si="288"/>
        <v>NO DESIGNADO</v>
      </c>
      <c r="F301" s="371" t="str">
        <f t="shared" si="289"/>
        <v>-</v>
      </c>
      <c r="G301" s="371">
        <f t="shared" si="290"/>
        <v>0</v>
      </c>
      <c r="H301" s="371">
        <f t="shared" si="291"/>
        <v>0</v>
      </c>
      <c r="I301" s="363">
        <f t="shared" si="292"/>
        <v>0</v>
      </c>
      <c r="J301" s="363">
        <f t="shared" si="293"/>
        <v>0</v>
      </c>
      <c r="K301" s="364">
        <f t="shared" si="294"/>
        <v>0</v>
      </c>
      <c r="L301" s="365" t="str">
        <f t="shared" si="295"/>
        <v/>
      </c>
      <c r="N301" s="165"/>
    </row>
    <row r="302" spans="1:14" s="166" customFormat="1" hidden="1" x14ac:dyDescent="0.3">
      <c r="A302" s="176">
        <f>IFERROR(IF(AND(G302="1P",C302=0,H302&lt;&gt;"METRO"),22,0),0)</f>
        <v>0</v>
      </c>
      <c r="B302" s="177" t="s">
        <v>1620</v>
      </c>
      <c r="C302" s="177">
        <f t="shared" si="286"/>
        <v>0</v>
      </c>
      <c r="D302" s="369" t="str">
        <f>IFERROR(VLOOKUP(B302,PROYECTO_DELTA,3,FALSE),"N.D.")</f>
        <v>N.D.</v>
      </c>
      <c r="E302" s="370" t="str">
        <f>IFERROR(IF(VLOOKUP(D302,TURNOS_SERVICIOS,2,FALSE)=0,"NO DESIGNADO",VLOOKUP(D302,TURNOS_SERVICIOS,2,FALSE)),"NO DESIGNADO")</f>
        <v>NO DESIGNADO</v>
      </c>
      <c r="F302" s="371" t="str">
        <f>IFERROR(IF(VLOOKUP(D302,TURNOS_SERVICIOS,3,FALSE)=0,"-",VLOOKUP(D302,TURNOS_SERVICIOS,3,FALSE)),"-")</f>
        <v>-</v>
      </c>
      <c r="G302" s="371">
        <f>IFERROR(IF(VLOOKUP(D302,TURNOS_SERVICIOS,4,FALSE)=0,"SIN TURNO",VLOOKUP(D302,TURNOS_SERVICIOS,4,FALSE)),0)</f>
        <v>0</v>
      </c>
      <c r="H302" s="371">
        <f>IFERROR(IF(VLOOKUP(D302,TURNOS_SERVICIOS,5,FALSE)=0,"SIN SERVICIO",VLOOKUP(D302,TURNOS_SERVICIOS,5,FALSE)),0)</f>
        <v>0</v>
      </c>
      <c r="I302" s="363">
        <f>IFERROR(IF(VLOOKUP(D302,TURNOS_SERVICIOS,6,FALSE)=0,0,VLOOKUP(D302,TURNOS_SERVICIOS,6,FALSE)),0)</f>
        <v>0</v>
      </c>
      <c r="J302" s="363">
        <f>IFERROR(IF(VLOOKUP(D302,TURNOS_SERVICIOS,7,FALSE)=0,0,VLOOKUP(D302,TURNOS_SERVICIOS,7,FALSE)),0)</f>
        <v>0</v>
      </c>
      <c r="K302" s="364">
        <f>IFERROR(VLOOKUP(D302,TURNOS_SERVICIOS,8,FALSE),0)</f>
        <v>0</v>
      </c>
      <c r="L302" s="365" t="str">
        <f>IFERROR(IF(VLOOKUP(D302,TURNOS_SERVICIOS,9,FALSE)=0,"",VLOOKUP(D302,TURNOS_SERVICIOS,9,FALSE)),"")</f>
        <v/>
      </c>
      <c r="N302" s="165"/>
    </row>
    <row r="303" spans="1:14" s="166" customFormat="1" hidden="1" x14ac:dyDescent="0.3">
      <c r="A303" s="176">
        <f>IFERROR(IF(AND(G303="1P",C303=0,H303&lt;&gt;"METRO"),22,0),0)</f>
        <v>0</v>
      </c>
      <c r="B303" s="177" t="s">
        <v>1621</v>
      </c>
      <c r="C303" s="177">
        <f t="shared" si="286"/>
        <v>0</v>
      </c>
      <c r="D303" s="369" t="str">
        <f>IFERROR(VLOOKUP(B303,PROYECTO_DELTA,3,FALSE),"N.D.")</f>
        <v>N.D.</v>
      </c>
      <c r="E303" s="370" t="str">
        <f>IFERROR(IF(VLOOKUP(D303,TURNOS_SERVICIOS,2,FALSE)=0,"NO DESIGNADO",VLOOKUP(D303,TURNOS_SERVICIOS,2,FALSE)),"NO DESIGNADO")</f>
        <v>NO DESIGNADO</v>
      </c>
      <c r="F303" s="371" t="str">
        <f>IFERROR(IF(VLOOKUP(D303,TURNOS_SERVICIOS,3,FALSE)=0,"-",VLOOKUP(D303,TURNOS_SERVICIOS,3,FALSE)),"-")</f>
        <v>-</v>
      </c>
      <c r="G303" s="371">
        <f>IFERROR(IF(VLOOKUP(D303,TURNOS_SERVICIOS,4,FALSE)=0,"SIN TURNO",VLOOKUP(D303,TURNOS_SERVICIOS,4,FALSE)),0)</f>
        <v>0</v>
      </c>
      <c r="H303" s="371">
        <f>IFERROR(IF(VLOOKUP(D303,TURNOS_SERVICIOS,5,FALSE)=0,"SIN SERVICIO",VLOOKUP(D303,TURNOS_SERVICIOS,5,FALSE)),0)</f>
        <v>0</v>
      </c>
      <c r="I303" s="363">
        <f>IFERROR(IF(VLOOKUP(D303,TURNOS_SERVICIOS,6,FALSE)=0,0,VLOOKUP(D303,TURNOS_SERVICIOS,6,FALSE)),0)</f>
        <v>0</v>
      </c>
      <c r="J303" s="363">
        <f>IFERROR(IF(VLOOKUP(D303,TURNOS_SERVICIOS,7,FALSE)=0,0,VLOOKUP(D303,TURNOS_SERVICIOS,7,FALSE)),0)</f>
        <v>0</v>
      </c>
      <c r="K303" s="364">
        <f>IFERROR(VLOOKUP(D303,TURNOS_SERVICIOS,8,FALSE),0)</f>
        <v>0</v>
      </c>
      <c r="L303" s="365" t="str">
        <f>IFERROR(IF(VLOOKUP(D303,TURNOS_SERVICIOS,9,FALSE)=0,"",VLOOKUP(D303,TURNOS_SERVICIOS,9,FALSE)),"")</f>
        <v/>
      </c>
      <c r="N303" s="165"/>
    </row>
    <row r="304" spans="1:14" s="166" customFormat="1" hidden="1" x14ac:dyDescent="0.3">
      <c r="A304" s="176">
        <f>IFERROR(IF(AND(G304="1P",C304=0,H304&lt;&gt;"METRO"),22,0),0)</f>
        <v>0</v>
      </c>
      <c r="B304" s="177" t="s">
        <v>1622</v>
      </c>
      <c r="C304" s="177">
        <f t="shared" si="286"/>
        <v>0</v>
      </c>
      <c r="D304" s="369" t="str">
        <f>IFERROR(VLOOKUP(B304,PROYECTO_DELTA,3,FALSE),"N.D.")</f>
        <v>N.D.</v>
      </c>
      <c r="E304" s="370" t="str">
        <f>IFERROR(IF(VLOOKUP(D304,TURNOS_SERVICIOS,2,FALSE)=0,"NO DESIGNADO",VLOOKUP(D304,TURNOS_SERVICIOS,2,FALSE)),"NO DESIGNADO")</f>
        <v>NO DESIGNADO</v>
      </c>
      <c r="F304" s="371" t="str">
        <f>IFERROR(IF(VLOOKUP(D304,TURNOS_SERVICIOS,3,FALSE)=0,"-",VLOOKUP(D304,TURNOS_SERVICIOS,3,FALSE)),"-")</f>
        <v>-</v>
      </c>
      <c r="G304" s="371">
        <f>IFERROR(IF(VLOOKUP(D304,TURNOS_SERVICIOS,4,FALSE)=0,"SIN TURNO",VLOOKUP(D304,TURNOS_SERVICIOS,4,FALSE)),0)</f>
        <v>0</v>
      </c>
      <c r="H304" s="371">
        <f>IFERROR(IF(VLOOKUP(D304,TURNOS_SERVICIOS,5,FALSE)=0,"SIN SERVICIO",VLOOKUP(D304,TURNOS_SERVICIOS,5,FALSE)),0)</f>
        <v>0</v>
      </c>
      <c r="I304" s="363">
        <f>IFERROR(IF(VLOOKUP(D304,TURNOS_SERVICIOS,6,FALSE)=0,0,VLOOKUP(D304,TURNOS_SERVICIOS,6,FALSE)),0)</f>
        <v>0</v>
      </c>
      <c r="J304" s="363">
        <f>IFERROR(IF(VLOOKUP(D304,TURNOS_SERVICIOS,7,FALSE)=0,0,VLOOKUP(D304,TURNOS_SERVICIOS,7,FALSE)),0)</f>
        <v>0</v>
      </c>
      <c r="K304" s="364">
        <f>IFERROR(VLOOKUP(D304,TURNOS_SERVICIOS,8,FALSE),0)</f>
        <v>0</v>
      </c>
      <c r="L304" s="365" t="str">
        <f>IFERROR(IF(VLOOKUP(D304,TURNOS_SERVICIOS,9,FALSE)=0,"",VLOOKUP(D304,TURNOS_SERVICIOS,9,FALSE)),"")</f>
        <v/>
      </c>
      <c r="N304" s="165"/>
    </row>
    <row r="305" spans="1:14" s="166" customFormat="1" hidden="1" x14ac:dyDescent="0.3">
      <c r="A305" s="176">
        <f>IFERROR(IF(AND(G305="1P",C305=0,H305&lt;&gt;"METRO"),22,0),0)</f>
        <v>0</v>
      </c>
      <c r="B305" s="177" t="s">
        <v>1623</v>
      </c>
      <c r="C305" s="177">
        <f t="shared" si="286"/>
        <v>0</v>
      </c>
      <c r="D305" s="369" t="str">
        <f>IFERROR(VLOOKUP(B305,PROYECTO_DELTA,3,FALSE),"N.D.")</f>
        <v>N.D.</v>
      </c>
      <c r="E305" s="370" t="str">
        <f>IFERROR(IF(VLOOKUP(D305,TURNOS_SERVICIOS,2,FALSE)=0,"NO DESIGNADO",VLOOKUP(D305,TURNOS_SERVICIOS,2,FALSE)),"NO DESIGNADO")</f>
        <v>NO DESIGNADO</v>
      </c>
      <c r="F305" s="371" t="str">
        <f>IFERROR(IF(VLOOKUP(D305,TURNOS_SERVICIOS,3,FALSE)=0,"-",VLOOKUP(D305,TURNOS_SERVICIOS,3,FALSE)),"-")</f>
        <v>-</v>
      </c>
      <c r="G305" s="371">
        <f>IFERROR(IF(VLOOKUP(D305,TURNOS_SERVICIOS,4,FALSE)=0,"SIN TURNO",VLOOKUP(D305,TURNOS_SERVICIOS,4,FALSE)),0)</f>
        <v>0</v>
      </c>
      <c r="H305" s="371">
        <f>IFERROR(IF(VLOOKUP(D305,TURNOS_SERVICIOS,5,FALSE)=0,"SIN SERVICIO",VLOOKUP(D305,TURNOS_SERVICIOS,5,FALSE)),0)</f>
        <v>0</v>
      </c>
      <c r="I305" s="363">
        <f>IFERROR(IF(VLOOKUP(D305,TURNOS_SERVICIOS,6,FALSE)=0,0,VLOOKUP(D305,TURNOS_SERVICIOS,6,FALSE)),0)</f>
        <v>0</v>
      </c>
      <c r="J305" s="363">
        <f>IFERROR(IF(VLOOKUP(D305,TURNOS_SERVICIOS,7,FALSE)=0,0,VLOOKUP(D305,TURNOS_SERVICIOS,7,FALSE)),0)</f>
        <v>0</v>
      </c>
      <c r="K305" s="364">
        <f>IFERROR(VLOOKUP(D305,TURNOS_SERVICIOS,8,FALSE),0)</f>
        <v>0</v>
      </c>
      <c r="L305" s="365" t="str">
        <f>IFERROR(IF(VLOOKUP(D305,TURNOS_SERVICIOS,9,FALSE)=0,"",VLOOKUP(D305,TURNOS_SERVICIOS,9,FALSE)),"")</f>
        <v/>
      </c>
      <c r="N305" s="165"/>
    </row>
    <row r="306" spans="1:14" s="166" customFormat="1" hidden="1" x14ac:dyDescent="0.3">
      <c r="A306" s="162">
        <f>IF(SUM(A307:A325)&gt;0,22,0)</f>
        <v>0</v>
      </c>
      <c r="B306" s="162"/>
      <c r="C306" s="162"/>
      <c r="D306" s="1123" t="s">
        <v>1500</v>
      </c>
      <c r="E306" s="1123"/>
      <c r="F306" s="1123"/>
      <c r="G306" s="1123"/>
      <c r="H306" s="1123"/>
      <c r="I306" s="1123"/>
      <c r="J306" s="1123"/>
      <c r="K306" s="1123"/>
      <c r="L306" s="1123"/>
      <c r="N306" s="165"/>
    </row>
    <row r="307" spans="1:14" s="166" customFormat="1" hidden="1" x14ac:dyDescent="0.3">
      <c r="A307" s="176">
        <f>IFERROR(IF(AND(G307="2P",C307=0,H307&lt;&gt;"METRO"),22,0),0)</f>
        <v>0</v>
      </c>
      <c r="B307" s="177" t="s">
        <v>1356</v>
      </c>
      <c r="C307" s="177">
        <f t="shared" ref="C307:C325" si="297">SUMIF($D$24:$D$211,D307,$A$24:$A$211)</f>
        <v>0</v>
      </c>
      <c r="D307" s="369" t="str">
        <f t="shared" ref="D307:D325" si="298">IFERROR(VLOOKUP(B307,PROYECTO_DELTA,3,FALSE),"N.D.")</f>
        <v>N.D.</v>
      </c>
      <c r="E307" s="370" t="str">
        <f t="shared" ref="E307:E325" si="299">IFERROR(IF(VLOOKUP(D307,TURNOS_SERVICIOS,2,FALSE)=0,"NO DESIGNADO",VLOOKUP(D307,TURNOS_SERVICIOS,2,FALSE)),"NO DESIGNADO")</f>
        <v>NO DESIGNADO</v>
      </c>
      <c r="F307" s="371" t="str">
        <f t="shared" ref="F307:F325" si="300">IFERROR(IF(VLOOKUP(D307,TURNOS_SERVICIOS,3,FALSE)=0,"-",VLOOKUP(D307,TURNOS_SERVICIOS,3,FALSE)),"-")</f>
        <v>-</v>
      </c>
      <c r="G307" s="371">
        <f t="shared" ref="G307:G325" si="301">IFERROR(IF(VLOOKUP(D307,TURNOS_SERVICIOS,4,FALSE)=0,"SIN TURNO",VLOOKUP(D307,TURNOS_SERVICIOS,4,FALSE)),0)</f>
        <v>0</v>
      </c>
      <c r="H307" s="371">
        <f t="shared" ref="H307:H325" si="302">IFERROR(IF(VLOOKUP(D307,TURNOS_SERVICIOS,5,FALSE)=0,"SIN SERVICIO",VLOOKUP(D307,TURNOS_SERVICIOS,5,FALSE)),0)</f>
        <v>0</v>
      </c>
      <c r="I307" s="363">
        <f t="shared" ref="I307:I325" si="303">IFERROR(IF(VLOOKUP(D307,TURNOS_SERVICIOS,6,FALSE)=0,0,VLOOKUP(D307,TURNOS_SERVICIOS,6,FALSE)),0)</f>
        <v>0</v>
      </c>
      <c r="J307" s="363">
        <f t="shared" ref="J307:J325" si="304">IFERROR(IF(VLOOKUP(D307,TURNOS_SERVICIOS,7,FALSE)=0,0,VLOOKUP(D307,TURNOS_SERVICIOS,7,FALSE)),0)</f>
        <v>0</v>
      </c>
      <c r="K307" s="364">
        <f t="shared" ref="K307:K325" si="305">IFERROR(VLOOKUP(D307,TURNOS_SERVICIOS,8,FALSE),0)</f>
        <v>0</v>
      </c>
      <c r="L307" s="365" t="str">
        <f t="shared" ref="L307:L325" si="306">IFERROR(IF(VLOOKUP(D307,TURNOS_SERVICIOS,9,FALSE)=0,"",VLOOKUP(D307,TURNOS_SERVICIOS,9,FALSE)),"")</f>
        <v/>
      </c>
      <c r="N307" s="165"/>
    </row>
    <row r="308" spans="1:14" s="166" customFormat="1" hidden="1" x14ac:dyDescent="0.3">
      <c r="A308" s="176">
        <f t="shared" ref="A308:A325" si="307">IFERROR(IF(AND(G308="2P",C308=0,H308&lt;&gt;"METRO"),22,0),0)</f>
        <v>0</v>
      </c>
      <c r="B308" s="177" t="s">
        <v>1357</v>
      </c>
      <c r="C308" s="177">
        <f t="shared" si="297"/>
        <v>0</v>
      </c>
      <c r="D308" s="369" t="str">
        <f t="shared" si="298"/>
        <v>N.D.</v>
      </c>
      <c r="E308" s="370" t="str">
        <f t="shared" si="299"/>
        <v>NO DESIGNADO</v>
      </c>
      <c r="F308" s="371" t="str">
        <f t="shared" si="300"/>
        <v>-</v>
      </c>
      <c r="G308" s="371">
        <f t="shared" si="301"/>
        <v>0</v>
      </c>
      <c r="H308" s="371">
        <f t="shared" si="302"/>
        <v>0</v>
      </c>
      <c r="I308" s="363">
        <f t="shared" si="303"/>
        <v>0</v>
      </c>
      <c r="J308" s="363">
        <f t="shared" si="304"/>
        <v>0</v>
      </c>
      <c r="K308" s="364">
        <f t="shared" si="305"/>
        <v>0</v>
      </c>
      <c r="L308" s="365" t="str">
        <f t="shared" si="306"/>
        <v/>
      </c>
      <c r="N308" s="165"/>
    </row>
    <row r="309" spans="1:14" s="166" customFormat="1" hidden="1" x14ac:dyDescent="0.3">
      <c r="A309" s="176">
        <f t="shared" si="307"/>
        <v>0</v>
      </c>
      <c r="B309" s="177" t="s">
        <v>1358</v>
      </c>
      <c r="C309" s="177">
        <f t="shared" si="297"/>
        <v>0</v>
      </c>
      <c r="D309" s="369" t="str">
        <f t="shared" si="298"/>
        <v>N.D.</v>
      </c>
      <c r="E309" s="370" t="str">
        <f t="shared" si="299"/>
        <v>NO DESIGNADO</v>
      </c>
      <c r="F309" s="371" t="str">
        <f t="shared" si="300"/>
        <v>-</v>
      </c>
      <c r="G309" s="371">
        <f t="shared" si="301"/>
        <v>0</v>
      </c>
      <c r="H309" s="371">
        <f t="shared" si="302"/>
        <v>0</v>
      </c>
      <c r="I309" s="363">
        <f t="shared" si="303"/>
        <v>0</v>
      </c>
      <c r="J309" s="363">
        <f t="shared" si="304"/>
        <v>0</v>
      </c>
      <c r="K309" s="364">
        <f t="shared" si="305"/>
        <v>0</v>
      </c>
      <c r="L309" s="365" t="str">
        <f t="shared" si="306"/>
        <v/>
      </c>
      <c r="N309" s="165"/>
    </row>
    <row r="310" spans="1:14" s="166" customFormat="1" hidden="1" x14ac:dyDescent="0.3">
      <c r="A310" s="176">
        <f t="shared" si="307"/>
        <v>0</v>
      </c>
      <c r="B310" s="177" t="s">
        <v>1359</v>
      </c>
      <c r="C310" s="177">
        <f t="shared" si="297"/>
        <v>0</v>
      </c>
      <c r="D310" s="369" t="str">
        <f t="shared" si="298"/>
        <v>N.D.</v>
      </c>
      <c r="E310" s="370" t="str">
        <f t="shared" si="299"/>
        <v>NO DESIGNADO</v>
      </c>
      <c r="F310" s="371" t="str">
        <f t="shared" si="300"/>
        <v>-</v>
      </c>
      <c r="G310" s="371">
        <f t="shared" si="301"/>
        <v>0</v>
      </c>
      <c r="H310" s="371">
        <f t="shared" si="302"/>
        <v>0</v>
      </c>
      <c r="I310" s="363">
        <f t="shared" si="303"/>
        <v>0</v>
      </c>
      <c r="J310" s="363">
        <f t="shared" si="304"/>
        <v>0</v>
      </c>
      <c r="K310" s="364">
        <f t="shared" si="305"/>
        <v>0</v>
      </c>
      <c r="L310" s="365" t="str">
        <f t="shared" si="306"/>
        <v/>
      </c>
      <c r="N310" s="165"/>
    </row>
    <row r="311" spans="1:14" s="166" customFormat="1" hidden="1" x14ac:dyDescent="0.3">
      <c r="A311" s="176">
        <f t="shared" si="307"/>
        <v>0</v>
      </c>
      <c r="B311" s="177" t="s">
        <v>1360</v>
      </c>
      <c r="C311" s="177">
        <f t="shared" si="297"/>
        <v>0</v>
      </c>
      <c r="D311" s="369" t="str">
        <f t="shared" si="298"/>
        <v>N.D.</v>
      </c>
      <c r="E311" s="370" t="str">
        <f t="shared" si="299"/>
        <v>NO DESIGNADO</v>
      </c>
      <c r="F311" s="371" t="str">
        <f t="shared" si="300"/>
        <v>-</v>
      </c>
      <c r="G311" s="371">
        <f t="shared" si="301"/>
        <v>0</v>
      </c>
      <c r="H311" s="371">
        <f t="shared" si="302"/>
        <v>0</v>
      </c>
      <c r="I311" s="363">
        <f t="shared" si="303"/>
        <v>0</v>
      </c>
      <c r="J311" s="363">
        <f t="shared" si="304"/>
        <v>0</v>
      </c>
      <c r="K311" s="364">
        <f t="shared" si="305"/>
        <v>0</v>
      </c>
      <c r="L311" s="365" t="str">
        <f t="shared" si="306"/>
        <v/>
      </c>
      <c r="N311" s="165"/>
    </row>
    <row r="312" spans="1:14" s="166" customFormat="1" hidden="1" x14ac:dyDescent="0.3">
      <c r="A312" s="176">
        <f t="shared" si="307"/>
        <v>0</v>
      </c>
      <c r="B312" s="177" t="s">
        <v>1361</v>
      </c>
      <c r="C312" s="177">
        <f t="shared" si="297"/>
        <v>0</v>
      </c>
      <c r="D312" s="369" t="str">
        <f t="shared" si="298"/>
        <v>N.D.</v>
      </c>
      <c r="E312" s="370" t="str">
        <f t="shared" si="299"/>
        <v>NO DESIGNADO</v>
      </c>
      <c r="F312" s="371" t="str">
        <f t="shared" si="300"/>
        <v>-</v>
      </c>
      <c r="G312" s="371">
        <f t="shared" si="301"/>
        <v>0</v>
      </c>
      <c r="H312" s="371">
        <f t="shared" si="302"/>
        <v>0</v>
      </c>
      <c r="I312" s="363">
        <f t="shared" si="303"/>
        <v>0</v>
      </c>
      <c r="J312" s="363">
        <f t="shared" si="304"/>
        <v>0</v>
      </c>
      <c r="K312" s="364">
        <f t="shared" si="305"/>
        <v>0</v>
      </c>
      <c r="L312" s="365" t="str">
        <f t="shared" si="306"/>
        <v/>
      </c>
      <c r="N312" s="165"/>
    </row>
    <row r="313" spans="1:14" s="166" customFormat="1" hidden="1" x14ac:dyDescent="0.3">
      <c r="A313" s="176">
        <f t="shared" si="307"/>
        <v>0</v>
      </c>
      <c r="B313" s="177" t="s">
        <v>1362</v>
      </c>
      <c r="C313" s="177">
        <f t="shared" si="297"/>
        <v>0</v>
      </c>
      <c r="D313" s="369" t="str">
        <f t="shared" si="298"/>
        <v>N.D.</v>
      </c>
      <c r="E313" s="370" t="str">
        <f t="shared" si="299"/>
        <v>NO DESIGNADO</v>
      </c>
      <c r="F313" s="371" t="str">
        <f t="shared" si="300"/>
        <v>-</v>
      </c>
      <c r="G313" s="371">
        <f t="shared" si="301"/>
        <v>0</v>
      </c>
      <c r="H313" s="371">
        <f t="shared" si="302"/>
        <v>0</v>
      </c>
      <c r="I313" s="363">
        <f t="shared" si="303"/>
        <v>0</v>
      </c>
      <c r="J313" s="363">
        <f t="shared" si="304"/>
        <v>0</v>
      </c>
      <c r="K313" s="364">
        <f t="shared" si="305"/>
        <v>0</v>
      </c>
      <c r="L313" s="365" t="str">
        <f t="shared" si="306"/>
        <v/>
      </c>
      <c r="N313" s="165"/>
    </row>
    <row r="314" spans="1:14" s="166" customFormat="1" hidden="1" x14ac:dyDescent="0.3">
      <c r="A314" s="176">
        <f t="shared" si="307"/>
        <v>0</v>
      </c>
      <c r="B314" s="177" t="s">
        <v>1363</v>
      </c>
      <c r="C314" s="177">
        <f t="shared" si="297"/>
        <v>0</v>
      </c>
      <c r="D314" s="369" t="str">
        <f t="shared" si="298"/>
        <v>N.D.</v>
      </c>
      <c r="E314" s="370" t="str">
        <f t="shared" si="299"/>
        <v>NO DESIGNADO</v>
      </c>
      <c r="F314" s="371" t="str">
        <f t="shared" si="300"/>
        <v>-</v>
      </c>
      <c r="G314" s="371">
        <f t="shared" si="301"/>
        <v>0</v>
      </c>
      <c r="H314" s="371">
        <f t="shared" si="302"/>
        <v>0</v>
      </c>
      <c r="I314" s="363">
        <f t="shared" si="303"/>
        <v>0</v>
      </c>
      <c r="J314" s="363">
        <f t="shared" si="304"/>
        <v>0</v>
      </c>
      <c r="K314" s="364">
        <f t="shared" si="305"/>
        <v>0</v>
      </c>
      <c r="L314" s="365" t="str">
        <f t="shared" si="306"/>
        <v/>
      </c>
      <c r="N314" s="165"/>
    </row>
    <row r="315" spans="1:14" s="166" customFormat="1" hidden="1" x14ac:dyDescent="0.3">
      <c r="A315" s="176">
        <f t="shared" si="307"/>
        <v>0</v>
      </c>
      <c r="B315" s="177" t="s">
        <v>1364</v>
      </c>
      <c r="C315" s="177">
        <f t="shared" si="297"/>
        <v>0</v>
      </c>
      <c r="D315" s="369" t="str">
        <f t="shared" si="298"/>
        <v>N.D.</v>
      </c>
      <c r="E315" s="370" t="str">
        <f t="shared" si="299"/>
        <v>NO DESIGNADO</v>
      </c>
      <c r="F315" s="371" t="str">
        <f t="shared" si="300"/>
        <v>-</v>
      </c>
      <c r="G315" s="371">
        <f t="shared" si="301"/>
        <v>0</v>
      </c>
      <c r="H315" s="371">
        <f t="shared" si="302"/>
        <v>0</v>
      </c>
      <c r="I315" s="363">
        <f t="shared" si="303"/>
        <v>0</v>
      </c>
      <c r="J315" s="363">
        <f t="shared" si="304"/>
        <v>0</v>
      </c>
      <c r="K315" s="364">
        <f t="shared" si="305"/>
        <v>0</v>
      </c>
      <c r="L315" s="365" t="str">
        <f t="shared" si="306"/>
        <v/>
      </c>
      <c r="N315" s="165"/>
    </row>
    <row r="316" spans="1:14" s="166" customFormat="1" hidden="1" x14ac:dyDescent="0.3">
      <c r="A316" s="176">
        <f t="shared" si="307"/>
        <v>0</v>
      </c>
      <c r="B316" s="177" t="s">
        <v>1365</v>
      </c>
      <c r="C316" s="177">
        <f t="shared" si="297"/>
        <v>0</v>
      </c>
      <c r="D316" s="369" t="str">
        <f t="shared" si="298"/>
        <v>N.D.</v>
      </c>
      <c r="E316" s="370" t="str">
        <f t="shared" si="299"/>
        <v>NO DESIGNADO</v>
      </c>
      <c r="F316" s="371" t="str">
        <f t="shared" si="300"/>
        <v>-</v>
      </c>
      <c r="G316" s="371">
        <f t="shared" si="301"/>
        <v>0</v>
      </c>
      <c r="H316" s="371">
        <f t="shared" si="302"/>
        <v>0</v>
      </c>
      <c r="I316" s="363">
        <f t="shared" si="303"/>
        <v>0</v>
      </c>
      <c r="J316" s="363">
        <f t="shared" si="304"/>
        <v>0</v>
      </c>
      <c r="K316" s="364">
        <f t="shared" si="305"/>
        <v>0</v>
      </c>
      <c r="L316" s="365" t="str">
        <f t="shared" si="306"/>
        <v/>
      </c>
      <c r="N316" s="165"/>
    </row>
    <row r="317" spans="1:14" s="166" customFormat="1" hidden="1" x14ac:dyDescent="0.3">
      <c r="A317" s="176">
        <f t="shared" si="307"/>
        <v>0</v>
      </c>
      <c r="B317" s="177" t="s">
        <v>1366</v>
      </c>
      <c r="C317" s="177">
        <f t="shared" si="297"/>
        <v>0</v>
      </c>
      <c r="D317" s="369" t="str">
        <f t="shared" si="298"/>
        <v>N.D.</v>
      </c>
      <c r="E317" s="370" t="str">
        <f t="shared" si="299"/>
        <v>NO DESIGNADO</v>
      </c>
      <c r="F317" s="371" t="str">
        <f t="shared" si="300"/>
        <v>-</v>
      </c>
      <c r="G317" s="371">
        <f t="shared" si="301"/>
        <v>0</v>
      </c>
      <c r="H317" s="371">
        <f t="shared" si="302"/>
        <v>0</v>
      </c>
      <c r="I317" s="363">
        <f t="shared" si="303"/>
        <v>0</v>
      </c>
      <c r="J317" s="363">
        <f t="shared" si="304"/>
        <v>0</v>
      </c>
      <c r="K317" s="364">
        <f t="shared" si="305"/>
        <v>0</v>
      </c>
      <c r="L317" s="365" t="str">
        <f t="shared" si="306"/>
        <v/>
      </c>
      <c r="N317" s="165"/>
    </row>
    <row r="318" spans="1:14" s="166" customFormat="1" hidden="1" x14ac:dyDescent="0.3">
      <c r="A318" s="176">
        <f t="shared" si="307"/>
        <v>0</v>
      </c>
      <c r="B318" s="177" t="s">
        <v>1367</v>
      </c>
      <c r="C318" s="177">
        <f t="shared" si="297"/>
        <v>0</v>
      </c>
      <c r="D318" s="369" t="str">
        <f t="shared" si="298"/>
        <v>N.D.</v>
      </c>
      <c r="E318" s="370" t="str">
        <f t="shared" si="299"/>
        <v>NO DESIGNADO</v>
      </c>
      <c r="F318" s="371" t="str">
        <f t="shared" si="300"/>
        <v>-</v>
      </c>
      <c r="G318" s="371">
        <f t="shared" si="301"/>
        <v>0</v>
      </c>
      <c r="H318" s="371">
        <f t="shared" si="302"/>
        <v>0</v>
      </c>
      <c r="I318" s="363">
        <f t="shared" si="303"/>
        <v>0</v>
      </c>
      <c r="J318" s="363">
        <f t="shared" si="304"/>
        <v>0</v>
      </c>
      <c r="K318" s="364">
        <f t="shared" si="305"/>
        <v>0</v>
      </c>
      <c r="L318" s="365" t="str">
        <f t="shared" si="306"/>
        <v/>
      </c>
      <c r="N318" s="165"/>
    </row>
    <row r="319" spans="1:14" s="166" customFormat="1" hidden="1" x14ac:dyDescent="0.3">
      <c r="A319" s="176">
        <f t="shared" si="307"/>
        <v>0</v>
      </c>
      <c r="B319" s="177" t="s">
        <v>1368</v>
      </c>
      <c r="C319" s="177">
        <f t="shared" si="297"/>
        <v>0</v>
      </c>
      <c r="D319" s="369" t="str">
        <f t="shared" si="298"/>
        <v>N.D.</v>
      </c>
      <c r="E319" s="370" t="str">
        <f t="shared" si="299"/>
        <v>NO DESIGNADO</v>
      </c>
      <c r="F319" s="371" t="str">
        <f t="shared" si="300"/>
        <v>-</v>
      </c>
      <c r="G319" s="371">
        <f t="shared" si="301"/>
        <v>0</v>
      </c>
      <c r="H319" s="371">
        <f t="shared" si="302"/>
        <v>0</v>
      </c>
      <c r="I319" s="363">
        <f t="shared" si="303"/>
        <v>0</v>
      </c>
      <c r="J319" s="363">
        <f t="shared" si="304"/>
        <v>0</v>
      </c>
      <c r="K319" s="364">
        <f t="shared" si="305"/>
        <v>0</v>
      </c>
      <c r="L319" s="365" t="str">
        <f t="shared" si="306"/>
        <v/>
      </c>
      <c r="N319" s="165"/>
    </row>
    <row r="320" spans="1:14" s="166" customFormat="1" hidden="1" x14ac:dyDescent="0.3">
      <c r="A320" s="176">
        <f t="shared" si="307"/>
        <v>0</v>
      </c>
      <c r="B320" s="177" t="s">
        <v>1369</v>
      </c>
      <c r="C320" s="177">
        <f t="shared" si="297"/>
        <v>0</v>
      </c>
      <c r="D320" s="369" t="str">
        <f t="shared" si="298"/>
        <v>N.D.</v>
      </c>
      <c r="E320" s="370" t="str">
        <f t="shared" si="299"/>
        <v>NO DESIGNADO</v>
      </c>
      <c r="F320" s="371" t="str">
        <f t="shared" si="300"/>
        <v>-</v>
      </c>
      <c r="G320" s="371">
        <f t="shared" si="301"/>
        <v>0</v>
      </c>
      <c r="H320" s="371">
        <f t="shared" si="302"/>
        <v>0</v>
      </c>
      <c r="I320" s="363">
        <f t="shared" si="303"/>
        <v>0</v>
      </c>
      <c r="J320" s="363">
        <f t="shared" si="304"/>
        <v>0</v>
      </c>
      <c r="K320" s="364">
        <f t="shared" si="305"/>
        <v>0</v>
      </c>
      <c r="L320" s="365" t="str">
        <f t="shared" si="306"/>
        <v/>
      </c>
      <c r="N320" s="165"/>
    </row>
    <row r="321" spans="1:14" s="166" customFormat="1" hidden="1" x14ac:dyDescent="0.3">
      <c r="A321" s="176">
        <f t="shared" si="307"/>
        <v>0</v>
      </c>
      <c r="B321" s="177" t="s">
        <v>1370</v>
      </c>
      <c r="C321" s="177">
        <f t="shared" si="297"/>
        <v>0</v>
      </c>
      <c r="D321" s="369" t="str">
        <f t="shared" si="298"/>
        <v>N.D.</v>
      </c>
      <c r="E321" s="370" t="str">
        <f t="shared" si="299"/>
        <v>NO DESIGNADO</v>
      </c>
      <c r="F321" s="371" t="str">
        <f t="shared" si="300"/>
        <v>-</v>
      </c>
      <c r="G321" s="371">
        <f t="shared" si="301"/>
        <v>0</v>
      </c>
      <c r="H321" s="371">
        <f t="shared" si="302"/>
        <v>0</v>
      </c>
      <c r="I321" s="363">
        <f t="shared" si="303"/>
        <v>0</v>
      </c>
      <c r="J321" s="363">
        <f t="shared" si="304"/>
        <v>0</v>
      </c>
      <c r="K321" s="364">
        <f t="shared" si="305"/>
        <v>0</v>
      </c>
      <c r="L321" s="365" t="str">
        <f t="shared" si="306"/>
        <v/>
      </c>
      <c r="N321" s="165"/>
    </row>
    <row r="322" spans="1:14" s="166" customFormat="1" hidden="1" x14ac:dyDescent="0.3">
      <c r="A322" s="176">
        <f t="shared" si="307"/>
        <v>0</v>
      </c>
      <c r="B322" s="177" t="s">
        <v>1371</v>
      </c>
      <c r="C322" s="177">
        <f t="shared" si="297"/>
        <v>0</v>
      </c>
      <c r="D322" s="369" t="str">
        <f t="shared" si="298"/>
        <v>N.D.</v>
      </c>
      <c r="E322" s="370" t="str">
        <f t="shared" si="299"/>
        <v>NO DESIGNADO</v>
      </c>
      <c r="F322" s="371" t="str">
        <f t="shared" si="300"/>
        <v>-</v>
      </c>
      <c r="G322" s="371">
        <f t="shared" si="301"/>
        <v>0</v>
      </c>
      <c r="H322" s="371">
        <f t="shared" si="302"/>
        <v>0</v>
      </c>
      <c r="I322" s="363">
        <f t="shared" si="303"/>
        <v>0</v>
      </c>
      <c r="J322" s="363">
        <f t="shared" si="304"/>
        <v>0</v>
      </c>
      <c r="K322" s="364">
        <f t="shared" si="305"/>
        <v>0</v>
      </c>
      <c r="L322" s="365" t="str">
        <f t="shared" si="306"/>
        <v/>
      </c>
      <c r="N322" s="165"/>
    </row>
    <row r="323" spans="1:14" s="166" customFormat="1" hidden="1" x14ac:dyDescent="0.3">
      <c r="A323" s="176">
        <f t="shared" si="307"/>
        <v>0</v>
      </c>
      <c r="B323" s="177" t="s">
        <v>1372</v>
      </c>
      <c r="C323" s="177">
        <f t="shared" si="297"/>
        <v>0</v>
      </c>
      <c r="D323" s="369" t="str">
        <f t="shared" si="298"/>
        <v>N.D.</v>
      </c>
      <c r="E323" s="370" t="str">
        <f t="shared" si="299"/>
        <v>NO DESIGNADO</v>
      </c>
      <c r="F323" s="371" t="str">
        <f t="shared" si="300"/>
        <v>-</v>
      </c>
      <c r="G323" s="371">
        <f t="shared" si="301"/>
        <v>0</v>
      </c>
      <c r="H323" s="371">
        <f t="shared" si="302"/>
        <v>0</v>
      </c>
      <c r="I323" s="363">
        <f t="shared" si="303"/>
        <v>0</v>
      </c>
      <c r="J323" s="363">
        <f t="shared" si="304"/>
        <v>0</v>
      </c>
      <c r="K323" s="364">
        <f t="shared" si="305"/>
        <v>0</v>
      </c>
      <c r="L323" s="365" t="str">
        <f t="shared" si="306"/>
        <v/>
      </c>
      <c r="N323" s="165"/>
    </row>
    <row r="324" spans="1:14" s="166" customFormat="1" hidden="1" x14ac:dyDescent="0.3">
      <c r="A324" s="176">
        <f t="shared" si="307"/>
        <v>0</v>
      </c>
      <c r="B324" s="177" t="s">
        <v>1373</v>
      </c>
      <c r="C324" s="177">
        <f t="shared" si="297"/>
        <v>0</v>
      </c>
      <c r="D324" s="369" t="str">
        <f t="shared" si="298"/>
        <v>N.D.</v>
      </c>
      <c r="E324" s="370" t="str">
        <f t="shared" si="299"/>
        <v>NO DESIGNADO</v>
      </c>
      <c r="F324" s="371" t="str">
        <f t="shared" si="300"/>
        <v>-</v>
      </c>
      <c r="G324" s="371">
        <f t="shared" si="301"/>
        <v>0</v>
      </c>
      <c r="H324" s="371">
        <f t="shared" si="302"/>
        <v>0</v>
      </c>
      <c r="I324" s="363">
        <f t="shared" si="303"/>
        <v>0</v>
      </c>
      <c r="J324" s="363">
        <f t="shared" si="304"/>
        <v>0</v>
      </c>
      <c r="K324" s="364">
        <f t="shared" si="305"/>
        <v>0</v>
      </c>
      <c r="L324" s="365" t="str">
        <f t="shared" si="306"/>
        <v/>
      </c>
      <c r="N324" s="165"/>
    </row>
    <row r="325" spans="1:14" s="166" customFormat="1" hidden="1" x14ac:dyDescent="0.3">
      <c r="A325" s="176">
        <f t="shared" si="307"/>
        <v>0</v>
      </c>
      <c r="B325" s="177" t="s">
        <v>1374</v>
      </c>
      <c r="C325" s="177">
        <f t="shared" si="297"/>
        <v>0</v>
      </c>
      <c r="D325" s="369" t="str">
        <f t="shared" si="298"/>
        <v>N.D.</v>
      </c>
      <c r="E325" s="370" t="str">
        <f t="shared" si="299"/>
        <v>NO DESIGNADO</v>
      </c>
      <c r="F325" s="371" t="str">
        <f t="shared" si="300"/>
        <v>-</v>
      </c>
      <c r="G325" s="371">
        <f t="shared" si="301"/>
        <v>0</v>
      </c>
      <c r="H325" s="371">
        <f t="shared" si="302"/>
        <v>0</v>
      </c>
      <c r="I325" s="363">
        <f t="shared" si="303"/>
        <v>0</v>
      </c>
      <c r="J325" s="363">
        <f t="shared" si="304"/>
        <v>0</v>
      </c>
      <c r="K325" s="364">
        <f t="shared" si="305"/>
        <v>0</v>
      </c>
      <c r="L325" s="365" t="str">
        <f t="shared" si="306"/>
        <v/>
      </c>
      <c r="N325" s="165"/>
    </row>
    <row r="326" spans="1:14" s="166" customFormat="1" hidden="1" x14ac:dyDescent="0.3">
      <c r="A326" s="162">
        <f>IF(SUM(A327:A328)&gt;0,22,0)</f>
        <v>0</v>
      </c>
      <c r="B326" s="177"/>
      <c r="C326" s="177"/>
      <c r="D326" s="1123" t="s">
        <v>1499</v>
      </c>
      <c r="E326" s="1124"/>
      <c r="F326" s="1123"/>
      <c r="G326" s="1123"/>
      <c r="H326" s="1123"/>
      <c r="I326" s="1123"/>
      <c r="J326" s="1123"/>
      <c r="K326" s="1123"/>
      <c r="L326" s="1124"/>
      <c r="N326" s="165"/>
    </row>
    <row r="327" spans="1:14" s="166" customFormat="1" hidden="1" x14ac:dyDescent="0.3">
      <c r="A327" s="176">
        <f>IF(D327&lt;&gt;0,22,0)</f>
        <v>0</v>
      </c>
      <c r="B327" s="176" t="s">
        <v>1473</v>
      </c>
      <c r="C327" s="176"/>
      <c r="D327" s="360">
        <f>IFERROR(IFERROR(VLOOKUP(C327,PROYECTO_CHARLY,2,FALSE),VLOOKUP(B327,PROYECTO_CHARLY,2,FALSE)),0)</f>
        <v>0</v>
      </c>
      <c r="E327" s="370" t="str">
        <f>IFERROR(IF(VLOOKUP(D327,TURNOS_SERVICIOS,2,FALSE)=0,"NO DESIGNADO",VLOOKUP(D327,TURNOS_SERVICIOS,2,FALSE)),"NO DESIGNADO")</f>
        <v>NO DESIGNADO</v>
      </c>
      <c r="F327" s="371" t="str">
        <f>IFERROR(IF(VLOOKUP(D327,TURNOS_SERVICIOS,3,FALSE)=0,"-",VLOOKUP(D327,TURNOS_SERVICIOS,3,FALSE)),"-")</f>
        <v>-</v>
      </c>
      <c r="G327" s="362">
        <f>IFERROR(IF(VLOOKUP(D327,TURNOS_SERVICIOS,4,FALSE)=0,"SIN TURNO",VLOOKUP(D327,TURNOS_SERVICIOS,4,FALSE)),0)</f>
        <v>0</v>
      </c>
      <c r="H327" s="362">
        <f>IFERROR(IF(VLOOKUP(D327,TURNOS_SERVICIOS,5,FALSE)=0,"SIN SERVICIO",VLOOKUP(D327,TURNOS_SERVICIOS,5,FALSE)),0)</f>
        <v>0</v>
      </c>
      <c r="I327" s="363">
        <f>IFERROR(IF(VLOOKUP(D327,TURNOS_SERVICIOS,6,FALSE)=0,0,VLOOKUP(D327,TURNOS_SERVICIOS,6,FALSE)),0)</f>
        <v>0</v>
      </c>
      <c r="J327" s="363">
        <f>IFERROR(IF(VLOOKUP(D327,TURNOS_SERVICIOS,7,FALSE)=0,0,VLOOKUP(D327,TURNOS_SERVICIOS,7,FALSE)),0)</f>
        <v>0</v>
      </c>
      <c r="K327" s="364">
        <f>IFERROR(VLOOKUP(D327,TURNOS_SERVICIOS,8,FALSE),0)</f>
        <v>0</v>
      </c>
      <c r="L327" s="365" t="str">
        <f>IFERROR(IF(VLOOKUP(D327,TURNOS_SERVICIOS,9,FALSE)=0,"",VLOOKUP(D327,TURNOS_SERVICIOS,9,FALSE)),"")</f>
        <v/>
      </c>
      <c r="N327" s="165"/>
    </row>
    <row r="328" spans="1:14" s="166" customFormat="1" hidden="1" x14ac:dyDescent="0.3">
      <c r="A328" s="176">
        <f>IF(D328&lt;&gt;0,22,0)</f>
        <v>0</v>
      </c>
      <c r="B328" s="176" t="s">
        <v>1474</v>
      </c>
      <c r="C328" s="176"/>
      <c r="D328" s="360">
        <f>IFERROR(IFERROR(VLOOKUP(C328,PROYECTO_CHARLY,2,FALSE),VLOOKUP(B328,PROYECTO_CHARLY,2,FALSE)),0)</f>
        <v>0</v>
      </c>
      <c r="E328" s="370" t="str">
        <f>IFERROR(IF(VLOOKUP(D328,TURNOS_SERVICIOS,2,FALSE)=0,"NO DESIGNADO",VLOOKUP(D328,TURNOS_SERVICIOS,2,FALSE)),"NO DESIGNADO")</f>
        <v>NO DESIGNADO</v>
      </c>
      <c r="F328" s="371" t="str">
        <f>IFERROR(IF(VLOOKUP(D328,TURNOS_SERVICIOS,3,FALSE)=0,"-",VLOOKUP(D328,TURNOS_SERVICIOS,3,FALSE)),"-")</f>
        <v>-</v>
      </c>
      <c r="G328" s="362">
        <f>IFERROR(IF(VLOOKUP(D328,TURNOS_SERVICIOS,4,FALSE)=0,"SIN TURNO",VLOOKUP(D328,TURNOS_SERVICIOS,4,FALSE)),0)</f>
        <v>0</v>
      </c>
      <c r="H328" s="362">
        <f>IFERROR(IF(VLOOKUP(D328,TURNOS_SERVICIOS,5,FALSE)=0,"SIN SERVICIO",VLOOKUP(D328,TURNOS_SERVICIOS,5,FALSE)),0)</f>
        <v>0</v>
      </c>
      <c r="I328" s="363">
        <f>IFERROR(IF(VLOOKUP(D328,TURNOS_SERVICIOS,6,FALSE)=0,0,VLOOKUP(D328,TURNOS_SERVICIOS,6,FALSE)),0)</f>
        <v>0</v>
      </c>
      <c r="J328" s="363">
        <f>IFERROR(IF(VLOOKUP(D328,TURNOS_SERVICIOS,7,FALSE)=0,0,VLOOKUP(D328,TURNOS_SERVICIOS,7,FALSE)),0)</f>
        <v>0</v>
      </c>
      <c r="K328" s="364">
        <f>IFERROR(VLOOKUP(D328,TURNOS_SERVICIOS,8,FALSE),0)</f>
        <v>0</v>
      </c>
      <c r="L328" s="365" t="str">
        <f>IFERROR(IF(VLOOKUP(D328,TURNOS_SERVICIOS,9,FALSE)=0,"",VLOOKUP(D328,TURNOS_SERVICIOS,9,FALSE)),"")</f>
        <v/>
      </c>
      <c r="N328" s="165"/>
    </row>
    <row r="329" spans="1:14" s="166" customFormat="1" hidden="1" x14ac:dyDescent="0.3">
      <c r="A329" s="162">
        <f>IF(SUM(A330:A349)&gt;0,22,0)</f>
        <v>0</v>
      </c>
      <c r="B329" s="162"/>
      <c r="C329" s="162"/>
      <c r="D329" s="1123" t="s">
        <v>1498</v>
      </c>
      <c r="E329" s="1124"/>
      <c r="F329" s="1123"/>
      <c r="G329" s="1123"/>
      <c r="H329" s="1123"/>
      <c r="I329" s="1123"/>
      <c r="J329" s="1123"/>
      <c r="K329" s="1123"/>
      <c r="L329" s="1124"/>
      <c r="N329" s="165"/>
    </row>
    <row r="330" spans="1:14" s="166" customFormat="1" hidden="1" x14ac:dyDescent="0.3">
      <c r="A330" s="176">
        <f t="shared" ref="A330:A349" si="308">IFERROR(IF(AND(G330="F",C330=0),22,0),0)</f>
        <v>0</v>
      </c>
      <c r="B330" s="177" t="s">
        <v>1375</v>
      </c>
      <c r="C330" s="177">
        <f t="shared" ref="C330:C349" si="309">SUMIF($D$24:$D$211,D330,$A$24:$A$211)</f>
        <v>0</v>
      </c>
      <c r="D330" s="369" t="str">
        <f t="shared" ref="D330:D349" si="310">IFERROR(VLOOKUP(B330,PROYECTO_DELTA,3,FALSE),"N.D.")</f>
        <v>N.D.</v>
      </c>
      <c r="E330" s="370" t="str">
        <f t="shared" ref="E330:E349" si="311">IFERROR(IF(VLOOKUP(D330,TURNOS_SERVICIOS,2,FALSE)=0,"NO DESIGNADO",VLOOKUP(D330,TURNOS_SERVICIOS,2,FALSE)),"NO DESIGNADO")</f>
        <v>NO DESIGNADO</v>
      </c>
      <c r="F330" s="371" t="str">
        <f t="shared" ref="F330:F350" si="312">IFERROR(IF(VLOOKUP(D330,TURNOS_SERVICIOS,3,FALSE)=0,"-",VLOOKUP(D330,TURNOS_SERVICIOS,3,FALSE)),"-")</f>
        <v>-</v>
      </c>
      <c r="G330" s="372">
        <f t="shared" ref="G330:G350" si="313">IFERROR(IF(VLOOKUP(D330,TURNOS_SERVICIOS,4,FALSE)=0,"SIN TURNO",VLOOKUP(D330,TURNOS_SERVICIOS,4,FALSE)),0)</f>
        <v>0</v>
      </c>
      <c r="H330" s="366">
        <f t="shared" ref="H330:H350" si="314">IFERROR(IF(VLOOKUP(D330,TURNOS_SERVICIOS,5,FALSE)=0,"SIN SERVICIO",VLOOKUP(D330,TURNOS_SERVICIOS,5,FALSE)),0)</f>
        <v>0</v>
      </c>
      <c r="I330" s="363">
        <f t="shared" ref="I330:I350" si="315">IFERROR(IF(VLOOKUP(D330,TURNOS_SERVICIOS,6,FALSE)=0,"-",VLOOKUP(D330,TURNOS_SERVICIOS,6,FALSE)),0)</f>
        <v>0</v>
      </c>
      <c r="J330" s="363">
        <f t="shared" ref="J330:J350" si="316">IFERROR(IF(VLOOKUP(D330,TURNOS_SERVICIOS,7,FALSE)=0,"-",VLOOKUP(D330,TURNOS_SERVICIOS,7,FALSE)),0)</f>
        <v>0</v>
      </c>
      <c r="K330" s="364">
        <f t="shared" ref="K330:K350" si="317">IFERROR(VLOOKUP(D330,TURNOS_SERVICIOS,8,FALSE),0)</f>
        <v>0</v>
      </c>
      <c r="L330" s="365" t="str">
        <f t="shared" ref="L330:L350" si="318">IFERROR(IF(VLOOKUP(D330,TURNOS_SERVICIOS,9,FALSE)=0,"",VLOOKUP(D330,TURNOS_SERVICIOS,9,FALSE)),"")</f>
        <v/>
      </c>
      <c r="N330" s="165"/>
    </row>
    <row r="331" spans="1:14" s="166" customFormat="1" hidden="1" x14ac:dyDescent="0.3">
      <c r="A331" s="176">
        <f t="shared" si="308"/>
        <v>0</v>
      </c>
      <c r="B331" s="177" t="s">
        <v>1376</v>
      </c>
      <c r="C331" s="177">
        <f t="shared" si="309"/>
        <v>0</v>
      </c>
      <c r="D331" s="369" t="str">
        <f t="shared" si="310"/>
        <v>N.D.</v>
      </c>
      <c r="E331" s="370" t="str">
        <f t="shared" si="311"/>
        <v>NO DESIGNADO</v>
      </c>
      <c r="F331" s="371" t="str">
        <f t="shared" si="312"/>
        <v>-</v>
      </c>
      <c r="G331" s="372">
        <f t="shared" si="313"/>
        <v>0</v>
      </c>
      <c r="H331" s="366">
        <f t="shared" si="314"/>
        <v>0</v>
      </c>
      <c r="I331" s="363">
        <f t="shared" si="315"/>
        <v>0</v>
      </c>
      <c r="J331" s="363">
        <f t="shared" si="316"/>
        <v>0</v>
      </c>
      <c r="K331" s="364">
        <f t="shared" si="317"/>
        <v>0</v>
      </c>
      <c r="L331" s="365" t="str">
        <f t="shared" si="318"/>
        <v/>
      </c>
      <c r="N331" s="165"/>
    </row>
    <row r="332" spans="1:14" s="166" customFormat="1" hidden="1" x14ac:dyDescent="0.3">
      <c r="A332" s="176">
        <f t="shared" si="308"/>
        <v>0</v>
      </c>
      <c r="B332" s="177" t="s">
        <v>1377</v>
      </c>
      <c r="C332" s="177">
        <f t="shared" si="309"/>
        <v>0</v>
      </c>
      <c r="D332" s="369" t="str">
        <f t="shared" si="310"/>
        <v>N.D.</v>
      </c>
      <c r="E332" s="370" t="str">
        <f t="shared" si="311"/>
        <v>NO DESIGNADO</v>
      </c>
      <c r="F332" s="371" t="str">
        <f t="shared" si="312"/>
        <v>-</v>
      </c>
      <c r="G332" s="372">
        <f t="shared" si="313"/>
        <v>0</v>
      </c>
      <c r="H332" s="366">
        <f t="shared" si="314"/>
        <v>0</v>
      </c>
      <c r="I332" s="363">
        <f t="shared" si="315"/>
        <v>0</v>
      </c>
      <c r="J332" s="363">
        <f t="shared" si="316"/>
        <v>0</v>
      </c>
      <c r="K332" s="364">
        <f t="shared" si="317"/>
        <v>0</v>
      </c>
      <c r="L332" s="365" t="str">
        <f t="shared" si="318"/>
        <v/>
      </c>
      <c r="N332" s="165"/>
    </row>
    <row r="333" spans="1:14" s="166" customFormat="1" hidden="1" x14ac:dyDescent="0.3">
      <c r="A333" s="176">
        <f t="shared" si="308"/>
        <v>0</v>
      </c>
      <c r="B333" s="177" t="s">
        <v>1378</v>
      </c>
      <c r="C333" s="177">
        <f t="shared" si="309"/>
        <v>0</v>
      </c>
      <c r="D333" s="369" t="str">
        <f t="shared" si="310"/>
        <v>N.D.</v>
      </c>
      <c r="E333" s="370" t="str">
        <f t="shared" si="311"/>
        <v>NO DESIGNADO</v>
      </c>
      <c r="F333" s="371" t="str">
        <f t="shared" si="312"/>
        <v>-</v>
      </c>
      <c r="G333" s="372">
        <f t="shared" si="313"/>
        <v>0</v>
      </c>
      <c r="H333" s="366">
        <f t="shared" si="314"/>
        <v>0</v>
      </c>
      <c r="I333" s="363">
        <f t="shared" si="315"/>
        <v>0</v>
      </c>
      <c r="J333" s="363">
        <f t="shared" si="316"/>
        <v>0</v>
      </c>
      <c r="K333" s="364">
        <f t="shared" si="317"/>
        <v>0</v>
      </c>
      <c r="L333" s="365" t="str">
        <f t="shared" si="318"/>
        <v/>
      </c>
      <c r="N333" s="165"/>
    </row>
    <row r="334" spans="1:14" s="166" customFormat="1" hidden="1" x14ac:dyDescent="0.3">
      <c r="A334" s="176">
        <f t="shared" si="308"/>
        <v>0</v>
      </c>
      <c r="B334" s="177" t="s">
        <v>1379</v>
      </c>
      <c r="C334" s="177">
        <f t="shared" si="309"/>
        <v>0</v>
      </c>
      <c r="D334" s="369" t="str">
        <f t="shared" si="310"/>
        <v>N.D.</v>
      </c>
      <c r="E334" s="370" t="str">
        <f t="shared" si="311"/>
        <v>NO DESIGNADO</v>
      </c>
      <c r="F334" s="371" t="str">
        <f t="shared" si="312"/>
        <v>-</v>
      </c>
      <c r="G334" s="372">
        <f t="shared" si="313"/>
        <v>0</v>
      </c>
      <c r="H334" s="366">
        <f t="shared" si="314"/>
        <v>0</v>
      </c>
      <c r="I334" s="363">
        <f t="shared" si="315"/>
        <v>0</v>
      </c>
      <c r="J334" s="363">
        <f t="shared" si="316"/>
        <v>0</v>
      </c>
      <c r="K334" s="364">
        <f t="shared" si="317"/>
        <v>0</v>
      </c>
      <c r="L334" s="365" t="str">
        <f t="shared" si="318"/>
        <v/>
      </c>
      <c r="N334" s="165"/>
    </row>
    <row r="335" spans="1:14" s="166" customFormat="1" hidden="1" x14ac:dyDescent="0.3">
      <c r="A335" s="176">
        <f t="shared" si="308"/>
        <v>0</v>
      </c>
      <c r="B335" s="177" t="s">
        <v>1380</v>
      </c>
      <c r="C335" s="177">
        <f t="shared" si="309"/>
        <v>0</v>
      </c>
      <c r="D335" s="369" t="str">
        <f t="shared" si="310"/>
        <v>N.D.</v>
      </c>
      <c r="E335" s="370" t="str">
        <f t="shared" si="311"/>
        <v>NO DESIGNADO</v>
      </c>
      <c r="F335" s="371" t="str">
        <f t="shared" si="312"/>
        <v>-</v>
      </c>
      <c r="G335" s="372">
        <f t="shared" si="313"/>
        <v>0</v>
      </c>
      <c r="H335" s="366">
        <f t="shared" si="314"/>
        <v>0</v>
      </c>
      <c r="I335" s="363">
        <f t="shared" si="315"/>
        <v>0</v>
      </c>
      <c r="J335" s="363">
        <f t="shared" si="316"/>
        <v>0</v>
      </c>
      <c r="K335" s="364">
        <f t="shared" si="317"/>
        <v>0</v>
      </c>
      <c r="L335" s="365" t="str">
        <f t="shared" si="318"/>
        <v/>
      </c>
      <c r="N335" s="165"/>
    </row>
    <row r="336" spans="1:14" s="166" customFormat="1" hidden="1" x14ac:dyDescent="0.3">
      <c r="A336" s="176">
        <f t="shared" si="308"/>
        <v>0</v>
      </c>
      <c r="B336" s="177" t="s">
        <v>1381</v>
      </c>
      <c r="C336" s="177">
        <f t="shared" si="309"/>
        <v>0</v>
      </c>
      <c r="D336" s="369" t="str">
        <f t="shared" si="310"/>
        <v>N.D.</v>
      </c>
      <c r="E336" s="370" t="str">
        <f t="shared" si="311"/>
        <v>NO DESIGNADO</v>
      </c>
      <c r="F336" s="371" t="str">
        <f t="shared" si="312"/>
        <v>-</v>
      </c>
      <c r="G336" s="372">
        <f t="shared" si="313"/>
        <v>0</v>
      </c>
      <c r="H336" s="366">
        <f t="shared" si="314"/>
        <v>0</v>
      </c>
      <c r="I336" s="363">
        <f t="shared" si="315"/>
        <v>0</v>
      </c>
      <c r="J336" s="363">
        <f t="shared" si="316"/>
        <v>0</v>
      </c>
      <c r="K336" s="364">
        <f t="shared" si="317"/>
        <v>0</v>
      </c>
      <c r="L336" s="365" t="str">
        <f t="shared" si="318"/>
        <v/>
      </c>
      <c r="N336" s="165"/>
    </row>
    <row r="337" spans="1:17" s="166" customFormat="1" hidden="1" x14ac:dyDescent="0.3">
      <c r="A337" s="176">
        <f t="shared" si="308"/>
        <v>0</v>
      </c>
      <c r="B337" s="177" t="s">
        <v>1382</v>
      </c>
      <c r="C337" s="177">
        <f t="shared" si="309"/>
        <v>0</v>
      </c>
      <c r="D337" s="369" t="str">
        <f t="shared" si="310"/>
        <v>N.D.</v>
      </c>
      <c r="E337" s="370" t="str">
        <f t="shared" si="311"/>
        <v>NO DESIGNADO</v>
      </c>
      <c r="F337" s="371" t="str">
        <f t="shared" si="312"/>
        <v>-</v>
      </c>
      <c r="G337" s="372">
        <f t="shared" si="313"/>
        <v>0</v>
      </c>
      <c r="H337" s="366">
        <f t="shared" si="314"/>
        <v>0</v>
      </c>
      <c r="I337" s="363">
        <f t="shared" si="315"/>
        <v>0</v>
      </c>
      <c r="J337" s="363">
        <f t="shared" si="316"/>
        <v>0</v>
      </c>
      <c r="K337" s="364">
        <f t="shared" si="317"/>
        <v>0</v>
      </c>
      <c r="L337" s="365" t="str">
        <f t="shared" si="318"/>
        <v/>
      </c>
      <c r="N337" s="165"/>
    </row>
    <row r="338" spans="1:17" s="166" customFormat="1" hidden="1" x14ac:dyDescent="0.3">
      <c r="A338" s="176">
        <f t="shared" si="308"/>
        <v>0</v>
      </c>
      <c r="B338" s="177" t="s">
        <v>1383</v>
      </c>
      <c r="C338" s="177">
        <f t="shared" si="309"/>
        <v>0</v>
      </c>
      <c r="D338" s="369" t="str">
        <f t="shared" si="310"/>
        <v>N.D.</v>
      </c>
      <c r="E338" s="370" t="str">
        <f t="shared" si="311"/>
        <v>NO DESIGNADO</v>
      </c>
      <c r="F338" s="371" t="str">
        <f t="shared" si="312"/>
        <v>-</v>
      </c>
      <c r="G338" s="372">
        <f t="shared" si="313"/>
        <v>0</v>
      </c>
      <c r="H338" s="366">
        <f t="shared" si="314"/>
        <v>0</v>
      </c>
      <c r="I338" s="363">
        <f t="shared" si="315"/>
        <v>0</v>
      </c>
      <c r="J338" s="363">
        <f t="shared" si="316"/>
        <v>0</v>
      </c>
      <c r="K338" s="364">
        <f t="shared" si="317"/>
        <v>0</v>
      </c>
      <c r="L338" s="365" t="str">
        <f t="shared" si="318"/>
        <v/>
      </c>
      <c r="N338" s="165"/>
    </row>
    <row r="339" spans="1:17" s="166" customFormat="1" hidden="1" x14ac:dyDescent="0.3">
      <c r="A339" s="176">
        <f t="shared" si="308"/>
        <v>0</v>
      </c>
      <c r="B339" s="177" t="s">
        <v>1384</v>
      </c>
      <c r="C339" s="177">
        <f t="shared" si="309"/>
        <v>0</v>
      </c>
      <c r="D339" s="369" t="str">
        <f t="shared" si="310"/>
        <v>N.D.</v>
      </c>
      <c r="E339" s="370" t="str">
        <f t="shared" si="311"/>
        <v>NO DESIGNADO</v>
      </c>
      <c r="F339" s="371" t="str">
        <f t="shared" si="312"/>
        <v>-</v>
      </c>
      <c r="G339" s="372">
        <f t="shared" si="313"/>
        <v>0</v>
      </c>
      <c r="H339" s="366">
        <f t="shared" si="314"/>
        <v>0</v>
      </c>
      <c r="I339" s="363">
        <f t="shared" si="315"/>
        <v>0</v>
      </c>
      <c r="J339" s="363">
        <f t="shared" si="316"/>
        <v>0</v>
      </c>
      <c r="K339" s="364">
        <f t="shared" si="317"/>
        <v>0</v>
      </c>
      <c r="L339" s="365" t="str">
        <f t="shared" si="318"/>
        <v/>
      </c>
      <c r="N339" s="165"/>
    </row>
    <row r="340" spans="1:17" s="166" customFormat="1" hidden="1" x14ac:dyDescent="0.3">
      <c r="A340" s="176">
        <f t="shared" si="308"/>
        <v>0</v>
      </c>
      <c r="B340" s="177" t="s">
        <v>1385</v>
      </c>
      <c r="C340" s="177">
        <f t="shared" si="309"/>
        <v>0</v>
      </c>
      <c r="D340" s="369" t="str">
        <f t="shared" si="310"/>
        <v>N.D.</v>
      </c>
      <c r="E340" s="370" t="str">
        <f t="shared" si="311"/>
        <v>NO DESIGNADO</v>
      </c>
      <c r="F340" s="371" t="str">
        <f t="shared" si="312"/>
        <v>-</v>
      </c>
      <c r="G340" s="372">
        <f t="shared" si="313"/>
        <v>0</v>
      </c>
      <c r="H340" s="366">
        <f t="shared" si="314"/>
        <v>0</v>
      </c>
      <c r="I340" s="363">
        <f t="shared" si="315"/>
        <v>0</v>
      </c>
      <c r="J340" s="363">
        <f t="shared" si="316"/>
        <v>0</v>
      </c>
      <c r="K340" s="364">
        <f t="shared" si="317"/>
        <v>0</v>
      </c>
      <c r="L340" s="365" t="str">
        <f t="shared" si="318"/>
        <v/>
      </c>
      <c r="N340" s="165"/>
    </row>
    <row r="341" spans="1:17" s="166" customFormat="1" hidden="1" x14ac:dyDescent="0.3">
      <c r="A341" s="176">
        <f t="shared" si="308"/>
        <v>0</v>
      </c>
      <c r="B341" s="177" t="s">
        <v>1386</v>
      </c>
      <c r="C341" s="177">
        <f t="shared" si="309"/>
        <v>0</v>
      </c>
      <c r="D341" s="369" t="str">
        <f t="shared" si="310"/>
        <v>N.D.</v>
      </c>
      <c r="E341" s="370" t="str">
        <f t="shared" si="311"/>
        <v>NO DESIGNADO</v>
      </c>
      <c r="F341" s="371" t="str">
        <f t="shared" si="312"/>
        <v>-</v>
      </c>
      <c r="G341" s="372">
        <f t="shared" si="313"/>
        <v>0</v>
      </c>
      <c r="H341" s="366">
        <f t="shared" si="314"/>
        <v>0</v>
      </c>
      <c r="I341" s="363">
        <f t="shared" si="315"/>
        <v>0</v>
      </c>
      <c r="J341" s="363">
        <f t="shared" si="316"/>
        <v>0</v>
      </c>
      <c r="K341" s="364">
        <f t="shared" si="317"/>
        <v>0</v>
      </c>
      <c r="L341" s="365" t="str">
        <f t="shared" si="318"/>
        <v/>
      </c>
      <c r="N341" s="165"/>
    </row>
    <row r="342" spans="1:17" s="166" customFormat="1" hidden="1" x14ac:dyDescent="0.3">
      <c r="A342" s="176">
        <f t="shared" si="308"/>
        <v>0</v>
      </c>
      <c r="B342" s="177" t="s">
        <v>1387</v>
      </c>
      <c r="C342" s="177">
        <f t="shared" si="309"/>
        <v>0</v>
      </c>
      <c r="D342" s="369" t="str">
        <f t="shared" si="310"/>
        <v>N.D.</v>
      </c>
      <c r="E342" s="370" t="str">
        <f t="shared" si="311"/>
        <v>NO DESIGNADO</v>
      </c>
      <c r="F342" s="371" t="str">
        <f t="shared" si="312"/>
        <v>-</v>
      </c>
      <c r="G342" s="372">
        <f t="shared" si="313"/>
        <v>0</v>
      </c>
      <c r="H342" s="366">
        <f t="shared" si="314"/>
        <v>0</v>
      </c>
      <c r="I342" s="363">
        <f t="shared" si="315"/>
        <v>0</v>
      </c>
      <c r="J342" s="363">
        <f t="shared" si="316"/>
        <v>0</v>
      </c>
      <c r="K342" s="364">
        <f t="shared" si="317"/>
        <v>0</v>
      </c>
      <c r="L342" s="365" t="str">
        <f t="shared" si="318"/>
        <v/>
      </c>
      <c r="N342" s="165"/>
    </row>
    <row r="343" spans="1:17" s="166" customFormat="1" hidden="1" x14ac:dyDescent="0.3">
      <c r="A343" s="176">
        <f t="shared" si="308"/>
        <v>0</v>
      </c>
      <c r="B343" s="177" t="s">
        <v>1388</v>
      </c>
      <c r="C343" s="177">
        <f t="shared" si="309"/>
        <v>0</v>
      </c>
      <c r="D343" s="369" t="str">
        <f t="shared" si="310"/>
        <v>N.D.</v>
      </c>
      <c r="E343" s="370" t="str">
        <f t="shared" si="311"/>
        <v>NO DESIGNADO</v>
      </c>
      <c r="F343" s="371" t="str">
        <f t="shared" si="312"/>
        <v>-</v>
      </c>
      <c r="G343" s="372">
        <f t="shared" si="313"/>
        <v>0</v>
      </c>
      <c r="H343" s="366">
        <f t="shared" si="314"/>
        <v>0</v>
      </c>
      <c r="I343" s="363">
        <f t="shared" si="315"/>
        <v>0</v>
      </c>
      <c r="J343" s="363">
        <f t="shared" si="316"/>
        <v>0</v>
      </c>
      <c r="K343" s="364">
        <f t="shared" si="317"/>
        <v>0</v>
      </c>
      <c r="L343" s="365" t="str">
        <f t="shared" si="318"/>
        <v/>
      </c>
      <c r="N343" s="165"/>
    </row>
    <row r="344" spans="1:17" s="166" customFormat="1" hidden="1" x14ac:dyDescent="0.3">
      <c r="A344" s="176">
        <f t="shared" si="308"/>
        <v>0</v>
      </c>
      <c r="B344" s="177" t="s">
        <v>1389</v>
      </c>
      <c r="C344" s="177">
        <f t="shared" si="309"/>
        <v>0</v>
      </c>
      <c r="D344" s="369" t="str">
        <f t="shared" si="310"/>
        <v>N.D.</v>
      </c>
      <c r="E344" s="370" t="str">
        <f t="shared" si="311"/>
        <v>NO DESIGNADO</v>
      </c>
      <c r="F344" s="371" t="str">
        <f t="shared" si="312"/>
        <v>-</v>
      </c>
      <c r="G344" s="372">
        <f t="shared" si="313"/>
        <v>0</v>
      </c>
      <c r="H344" s="366">
        <f t="shared" si="314"/>
        <v>0</v>
      </c>
      <c r="I344" s="363">
        <f t="shared" si="315"/>
        <v>0</v>
      </c>
      <c r="J344" s="363">
        <f t="shared" si="316"/>
        <v>0</v>
      </c>
      <c r="K344" s="364">
        <f t="shared" si="317"/>
        <v>0</v>
      </c>
      <c r="L344" s="365" t="str">
        <f t="shared" si="318"/>
        <v/>
      </c>
      <c r="N344" s="165"/>
    </row>
    <row r="345" spans="1:17" s="166" customFormat="1" hidden="1" x14ac:dyDescent="0.3">
      <c r="A345" s="176">
        <f t="shared" si="308"/>
        <v>0</v>
      </c>
      <c r="B345" s="177" t="s">
        <v>1390</v>
      </c>
      <c r="C345" s="177">
        <f t="shared" si="309"/>
        <v>0</v>
      </c>
      <c r="D345" s="369" t="str">
        <f t="shared" si="310"/>
        <v>N.D.</v>
      </c>
      <c r="E345" s="370" t="str">
        <f t="shared" si="311"/>
        <v>NO DESIGNADO</v>
      </c>
      <c r="F345" s="371" t="str">
        <f t="shared" si="312"/>
        <v>-</v>
      </c>
      <c r="G345" s="372">
        <f t="shared" si="313"/>
        <v>0</v>
      </c>
      <c r="H345" s="366">
        <f t="shared" si="314"/>
        <v>0</v>
      </c>
      <c r="I345" s="363">
        <f t="shared" si="315"/>
        <v>0</v>
      </c>
      <c r="J345" s="363">
        <f t="shared" si="316"/>
        <v>0</v>
      </c>
      <c r="K345" s="364">
        <f t="shared" si="317"/>
        <v>0</v>
      </c>
      <c r="L345" s="365" t="str">
        <f t="shared" si="318"/>
        <v/>
      </c>
      <c r="N345" s="165"/>
    </row>
    <row r="346" spans="1:17" s="166" customFormat="1" hidden="1" x14ac:dyDescent="0.3">
      <c r="A346" s="176">
        <f t="shared" si="308"/>
        <v>0</v>
      </c>
      <c r="B346" s="177" t="s">
        <v>1391</v>
      </c>
      <c r="C346" s="177">
        <f t="shared" si="309"/>
        <v>0</v>
      </c>
      <c r="D346" s="369" t="str">
        <f t="shared" si="310"/>
        <v>N.D.</v>
      </c>
      <c r="E346" s="370" t="str">
        <f t="shared" si="311"/>
        <v>NO DESIGNADO</v>
      </c>
      <c r="F346" s="371" t="str">
        <f t="shared" si="312"/>
        <v>-</v>
      </c>
      <c r="G346" s="372">
        <f t="shared" si="313"/>
        <v>0</v>
      </c>
      <c r="H346" s="366">
        <f t="shared" si="314"/>
        <v>0</v>
      </c>
      <c r="I346" s="363">
        <f t="shared" si="315"/>
        <v>0</v>
      </c>
      <c r="J346" s="363">
        <f t="shared" si="316"/>
        <v>0</v>
      </c>
      <c r="K346" s="364">
        <f t="shared" si="317"/>
        <v>0</v>
      </c>
      <c r="L346" s="365" t="str">
        <f t="shared" si="318"/>
        <v/>
      </c>
      <c r="N346" s="165"/>
    </row>
    <row r="347" spans="1:17" s="166" customFormat="1" hidden="1" x14ac:dyDescent="0.3">
      <c r="A347" s="176">
        <f t="shared" si="308"/>
        <v>0</v>
      </c>
      <c r="B347" s="177" t="s">
        <v>1392</v>
      </c>
      <c r="C347" s="177">
        <f t="shared" si="309"/>
        <v>0</v>
      </c>
      <c r="D347" s="369" t="str">
        <f t="shared" si="310"/>
        <v>N.D.</v>
      </c>
      <c r="E347" s="370" t="str">
        <f t="shared" si="311"/>
        <v>NO DESIGNADO</v>
      </c>
      <c r="F347" s="371" t="str">
        <f t="shared" si="312"/>
        <v>-</v>
      </c>
      <c r="G347" s="372">
        <f t="shared" si="313"/>
        <v>0</v>
      </c>
      <c r="H347" s="366">
        <f t="shared" si="314"/>
        <v>0</v>
      </c>
      <c r="I347" s="363">
        <f t="shared" si="315"/>
        <v>0</v>
      </c>
      <c r="J347" s="363">
        <f t="shared" si="316"/>
        <v>0</v>
      </c>
      <c r="K347" s="364">
        <f t="shared" si="317"/>
        <v>0</v>
      </c>
      <c r="L347" s="365" t="str">
        <f t="shared" si="318"/>
        <v/>
      </c>
      <c r="N347" s="165"/>
    </row>
    <row r="348" spans="1:17" s="166" customFormat="1" hidden="1" x14ac:dyDescent="0.3">
      <c r="A348" s="176">
        <f t="shared" si="308"/>
        <v>0</v>
      </c>
      <c r="B348" s="177" t="s">
        <v>1393</v>
      </c>
      <c r="C348" s="177">
        <f t="shared" si="309"/>
        <v>0</v>
      </c>
      <c r="D348" s="369" t="str">
        <f t="shared" si="310"/>
        <v>N.D.</v>
      </c>
      <c r="E348" s="370" t="str">
        <f t="shared" si="311"/>
        <v>NO DESIGNADO</v>
      </c>
      <c r="F348" s="371" t="str">
        <f t="shared" si="312"/>
        <v>-</v>
      </c>
      <c r="G348" s="372">
        <f t="shared" si="313"/>
        <v>0</v>
      </c>
      <c r="H348" s="366">
        <f t="shared" si="314"/>
        <v>0</v>
      </c>
      <c r="I348" s="363">
        <f t="shared" si="315"/>
        <v>0</v>
      </c>
      <c r="J348" s="363">
        <f t="shared" si="316"/>
        <v>0</v>
      </c>
      <c r="K348" s="364">
        <f t="shared" si="317"/>
        <v>0</v>
      </c>
      <c r="L348" s="365" t="str">
        <f t="shared" si="318"/>
        <v/>
      </c>
      <c r="N348" s="165"/>
    </row>
    <row r="349" spans="1:17" s="166" customFormat="1" hidden="1" x14ac:dyDescent="0.3">
      <c r="A349" s="176">
        <f t="shared" si="308"/>
        <v>0</v>
      </c>
      <c r="B349" s="177" t="s">
        <v>1394</v>
      </c>
      <c r="C349" s="177">
        <f t="shared" si="309"/>
        <v>0</v>
      </c>
      <c r="D349" s="369" t="str">
        <f t="shared" si="310"/>
        <v>N.D.</v>
      </c>
      <c r="E349" s="370" t="str">
        <f t="shared" si="311"/>
        <v>NO DESIGNADO</v>
      </c>
      <c r="F349" s="371" t="str">
        <f t="shared" si="312"/>
        <v>-</v>
      </c>
      <c r="G349" s="372">
        <f t="shared" si="313"/>
        <v>0</v>
      </c>
      <c r="H349" s="366">
        <f t="shared" si="314"/>
        <v>0</v>
      </c>
      <c r="I349" s="363">
        <f t="shared" si="315"/>
        <v>0</v>
      </c>
      <c r="J349" s="363">
        <f t="shared" si="316"/>
        <v>0</v>
      </c>
      <c r="K349" s="364">
        <f t="shared" si="317"/>
        <v>0</v>
      </c>
      <c r="L349" s="365" t="str">
        <f t="shared" si="318"/>
        <v/>
      </c>
      <c r="N349" s="165"/>
    </row>
    <row r="350" spans="1:17" s="166" customFormat="1" hidden="1" x14ac:dyDescent="0.3">
      <c r="A350" s="176">
        <v>0</v>
      </c>
      <c r="B350" s="176" t="s">
        <v>1131</v>
      </c>
      <c r="C350" s="176" t="s">
        <v>2867</v>
      </c>
      <c r="D350" s="369" t="s">
        <v>767</v>
      </c>
      <c r="E350" s="370" t="str">
        <f t="shared" ref="E350" si="319">IFERROR(IF(VLOOKUP(D350,TURNOS_SERVICIOS,2,FALSE)=0,"-",VLOOKUP(D350,TURNOS_SERVICIOS,2,FALSE)),"-")</f>
        <v>-</v>
      </c>
      <c r="F350" s="371" t="str">
        <f t="shared" si="312"/>
        <v>-</v>
      </c>
      <c r="G350" s="371" t="str">
        <f t="shared" si="313"/>
        <v/>
      </c>
      <c r="H350" s="371" t="str">
        <f t="shared" si="314"/>
        <v/>
      </c>
      <c r="I350" s="363" t="str">
        <f t="shared" si="315"/>
        <v>-</v>
      </c>
      <c r="J350" s="363" t="str">
        <f t="shared" si="316"/>
        <v>-</v>
      </c>
      <c r="K350" s="364">
        <f t="shared" si="317"/>
        <v>0</v>
      </c>
      <c r="L350" s="365" t="str">
        <f t="shared" si="318"/>
        <v/>
      </c>
      <c r="N350" s="165"/>
    </row>
    <row r="351" spans="1:17" s="166" customFormat="1" x14ac:dyDescent="0.3">
      <c r="A351" s="162">
        <f>IF(SUM(A352:A434)&gt;0,22,0)</f>
        <v>22</v>
      </c>
      <c r="B351" s="162"/>
      <c r="C351" s="162"/>
      <c r="D351" s="1123" t="s">
        <v>1497</v>
      </c>
      <c r="E351" s="1124"/>
      <c r="F351" s="1123"/>
      <c r="G351" s="1123"/>
      <c r="H351" s="1123"/>
      <c r="I351" s="1123"/>
      <c r="J351" s="1123"/>
      <c r="K351" s="1123"/>
      <c r="L351" s="1124"/>
      <c r="N351" s="165"/>
    </row>
    <row r="352" spans="1:17" s="166" customFormat="1" hidden="1" x14ac:dyDescent="0.45">
      <c r="A352" s="176">
        <v>0</v>
      </c>
      <c r="B352" s="177"/>
      <c r="C352" s="177"/>
      <c r="D352" s="369" t="s">
        <v>714</v>
      </c>
      <c r="E352" s="370" t="str">
        <f t="shared" ref="E352:E434" si="320">IFERROR(IF(VLOOKUP(D352,TURNOS_SERVICIOS,2,FALSE)=0,"NO DESIGNADO",VLOOKUP(D352,TURNOS_SERVICIOS,2,FALSE)),"NO DESIGNADO")</f>
        <v>TENIENTE DIAZ CARCAMO OLGA ELIZABETH</v>
      </c>
      <c r="F352" s="371" t="str">
        <f t="shared" ref="F352:F434" si="321">IFERROR(IF(VLOOKUP(D352,TURNOS_SERVICIOS,3,FALSE)=0,"-",VLOOKUP(D352,TURNOS_SERVICIOS,3,FALSE)),"-")</f>
        <v>B-645</v>
      </c>
      <c r="G352" s="371" t="str">
        <f t="shared" ref="G352:G434" si="322">IFERROR(IF(VLOOKUP(D352,TURNOS_SERVICIOS,4,FALSE)=0,"SIN TURNO",VLOOKUP(D352,TURNOS_SERVICIOS,4,FALSE)),0)</f>
        <v>1P</v>
      </c>
      <c r="H352" s="371" t="str">
        <f t="shared" ref="H352:H434" si="323">IFERROR(IF(VLOOKUP(D352,TURNOS_SERVICIOS,5,FALSE)=0,"SIN SERVICIO",VLOOKUP(D352,TURNOS_SERVICIOS,5,FALSE)),0)</f>
        <v>BAQUEDANO</v>
      </c>
      <c r="I352" s="363">
        <f t="shared" ref="I352:I434" si="324">IFERROR(IF(VLOOKUP(D352,TURNOS_SERVICIOS,6,FALSE)=0,"-",VLOOKUP(D352,TURNOS_SERVICIOS,6,FALSE)),0)</f>
        <v>0.33333333333333331</v>
      </c>
      <c r="J352" s="363">
        <f t="shared" ref="J352:J434" si="325">IFERROR(IF(VLOOKUP(D352,TURNOS_SERVICIOS,7,FALSE)=0,"-",VLOOKUP(D352,TURNOS_SERVICIOS,7,FALSE)),0)</f>
        <v>0.83333333333333337</v>
      </c>
      <c r="K352" s="364">
        <f t="shared" ref="K352:K434" si="326">IFERROR(VLOOKUP(D352,TURNOS_SERVICIOS,8,FALSE),0)</f>
        <v>7</v>
      </c>
      <c r="L352" s="365" t="str">
        <f t="shared" ref="L352:L434" si="327">IFERROR(IF(VLOOKUP(D352,TURNOS_SERVICIOS,9,FALSE)=0,"",VLOOKUP(D352,TURNOS_SERVICIOS,9,FALSE)),"")</f>
        <v/>
      </c>
      <c r="P352" s="167"/>
      <c r="Q352" s="167"/>
    </row>
    <row r="353" spans="1:17" s="166" customFormat="1" hidden="1" x14ac:dyDescent="0.45">
      <c r="A353" s="176">
        <f t="shared" ref="A353:A435" si="328">IF(OR(G353="AG.",G353="FER.",G353="PER.",G353="CUR."),22,0)</f>
        <v>0</v>
      </c>
      <c r="B353" s="177"/>
      <c r="C353" s="177"/>
      <c r="D353" s="369" t="s">
        <v>1235</v>
      </c>
      <c r="E353" s="370" t="str">
        <f t="shared" si="320"/>
        <v>-</v>
      </c>
      <c r="F353" s="371" t="str">
        <f t="shared" si="321"/>
        <v>-</v>
      </c>
      <c r="G353" s="371" t="str">
        <f t="shared" si="322"/>
        <v/>
      </c>
      <c r="H353" s="371" t="str">
        <f t="shared" si="323"/>
        <v/>
      </c>
      <c r="I353" s="363" t="str">
        <f t="shared" si="324"/>
        <v>-</v>
      </c>
      <c r="J353" s="363" t="str">
        <f t="shared" si="325"/>
        <v>-</v>
      </c>
      <c r="K353" s="364">
        <f t="shared" si="326"/>
        <v>0</v>
      </c>
      <c r="L353" s="365" t="str">
        <f t="shared" si="327"/>
        <v/>
      </c>
      <c r="P353" s="167"/>
      <c r="Q353" s="167"/>
    </row>
    <row r="354" spans="1:17" s="166" customFormat="1" hidden="1" x14ac:dyDescent="0.45">
      <c r="A354" s="176">
        <v>0</v>
      </c>
      <c r="B354" s="177"/>
      <c r="C354" s="177"/>
      <c r="D354" s="369" t="s">
        <v>726</v>
      </c>
      <c r="E354" s="370" t="str">
        <f t="shared" si="320"/>
        <v>SGTO 1RO. CORTES VARA MARCO EDGARDO              (T-J)</v>
      </c>
      <c r="F354" s="371" t="str">
        <f t="shared" si="321"/>
        <v>B-647</v>
      </c>
      <c r="G354" s="371" t="str">
        <f t="shared" si="322"/>
        <v>1P</v>
      </c>
      <c r="H354" s="371" t="str">
        <f t="shared" si="323"/>
        <v>MONUMENTO</v>
      </c>
      <c r="I354" s="363">
        <f t="shared" si="324"/>
        <v>0.33333333333333331</v>
      </c>
      <c r="J354" s="363">
        <f t="shared" si="325"/>
        <v>0.83333333333333337</v>
      </c>
      <c r="K354" s="364">
        <f t="shared" si="326"/>
        <v>8</v>
      </c>
      <c r="L354" s="365" t="str">
        <f t="shared" si="327"/>
        <v/>
      </c>
      <c r="P354" s="167"/>
      <c r="Q354" s="167"/>
    </row>
    <row r="355" spans="1:17" s="166" customFormat="1" hidden="1" x14ac:dyDescent="0.45">
      <c r="A355" s="176">
        <f t="shared" si="328"/>
        <v>0</v>
      </c>
      <c r="B355" s="177"/>
      <c r="C355" s="177"/>
      <c r="D355" s="369" t="s">
        <v>1236</v>
      </c>
      <c r="E355" s="370" t="str">
        <f t="shared" si="320"/>
        <v>-</v>
      </c>
      <c r="F355" s="371" t="str">
        <f t="shared" si="321"/>
        <v>-</v>
      </c>
      <c r="G355" s="371" t="str">
        <f t="shared" si="322"/>
        <v/>
      </c>
      <c r="H355" s="371" t="str">
        <f t="shared" si="323"/>
        <v/>
      </c>
      <c r="I355" s="363" t="str">
        <f t="shared" si="324"/>
        <v>-</v>
      </c>
      <c r="J355" s="363" t="str">
        <f t="shared" si="325"/>
        <v>-</v>
      </c>
      <c r="K355" s="364">
        <f t="shared" si="326"/>
        <v>0</v>
      </c>
      <c r="L355" s="365" t="str">
        <f t="shared" si="327"/>
        <v/>
      </c>
      <c r="P355" s="167"/>
    </row>
    <row r="356" spans="1:17" s="166" customFormat="1" hidden="1" x14ac:dyDescent="0.45">
      <c r="A356" s="176">
        <v>0</v>
      </c>
      <c r="B356" s="177"/>
      <c r="C356" s="177"/>
      <c r="D356" s="369" t="s">
        <v>713</v>
      </c>
      <c r="E356" s="370" t="str">
        <f>IFERROR(IF(VLOOKUP(D356,TURNOS_SERVICIOS,2,FALSE)=0,"NO DESIGNADO",VLOOKUP(D356,TURNOS_SERVICIOS,2,FALSE)),"NO DESIGNADO")</f>
        <v>SGTO 2DO. CORTES GALLARDO JAVIER ALBERTO</v>
      </c>
      <c r="F356" s="371" t="str">
        <f t="shared" si="321"/>
        <v>B-499</v>
      </c>
      <c r="G356" s="371" t="str">
        <f t="shared" si="322"/>
        <v>1P</v>
      </c>
      <c r="H356" s="371" t="str">
        <f t="shared" si="323"/>
        <v>LEGUA</v>
      </c>
      <c r="I356" s="363">
        <f t="shared" si="324"/>
        <v>0.33333333333333331</v>
      </c>
      <c r="J356" s="363">
        <f t="shared" si="325"/>
        <v>0.83333333333333337</v>
      </c>
      <c r="K356" s="364">
        <f t="shared" si="326"/>
        <v>6</v>
      </c>
      <c r="L356" s="365" t="str">
        <f t="shared" si="327"/>
        <v/>
      </c>
      <c r="P356" s="167"/>
    </row>
    <row r="357" spans="1:17" s="166" customFormat="1" hidden="1" x14ac:dyDescent="0.45">
      <c r="A357" s="176">
        <f t="shared" si="328"/>
        <v>0</v>
      </c>
      <c r="B357" s="177"/>
      <c r="C357" s="177"/>
      <c r="D357" s="369" t="s">
        <v>1237</v>
      </c>
      <c r="E357" s="370" t="str">
        <f t="shared" si="320"/>
        <v>-</v>
      </c>
      <c r="F357" s="371" t="str">
        <f t="shared" si="321"/>
        <v>-</v>
      </c>
      <c r="G357" s="371" t="str">
        <f t="shared" si="322"/>
        <v/>
      </c>
      <c r="H357" s="371" t="str">
        <f t="shared" si="323"/>
        <v/>
      </c>
      <c r="I357" s="363" t="str">
        <f t="shared" si="324"/>
        <v>-</v>
      </c>
      <c r="J357" s="363" t="str">
        <f t="shared" si="325"/>
        <v>-</v>
      </c>
      <c r="K357" s="364">
        <f t="shared" si="326"/>
        <v>0</v>
      </c>
      <c r="L357" s="365" t="str">
        <f t="shared" si="327"/>
        <v/>
      </c>
      <c r="P357" s="167"/>
    </row>
    <row r="358" spans="1:17" s="166" customFormat="1" hidden="1" x14ac:dyDescent="0.45">
      <c r="A358" s="176">
        <f t="shared" si="328"/>
        <v>0</v>
      </c>
      <c r="B358" s="177"/>
      <c r="C358" s="177"/>
      <c r="D358" s="369" t="s">
        <v>2566</v>
      </c>
      <c r="E358" s="370" t="str">
        <f t="shared" si="320"/>
        <v>-</v>
      </c>
      <c r="F358" s="371" t="str">
        <f t="shared" si="321"/>
        <v>-</v>
      </c>
      <c r="G358" s="371" t="str">
        <f t="shared" si="322"/>
        <v/>
      </c>
      <c r="H358" s="371" t="str">
        <f t="shared" si="323"/>
        <v/>
      </c>
      <c r="I358" s="363" t="str">
        <f t="shared" si="324"/>
        <v>-</v>
      </c>
      <c r="J358" s="363" t="str">
        <f t="shared" si="325"/>
        <v>-</v>
      </c>
      <c r="K358" s="364">
        <f t="shared" si="326"/>
        <v>0</v>
      </c>
      <c r="L358" s="365" t="str">
        <f t="shared" si="327"/>
        <v/>
      </c>
      <c r="P358" s="167"/>
    </row>
    <row r="359" spans="1:17" s="166" customFormat="1" hidden="1" x14ac:dyDescent="0.45">
      <c r="A359" s="176">
        <f t="shared" si="328"/>
        <v>0</v>
      </c>
      <c r="B359" s="177"/>
      <c r="C359" s="177"/>
      <c r="D359" s="369"/>
      <c r="E359" s="370"/>
      <c r="F359" s="371"/>
      <c r="G359" s="371"/>
      <c r="H359" s="371"/>
      <c r="I359" s="363"/>
      <c r="J359" s="363"/>
      <c r="K359" s="364"/>
      <c r="L359" s="365" t="str">
        <f t="shared" si="327"/>
        <v/>
      </c>
      <c r="P359" s="167"/>
    </row>
    <row r="360" spans="1:17" s="166" customFormat="1" hidden="1" x14ac:dyDescent="0.45">
      <c r="A360" s="176">
        <f t="shared" si="328"/>
        <v>0</v>
      </c>
      <c r="B360" s="177"/>
      <c r="C360" s="177"/>
      <c r="D360" s="369"/>
      <c r="E360" s="370"/>
      <c r="F360" s="371"/>
      <c r="G360" s="371"/>
      <c r="H360" s="371"/>
      <c r="I360" s="363"/>
      <c r="J360" s="363"/>
      <c r="K360" s="364"/>
      <c r="L360" s="365" t="str">
        <f t="shared" si="327"/>
        <v/>
      </c>
      <c r="P360" s="167"/>
    </row>
    <row r="361" spans="1:17" s="166" customFormat="1" hidden="1" x14ac:dyDescent="0.45">
      <c r="A361" s="176">
        <f t="shared" si="328"/>
        <v>0</v>
      </c>
      <c r="B361" s="177"/>
      <c r="C361" s="177"/>
      <c r="D361" s="369" t="s">
        <v>1239</v>
      </c>
      <c r="E361" s="370" t="str">
        <f t="shared" si="320"/>
        <v>-</v>
      </c>
      <c r="F361" s="371" t="str">
        <f t="shared" si="321"/>
        <v>-</v>
      </c>
      <c r="G361" s="371" t="str">
        <f t="shared" si="322"/>
        <v/>
      </c>
      <c r="H361" s="371" t="str">
        <f t="shared" si="323"/>
        <v/>
      </c>
      <c r="I361" s="363" t="str">
        <f t="shared" si="324"/>
        <v>-</v>
      </c>
      <c r="J361" s="363" t="str">
        <f t="shared" si="325"/>
        <v>-</v>
      </c>
      <c r="K361" s="364">
        <f t="shared" si="326"/>
        <v>0</v>
      </c>
      <c r="L361" s="365" t="str">
        <f t="shared" si="327"/>
        <v/>
      </c>
      <c r="P361" s="167"/>
    </row>
    <row r="362" spans="1:17" s="166" customFormat="1" hidden="1" x14ac:dyDescent="0.45">
      <c r="A362" s="176">
        <f t="shared" si="328"/>
        <v>0</v>
      </c>
      <c r="B362" s="177"/>
      <c r="C362" s="177"/>
      <c r="D362" s="369"/>
      <c r="E362" s="370"/>
      <c r="F362" s="371"/>
      <c r="G362" s="371"/>
      <c r="H362" s="371"/>
      <c r="I362" s="363"/>
      <c r="J362" s="363"/>
      <c r="K362" s="364"/>
      <c r="L362" s="365" t="str">
        <f t="shared" si="327"/>
        <v/>
      </c>
      <c r="P362" s="167"/>
    </row>
    <row r="363" spans="1:17" s="166" customFormat="1" hidden="1" x14ac:dyDescent="0.45">
      <c r="A363" s="176">
        <v>0</v>
      </c>
      <c r="B363" s="177"/>
      <c r="C363" s="177"/>
      <c r="D363" s="369" t="s">
        <v>1240</v>
      </c>
      <c r="E363" s="370" t="str">
        <f t="shared" si="320"/>
        <v>-</v>
      </c>
      <c r="F363" s="371" t="str">
        <f t="shared" si="321"/>
        <v>-</v>
      </c>
      <c r="G363" s="371" t="str">
        <f t="shared" si="322"/>
        <v/>
      </c>
      <c r="H363" s="371" t="str">
        <f t="shared" si="323"/>
        <v/>
      </c>
      <c r="I363" s="363" t="str">
        <f t="shared" si="324"/>
        <v>-</v>
      </c>
      <c r="J363" s="363" t="str">
        <f t="shared" si="325"/>
        <v>-</v>
      </c>
      <c r="K363" s="364">
        <f t="shared" si="326"/>
        <v>0</v>
      </c>
      <c r="L363" s="365" t="str">
        <f t="shared" si="327"/>
        <v/>
      </c>
      <c r="P363" s="167"/>
    </row>
    <row r="364" spans="1:17" s="166" customFormat="1" hidden="1" x14ac:dyDescent="0.45">
      <c r="A364" s="176">
        <f t="shared" si="328"/>
        <v>0</v>
      </c>
      <c r="B364" s="177"/>
      <c r="C364" s="177"/>
      <c r="D364" s="369"/>
      <c r="E364" s="370"/>
      <c r="F364" s="371"/>
      <c r="G364" s="371"/>
      <c r="H364" s="371"/>
      <c r="I364" s="363"/>
      <c r="J364" s="363"/>
      <c r="K364" s="364"/>
      <c r="L364" s="365" t="str">
        <f t="shared" si="327"/>
        <v/>
      </c>
      <c r="P364" s="167"/>
    </row>
    <row r="365" spans="1:17" s="166" customFormat="1" hidden="1" x14ac:dyDescent="0.45">
      <c r="A365" s="176">
        <f t="shared" si="328"/>
        <v>0</v>
      </c>
      <c r="B365" s="177"/>
      <c r="C365" s="177"/>
      <c r="D365" s="369" t="s">
        <v>1241</v>
      </c>
      <c r="E365" s="370" t="str">
        <f t="shared" si="320"/>
        <v>-</v>
      </c>
      <c r="F365" s="371" t="str">
        <f t="shared" si="321"/>
        <v>-</v>
      </c>
      <c r="G365" s="371" t="str">
        <f t="shared" si="322"/>
        <v/>
      </c>
      <c r="H365" s="371" t="str">
        <f t="shared" si="323"/>
        <v/>
      </c>
      <c r="I365" s="363" t="str">
        <f t="shared" si="324"/>
        <v>-</v>
      </c>
      <c r="J365" s="363" t="str">
        <f t="shared" si="325"/>
        <v>-</v>
      </c>
      <c r="K365" s="364">
        <f t="shared" si="326"/>
        <v>0</v>
      </c>
      <c r="L365" s="365" t="str">
        <f t="shared" si="327"/>
        <v/>
      </c>
      <c r="P365" s="167"/>
    </row>
    <row r="366" spans="1:17" s="166" customFormat="1" hidden="1" x14ac:dyDescent="0.45">
      <c r="A366" s="176">
        <f t="shared" si="328"/>
        <v>0</v>
      </c>
      <c r="B366" s="177"/>
      <c r="C366" s="177"/>
      <c r="D366" s="369"/>
      <c r="E366" s="370"/>
      <c r="F366" s="371"/>
      <c r="G366" s="371"/>
      <c r="H366" s="371"/>
      <c r="I366" s="363"/>
      <c r="J366" s="363"/>
      <c r="K366" s="364"/>
      <c r="L366" s="365" t="str">
        <f t="shared" si="327"/>
        <v/>
      </c>
      <c r="P366" s="167"/>
    </row>
    <row r="367" spans="1:17" s="166" customFormat="1" hidden="1" x14ac:dyDescent="0.45">
      <c r="A367" s="176">
        <v>0</v>
      </c>
      <c r="B367" s="177"/>
      <c r="C367" s="177"/>
      <c r="D367" s="369" t="s">
        <v>1242</v>
      </c>
      <c r="E367" s="370" t="str">
        <f t="shared" si="320"/>
        <v>-</v>
      </c>
      <c r="F367" s="371" t="str">
        <f t="shared" si="321"/>
        <v>-</v>
      </c>
      <c r="G367" s="371" t="str">
        <f t="shared" si="322"/>
        <v/>
      </c>
      <c r="H367" s="371" t="str">
        <f t="shared" si="323"/>
        <v/>
      </c>
      <c r="I367" s="363" t="str">
        <f t="shared" si="324"/>
        <v>-</v>
      </c>
      <c r="J367" s="363" t="str">
        <f t="shared" si="325"/>
        <v>-</v>
      </c>
      <c r="K367" s="364">
        <f t="shared" si="326"/>
        <v>0</v>
      </c>
      <c r="L367" s="365" t="str">
        <f t="shared" si="327"/>
        <v/>
      </c>
      <c r="P367" s="167"/>
    </row>
    <row r="368" spans="1:17" s="166" customFormat="1" hidden="1" x14ac:dyDescent="0.45">
      <c r="A368" s="176">
        <f>IF(OR(G368="AG.",G368="FER.",G368="PER.",G368="CUR."),22,0)</f>
        <v>0</v>
      </c>
      <c r="B368" s="177"/>
      <c r="C368" s="177"/>
      <c r="D368" s="369"/>
      <c r="E368" s="370"/>
      <c r="F368" s="371"/>
      <c r="G368" s="371"/>
      <c r="H368" s="371"/>
      <c r="I368" s="363"/>
      <c r="J368" s="363"/>
      <c r="K368" s="364"/>
      <c r="L368" s="365" t="str">
        <f t="shared" si="327"/>
        <v/>
      </c>
      <c r="P368" s="167"/>
    </row>
    <row r="369" spans="1:16" s="166" customFormat="1" hidden="1" x14ac:dyDescent="0.45">
      <c r="A369" s="176">
        <f t="shared" si="328"/>
        <v>0</v>
      </c>
      <c r="B369" s="177"/>
      <c r="C369" s="177"/>
      <c r="D369" s="369" t="s">
        <v>1243</v>
      </c>
      <c r="E369" s="370" t="str">
        <f t="shared" si="320"/>
        <v>-</v>
      </c>
      <c r="F369" s="371" t="str">
        <f t="shared" si="321"/>
        <v>-</v>
      </c>
      <c r="G369" s="371" t="str">
        <f t="shared" si="322"/>
        <v/>
      </c>
      <c r="H369" s="371" t="str">
        <f t="shared" si="323"/>
        <v/>
      </c>
      <c r="I369" s="363" t="str">
        <f t="shared" si="324"/>
        <v>-</v>
      </c>
      <c r="J369" s="363" t="str">
        <f t="shared" si="325"/>
        <v>-</v>
      </c>
      <c r="K369" s="364">
        <f t="shared" si="326"/>
        <v>0</v>
      </c>
      <c r="L369" s="365" t="str">
        <f t="shared" si="327"/>
        <v/>
      </c>
      <c r="P369" s="167"/>
    </row>
    <row r="370" spans="1:16" s="166" customFormat="1" hidden="1" x14ac:dyDescent="0.45">
      <c r="A370" s="176">
        <f t="shared" si="328"/>
        <v>0</v>
      </c>
      <c r="B370" s="177"/>
      <c r="C370" s="177"/>
      <c r="D370" s="369" t="s">
        <v>750</v>
      </c>
      <c r="E370" s="370" t="str">
        <f t="shared" si="320"/>
        <v>SGTO 1RO. JARA ELGUETA JUAN</v>
      </c>
      <c r="F370" s="371" t="str">
        <f t="shared" si="321"/>
        <v>B-682</v>
      </c>
      <c r="G370" s="371" t="str">
        <f t="shared" si="322"/>
        <v>1P</v>
      </c>
      <c r="H370" s="371" t="str">
        <f t="shared" si="323"/>
        <v>ARIETE 22</v>
      </c>
      <c r="I370" s="363">
        <f t="shared" si="324"/>
        <v>0.33333333333333331</v>
      </c>
      <c r="J370" s="363" t="str">
        <f t="shared" si="325"/>
        <v>NORM.</v>
      </c>
      <c r="K370" s="364">
        <f t="shared" si="326"/>
        <v>11</v>
      </c>
      <c r="L370" s="365" t="str">
        <f t="shared" si="327"/>
        <v/>
      </c>
      <c r="P370" s="167"/>
    </row>
    <row r="371" spans="1:16" s="166" customFormat="1" hidden="1" x14ac:dyDescent="0.45">
      <c r="A371" s="176">
        <f t="shared" si="328"/>
        <v>0</v>
      </c>
      <c r="B371" s="177"/>
      <c r="C371" s="177"/>
      <c r="D371" s="369" t="s">
        <v>1244</v>
      </c>
      <c r="E371" s="370" t="str">
        <f t="shared" si="320"/>
        <v>-</v>
      </c>
      <c r="F371" s="371" t="str">
        <f t="shared" si="321"/>
        <v>-</v>
      </c>
      <c r="G371" s="371" t="str">
        <f t="shared" si="322"/>
        <v/>
      </c>
      <c r="H371" s="371" t="str">
        <f t="shared" si="323"/>
        <v/>
      </c>
      <c r="I371" s="363" t="str">
        <f t="shared" si="324"/>
        <v xml:space="preserve"> </v>
      </c>
      <c r="J371" s="363" t="str">
        <f t="shared" si="325"/>
        <v xml:space="preserve"> </v>
      </c>
      <c r="K371" s="364">
        <f t="shared" si="326"/>
        <v>0</v>
      </c>
      <c r="L371" s="365" t="str">
        <f t="shared" si="327"/>
        <v/>
      </c>
      <c r="P371" s="167"/>
    </row>
    <row r="372" spans="1:16" s="166" customFormat="1" hidden="1" x14ac:dyDescent="0.45">
      <c r="A372" s="176">
        <f t="shared" si="328"/>
        <v>0</v>
      </c>
      <c r="B372" s="177"/>
      <c r="C372" s="177"/>
      <c r="D372" s="369" t="s">
        <v>715</v>
      </c>
      <c r="E372" s="370" t="str">
        <f t="shared" si="320"/>
        <v>SUBOFICIAL VALENZUELA AGUILERA ENZO ANTONIO</v>
      </c>
      <c r="F372" s="371" t="str">
        <f t="shared" si="321"/>
        <v>B-683</v>
      </c>
      <c r="G372" s="371" t="str">
        <f t="shared" si="322"/>
        <v>1P</v>
      </c>
      <c r="H372" s="371" t="str">
        <f t="shared" si="323"/>
        <v>ARIETE 22</v>
      </c>
      <c r="I372" s="363">
        <f t="shared" si="324"/>
        <v>0.33333333333333331</v>
      </c>
      <c r="J372" s="363" t="str">
        <f t="shared" si="325"/>
        <v>NORM.</v>
      </c>
      <c r="K372" s="364">
        <f t="shared" si="326"/>
        <v>8</v>
      </c>
      <c r="L372" s="365" t="str">
        <f t="shared" si="327"/>
        <v/>
      </c>
      <c r="P372" s="167"/>
    </row>
    <row r="373" spans="1:16" s="166" customFormat="1" hidden="1" x14ac:dyDescent="0.45">
      <c r="A373" s="176">
        <f t="shared" si="328"/>
        <v>0</v>
      </c>
      <c r="B373" s="177"/>
      <c r="C373" s="177"/>
      <c r="D373" s="369" t="s">
        <v>1245</v>
      </c>
      <c r="E373" s="370" t="str">
        <f t="shared" si="320"/>
        <v>-</v>
      </c>
      <c r="F373" s="371" t="str">
        <f t="shared" si="321"/>
        <v>-</v>
      </c>
      <c r="G373" s="371" t="str">
        <f t="shared" si="322"/>
        <v/>
      </c>
      <c r="H373" s="371" t="str">
        <f t="shared" si="323"/>
        <v/>
      </c>
      <c r="I373" s="363" t="str">
        <f t="shared" si="324"/>
        <v>-</v>
      </c>
      <c r="J373" s="363" t="str">
        <f t="shared" si="325"/>
        <v>-</v>
      </c>
      <c r="K373" s="364">
        <f t="shared" si="326"/>
        <v>0</v>
      </c>
      <c r="L373" s="365" t="str">
        <f t="shared" si="327"/>
        <v/>
      </c>
      <c r="P373" s="167"/>
    </row>
    <row r="374" spans="1:16" s="166" customFormat="1" hidden="1" x14ac:dyDescent="0.45">
      <c r="A374" s="176">
        <f t="shared" si="328"/>
        <v>0</v>
      </c>
      <c r="B374" s="177"/>
      <c r="C374" s="177"/>
      <c r="D374" s="369" t="s">
        <v>711</v>
      </c>
      <c r="E374" s="370" t="str">
        <f t="shared" si="320"/>
        <v>SUBOFICIAL HENRIQUEZ JARAMILLO FIDEL</v>
      </c>
      <c r="F374" s="371" t="str">
        <f t="shared" si="321"/>
        <v xml:space="preserve"> B-684</v>
      </c>
      <c r="G374" s="371" t="str">
        <f t="shared" si="322"/>
        <v>1P</v>
      </c>
      <c r="H374" s="371" t="str">
        <f t="shared" si="323"/>
        <v>ARIETE 23</v>
      </c>
      <c r="I374" s="363">
        <f t="shared" si="324"/>
        <v>0.33333333333333331</v>
      </c>
      <c r="J374" s="363" t="str">
        <f t="shared" si="325"/>
        <v>NORM.</v>
      </c>
      <c r="K374" s="364">
        <f t="shared" si="326"/>
        <v>7</v>
      </c>
      <c r="L374" s="365" t="str">
        <f t="shared" si="327"/>
        <v/>
      </c>
      <c r="P374" s="167"/>
    </row>
    <row r="375" spans="1:16" s="166" customFormat="1" hidden="1" x14ac:dyDescent="0.45">
      <c r="A375" s="176">
        <f t="shared" si="328"/>
        <v>0</v>
      </c>
      <c r="B375" s="177"/>
      <c r="C375" s="177"/>
      <c r="D375" s="369" t="s">
        <v>1246</v>
      </c>
      <c r="E375" s="370" t="str">
        <f t="shared" si="320"/>
        <v>-</v>
      </c>
      <c r="F375" s="371" t="str">
        <f t="shared" si="321"/>
        <v>-</v>
      </c>
      <c r="G375" s="371" t="str">
        <f t="shared" si="322"/>
        <v/>
      </c>
      <c r="H375" s="371" t="str">
        <f t="shared" si="323"/>
        <v/>
      </c>
      <c r="I375" s="363" t="str">
        <f t="shared" si="324"/>
        <v>-</v>
      </c>
      <c r="J375" s="363" t="str">
        <f t="shared" si="325"/>
        <v>-</v>
      </c>
      <c r="K375" s="364">
        <f t="shared" si="326"/>
        <v>0</v>
      </c>
      <c r="L375" s="365" t="str">
        <f t="shared" si="327"/>
        <v/>
      </c>
      <c r="P375" s="167"/>
    </row>
    <row r="376" spans="1:16" s="166" customFormat="1" hidden="1" x14ac:dyDescent="0.45">
      <c r="A376" s="176">
        <f t="shared" si="328"/>
        <v>0</v>
      </c>
      <c r="B376" s="177"/>
      <c r="C376" s="177"/>
      <c r="D376" s="369" t="s">
        <v>700</v>
      </c>
      <c r="E376" s="370" t="str">
        <f t="shared" si="320"/>
        <v xml:space="preserve">SUBOFICIAL VILLAGRA AREVALO SERGIO HUMBERTO      ( P )  </v>
      </c>
      <c r="F376" s="371" t="str">
        <f t="shared" si="321"/>
        <v>AB-365</v>
      </c>
      <c r="G376" s="371" t="str">
        <f t="shared" si="322"/>
        <v>1T</v>
      </c>
      <c r="H376" s="371" t="str">
        <f t="shared" si="323"/>
        <v>MONEDA</v>
      </c>
      <c r="I376" s="363">
        <f t="shared" si="324"/>
        <v>0.29166666666666669</v>
      </c>
      <c r="J376" s="363">
        <f t="shared" si="325"/>
        <v>0.58333333333333337</v>
      </c>
      <c r="K376" s="364">
        <f t="shared" si="326"/>
        <v>9</v>
      </c>
      <c r="L376" s="365" t="str">
        <f t="shared" si="327"/>
        <v/>
      </c>
      <c r="P376" s="167"/>
    </row>
    <row r="377" spans="1:16" s="166" customFormat="1" hidden="1" x14ac:dyDescent="0.45">
      <c r="A377" s="176">
        <f t="shared" si="328"/>
        <v>0</v>
      </c>
      <c r="B377" s="177"/>
      <c r="C377" s="177"/>
      <c r="D377" s="369" t="s">
        <v>1247</v>
      </c>
      <c r="E377" s="370" t="str">
        <f t="shared" si="320"/>
        <v>-</v>
      </c>
      <c r="F377" s="371" t="str">
        <f t="shared" si="321"/>
        <v>-</v>
      </c>
      <c r="G377" s="371" t="str">
        <f t="shared" si="322"/>
        <v/>
      </c>
      <c r="H377" s="371" t="str">
        <f t="shared" si="323"/>
        <v/>
      </c>
      <c r="I377" s="363" t="str">
        <f t="shared" si="324"/>
        <v>-</v>
      </c>
      <c r="J377" s="363" t="str">
        <f t="shared" si="325"/>
        <v>-</v>
      </c>
      <c r="K377" s="364">
        <f t="shared" si="326"/>
        <v>0</v>
      </c>
      <c r="L377" s="365" t="str">
        <f t="shared" si="327"/>
        <v/>
      </c>
      <c r="P377" s="167"/>
    </row>
    <row r="378" spans="1:16" s="166" customFormat="1" hidden="1" x14ac:dyDescent="0.45">
      <c r="A378" s="176">
        <f t="shared" si="328"/>
        <v>0</v>
      </c>
      <c r="B378" s="177"/>
      <c r="C378" s="177"/>
      <c r="D378" s="369" t="s">
        <v>716</v>
      </c>
      <c r="E378" s="370" t="str">
        <f t="shared" si="320"/>
        <v>SGTO 1RO. CIFUENTES NAVARRETE VICTOR</v>
      </c>
      <c r="F378" s="371" t="str">
        <f t="shared" si="321"/>
        <v>AB-365</v>
      </c>
      <c r="G378" s="371" t="str">
        <f t="shared" si="322"/>
        <v>1T</v>
      </c>
      <c r="H378" s="371" t="str">
        <f t="shared" si="323"/>
        <v>CONSTITUCION</v>
      </c>
      <c r="I378" s="363">
        <f t="shared" si="324"/>
        <v>0.29166666666666669</v>
      </c>
      <c r="J378" s="363">
        <f t="shared" si="325"/>
        <v>0.58333333333333337</v>
      </c>
      <c r="K378" s="364">
        <f t="shared" si="326"/>
        <v>8</v>
      </c>
      <c r="L378" s="365" t="str">
        <f t="shared" si="327"/>
        <v/>
      </c>
      <c r="P378" s="167"/>
    </row>
    <row r="379" spans="1:16" s="166" customFormat="1" hidden="1" x14ac:dyDescent="0.45">
      <c r="A379" s="176">
        <f t="shared" si="328"/>
        <v>0</v>
      </c>
      <c r="B379" s="177"/>
      <c r="C379" s="177"/>
      <c r="D379" s="369" t="s">
        <v>1248</v>
      </c>
      <c r="E379" s="370" t="str">
        <f t="shared" si="320"/>
        <v>-</v>
      </c>
      <c r="F379" s="371" t="str">
        <f t="shared" si="321"/>
        <v>-</v>
      </c>
      <c r="G379" s="371" t="str">
        <f t="shared" si="322"/>
        <v/>
      </c>
      <c r="H379" s="371" t="str">
        <f t="shared" si="323"/>
        <v/>
      </c>
      <c r="I379" s="363" t="str">
        <f t="shared" si="324"/>
        <v>-</v>
      </c>
      <c r="J379" s="363" t="str">
        <f t="shared" si="325"/>
        <v>-</v>
      </c>
      <c r="K379" s="364">
        <f t="shared" si="326"/>
        <v>0</v>
      </c>
      <c r="L379" s="365" t="str">
        <f t="shared" si="327"/>
        <v xml:space="preserve"> </v>
      </c>
      <c r="P379" s="167"/>
    </row>
    <row r="380" spans="1:16" s="166" customFormat="1" hidden="1" x14ac:dyDescent="0.45">
      <c r="A380" s="176">
        <f t="shared" si="328"/>
        <v>0</v>
      </c>
      <c r="B380" s="177"/>
      <c r="C380" s="177"/>
      <c r="D380" s="369" t="s">
        <v>752</v>
      </c>
      <c r="E380" s="370" t="str">
        <f t="shared" si="320"/>
        <v>SUBOFICIAL ARAVENA ARAYA GEORGE ALEXIS</v>
      </c>
      <c r="F380" s="371" t="str">
        <f t="shared" si="321"/>
        <v>B-685</v>
      </c>
      <c r="G380" s="371" t="str">
        <f t="shared" si="322"/>
        <v>1T</v>
      </c>
      <c r="H380" s="371" t="str">
        <f t="shared" si="323"/>
        <v>CIUDADANIA</v>
      </c>
      <c r="I380" s="363">
        <f t="shared" si="324"/>
        <v>0.29166666666666669</v>
      </c>
      <c r="J380" s="363">
        <f t="shared" si="325"/>
        <v>0.58333333333333337</v>
      </c>
      <c r="K380" s="364">
        <f t="shared" si="326"/>
        <v>7</v>
      </c>
      <c r="L380" s="365" t="str">
        <f t="shared" si="327"/>
        <v/>
      </c>
      <c r="P380" s="167"/>
    </row>
    <row r="381" spans="1:16" s="166" customFormat="1" hidden="1" x14ac:dyDescent="0.45">
      <c r="A381" s="176">
        <f t="shared" si="328"/>
        <v>0</v>
      </c>
      <c r="B381" s="177"/>
      <c r="C381" s="177"/>
      <c r="D381" s="369" t="s">
        <v>1249</v>
      </c>
      <c r="E381" s="370" t="str">
        <f t="shared" si="320"/>
        <v>-</v>
      </c>
      <c r="F381" s="371" t="str">
        <f t="shared" si="321"/>
        <v>-</v>
      </c>
      <c r="G381" s="371" t="str">
        <f t="shared" si="322"/>
        <v/>
      </c>
      <c r="H381" s="371" t="str">
        <f t="shared" si="323"/>
        <v/>
      </c>
      <c r="I381" s="363" t="str">
        <f t="shared" si="324"/>
        <v>-</v>
      </c>
      <c r="J381" s="363" t="str">
        <f t="shared" si="325"/>
        <v>-</v>
      </c>
      <c r="K381" s="364">
        <f t="shared" si="326"/>
        <v>0</v>
      </c>
      <c r="L381" s="365" t="str">
        <f t="shared" si="327"/>
        <v/>
      </c>
      <c r="P381" s="167"/>
    </row>
    <row r="382" spans="1:16" s="166" customFormat="1" hidden="1" x14ac:dyDescent="0.45">
      <c r="A382" s="176">
        <f t="shared" si="328"/>
        <v>0</v>
      </c>
      <c r="B382" s="177"/>
      <c r="C382" s="177"/>
      <c r="D382" s="369" t="s">
        <v>731</v>
      </c>
      <c r="E382" s="370" t="str">
        <f t="shared" si="320"/>
        <v>SGTO 1RO. FERNANDEZ CASTILLO LEONARDO ENRIQUE</v>
      </c>
      <c r="F382" s="371" t="str">
        <f t="shared" si="321"/>
        <v>-</v>
      </c>
      <c r="G382" s="371" t="str">
        <f t="shared" si="322"/>
        <v>F</v>
      </c>
      <c r="H382" s="371" t="str">
        <f t="shared" si="323"/>
        <v>FRANCO</v>
      </c>
      <c r="I382" s="363" t="str">
        <f t="shared" si="324"/>
        <v xml:space="preserve"> </v>
      </c>
      <c r="J382" s="363" t="str">
        <f t="shared" si="325"/>
        <v xml:space="preserve"> </v>
      </c>
      <c r="K382" s="364">
        <f t="shared" si="326"/>
        <v>9</v>
      </c>
      <c r="L382" s="365" t="str">
        <f t="shared" si="327"/>
        <v/>
      </c>
      <c r="P382" s="167"/>
    </row>
    <row r="383" spans="1:16" s="166" customFormat="1" hidden="1" x14ac:dyDescent="0.45">
      <c r="A383" s="176">
        <f t="shared" si="328"/>
        <v>0</v>
      </c>
      <c r="B383" s="177"/>
      <c r="C383" s="177"/>
      <c r="D383" s="369" t="s">
        <v>1250</v>
      </c>
      <c r="E383" s="370" t="str">
        <f t="shared" si="320"/>
        <v>-</v>
      </c>
      <c r="F383" s="371" t="str">
        <f t="shared" si="321"/>
        <v>-</v>
      </c>
      <c r="G383" s="371" t="str">
        <f t="shared" si="322"/>
        <v/>
      </c>
      <c r="H383" s="371" t="str">
        <f t="shared" si="323"/>
        <v/>
      </c>
      <c r="I383" s="363" t="str">
        <f t="shared" si="324"/>
        <v>-</v>
      </c>
      <c r="J383" s="363" t="str">
        <f t="shared" si="325"/>
        <v>-</v>
      </c>
      <c r="K383" s="364">
        <f t="shared" si="326"/>
        <v>0</v>
      </c>
      <c r="L383" s="365" t="str">
        <f t="shared" si="327"/>
        <v/>
      </c>
      <c r="P383" s="167"/>
    </row>
    <row r="384" spans="1:16" s="166" customFormat="1" hidden="1" x14ac:dyDescent="0.45">
      <c r="A384" s="176">
        <v>0</v>
      </c>
      <c r="B384" s="177"/>
      <c r="C384" s="177"/>
      <c r="D384" s="369" t="s">
        <v>717</v>
      </c>
      <c r="E384" s="370" t="str">
        <f t="shared" si="320"/>
        <v>SUBOFICIAL BAHAMONDE SEPULVEDA LUIS GONZALO        (L - P-T)</v>
      </c>
      <c r="F384" s="371" t="str">
        <f t="shared" si="321"/>
        <v>-</v>
      </c>
      <c r="G384" s="371" t="str">
        <f t="shared" si="322"/>
        <v>F</v>
      </c>
      <c r="H384" s="371" t="str">
        <f t="shared" si="323"/>
        <v>FRANCO</v>
      </c>
      <c r="I384" s="363" t="str">
        <f t="shared" si="324"/>
        <v xml:space="preserve"> </v>
      </c>
      <c r="J384" s="363" t="str">
        <f t="shared" si="325"/>
        <v xml:space="preserve"> </v>
      </c>
      <c r="K384" s="364">
        <f t="shared" si="326"/>
        <v>7</v>
      </c>
      <c r="L384" s="365" t="str">
        <f t="shared" si="327"/>
        <v/>
      </c>
      <c r="P384" s="167"/>
    </row>
    <row r="385" spans="1:16" s="166" customFormat="1" hidden="1" x14ac:dyDescent="0.45">
      <c r="A385" s="176">
        <v>0</v>
      </c>
      <c r="B385" s="177"/>
      <c r="C385" s="177"/>
      <c r="D385" s="369" t="s">
        <v>1251</v>
      </c>
      <c r="E385" s="370" t="str">
        <f t="shared" si="320"/>
        <v>-</v>
      </c>
      <c r="F385" s="371" t="str">
        <f t="shared" si="321"/>
        <v>-</v>
      </c>
      <c r="G385" s="371" t="str">
        <f t="shared" si="322"/>
        <v/>
      </c>
      <c r="H385" s="371" t="str">
        <f t="shared" si="323"/>
        <v/>
      </c>
      <c r="I385" s="363" t="str">
        <f t="shared" si="324"/>
        <v>-</v>
      </c>
      <c r="J385" s="363" t="str">
        <f t="shared" si="325"/>
        <v>-</v>
      </c>
      <c r="K385" s="364">
        <f t="shared" si="326"/>
        <v>0</v>
      </c>
      <c r="L385" s="365" t="str">
        <f t="shared" si="327"/>
        <v/>
      </c>
      <c r="P385" s="167"/>
    </row>
    <row r="386" spans="1:16" s="166" customFormat="1" hidden="1" x14ac:dyDescent="0.45">
      <c r="A386" s="176">
        <v>0</v>
      </c>
      <c r="B386" s="177"/>
      <c r="C386" s="177"/>
      <c r="D386" s="369" t="s">
        <v>703</v>
      </c>
      <c r="E386" s="370" t="str">
        <f t="shared" si="320"/>
        <v>SUBOFICIAL BARROS SOLAR FELIX                                (L -T -S)</v>
      </c>
      <c r="F386" s="371" t="str">
        <f t="shared" si="321"/>
        <v>-</v>
      </c>
      <c r="G386" s="371" t="str">
        <f t="shared" si="322"/>
        <v>F</v>
      </c>
      <c r="H386" s="371" t="str">
        <f t="shared" si="323"/>
        <v>FRANCO</v>
      </c>
      <c r="I386" s="363" t="str">
        <f t="shared" si="324"/>
        <v xml:space="preserve"> </v>
      </c>
      <c r="J386" s="363" t="str">
        <f t="shared" si="325"/>
        <v xml:space="preserve"> </v>
      </c>
      <c r="K386" s="364">
        <f t="shared" si="326"/>
        <v>9</v>
      </c>
      <c r="L386" s="365" t="str">
        <f t="shared" si="327"/>
        <v/>
      </c>
      <c r="P386" s="167"/>
    </row>
    <row r="387" spans="1:16" s="166" customFormat="1" hidden="1" x14ac:dyDescent="0.45">
      <c r="A387" s="176">
        <f t="shared" si="328"/>
        <v>0</v>
      </c>
      <c r="B387" s="177"/>
      <c r="C387" s="177"/>
      <c r="D387" s="369"/>
      <c r="E387" s="370"/>
      <c r="F387" s="371"/>
      <c r="G387" s="371"/>
      <c r="H387" s="371"/>
      <c r="I387" s="363"/>
      <c r="J387" s="363"/>
      <c r="K387" s="364"/>
      <c r="L387" s="365" t="str">
        <f t="shared" si="327"/>
        <v/>
      </c>
      <c r="P387" s="167"/>
    </row>
    <row r="388" spans="1:16" s="166" customFormat="1" hidden="1" x14ac:dyDescent="0.45">
      <c r="A388" s="176">
        <f t="shared" si="328"/>
        <v>0</v>
      </c>
      <c r="B388" s="177"/>
      <c r="C388" s="177"/>
      <c r="D388" s="369" t="s">
        <v>1253</v>
      </c>
      <c r="E388" s="370" t="str">
        <f t="shared" si="320"/>
        <v>-</v>
      </c>
      <c r="F388" s="371" t="str">
        <f t="shared" si="321"/>
        <v>-</v>
      </c>
      <c r="G388" s="371" t="str">
        <f t="shared" si="322"/>
        <v/>
      </c>
      <c r="H388" s="371" t="str">
        <f t="shared" si="323"/>
        <v/>
      </c>
      <c r="I388" s="363" t="str">
        <f t="shared" si="324"/>
        <v>-</v>
      </c>
      <c r="J388" s="363" t="str">
        <f t="shared" si="325"/>
        <v>-</v>
      </c>
      <c r="K388" s="364">
        <f t="shared" si="326"/>
        <v>0</v>
      </c>
      <c r="L388" s="365" t="str">
        <f t="shared" si="327"/>
        <v/>
      </c>
      <c r="P388" s="167"/>
    </row>
    <row r="389" spans="1:16" s="166" customFormat="1" hidden="1" x14ac:dyDescent="0.45">
      <c r="A389" s="176">
        <f t="shared" si="328"/>
        <v>0</v>
      </c>
      <c r="B389" s="177"/>
      <c r="C389" s="177"/>
      <c r="D389" s="369" t="s">
        <v>757</v>
      </c>
      <c r="E389" s="370" t="str">
        <f t="shared" si="320"/>
        <v>SGTO 1RO. PORTILLA ARAYA LEONARDO MANUEL</v>
      </c>
      <c r="F389" s="371" t="str">
        <f t="shared" si="321"/>
        <v>-</v>
      </c>
      <c r="G389" s="371" t="str">
        <f t="shared" si="322"/>
        <v>F</v>
      </c>
      <c r="H389" s="371" t="str">
        <f t="shared" si="323"/>
        <v>FRANCO</v>
      </c>
      <c r="I389" s="363" t="str">
        <f t="shared" si="324"/>
        <v xml:space="preserve"> </v>
      </c>
      <c r="J389" s="363" t="str">
        <f t="shared" si="325"/>
        <v xml:space="preserve"> </v>
      </c>
      <c r="K389" s="364">
        <f t="shared" si="326"/>
        <v>10</v>
      </c>
      <c r="L389" s="365" t="str">
        <f t="shared" si="327"/>
        <v xml:space="preserve"> </v>
      </c>
      <c r="P389" s="167"/>
    </row>
    <row r="390" spans="1:16" s="166" customFormat="1" hidden="1" x14ac:dyDescent="0.45">
      <c r="A390" s="176">
        <f t="shared" si="328"/>
        <v>0</v>
      </c>
      <c r="B390" s="177"/>
      <c r="C390" s="177"/>
      <c r="D390" s="369" t="s">
        <v>1254</v>
      </c>
      <c r="E390" s="370" t="str">
        <f t="shared" si="320"/>
        <v>-</v>
      </c>
      <c r="F390" s="371" t="str">
        <f t="shared" si="321"/>
        <v>-</v>
      </c>
      <c r="G390" s="371" t="str">
        <f t="shared" si="322"/>
        <v/>
      </c>
      <c r="H390" s="371" t="str">
        <f t="shared" si="323"/>
        <v/>
      </c>
      <c r="I390" s="363" t="str">
        <f t="shared" si="324"/>
        <v>-</v>
      </c>
      <c r="J390" s="363" t="str">
        <f t="shared" si="325"/>
        <v>-</v>
      </c>
      <c r="K390" s="364">
        <f t="shared" si="326"/>
        <v>0</v>
      </c>
      <c r="L390" s="365" t="str">
        <f t="shared" si="327"/>
        <v/>
      </c>
      <c r="P390" s="167"/>
    </row>
    <row r="391" spans="1:16" s="166" customFormat="1" hidden="1" x14ac:dyDescent="0.45">
      <c r="A391" s="176">
        <v>0</v>
      </c>
      <c r="B391" s="177"/>
      <c r="C391" s="177"/>
      <c r="D391" s="369" t="s">
        <v>772</v>
      </c>
      <c r="E391" s="370" t="str">
        <f t="shared" si="320"/>
        <v>-</v>
      </c>
      <c r="F391" s="371" t="str">
        <f t="shared" si="321"/>
        <v>-</v>
      </c>
      <c r="G391" s="371" t="str">
        <f t="shared" si="322"/>
        <v/>
      </c>
      <c r="H391" s="371" t="str">
        <f t="shared" si="323"/>
        <v/>
      </c>
      <c r="I391" s="363" t="str">
        <f t="shared" si="324"/>
        <v>-</v>
      </c>
      <c r="J391" s="363" t="str">
        <f t="shared" si="325"/>
        <v>-</v>
      </c>
      <c r="K391" s="364">
        <f t="shared" si="326"/>
        <v>0</v>
      </c>
      <c r="L391" s="365" t="str">
        <f t="shared" si="327"/>
        <v/>
      </c>
      <c r="P391" s="167"/>
    </row>
    <row r="392" spans="1:16" s="166" customFormat="1" hidden="1" x14ac:dyDescent="0.45">
      <c r="A392" s="176">
        <v>0</v>
      </c>
      <c r="B392" s="177"/>
      <c r="C392" s="177"/>
      <c r="D392" s="369" t="s">
        <v>856</v>
      </c>
      <c r="E392" s="370" t="str">
        <f>IFERROR(IF(VLOOKUP(D392,TURNOS_SERVICIOS,2,FALSE)=0,"NO DESIGNADO",VLOOKUP(D392,TURNOS_SERVICIOS,2,FALSE)),"NO DESIGNADO")</f>
        <v>-</v>
      </c>
      <c r="F392" s="371" t="str">
        <f>IFERROR(IF(VLOOKUP(D392,TURNOS_SERVICIOS,3,FALSE)=0,"-",VLOOKUP(D392,TURNOS_SERVICIOS,3,FALSE)),"-")</f>
        <v>-</v>
      </c>
      <c r="G392" s="371" t="str">
        <f>IFERROR(IF(VLOOKUP(D392,TURNOS_SERVICIOS,4,FALSE)=0,"SIN TURNO",VLOOKUP(D392,TURNOS_SERVICIOS,4,FALSE)),0)</f>
        <v/>
      </c>
      <c r="H392" s="371" t="str">
        <f>IFERROR(IF(VLOOKUP(D392,TURNOS_SERVICIOS,5,FALSE)=0,"SIN SERVICIO",VLOOKUP(D392,TURNOS_SERVICIOS,5,FALSE)),0)</f>
        <v/>
      </c>
      <c r="I392" s="363" t="str">
        <f>IFERROR(IF(VLOOKUP(D392,TURNOS_SERVICIOS,6,FALSE)=0,"-",VLOOKUP(D392,TURNOS_SERVICIOS,6,FALSE)),0)</f>
        <v>-</v>
      </c>
      <c r="J392" s="363" t="str">
        <f>IFERROR(IF(VLOOKUP(D392,TURNOS_SERVICIOS,7,FALSE)=0,"-",VLOOKUP(D392,TURNOS_SERVICIOS,7,FALSE)),0)</f>
        <v>-</v>
      </c>
      <c r="K392" s="364">
        <f>IFERROR(VLOOKUP(D392,TURNOS_SERVICIOS,8,FALSE),0)</f>
        <v>0</v>
      </c>
      <c r="L392" s="365" t="str">
        <f>IFERROR(IF(VLOOKUP(D392,TURNOS_SERVICIOS,9,FALSE)=0,"",VLOOKUP(D392,TURNOS_SERVICIOS,9,FALSE)),"")</f>
        <v/>
      </c>
      <c r="P392" s="167"/>
    </row>
    <row r="393" spans="1:16" s="166" customFormat="1" hidden="1" x14ac:dyDescent="0.45">
      <c r="A393" s="176">
        <v>0</v>
      </c>
      <c r="B393" s="177"/>
      <c r="C393" s="177"/>
      <c r="D393" s="369" t="s">
        <v>1675</v>
      </c>
      <c r="E393" s="370" t="str">
        <f>IFERROR(IF(VLOOKUP(D393,TURNOS_SERVICIOS,2,FALSE)=0,"NO DESIGNADO",VLOOKUP(D393,TURNOS_SERVICIOS,2,FALSE)),"NO DESIGNADO")</f>
        <v>-</v>
      </c>
      <c r="F393" s="371" t="str">
        <f>IFERROR(IF(VLOOKUP(D393,TURNOS_SERVICIOS,3,FALSE)=0,"-",VLOOKUP(D393,TURNOS_SERVICIOS,3,FALSE)),"-")</f>
        <v>-</v>
      </c>
      <c r="G393" s="371" t="str">
        <f>IFERROR(IF(VLOOKUP(D393,TURNOS_SERVICIOS,4,FALSE)=0,"SIN TURNO",VLOOKUP(D393,TURNOS_SERVICIOS,4,FALSE)),0)</f>
        <v/>
      </c>
      <c r="H393" s="371" t="str">
        <f>IFERROR(IF(VLOOKUP(D393,TURNOS_SERVICIOS,5,FALSE)=0,"SIN SERVICIO",VLOOKUP(D393,TURNOS_SERVICIOS,5,FALSE)),0)</f>
        <v/>
      </c>
      <c r="I393" s="363" t="str">
        <f>IFERROR(IF(VLOOKUP(D393,TURNOS_SERVICIOS,6,FALSE)=0,"-",VLOOKUP(D393,TURNOS_SERVICIOS,6,FALSE)),0)</f>
        <v>-</v>
      </c>
      <c r="J393" s="363" t="str">
        <f>IFERROR(IF(VLOOKUP(D393,TURNOS_SERVICIOS,7,FALSE)=0,"-",VLOOKUP(D393,TURNOS_SERVICIOS,7,FALSE)),0)</f>
        <v>-</v>
      </c>
      <c r="K393" s="364">
        <f>IFERROR(VLOOKUP(D393,TURNOS_SERVICIOS,8,FALSE),0)</f>
        <v>0</v>
      </c>
      <c r="L393" s="365" t="str">
        <f>IFERROR(IF(VLOOKUP(D393,TURNOS_SERVICIOS,9,FALSE)=0,"",VLOOKUP(D393,TURNOS_SERVICIOS,9,FALSE)),"")</f>
        <v/>
      </c>
      <c r="P393" s="167"/>
    </row>
    <row r="394" spans="1:16" s="166" customFormat="1" hidden="1" x14ac:dyDescent="0.45">
      <c r="A394" s="176">
        <f t="shared" si="328"/>
        <v>0</v>
      </c>
      <c r="B394" s="177"/>
      <c r="C394" s="177"/>
      <c r="D394" s="369" t="s">
        <v>67</v>
      </c>
      <c r="E394" s="370" t="str">
        <f t="shared" si="320"/>
        <v>-</v>
      </c>
      <c r="F394" s="371" t="str">
        <f t="shared" si="321"/>
        <v>-</v>
      </c>
      <c r="G394" s="371" t="str">
        <f t="shared" si="322"/>
        <v/>
      </c>
      <c r="H394" s="371" t="str">
        <f t="shared" si="323"/>
        <v/>
      </c>
      <c r="I394" s="363" t="str">
        <f t="shared" si="324"/>
        <v>-</v>
      </c>
      <c r="J394" s="363" t="str">
        <f t="shared" si="325"/>
        <v>-</v>
      </c>
      <c r="K394" s="364">
        <f t="shared" si="326"/>
        <v>0</v>
      </c>
      <c r="L394" s="365" t="str">
        <f t="shared" si="327"/>
        <v/>
      </c>
      <c r="P394" s="167"/>
    </row>
    <row r="395" spans="1:16" s="166" customFormat="1" x14ac:dyDescent="0.45">
      <c r="A395" s="176">
        <v>22</v>
      </c>
      <c r="B395" s="177"/>
      <c r="C395" s="177"/>
      <c r="D395" s="369" t="s">
        <v>1676</v>
      </c>
      <c r="E395" s="370" t="str">
        <f t="shared" ref="E395:E402" si="329">IFERROR(IF(VLOOKUP(D395,TURNOS_SERVICIOS,2,FALSE)=0,"NO DESIGNADO",VLOOKUP(D395,TURNOS_SERVICIOS,2,FALSE)),"NO DESIGNADO")</f>
        <v>SGTO 2DO. NUÑEZ NAHUELHUAL FRANCISCO JAVIER</v>
      </c>
      <c r="F395" s="371" t="str">
        <f t="shared" si="321"/>
        <v>J-020</v>
      </c>
      <c r="G395" s="371" t="str">
        <f t="shared" si="322"/>
        <v>2T</v>
      </c>
      <c r="H395" s="371" t="str">
        <f t="shared" ref="H395:H402" si="330">IFERROR(IF(VLOOKUP(D395,TURNOS_SERVICIOS,5,FALSE)=0,"SIN SERVICIO",VLOOKUP(D395,TURNOS_SERVICIOS,5,FALSE)),0)</f>
        <v>PLAN 2 HOMICIDIOS</v>
      </c>
      <c r="I395" s="363">
        <f t="shared" si="324"/>
        <v>0.70833333333333337</v>
      </c>
      <c r="J395" s="363" t="str">
        <f t="shared" si="325"/>
        <v>NORM.</v>
      </c>
      <c r="K395" s="364">
        <f t="shared" si="326"/>
        <v>12</v>
      </c>
      <c r="L395" s="365" t="str">
        <f t="shared" si="327"/>
        <v>MACUL 4</v>
      </c>
      <c r="P395" s="167"/>
    </row>
    <row r="396" spans="1:16" s="166" customFormat="1" x14ac:dyDescent="0.45">
      <c r="A396" s="176">
        <v>22</v>
      </c>
      <c r="B396" s="177"/>
      <c r="C396" s="177"/>
      <c r="D396" s="369" t="s">
        <v>2561</v>
      </c>
      <c r="E396" s="370" t="str">
        <f t="shared" si="329"/>
        <v>SGTO 1RO. PALMA LUNA MARCO ANTONIO</v>
      </c>
      <c r="F396" s="371" t="str">
        <f t="shared" si="321"/>
        <v>B-512</v>
      </c>
      <c r="G396" s="371" t="str">
        <f t="shared" si="322"/>
        <v>2T</v>
      </c>
      <c r="H396" s="371" t="str">
        <f t="shared" si="330"/>
        <v>PLAN 2 HOMICIDIOS</v>
      </c>
      <c r="I396" s="363">
        <f t="shared" si="324"/>
        <v>0.70833333333333337</v>
      </c>
      <c r="J396" s="363" t="str">
        <f t="shared" si="325"/>
        <v>NORM.</v>
      </c>
      <c r="K396" s="364">
        <f t="shared" si="326"/>
        <v>12</v>
      </c>
      <c r="L396" s="365" t="str">
        <f t="shared" si="327"/>
        <v>MACUL 5</v>
      </c>
      <c r="P396" s="167"/>
    </row>
    <row r="397" spans="1:16" s="166" customFormat="1" x14ac:dyDescent="0.45">
      <c r="A397" s="176">
        <v>22</v>
      </c>
      <c r="B397" s="177"/>
      <c r="C397" s="177"/>
      <c r="D397" s="369" t="s">
        <v>2562</v>
      </c>
      <c r="E397" s="370" t="str">
        <f t="shared" si="329"/>
        <v>SGTO 2DO. BARROS PEREZ VICTOR HUGO                (T - L - S)</v>
      </c>
      <c r="F397" s="371" t="str">
        <f t="shared" si="321"/>
        <v>B-644</v>
      </c>
      <c r="G397" s="371" t="str">
        <f t="shared" si="322"/>
        <v>2T</v>
      </c>
      <c r="H397" s="371" t="str">
        <f t="shared" si="330"/>
        <v>PLAN 2 HOMICIDIOS</v>
      </c>
      <c r="I397" s="363">
        <f t="shared" si="324"/>
        <v>0.70833333333333337</v>
      </c>
      <c r="J397" s="363" t="str">
        <f t="shared" si="325"/>
        <v>NORM.</v>
      </c>
      <c r="K397" s="364">
        <f t="shared" si="326"/>
        <v>10</v>
      </c>
      <c r="L397" s="365" t="str">
        <f t="shared" si="327"/>
        <v>MACUL 6</v>
      </c>
      <c r="P397" s="167"/>
    </row>
    <row r="398" spans="1:16" s="166" customFormat="1" hidden="1" x14ac:dyDescent="0.45">
      <c r="A398" s="176">
        <v>0</v>
      </c>
      <c r="B398" s="177"/>
      <c r="C398" s="177"/>
      <c r="D398" s="369" t="s">
        <v>772</v>
      </c>
      <c r="E398" s="370" t="str">
        <f t="shared" si="329"/>
        <v>-</v>
      </c>
      <c r="F398" s="371" t="str">
        <f t="shared" ref="F398" si="331">IFERROR(IF(VLOOKUP(D398,TURNOS_SERVICIOS,3,FALSE)=0,"-",VLOOKUP(D398,TURNOS_SERVICIOS,3,FALSE)),"-")</f>
        <v>-</v>
      </c>
      <c r="G398" s="371" t="str">
        <f t="shared" ref="G398" si="332">IFERROR(IF(VLOOKUP(D398,TURNOS_SERVICIOS,4,FALSE)=0,"SIN TURNO",VLOOKUP(D398,TURNOS_SERVICIOS,4,FALSE)),0)</f>
        <v/>
      </c>
      <c r="H398" s="371" t="str">
        <f t="shared" si="330"/>
        <v/>
      </c>
      <c r="I398" s="363" t="str">
        <f t="shared" ref="I398" si="333">IFERROR(IF(VLOOKUP(D398,TURNOS_SERVICIOS,6,FALSE)=0,"-",VLOOKUP(D398,TURNOS_SERVICIOS,6,FALSE)),0)</f>
        <v>-</v>
      </c>
      <c r="J398" s="363" t="str">
        <f t="shared" ref="J398" si="334">IFERROR(IF(VLOOKUP(D398,TURNOS_SERVICIOS,7,FALSE)=0,"-",VLOOKUP(D398,TURNOS_SERVICIOS,7,FALSE)),0)</f>
        <v>-</v>
      </c>
      <c r="K398" s="364">
        <f t="shared" ref="K398" si="335">IFERROR(VLOOKUP(D398,TURNOS_SERVICIOS,8,FALSE),0)</f>
        <v>0</v>
      </c>
      <c r="L398" s="365" t="str">
        <f t="shared" ref="L398" si="336">IFERROR(IF(VLOOKUP(D398,TURNOS_SERVICIOS,9,FALSE)=0,"",VLOOKUP(D398,TURNOS_SERVICIOS,9,FALSE)),"")</f>
        <v/>
      </c>
      <c r="P398" s="167"/>
    </row>
    <row r="399" spans="1:16" s="166" customFormat="1" x14ac:dyDescent="0.45">
      <c r="A399" s="176">
        <v>22</v>
      </c>
      <c r="B399" s="177"/>
      <c r="C399" s="177"/>
      <c r="D399" s="369" t="s">
        <v>2563</v>
      </c>
      <c r="E399" s="370" t="str">
        <f t="shared" si="329"/>
        <v>-</v>
      </c>
      <c r="F399" s="371" t="str">
        <f t="shared" si="321"/>
        <v>-</v>
      </c>
      <c r="G399" s="371" t="str">
        <f t="shared" si="322"/>
        <v/>
      </c>
      <c r="H399" s="371" t="str">
        <f t="shared" si="330"/>
        <v/>
      </c>
      <c r="I399" s="363" t="str">
        <f t="shared" si="324"/>
        <v>-</v>
      </c>
      <c r="J399" s="363" t="str">
        <f t="shared" si="325"/>
        <v>-</v>
      </c>
      <c r="K399" s="364">
        <f t="shared" si="326"/>
        <v>0</v>
      </c>
      <c r="L399" s="365" t="str">
        <f t="shared" si="327"/>
        <v/>
      </c>
      <c r="P399" s="167"/>
    </row>
    <row r="400" spans="1:16" s="166" customFormat="1" x14ac:dyDescent="0.45">
      <c r="A400" s="176">
        <v>22</v>
      </c>
      <c r="B400" s="177"/>
      <c r="C400" s="177"/>
      <c r="D400" s="369" t="s">
        <v>2564</v>
      </c>
      <c r="E400" s="370" t="str">
        <f t="shared" si="329"/>
        <v>-</v>
      </c>
      <c r="F400" s="371" t="str">
        <f t="shared" si="321"/>
        <v>-</v>
      </c>
      <c r="G400" s="371" t="str">
        <f t="shared" si="322"/>
        <v/>
      </c>
      <c r="H400" s="371" t="str">
        <f t="shared" si="330"/>
        <v/>
      </c>
      <c r="I400" s="363" t="str">
        <f t="shared" si="324"/>
        <v>-</v>
      </c>
      <c r="J400" s="363" t="str">
        <f t="shared" si="325"/>
        <v>-</v>
      </c>
      <c r="K400" s="364">
        <f t="shared" si="326"/>
        <v>0</v>
      </c>
      <c r="L400" s="365" t="str">
        <f t="shared" si="327"/>
        <v/>
      </c>
      <c r="P400" s="167"/>
    </row>
    <row r="401" spans="1:17" s="166" customFormat="1" x14ac:dyDescent="0.45">
      <c r="A401" s="176">
        <v>22</v>
      </c>
      <c r="B401" s="177"/>
      <c r="C401" s="177"/>
      <c r="D401" s="369" t="s">
        <v>2565</v>
      </c>
      <c r="E401" s="370" t="str">
        <f>IFERROR(IF(VLOOKUP(D401,TURNOS_SERVICIOS,2,FALSE)=0,"NO DESIGNADO",VLOOKUP(D401,TURNOS_SERVICIOS,2,FALSE)),"NO DESIGNADO")</f>
        <v>-</v>
      </c>
      <c r="F401" s="371" t="str">
        <f t="shared" si="321"/>
        <v>-</v>
      </c>
      <c r="G401" s="371" t="str">
        <f t="shared" si="322"/>
        <v/>
      </c>
      <c r="H401" s="371" t="str">
        <f t="shared" si="330"/>
        <v/>
      </c>
      <c r="I401" s="363" t="str">
        <f t="shared" si="324"/>
        <v>-</v>
      </c>
      <c r="J401" s="363" t="str">
        <f t="shared" si="325"/>
        <v>-</v>
      </c>
      <c r="K401" s="364">
        <f t="shared" si="326"/>
        <v>0</v>
      </c>
      <c r="L401" s="365" t="str">
        <f t="shared" si="327"/>
        <v/>
      </c>
      <c r="P401" s="167"/>
    </row>
    <row r="402" spans="1:17" s="166" customFormat="1" x14ac:dyDescent="0.45">
      <c r="A402" s="176">
        <v>22</v>
      </c>
      <c r="B402" s="177"/>
      <c r="C402" s="177"/>
      <c r="D402" s="369" t="s">
        <v>2566</v>
      </c>
      <c r="E402" s="370" t="str">
        <f t="shared" si="329"/>
        <v>-</v>
      </c>
      <c r="F402" s="371" t="str">
        <f t="shared" si="321"/>
        <v>-</v>
      </c>
      <c r="G402" s="371" t="str">
        <f t="shared" si="322"/>
        <v/>
      </c>
      <c r="H402" s="371" t="str">
        <f t="shared" si="330"/>
        <v/>
      </c>
      <c r="I402" s="363" t="str">
        <f t="shared" si="324"/>
        <v>-</v>
      </c>
      <c r="J402" s="363" t="str">
        <f t="shared" si="325"/>
        <v>-</v>
      </c>
      <c r="K402" s="364">
        <f t="shared" si="326"/>
        <v>0</v>
      </c>
      <c r="L402" s="365" t="str">
        <f t="shared" si="327"/>
        <v/>
      </c>
      <c r="P402" s="167"/>
    </row>
    <row r="403" spans="1:17" s="166" customFormat="1" x14ac:dyDescent="0.45">
      <c r="A403" s="176">
        <f>IF(D403&lt;&gt;0,22,0)</f>
        <v>22</v>
      </c>
      <c r="B403" s="177"/>
      <c r="C403" s="177"/>
      <c r="D403" s="369" t="s">
        <v>66</v>
      </c>
      <c r="E403" s="370" t="str">
        <f t="shared" si="320"/>
        <v>SGTO 1RO. ZUÑIGA NARVAEZ GUSTAVO FERNANDO (L - P - T)</v>
      </c>
      <c r="F403" s="371" t="str">
        <f t="shared" si="321"/>
        <v xml:space="preserve"> </v>
      </c>
      <c r="G403" s="371" t="str">
        <f t="shared" si="322"/>
        <v>F</v>
      </c>
      <c r="H403" s="371" t="str">
        <f t="shared" si="323"/>
        <v>FRANCO</v>
      </c>
      <c r="I403" s="363" t="str">
        <f t="shared" si="324"/>
        <v xml:space="preserve"> </v>
      </c>
      <c r="J403" s="363" t="str">
        <f t="shared" si="325"/>
        <v xml:space="preserve"> </v>
      </c>
      <c r="K403" s="364">
        <f t="shared" si="326"/>
        <v>3</v>
      </c>
      <c r="L403" s="365" t="str">
        <f>IFERROR(IF(VLOOKUP(D403,TURNOS_SERVICIOS,9,FALSE)=0,"",VLOOKUP(D403,TURNOS_SERVICIOS,9,FALSE)),"")</f>
        <v/>
      </c>
      <c r="P403" s="167"/>
    </row>
    <row r="404" spans="1:17" s="166" customFormat="1" hidden="1" x14ac:dyDescent="0.45">
      <c r="A404" s="176"/>
      <c r="B404" s="177"/>
      <c r="C404" s="177"/>
      <c r="D404" s="369" t="s">
        <v>857</v>
      </c>
      <c r="E404" s="370" t="str">
        <f t="shared" ref="E404:E406" si="337">IFERROR(IF(VLOOKUP(D404,TURNOS_SERVICIOS,2,FALSE)=0,"NO DESIGNADO",VLOOKUP(D404,TURNOS_SERVICIOS,2,FALSE)),"NO DESIGNADO")</f>
        <v>-</v>
      </c>
      <c r="F404" s="371" t="str">
        <f t="shared" ref="F404:F406" si="338">IFERROR(IF(VLOOKUP(D404,TURNOS_SERVICIOS,3,FALSE)=0,"-",VLOOKUP(D404,TURNOS_SERVICIOS,3,FALSE)),"-")</f>
        <v>-</v>
      </c>
      <c r="G404" s="371" t="str">
        <f t="shared" ref="G404:G406" si="339">IFERROR(IF(VLOOKUP(D404,TURNOS_SERVICIOS,4,FALSE)=0,"SIN TURNO",VLOOKUP(D404,TURNOS_SERVICIOS,4,FALSE)),0)</f>
        <v/>
      </c>
      <c r="H404" s="371" t="str">
        <f t="shared" ref="H404:H406" si="340">IFERROR(IF(VLOOKUP(D404,TURNOS_SERVICIOS,5,FALSE)=0,"SIN SERVICIO",VLOOKUP(D404,TURNOS_SERVICIOS,5,FALSE)),0)</f>
        <v/>
      </c>
      <c r="I404" s="363" t="str">
        <f t="shared" ref="I404:I406" si="341">IFERROR(IF(VLOOKUP(D404,TURNOS_SERVICIOS,6,FALSE)=0,"-",VLOOKUP(D404,TURNOS_SERVICIOS,6,FALSE)),0)</f>
        <v>-</v>
      </c>
      <c r="J404" s="363" t="str">
        <f t="shared" ref="J404:J406" si="342">IFERROR(IF(VLOOKUP(D404,TURNOS_SERVICIOS,7,FALSE)=0,"-",VLOOKUP(D404,TURNOS_SERVICIOS,7,FALSE)),0)</f>
        <v>-</v>
      </c>
      <c r="K404" s="364">
        <f t="shared" ref="K404:K406" si="343">IFERROR(VLOOKUP(D404,TURNOS_SERVICIOS,8,FALSE),0)</f>
        <v>0</v>
      </c>
      <c r="L404" s="365" t="str">
        <f>IFERROR(IF(VLOOKUP(D404,TURNOS_SERVICIOS,9,FALSE)=0,"",VLOOKUP(D404,TURNOS_SERVICIOS,9,FALSE)),"")</f>
        <v/>
      </c>
      <c r="P404" s="167"/>
    </row>
    <row r="405" spans="1:17" s="166" customFormat="1" hidden="1" x14ac:dyDescent="0.45">
      <c r="A405" s="176">
        <v>0</v>
      </c>
      <c r="B405" s="177"/>
      <c r="C405" s="177"/>
      <c r="D405" s="369" t="s">
        <v>2567</v>
      </c>
      <c r="E405" s="370" t="str">
        <f t="shared" si="337"/>
        <v>-</v>
      </c>
      <c r="F405" s="371" t="str">
        <f t="shared" si="338"/>
        <v>-</v>
      </c>
      <c r="G405" s="371" t="str">
        <f t="shared" si="339"/>
        <v/>
      </c>
      <c r="H405" s="371" t="str">
        <f t="shared" si="340"/>
        <v/>
      </c>
      <c r="I405" s="363" t="str">
        <f t="shared" si="341"/>
        <v>-</v>
      </c>
      <c r="J405" s="363" t="str">
        <f t="shared" si="342"/>
        <v>-</v>
      </c>
      <c r="K405" s="364">
        <f t="shared" si="343"/>
        <v>0</v>
      </c>
      <c r="L405" s="365" t="str">
        <f t="shared" ref="L405:L406" si="344">IFERROR(IF(VLOOKUP(D405,TURNOS_SERVICIOS,9,FALSE)=0,"",VLOOKUP(D405,TURNOS_SERVICIOS,9,FALSE)),"")</f>
        <v/>
      </c>
      <c r="P405" s="167"/>
    </row>
    <row r="406" spans="1:17" s="166" customFormat="1" hidden="1" x14ac:dyDescent="0.45">
      <c r="A406" s="176">
        <v>0</v>
      </c>
      <c r="B406" s="177"/>
      <c r="C406" s="177"/>
      <c r="D406" s="369" t="s">
        <v>2568</v>
      </c>
      <c r="E406" s="370" t="str">
        <f t="shared" si="337"/>
        <v>-</v>
      </c>
      <c r="F406" s="371" t="str">
        <f t="shared" si="338"/>
        <v>-</v>
      </c>
      <c r="G406" s="371" t="str">
        <f t="shared" si="339"/>
        <v/>
      </c>
      <c r="H406" s="371" t="str">
        <f t="shared" si="340"/>
        <v/>
      </c>
      <c r="I406" s="363" t="str">
        <f t="shared" si="341"/>
        <v>-</v>
      </c>
      <c r="J406" s="363" t="str">
        <f t="shared" si="342"/>
        <v>-</v>
      </c>
      <c r="K406" s="364">
        <f t="shared" si="343"/>
        <v>0</v>
      </c>
      <c r="L406" s="365" t="str">
        <f t="shared" si="344"/>
        <v/>
      </c>
      <c r="P406" s="167"/>
    </row>
    <row r="407" spans="1:17" s="166" customFormat="1" x14ac:dyDescent="0.45">
      <c r="A407" s="176">
        <f>IF(D407&lt;&gt;0,22,0)</f>
        <v>22</v>
      </c>
      <c r="B407" s="177"/>
      <c r="C407" s="177"/>
      <c r="D407" s="369" t="s">
        <v>2569</v>
      </c>
      <c r="E407" s="370" t="str">
        <f t="shared" ref="E407" si="345">IFERROR(IF(VLOOKUP(D407,TURNOS_SERVICIOS,2,FALSE)=0,"NO DESIGNADO",VLOOKUP(D407,TURNOS_SERVICIOS,2,FALSE)),"NO DESIGNADO")</f>
        <v>-</v>
      </c>
      <c r="F407" s="371" t="str">
        <f t="shared" ref="F407" si="346">IFERROR(IF(VLOOKUP(D407,TURNOS_SERVICIOS,3,FALSE)=0,"-",VLOOKUP(D407,TURNOS_SERVICIOS,3,FALSE)),"-")</f>
        <v>-</v>
      </c>
      <c r="G407" s="371" t="str">
        <f t="shared" ref="G407" si="347">IFERROR(IF(VLOOKUP(D407,TURNOS_SERVICIOS,4,FALSE)=0,"SIN TURNO",VLOOKUP(D407,TURNOS_SERVICIOS,4,FALSE)),0)</f>
        <v/>
      </c>
      <c r="H407" s="371" t="str">
        <f t="shared" ref="H407" si="348">IFERROR(IF(VLOOKUP(D407,TURNOS_SERVICIOS,5,FALSE)=0,"SIN SERVICIO",VLOOKUP(D407,TURNOS_SERVICIOS,5,FALSE)),0)</f>
        <v/>
      </c>
      <c r="I407" s="363" t="str">
        <f t="shared" ref="I407" si="349">IFERROR(IF(VLOOKUP(D407,TURNOS_SERVICIOS,6,FALSE)=0,"-",VLOOKUP(D407,TURNOS_SERVICIOS,6,FALSE)),0)</f>
        <v>-</v>
      </c>
      <c r="J407" s="363" t="str">
        <f t="shared" ref="J407" si="350">IFERROR(IF(VLOOKUP(D407,TURNOS_SERVICIOS,7,FALSE)=0,"-",VLOOKUP(D407,TURNOS_SERVICIOS,7,FALSE)),0)</f>
        <v>-</v>
      </c>
      <c r="K407" s="364">
        <f t="shared" ref="K407" si="351">IFERROR(VLOOKUP(D407,TURNOS_SERVICIOS,8,FALSE),0)</f>
        <v>0</v>
      </c>
      <c r="L407" s="365" t="str">
        <f t="shared" ref="L407" si="352">IFERROR(IF(VLOOKUP(D407,TURNOS_SERVICIOS,9,FALSE)=0,"",VLOOKUP(D407,TURNOS_SERVICIOS,9,FALSE)),"")</f>
        <v/>
      </c>
      <c r="P407" s="167"/>
    </row>
    <row r="408" spans="1:17" s="166" customFormat="1" x14ac:dyDescent="0.45">
      <c r="A408" s="176">
        <f t="shared" ref="A408:A409" si="353">IF(D408&lt;&gt;0,22,0)</f>
        <v>22</v>
      </c>
      <c r="B408" s="177"/>
      <c r="C408" s="177"/>
      <c r="D408" s="369" t="s">
        <v>2570</v>
      </c>
      <c r="E408" s="370"/>
      <c r="F408" s="371"/>
      <c r="G408" s="371"/>
      <c r="H408" s="371"/>
      <c r="I408" s="363"/>
      <c r="J408" s="363"/>
      <c r="K408" s="364"/>
      <c r="L408" s="365"/>
      <c r="P408" s="167"/>
    </row>
    <row r="409" spans="1:17" s="166" customFormat="1" x14ac:dyDescent="0.45">
      <c r="A409" s="176">
        <f t="shared" si="353"/>
        <v>22</v>
      </c>
      <c r="B409" s="177"/>
      <c r="C409" s="177"/>
      <c r="D409" s="369" t="s">
        <v>2571</v>
      </c>
      <c r="E409" s="370"/>
      <c r="F409" s="371"/>
      <c r="G409" s="371"/>
      <c r="H409" s="371"/>
      <c r="I409" s="363"/>
      <c r="J409" s="363"/>
      <c r="K409" s="364"/>
      <c r="L409" s="365"/>
      <c r="P409" s="167"/>
    </row>
    <row r="410" spans="1:17" s="166" customFormat="1" hidden="1" x14ac:dyDescent="0.45">
      <c r="A410" s="176">
        <v>0</v>
      </c>
      <c r="B410" s="177"/>
      <c r="C410" s="177"/>
      <c r="D410" s="369" t="s">
        <v>67</v>
      </c>
      <c r="E410" s="370" t="str">
        <f t="shared" ref="E410:E411" si="354">IFERROR(IF(VLOOKUP(D410,TURNOS_SERVICIOS,2,FALSE)=0,"NO DESIGNADO",VLOOKUP(D410,TURNOS_SERVICIOS,2,FALSE)),"NO DESIGNADO")</f>
        <v>-</v>
      </c>
      <c r="F410" s="371" t="str">
        <f t="shared" ref="F410:F411" si="355">IFERROR(IF(VLOOKUP(D410,TURNOS_SERVICIOS,3,FALSE)=0,"-",VLOOKUP(D410,TURNOS_SERVICIOS,3,FALSE)),"-")</f>
        <v>-</v>
      </c>
      <c r="G410" s="371" t="str">
        <f t="shared" ref="G410:G411" si="356">IFERROR(IF(VLOOKUP(D410,TURNOS_SERVICIOS,4,FALSE)=0,"SIN TURNO",VLOOKUP(D410,TURNOS_SERVICIOS,4,FALSE)),0)</f>
        <v/>
      </c>
      <c r="H410" s="371" t="str">
        <f t="shared" ref="H410:H411" si="357">IFERROR(IF(VLOOKUP(D410,TURNOS_SERVICIOS,5,FALSE)=0,"SIN SERVICIO",VLOOKUP(D410,TURNOS_SERVICIOS,5,FALSE)),0)</f>
        <v/>
      </c>
      <c r="I410" s="363" t="str">
        <f t="shared" ref="I410:I411" si="358">IFERROR(IF(VLOOKUP(D410,TURNOS_SERVICIOS,6,FALSE)=0,"-",VLOOKUP(D410,TURNOS_SERVICIOS,6,FALSE)),0)</f>
        <v>-</v>
      </c>
      <c r="J410" s="363" t="str">
        <f t="shared" ref="J410:J411" si="359">IFERROR(IF(VLOOKUP(D410,TURNOS_SERVICIOS,7,FALSE)=0,"-",VLOOKUP(D410,TURNOS_SERVICIOS,7,FALSE)),0)</f>
        <v>-</v>
      </c>
      <c r="K410" s="364">
        <f t="shared" ref="K410:K411" si="360">IFERROR(VLOOKUP(D410,TURNOS_SERVICIOS,8,FALSE),0)</f>
        <v>0</v>
      </c>
      <c r="L410" s="365" t="str">
        <f t="shared" ref="L410:L411" si="361">IFERROR(IF(VLOOKUP(D410,TURNOS_SERVICIOS,9,FALSE)=0,"",VLOOKUP(D410,TURNOS_SERVICIOS,9,FALSE)),"")</f>
        <v/>
      </c>
      <c r="P410" s="167"/>
    </row>
    <row r="411" spans="1:17" s="166" customFormat="1" hidden="1" x14ac:dyDescent="0.45">
      <c r="A411" s="176">
        <v>0</v>
      </c>
      <c r="B411" s="177"/>
      <c r="C411" s="177"/>
      <c r="D411" s="369" t="s">
        <v>66</v>
      </c>
      <c r="E411" s="370" t="str">
        <f t="shared" si="354"/>
        <v>SGTO 1RO. ZUÑIGA NARVAEZ GUSTAVO FERNANDO (L - P - T)</v>
      </c>
      <c r="F411" s="371" t="str">
        <f t="shared" si="355"/>
        <v xml:space="preserve"> </v>
      </c>
      <c r="G411" s="371" t="str">
        <f t="shared" si="356"/>
        <v>F</v>
      </c>
      <c r="H411" s="371" t="str">
        <f t="shared" si="357"/>
        <v>FRANCO</v>
      </c>
      <c r="I411" s="363" t="str">
        <f t="shared" si="358"/>
        <v xml:space="preserve"> </v>
      </c>
      <c r="J411" s="363" t="str">
        <f t="shared" si="359"/>
        <v xml:space="preserve"> </v>
      </c>
      <c r="K411" s="364">
        <f t="shared" si="360"/>
        <v>3</v>
      </c>
      <c r="L411" s="365" t="str">
        <f t="shared" si="361"/>
        <v/>
      </c>
      <c r="P411" s="167"/>
    </row>
    <row r="412" spans="1:17" s="166" customFormat="1" hidden="1" x14ac:dyDescent="0.45">
      <c r="A412" s="176">
        <f t="shared" si="328"/>
        <v>0</v>
      </c>
      <c r="B412" s="177"/>
      <c r="C412" s="177"/>
      <c r="D412" s="373" t="s">
        <v>194</v>
      </c>
      <c r="E412" s="370" t="str">
        <f t="shared" si="320"/>
        <v>CABO 1RO. HERRERA RIVAS JUVENAL AGUSTIN</v>
      </c>
      <c r="F412" s="371" t="str">
        <f t="shared" si="321"/>
        <v>LA-060</v>
      </c>
      <c r="G412" s="371" t="str">
        <f t="shared" si="322"/>
        <v>1P</v>
      </c>
      <c r="H412" s="371" t="str">
        <f t="shared" si="323"/>
        <v>BAQUEDANO</v>
      </c>
      <c r="I412" s="363">
        <f t="shared" si="324"/>
        <v>0.33333333333333331</v>
      </c>
      <c r="J412" s="363">
        <f t="shared" si="325"/>
        <v>0.83333333333333337</v>
      </c>
      <c r="K412" s="364">
        <f t="shared" si="326"/>
        <v>2</v>
      </c>
      <c r="L412" s="365" t="str">
        <f t="shared" si="327"/>
        <v/>
      </c>
      <c r="N412" s="165"/>
      <c r="P412" s="167"/>
    </row>
    <row r="413" spans="1:17" s="166" customFormat="1" hidden="1" x14ac:dyDescent="0.45">
      <c r="A413" s="176">
        <f t="shared" si="328"/>
        <v>0</v>
      </c>
      <c r="B413" s="177"/>
      <c r="C413" s="177"/>
      <c r="D413" s="373" t="s">
        <v>113</v>
      </c>
      <c r="E413" s="370" t="str">
        <f t="shared" si="320"/>
        <v>SGTO 2DO. MELLA MORALES MARCO ALEXIS</v>
      </c>
      <c r="F413" s="371" t="str">
        <f t="shared" si="321"/>
        <v>LA-062</v>
      </c>
      <c r="G413" s="371" t="str">
        <f t="shared" si="322"/>
        <v>2P</v>
      </c>
      <c r="H413" s="371" t="str">
        <f t="shared" si="323"/>
        <v>ARIETE NOCTURNO</v>
      </c>
      <c r="I413" s="363">
        <f t="shared" si="324"/>
        <v>0.83333333333333337</v>
      </c>
      <c r="J413" s="363">
        <f t="shared" si="325"/>
        <v>0.33333333333333331</v>
      </c>
      <c r="K413" s="364">
        <f t="shared" si="326"/>
        <v>2</v>
      </c>
      <c r="L413" s="365" t="str">
        <f t="shared" si="327"/>
        <v/>
      </c>
      <c r="N413" s="165"/>
      <c r="P413" s="167"/>
    </row>
    <row r="414" spans="1:17" s="166" customFormat="1" hidden="1" x14ac:dyDescent="0.45">
      <c r="A414" s="176">
        <v>0</v>
      </c>
      <c r="B414" s="177"/>
      <c r="C414" s="177"/>
      <c r="D414" s="373" t="s">
        <v>195</v>
      </c>
      <c r="E414" s="370" t="str">
        <f t="shared" si="320"/>
        <v>SGTO 1RO. RODRIGUEZ GAETE JOSE DIONISIO</v>
      </c>
      <c r="F414" s="371" t="str">
        <f t="shared" si="321"/>
        <v xml:space="preserve"> </v>
      </c>
      <c r="G414" s="371" t="str">
        <f t="shared" si="322"/>
        <v>SN</v>
      </c>
      <c r="H414" s="371" t="str">
        <f t="shared" si="323"/>
        <v>SALIENTE SERVICIO</v>
      </c>
      <c r="I414" s="363" t="str">
        <f t="shared" si="324"/>
        <v xml:space="preserve"> </v>
      </c>
      <c r="J414" s="363" t="str">
        <f t="shared" si="325"/>
        <v xml:space="preserve"> </v>
      </c>
      <c r="K414" s="364">
        <f t="shared" si="326"/>
        <v>2</v>
      </c>
      <c r="L414" s="365" t="str">
        <f t="shared" si="327"/>
        <v/>
      </c>
      <c r="N414" s="165"/>
      <c r="P414" s="167"/>
    </row>
    <row r="415" spans="1:17" s="166" customFormat="1" hidden="1" x14ac:dyDescent="0.45">
      <c r="A415" s="176">
        <f t="shared" si="328"/>
        <v>0</v>
      </c>
      <c r="B415" s="177"/>
      <c r="C415" s="177"/>
      <c r="D415" s="373" t="s">
        <v>196</v>
      </c>
      <c r="E415" s="370" t="str">
        <f t="shared" si="320"/>
        <v>SGTO 2DO. SAN MARTIN FIGUEROA OMAR ALEJANDRO (L - P-LA - T)</v>
      </c>
      <c r="F415" s="371" t="str">
        <f t="shared" si="321"/>
        <v>LA-061</v>
      </c>
      <c r="G415" s="371" t="str">
        <f t="shared" si="322"/>
        <v>1P</v>
      </c>
      <c r="H415" s="371" t="str">
        <f t="shared" si="323"/>
        <v>ARIETE 22</v>
      </c>
      <c r="I415" s="363">
        <f t="shared" si="324"/>
        <v>0.33333333333333331</v>
      </c>
      <c r="J415" s="363" t="str">
        <f t="shared" si="325"/>
        <v>NORM.</v>
      </c>
      <c r="K415" s="364">
        <f t="shared" si="326"/>
        <v>2</v>
      </c>
      <c r="L415" s="365" t="str">
        <f t="shared" si="327"/>
        <v/>
      </c>
      <c r="N415" s="165"/>
      <c r="P415" s="167"/>
      <c r="Q415" s="167"/>
    </row>
    <row r="416" spans="1:17" s="166" customFormat="1" hidden="1" x14ac:dyDescent="0.45">
      <c r="A416" s="176">
        <f t="shared" si="328"/>
        <v>0</v>
      </c>
      <c r="B416" s="177"/>
      <c r="C416" s="177"/>
      <c r="D416" s="373" t="s">
        <v>197</v>
      </c>
      <c r="E416" s="370" t="str">
        <f t="shared" si="320"/>
        <v>SGTO 1RO. CAAMAÑO JARA RODRIGO ALEJANDRO  ( P-LA)</v>
      </c>
      <c r="F416" s="371" t="str">
        <f t="shared" si="321"/>
        <v>LA-064</v>
      </c>
      <c r="G416" s="371" t="str">
        <f t="shared" si="322"/>
        <v>1T</v>
      </c>
      <c r="H416" s="371" t="str">
        <f t="shared" si="323"/>
        <v>APRESTO</v>
      </c>
      <c r="I416" s="363">
        <f t="shared" si="324"/>
        <v>0.33333333333333331</v>
      </c>
      <c r="J416" s="363">
        <f t="shared" si="325"/>
        <v>0.58333333333333337</v>
      </c>
      <c r="K416" s="364">
        <f t="shared" si="326"/>
        <v>2</v>
      </c>
      <c r="L416" s="365" t="str">
        <f t="shared" si="327"/>
        <v/>
      </c>
      <c r="N416" s="165"/>
      <c r="P416" s="167"/>
      <c r="Q416" s="167"/>
    </row>
    <row r="417" spans="1:17" s="166" customFormat="1" hidden="1" x14ac:dyDescent="0.45">
      <c r="A417" s="176">
        <f t="shared" si="328"/>
        <v>0</v>
      </c>
      <c r="B417" s="177"/>
      <c r="C417" s="177"/>
      <c r="D417" s="373" t="s">
        <v>198</v>
      </c>
      <c r="E417" s="370" t="str">
        <f t="shared" si="320"/>
        <v>SGTO 1RO. PULIDO PASMINO OSCAR GONZALO (L - P - LA - T)</v>
      </c>
      <c r="F417" s="371" t="str">
        <f t="shared" si="321"/>
        <v xml:space="preserve"> </v>
      </c>
      <c r="G417" s="371" t="str">
        <f t="shared" si="322"/>
        <v>F</v>
      </c>
      <c r="H417" s="371" t="str">
        <f t="shared" si="323"/>
        <v>FRANCO</v>
      </c>
      <c r="I417" s="363" t="str">
        <f t="shared" si="324"/>
        <v xml:space="preserve"> </v>
      </c>
      <c r="J417" s="363" t="str">
        <f t="shared" si="325"/>
        <v xml:space="preserve"> </v>
      </c>
      <c r="K417" s="364">
        <f t="shared" si="326"/>
        <v>2</v>
      </c>
      <c r="L417" s="365" t="str">
        <f t="shared" si="327"/>
        <v/>
      </c>
      <c r="N417" s="165"/>
      <c r="P417" s="167"/>
      <c r="Q417" s="167"/>
    </row>
    <row r="418" spans="1:17" s="166" customFormat="1" hidden="1" x14ac:dyDescent="0.45">
      <c r="A418" s="176">
        <f t="shared" si="328"/>
        <v>0</v>
      </c>
      <c r="B418" s="177"/>
      <c r="C418" s="177"/>
      <c r="D418" s="373" t="s">
        <v>113</v>
      </c>
      <c r="E418" s="370" t="str">
        <f t="shared" ref="E418:E422" si="362">IFERROR(IF(VLOOKUP(D418,TURNOS_SERVICIOS,2,FALSE)=0,"NO DESIGNADO",VLOOKUP(D418,TURNOS_SERVICIOS,2,FALSE)),"NO DESIGNADO")</f>
        <v>SGTO 2DO. MELLA MORALES MARCO ALEXIS</v>
      </c>
      <c r="F418" s="371" t="str">
        <f t="shared" ref="F418:F422" si="363">IFERROR(IF(VLOOKUP(D418,TURNOS_SERVICIOS,3,FALSE)=0,"-",VLOOKUP(D418,TURNOS_SERVICIOS,3,FALSE)),"-")</f>
        <v>LA-062</v>
      </c>
      <c r="G418" s="371" t="str">
        <f t="shared" ref="G418:G422" si="364">IFERROR(IF(VLOOKUP(D418,TURNOS_SERVICIOS,4,FALSE)=0,"SIN TURNO",VLOOKUP(D418,TURNOS_SERVICIOS,4,FALSE)),0)</f>
        <v>2P</v>
      </c>
      <c r="H418" s="371" t="str">
        <f t="shared" si="323"/>
        <v>ARIETE NOCTURNO</v>
      </c>
      <c r="I418" s="363">
        <f t="shared" ref="I418:I422" si="365">IFERROR(IF(VLOOKUP(D418,TURNOS_SERVICIOS,6,FALSE)=0,"-",VLOOKUP(D418,TURNOS_SERVICIOS,6,FALSE)),0)</f>
        <v>0.83333333333333337</v>
      </c>
      <c r="J418" s="363">
        <f t="shared" ref="J418:J422" si="366">IFERROR(IF(VLOOKUP(D418,TURNOS_SERVICIOS,7,FALSE)=0,"-",VLOOKUP(D418,TURNOS_SERVICIOS,7,FALSE)),0)</f>
        <v>0.33333333333333331</v>
      </c>
      <c r="K418" s="364">
        <f t="shared" ref="K418:K422" si="367">IFERROR(VLOOKUP(D418,TURNOS_SERVICIOS,8,FALSE),0)</f>
        <v>2</v>
      </c>
      <c r="L418" s="365" t="str">
        <f t="shared" ref="L418:L422" si="368">IFERROR(IF(VLOOKUP(D418,TURNOS_SERVICIOS,9,FALSE)=0,"",VLOOKUP(D418,TURNOS_SERVICIOS,9,FALSE)),"")</f>
        <v/>
      </c>
      <c r="N418" s="165"/>
      <c r="P418" s="167"/>
      <c r="Q418" s="167"/>
    </row>
    <row r="419" spans="1:17" s="166" customFormat="1" hidden="1" x14ac:dyDescent="0.45">
      <c r="A419" s="176">
        <v>0</v>
      </c>
      <c r="B419" s="177"/>
      <c r="C419" s="177"/>
      <c r="D419" s="373" t="s">
        <v>195</v>
      </c>
      <c r="E419" s="370" t="str">
        <f t="shared" si="362"/>
        <v>SGTO 1RO. RODRIGUEZ GAETE JOSE DIONISIO</v>
      </c>
      <c r="F419" s="371" t="str">
        <f t="shared" si="363"/>
        <v xml:space="preserve"> </v>
      </c>
      <c r="G419" s="371" t="str">
        <f t="shared" si="364"/>
        <v>SN</v>
      </c>
      <c r="H419" s="371" t="str">
        <f t="shared" ref="H419:H422" si="369">IFERROR(IF(VLOOKUP(D419,TURNOS_SERVICIOS,5,FALSE)=0,"SIN SERVICIO",VLOOKUP(D419,TURNOS_SERVICIOS,5,FALSE)),0)</f>
        <v>SALIENTE SERVICIO</v>
      </c>
      <c r="I419" s="363" t="str">
        <f t="shared" si="365"/>
        <v xml:space="preserve"> </v>
      </c>
      <c r="J419" s="363" t="str">
        <f t="shared" si="366"/>
        <v xml:space="preserve"> </v>
      </c>
      <c r="K419" s="364">
        <f t="shared" si="367"/>
        <v>2</v>
      </c>
      <c r="L419" s="365" t="str">
        <f t="shared" si="368"/>
        <v/>
      </c>
      <c r="N419" s="165"/>
      <c r="P419" s="167"/>
      <c r="Q419" s="167"/>
    </row>
    <row r="420" spans="1:17" s="166" customFormat="1" hidden="1" x14ac:dyDescent="0.45">
      <c r="A420" s="176">
        <f t="shared" si="328"/>
        <v>0</v>
      </c>
      <c r="B420" s="177"/>
      <c r="C420" s="177"/>
      <c r="D420" s="373" t="s">
        <v>196</v>
      </c>
      <c r="E420" s="370" t="str">
        <f t="shared" si="362"/>
        <v>SGTO 2DO. SAN MARTIN FIGUEROA OMAR ALEJANDRO (L - P-LA - T)</v>
      </c>
      <c r="F420" s="371" t="str">
        <f t="shared" si="363"/>
        <v>LA-061</v>
      </c>
      <c r="G420" s="371" t="str">
        <f t="shared" si="364"/>
        <v>1P</v>
      </c>
      <c r="H420" s="371" t="str">
        <f t="shared" si="369"/>
        <v>ARIETE 22</v>
      </c>
      <c r="I420" s="363">
        <f t="shared" si="365"/>
        <v>0.33333333333333331</v>
      </c>
      <c r="J420" s="363" t="str">
        <f t="shared" si="366"/>
        <v>NORM.</v>
      </c>
      <c r="K420" s="364">
        <f t="shared" si="367"/>
        <v>2</v>
      </c>
      <c r="L420" s="365" t="str">
        <f t="shared" si="368"/>
        <v/>
      </c>
      <c r="N420" s="165"/>
      <c r="P420" s="167"/>
      <c r="Q420" s="167"/>
    </row>
    <row r="421" spans="1:17" s="166" customFormat="1" hidden="1" x14ac:dyDescent="0.45">
      <c r="A421" s="176">
        <f t="shared" si="328"/>
        <v>0</v>
      </c>
      <c r="B421" s="177"/>
      <c r="C421" s="177"/>
      <c r="D421" s="373" t="s">
        <v>197</v>
      </c>
      <c r="E421" s="370" t="str">
        <f t="shared" si="362"/>
        <v>SGTO 1RO. CAAMAÑO JARA RODRIGO ALEJANDRO  ( P-LA)</v>
      </c>
      <c r="F421" s="371" t="str">
        <f t="shared" si="363"/>
        <v>LA-064</v>
      </c>
      <c r="G421" s="371" t="str">
        <f t="shared" si="364"/>
        <v>1T</v>
      </c>
      <c r="H421" s="371" t="str">
        <f t="shared" si="369"/>
        <v>APRESTO</v>
      </c>
      <c r="I421" s="363">
        <f t="shared" si="365"/>
        <v>0.33333333333333331</v>
      </c>
      <c r="J421" s="363">
        <f t="shared" si="366"/>
        <v>0.58333333333333337</v>
      </c>
      <c r="K421" s="364">
        <f t="shared" si="367"/>
        <v>2</v>
      </c>
      <c r="L421" s="365" t="str">
        <f t="shared" si="368"/>
        <v/>
      </c>
      <c r="N421" s="165"/>
      <c r="P421" s="167"/>
      <c r="Q421" s="167"/>
    </row>
    <row r="422" spans="1:17" s="166" customFormat="1" hidden="1" x14ac:dyDescent="0.45">
      <c r="A422" s="176">
        <f t="shared" si="328"/>
        <v>0</v>
      </c>
      <c r="B422" s="177"/>
      <c r="C422" s="177"/>
      <c r="D422" s="373" t="s">
        <v>198</v>
      </c>
      <c r="E422" s="370" t="str">
        <f t="shared" si="362"/>
        <v>SGTO 1RO. PULIDO PASMINO OSCAR GONZALO (L - P - LA - T)</v>
      </c>
      <c r="F422" s="371" t="str">
        <f t="shared" si="363"/>
        <v xml:space="preserve"> </v>
      </c>
      <c r="G422" s="371" t="str">
        <f t="shared" si="364"/>
        <v>F</v>
      </c>
      <c r="H422" s="371" t="str">
        <f t="shared" si="369"/>
        <v>FRANCO</v>
      </c>
      <c r="I422" s="363" t="str">
        <f t="shared" si="365"/>
        <v xml:space="preserve"> </v>
      </c>
      <c r="J422" s="363" t="str">
        <f t="shared" si="366"/>
        <v xml:space="preserve"> </v>
      </c>
      <c r="K422" s="364">
        <f t="shared" si="367"/>
        <v>2</v>
      </c>
      <c r="L422" s="365" t="str">
        <f t="shared" si="368"/>
        <v/>
      </c>
      <c r="N422" s="165"/>
      <c r="P422" s="167"/>
      <c r="Q422" s="167"/>
    </row>
    <row r="423" spans="1:17" s="166" customFormat="1" hidden="1" x14ac:dyDescent="0.45">
      <c r="A423" s="176">
        <v>0</v>
      </c>
      <c r="B423" s="177"/>
      <c r="C423" s="177"/>
      <c r="D423" s="373" t="s">
        <v>769</v>
      </c>
      <c r="E423" s="370" t="str">
        <f t="shared" si="320"/>
        <v>-</v>
      </c>
      <c r="F423" s="371" t="str">
        <f t="shared" si="321"/>
        <v>-</v>
      </c>
      <c r="G423" s="371" t="str">
        <f t="shared" si="322"/>
        <v/>
      </c>
      <c r="H423" s="371" t="str">
        <f t="shared" si="323"/>
        <v/>
      </c>
      <c r="I423" s="363" t="str">
        <f t="shared" si="324"/>
        <v>-</v>
      </c>
      <c r="J423" s="363" t="str">
        <f t="shared" si="325"/>
        <v>-</v>
      </c>
      <c r="K423" s="364">
        <f t="shared" si="326"/>
        <v>0</v>
      </c>
      <c r="L423" s="365" t="str">
        <f t="shared" si="327"/>
        <v/>
      </c>
      <c r="N423" s="165"/>
      <c r="P423" s="167"/>
      <c r="Q423" s="167"/>
    </row>
    <row r="424" spans="1:17" s="166" customFormat="1" hidden="1" x14ac:dyDescent="0.45">
      <c r="A424" s="176">
        <f t="shared" si="328"/>
        <v>0</v>
      </c>
      <c r="B424" s="177"/>
      <c r="C424" s="177"/>
      <c r="D424" s="373" t="s">
        <v>113</v>
      </c>
      <c r="E424" s="370" t="str">
        <f t="shared" ref="E424" si="370">IFERROR(IF(VLOOKUP(D424,TURNOS_SERVICIOS,2,FALSE)=0,"NO DESIGNADO",VLOOKUP(D424,TURNOS_SERVICIOS,2,FALSE)),"NO DESIGNADO")</f>
        <v>SGTO 2DO. MELLA MORALES MARCO ALEXIS</v>
      </c>
      <c r="F424" s="371" t="str">
        <f t="shared" ref="F424" si="371">IFERROR(IF(VLOOKUP(D424,TURNOS_SERVICIOS,3,FALSE)=0,"-",VLOOKUP(D424,TURNOS_SERVICIOS,3,FALSE)),"-")</f>
        <v>LA-062</v>
      </c>
      <c r="G424" s="371" t="str">
        <f t="shared" ref="G424" si="372">IFERROR(IF(VLOOKUP(D424,TURNOS_SERVICIOS,4,FALSE)=0,"SIN TURNO",VLOOKUP(D424,TURNOS_SERVICIOS,4,FALSE)),0)</f>
        <v>2P</v>
      </c>
      <c r="H424" s="371" t="str">
        <f t="shared" ref="H424" si="373">IFERROR(IF(VLOOKUP(D424,TURNOS_SERVICIOS,5,FALSE)=0,"SIN SERVICIO",VLOOKUP(D424,TURNOS_SERVICIOS,5,FALSE)),0)</f>
        <v>ARIETE NOCTURNO</v>
      </c>
      <c r="I424" s="363">
        <f t="shared" ref="I424" si="374">IFERROR(IF(VLOOKUP(D424,TURNOS_SERVICIOS,6,FALSE)=0,"-",VLOOKUP(D424,TURNOS_SERVICIOS,6,FALSE)),0)</f>
        <v>0.83333333333333337</v>
      </c>
      <c r="J424" s="363">
        <f t="shared" ref="J424" si="375">IFERROR(IF(VLOOKUP(D424,TURNOS_SERVICIOS,7,FALSE)=0,"-",VLOOKUP(D424,TURNOS_SERVICIOS,7,FALSE)),0)</f>
        <v>0.33333333333333331</v>
      </c>
      <c r="K424" s="364">
        <f t="shared" ref="K424" si="376">IFERROR(VLOOKUP(D424,TURNOS_SERVICIOS,8,FALSE),0)</f>
        <v>2</v>
      </c>
      <c r="L424" s="365" t="str">
        <f t="shared" ref="L424" si="377">IFERROR(IF(VLOOKUP(D424,TURNOS_SERVICIOS,9,FALSE)=0,"",VLOOKUP(D424,TURNOS_SERVICIOS,9,FALSE)),"")</f>
        <v/>
      </c>
      <c r="N424" s="165"/>
      <c r="P424" s="167"/>
      <c r="Q424" s="167"/>
    </row>
    <row r="425" spans="1:17" s="166" customFormat="1" hidden="1" x14ac:dyDescent="0.45">
      <c r="A425" s="176">
        <f t="shared" si="328"/>
        <v>0</v>
      </c>
      <c r="B425" s="177"/>
      <c r="C425" s="177"/>
      <c r="D425" s="373" t="s">
        <v>197</v>
      </c>
      <c r="E425" s="370" t="str">
        <f t="shared" ref="E425:E430" si="378">IFERROR(IF(VLOOKUP(D425,TURNOS_SERVICIOS,2,FALSE)=0,"NO DESIGNADO",VLOOKUP(D425,TURNOS_SERVICIOS,2,FALSE)),"NO DESIGNADO")</f>
        <v>SGTO 1RO. CAAMAÑO JARA RODRIGO ALEJANDRO  ( P-LA)</v>
      </c>
      <c r="F425" s="371" t="str">
        <f t="shared" ref="F425:F430" si="379">IFERROR(IF(VLOOKUP(D425,TURNOS_SERVICIOS,3,FALSE)=0,"-",VLOOKUP(D425,TURNOS_SERVICIOS,3,FALSE)),"-")</f>
        <v>LA-064</v>
      </c>
      <c r="G425" s="371" t="str">
        <f t="shared" ref="G425:G430" si="380">IFERROR(IF(VLOOKUP(D425,TURNOS_SERVICIOS,4,FALSE)=0,"SIN TURNO",VLOOKUP(D425,TURNOS_SERVICIOS,4,FALSE)),0)</f>
        <v>1T</v>
      </c>
      <c r="H425" s="371" t="str">
        <f t="shared" ref="H425:H430" si="381">IFERROR(IF(VLOOKUP(D425,TURNOS_SERVICIOS,5,FALSE)=0,"SIN SERVICIO",VLOOKUP(D425,TURNOS_SERVICIOS,5,FALSE)),0)</f>
        <v>APRESTO</v>
      </c>
      <c r="I425" s="363">
        <f t="shared" ref="I425:I430" si="382">IFERROR(IF(VLOOKUP(D425,TURNOS_SERVICIOS,6,FALSE)=0,"-",VLOOKUP(D425,TURNOS_SERVICIOS,6,FALSE)),0)</f>
        <v>0.33333333333333331</v>
      </c>
      <c r="J425" s="363">
        <f t="shared" ref="J425:J430" si="383">IFERROR(IF(VLOOKUP(D425,TURNOS_SERVICIOS,7,FALSE)=0,"-",VLOOKUP(D425,TURNOS_SERVICIOS,7,FALSE)),0)</f>
        <v>0.58333333333333337</v>
      </c>
      <c r="K425" s="364">
        <f t="shared" ref="K425:K430" si="384">IFERROR(VLOOKUP(D425,TURNOS_SERVICIOS,8,FALSE),0)</f>
        <v>2</v>
      </c>
      <c r="L425" s="365" t="str">
        <f t="shared" ref="L425:L430" si="385">IFERROR(IF(VLOOKUP(D425,TURNOS_SERVICIOS,9,FALSE)=0,"",VLOOKUP(D425,TURNOS_SERVICIOS,9,FALSE)),"")</f>
        <v/>
      </c>
      <c r="N425" s="165"/>
      <c r="P425" s="167"/>
      <c r="Q425" s="167"/>
    </row>
    <row r="426" spans="1:17" s="166" customFormat="1" hidden="1" x14ac:dyDescent="0.45">
      <c r="A426" s="176">
        <v>0</v>
      </c>
      <c r="B426" s="176" t="s">
        <v>2942</v>
      </c>
      <c r="C426" s="176" t="s">
        <v>2943</v>
      </c>
      <c r="D426" s="373" t="s">
        <v>769</v>
      </c>
      <c r="E426" s="370" t="str">
        <f t="shared" si="378"/>
        <v>-</v>
      </c>
      <c r="F426" s="371" t="str">
        <f t="shared" si="379"/>
        <v>-</v>
      </c>
      <c r="G426" s="371" t="str">
        <f t="shared" si="380"/>
        <v/>
      </c>
      <c r="H426" s="371" t="str">
        <f t="shared" si="381"/>
        <v/>
      </c>
      <c r="I426" s="363" t="str">
        <f t="shared" si="382"/>
        <v>-</v>
      </c>
      <c r="J426" s="363" t="str">
        <f t="shared" si="383"/>
        <v>-</v>
      </c>
      <c r="K426" s="364">
        <f t="shared" si="384"/>
        <v>0</v>
      </c>
      <c r="L426" s="365" t="str">
        <f t="shared" si="385"/>
        <v/>
      </c>
      <c r="N426" s="165"/>
      <c r="P426" s="167"/>
      <c r="Q426" s="167"/>
    </row>
    <row r="427" spans="1:17" s="166" customFormat="1" hidden="1" x14ac:dyDescent="0.45">
      <c r="A427" s="176">
        <f t="shared" si="328"/>
        <v>0</v>
      </c>
      <c r="B427" s="177"/>
      <c r="C427" s="177"/>
      <c r="D427" s="373" t="s">
        <v>767</v>
      </c>
      <c r="E427" s="370" t="str">
        <f t="shared" si="378"/>
        <v>-</v>
      </c>
      <c r="F427" s="371" t="str">
        <f t="shared" si="379"/>
        <v>-</v>
      </c>
      <c r="G427" s="371" t="str">
        <f t="shared" si="380"/>
        <v/>
      </c>
      <c r="H427" s="371" t="str">
        <f t="shared" si="381"/>
        <v/>
      </c>
      <c r="I427" s="363" t="str">
        <f t="shared" si="382"/>
        <v>-</v>
      </c>
      <c r="J427" s="363" t="str">
        <f t="shared" si="383"/>
        <v>-</v>
      </c>
      <c r="K427" s="364">
        <f t="shared" si="384"/>
        <v>0</v>
      </c>
      <c r="L427" s="365" t="str">
        <f t="shared" si="385"/>
        <v/>
      </c>
      <c r="N427" s="165"/>
      <c r="P427" s="167"/>
      <c r="Q427" s="167"/>
    </row>
    <row r="428" spans="1:17" s="166" customFormat="1" hidden="1" x14ac:dyDescent="0.45">
      <c r="A428" s="176">
        <v>0</v>
      </c>
      <c r="B428" s="177"/>
      <c r="C428" s="177"/>
      <c r="D428" s="373" t="s">
        <v>196</v>
      </c>
      <c r="E428" s="370" t="str">
        <f t="shared" si="378"/>
        <v>SGTO 2DO. SAN MARTIN FIGUEROA OMAR ALEJANDRO (L - P-LA - T)</v>
      </c>
      <c r="F428" s="371" t="str">
        <f t="shared" si="379"/>
        <v>LA-061</v>
      </c>
      <c r="G428" s="371" t="str">
        <f t="shared" si="380"/>
        <v>1P</v>
      </c>
      <c r="H428" s="371" t="str">
        <f t="shared" si="381"/>
        <v>ARIETE 22</v>
      </c>
      <c r="I428" s="363">
        <f t="shared" si="382"/>
        <v>0.33333333333333331</v>
      </c>
      <c r="J428" s="363" t="str">
        <f t="shared" si="383"/>
        <v>NORM.</v>
      </c>
      <c r="K428" s="364">
        <f t="shared" si="384"/>
        <v>2</v>
      </c>
      <c r="L428" s="365" t="str">
        <f t="shared" si="385"/>
        <v/>
      </c>
      <c r="N428" s="165"/>
      <c r="P428" s="167"/>
      <c r="Q428" s="167"/>
    </row>
    <row r="429" spans="1:17" s="166" customFormat="1" hidden="1" x14ac:dyDescent="0.3">
      <c r="A429" s="176">
        <v>0</v>
      </c>
      <c r="B429" s="176"/>
      <c r="C429" s="176"/>
      <c r="D429" s="369" t="s">
        <v>197</v>
      </c>
      <c r="E429" s="370" t="str">
        <f>IFERROR(IF(VLOOKUP(D429,TURNOS_SERVICIOS,2,FALSE)=0,"-",VLOOKUP(D429,TURNOS_SERVICIOS,2,FALSE)),"-")</f>
        <v>SGTO 1RO. CAAMAÑO JARA RODRIGO ALEJANDRO  ( P-LA)</v>
      </c>
      <c r="F429" s="362" t="str">
        <f>IFERROR(IF(VLOOKUP(D429,TURNOS_SERVICIOS,3,FALSE)=0,"-",VLOOKUP(D429,TURNOS_SERVICIOS,3,FALSE)),"-")</f>
        <v>LA-064</v>
      </c>
      <c r="G429" s="362" t="str">
        <f>IFERROR(IF(VLOOKUP(D429,TURNOS_SERVICIOS,4,FALSE)=0,"SIN TURNO",VLOOKUP(D429,TURNOS_SERVICIOS,4,FALSE)),0)</f>
        <v>1T</v>
      </c>
      <c r="H429" s="362" t="str">
        <f>IFERROR(IF(VLOOKUP(D429,TURNOS_SERVICIOS,5,FALSE)=0,"SIN SERVICIO",VLOOKUP(D429,TURNOS_SERVICIOS,5,FALSE)),0)</f>
        <v>APRESTO</v>
      </c>
      <c r="I429" s="367">
        <f>IFERROR(IF(VLOOKUP(D429,TURNOS_SERVICIOS,6,FALSE)=0,"-",VLOOKUP(D429,TURNOS_SERVICIOS,6,FALSE)),0)</f>
        <v>0.33333333333333331</v>
      </c>
      <c r="J429" s="367">
        <f>IFERROR(IF(VLOOKUP(D429,TURNOS_SERVICIOS,7,FALSE)=0,"-",VLOOKUP(D429,TURNOS_SERVICIOS,7,FALSE)),0)</f>
        <v>0.58333333333333337</v>
      </c>
      <c r="K429" s="364">
        <f>IFERROR(VLOOKUP(D429,TURNOS_SERVICIOS,8,FALSE),0)</f>
        <v>2</v>
      </c>
      <c r="L429" s="365" t="str">
        <f>IFERROR(IF(VLOOKUP(D429,TURNOS_SERVICIOS,9,FALSE)=0,"",VLOOKUP(D429,TURNOS_SERVICIOS,9,FALSE)),"")</f>
        <v/>
      </c>
      <c r="N429" s="165"/>
    </row>
    <row r="430" spans="1:17" s="166" customFormat="1" x14ac:dyDescent="0.45">
      <c r="A430" s="176">
        <v>22</v>
      </c>
      <c r="B430" s="176"/>
      <c r="C430" s="176"/>
      <c r="D430" s="373" t="s">
        <v>767</v>
      </c>
      <c r="E430" s="370" t="str">
        <f t="shared" si="378"/>
        <v>-</v>
      </c>
      <c r="F430" s="371" t="str">
        <f t="shared" si="379"/>
        <v>-</v>
      </c>
      <c r="G430" s="371" t="str">
        <f t="shared" si="380"/>
        <v/>
      </c>
      <c r="H430" s="371" t="str">
        <f t="shared" si="381"/>
        <v/>
      </c>
      <c r="I430" s="363" t="str">
        <f t="shared" si="382"/>
        <v>-</v>
      </c>
      <c r="J430" s="363" t="str">
        <f t="shared" si="383"/>
        <v>-</v>
      </c>
      <c r="K430" s="364">
        <f t="shared" si="384"/>
        <v>0</v>
      </c>
      <c r="L430" s="365" t="str">
        <f t="shared" si="385"/>
        <v/>
      </c>
      <c r="N430" s="165"/>
      <c r="P430" s="167"/>
      <c r="Q430" s="167"/>
    </row>
    <row r="431" spans="1:17" s="166" customFormat="1" x14ac:dyDescent="0.45">
      <c r="A431" s="176">
        <f>IF(D431&lt;&gt;0,22,0)</f>
        <v>22</v>
      </c>
      <c r="B431" s="176"/>
      <c r="C431" s="176"/>
      <c r="D431" s="373" t="s">
        <v>680</v>
      </c>
      <c r="E431" s="370" t="str">
        <f t="shared" si="320"/>
        <v>SUBOFICIAL MUÑOZ BRAVO MARCELO ALEXIS</v>
      </c>
      <c r="F431" s="371" t="str">
        <f t="shared" si="321"/>
        <v xml:space="preserve"> </v>
      </c>
      <c r="G431" s="371" t="str">
        <f t="shared" si="322"/>
        <v>F</v>
      </c>
      <c r="H431" s="371" t="str">
        <f t="shared" si="323"/>
        <v>FRANCO</v>
      </c>
      <c r="I431" s="363" t="str">
        <f t="shared" si="324"/>
        <v xml:space="preserve"> </v>
      </c>
      <c r="J431" s="363" t="str">
        <f t="shared" si="325"/>
        <v xml:space="preserve"> </v>
      </c>
      <c r="K431" s="364">
        <f t="shared" si="326"/>
        <v>2</v>
      </c>
      <c r="L431" s="365" t="str">
        <f t="shared" si="327"/>
        <v/>
      </c>
      <c r="N431" s="165"/>
      <c r="P431" s="167"/>
      <c r="Q431" s="167"/>
    </row>
    <row r="432" spans="1:17" s="166" customFormat="1" hidden="1" x14ac:dyDescent="0.45">
      <c r="A432" s="176">
        <f t="shared" si="328"/>
        <v>0</v>
      </c>
      <c r="B432" s="177"/>
      <c r="C432" s="177"/>
      <c r="D432" s="373" t="s">
        <v>754</v>
      </c>
      <c r="E432" s="370" t="str">
        <f t="shared" si="320"/>
        <v>SUBOFICIAL SABANDO VERGARA CLAUDIO  (T-LA)</v>
      </c>
      <c r="F432" s="371" t="str">
        <f t="shared" si="321"/>
        <v xml:space="preserve"> </v>
      </c>
      <c r="G432" s="371" t="str">
        <f t="shared" si="322"/>
        <v>F</v>
      </c>
      <c r="H432" s="371" t="str">
        <f t="shared" si="323"/>
        <v>FRANCO</v>
      </c>
      <c r="I432" s="363" t="str">
        <f t="shared" si="324"/>
        <v xml:space="preserve"> </v>
      </c>
      <c r="J432" s="363" t="str">
        <f t="shared" si="325"/>
        <v xml:space="preserve"> </v>
      </c>
      <c r="K432" s="364">
        <f t="shared" si="326"/>
        <v>3</v>
      </c>
      <c r="L432" s="365" t="str">
        <f t="shared" si="327"/>
        <v/>
      </c>
      <c r="N432" s="165"/>
      <c r="P432" s="167"/>
      <c r="Q432" s="167"/>
    </row>
    <row r="433" spans="1:17" s="166" customFormat="1" hidden="1" x14ac:dyDescent="0.45">
      <c r="A433" s="176">
        <f t="shared" si="328"/>
        <v>0</v>
      </c>
      <c r="B433" s="177"/>
      <c r="C433" s="177"/>
      <c r="D433" s="373" t="s">
        <v>857</v>
      </c>
      <c r="E433" s="370" t="str">
        <f t="shared" si="320"/>
        <v>-</v>
      </c>
      <c r="F433" s="371" t="str">
        <f t="shared" si="321"/>
        <v>-</v>
      </c>
      <c r="G433" s="371" t="str">
        <f t="shared" si="322"/>
        <v/>
      </c>
      <c r="H433" s="371" t="str">
        <f t="shared" si="323"/>
        <v/>
      </c>
      <c r="I433" s="363" t="str">
        <f t="shared" si="324"/>
        <v>-</v>
      </c>
      <c r="J433" s="363" t="str">
        <f t="shared" si="325"/>
        <v>-</v>
      </c>
      <c r="K433" s="364">
        <f t="shared" si="326"/>
        <v>0</v>
      </c>
      <c r="L433" s="365" t="str">
        <f t="shared" si="327"/>
        <v/>
      </c>
      <c r="N433" s="165"/>
      <c r="P433" s="167"/>
      <c r="Q433" s="167"/>
    </row>
    <row r="434" spans="1:17" s="166" customFormat="1" hidden="1" x14ac:dyDescent="0.45">
      <c r="A434" s="176">
        <f t="shared" si="328"/>
        <v>0</v>
      </c>
      <c r="B434" s="177"/>
      <c r="C434" s="177"/>
      <c r="D434" s="373" t="s">
        <v>858</v>
      </c>
      <c r="E434" s="370" t="str">
        <f t="shared" si="320"/>
        <v>-</v>
      </c>
      <c r="F434" s="371" t="str">
        <f t="shared" si="321"/>
        <v>-</v>
      </c>
      <c r="G434" s="371" t="str">
        <f t="shared" si="322"/>
        <v/>
      </c>
      <c r="H434" s="371" t="str">
        <f t="shared" si="323"/>
        <v/>
      </c>
      <c r="I434" s="363" t="str">
        <f t="shared" si="324"/>
        <v>-</v>
      </c>
      <c r="J434" s="363" t="str">
        <f t="shared" si="325"/>
        <v>-</v>
      </c>
      <c r="K434" s="364">
        <f t="shared" si="326"/>
        <v>0</v>
      </c>
      <c r="L434" s="365" t="str">
        <f t="shared" si="327"/>
        <v/>
      </c>
      <c r="N434" s="165"/>
      <c r="P434" s="167"/>
      <c r="Q434" s="167"/>
    </row>
    <row r="435" spans="1:17" s="166" customFormat="1" hidden="1" x14ac:dyDescent="0.45">
      <c r="A435" s="176">
        <f t="shared" si="328"/>
        <v>0</v>
      </c>
      <c r="B435" s="177"/>
      <c r="C435" s="177"/>
      <c r="D435" s="373" t="s">
        <v>857</v>
      </c>
      <c r="E435" s="370" t="str">
        <f t="shared" ref="E435:E436" si="386">IFERROR(IF(VLOOKUP(D435,TURNOS_SERVICIOS,2,FALSE)=0,"NO DESIGNADO",VLOOKUP(D435,TURNOS_SERVICIOS,2,FALSE)),"NO DESIGNADO")</f>
        <v>-</v>
      </c>
      <c r="F435" s="371" t="str">
        <f t="shared" ref="F435:F436" si="387">IFERROR(IF(VLOOKUP(D435,TURNOS_SERVICIOS,3,FALSE)=0,"-",VLOOKUP(D435,TURNOS_SERVICIOS,3,FALSE)),"-")</f>
        <v>-</v>
      </c>
      <c r="G435" s="371" t="str">
        <f t="shared" ref="G435:G436" si="388">IFERROR(IF(VLOOKUP(D435,TURNOS_SERVICIOS,4,FALSE)=0,"SIN TURNO",VLOOKUP(D435,TURNOS_SERVICIOS,4,FALSE)),0)</f>
        <v/>
      </c>
      <c r="H435" s="371" t="str">
        <f t="shared" ref="H435:H436" si="389">IFERROR(IF(VLOOKUP(D435,TURNOS_SERVICIOS,5,FALSE)=0,"SIN SERVICIO",VLOOKUP(D435,TURNOS_SERVICIOS,5,FALSE)),0)</f>
        <v/>
      </c>
      <c r="I435" s="363" t="str">
        <f t="shared" ref="I435:I436" si="390">IFERROR(IF(VLOOKUP(D435,TURNOS_SERVICIOS,6,FALSE)=0,"-",VLOOKUP(D435,TURNOS_SERVICIOS,6,FALSE)),0)</f>
        <v>-</v>
      </c>
      <c r="J435" s="363" t="str">
        <f t="shared" ref="J435:J436" si="391">IFERROR(IF(VLOOKUP(D435,TURNOS_SERVICIOS,7,FALSE)=0,"-",VLOOKUP(D435,TURNOS_SERVICIOS,7,FALSE)),0)</f>
        <v>-</v>
      </c>
      <c r="K435" s="364">
        <f t="shared" ref="K435:K436" si="392">IFERROR(VLOOKUP(D435,TURNOS_SERVICIOS,8,FALSE),0)</f>
        <v>0</v>
      </c>
      <c r="L435" s="365" t="str">
        <f t="shared" ref="L435:L436" si="393">IFERROR(IF(VLOOKUP(D435,TURNOS_SERVICIOS,9,FALSE)=0,"",VLOOKUP(D435,TURNOS_SERVICIOS,9,FALSE)),"")</f>
        <v/>
      </c>
      <c r="N435" s="165"/>
      <c r="P435" s="167"/>
      <c r="Q435" s="167"/>
    </row>
    <row r="436" spans="1:17" s="166" customFormat="1" x14ac:dyDescent="0.45">
      <c r="A436" s="176">
        <f>IF(D436&lt;&gt;0,22,0)</f>
        <v>22</v>
      </c>
      <c r="B436" s="176"/>
      <c r="C436" s="176"/>
      <c r="D436" s="373" t="s">
        <v>754</v>
      </c>
      <c r="E436" s="370" t="str">
        <f t="shared" si="386"/>
        <v>SUBOFICIAL SABANDO VERGARA CLAUDIO  (T-LA)</v>
      </c>
      <c r="F436" s="371" t="str">
        <f t="shared" si="387"/>
        <v xml:space="preserve"> </v>
      </c>
      <c r="G436" s="371" t="str">
        <f t="shared" si="388"/>
        <v>F</v>
      </c>
      <c r="H436" s="371" t="str">
        <f t="shared" si="389"/>
        <v>FRANCO</v>
      </c>
      <c r="I436" s="363" t="str">
        <f t="shared" si="390"/>
        <v xml:space="preserve"> </v>
      </c>
      <c r="J436" s="363" t="str">
        <f t="shared" si="391"/>
        <v xml:space="preserve"> </v>
      </c>
      <c r="K436" s="364">
        <f t="shared" si="392"/>
        <v>3</v>
      </c>
      <c r="L436" s="365" t="str">
        <f t="shared" si="393"/>
        <v/>
      </c>
      <c r="N436" s="165"/>
      <c r="P436" s="167"/>
      <c r="Q436" s="167"/>
    </row>
    <row r="437" spans="1:17" s="166" customFormat="1" hidden="1" x14ac:dyDescent="0.45">
      <c r="A437" s="176">
        <v>0</v>
      </c>
      <c r="B437" s="177"/>
      <c r="C437" s="177"/>
      <c r="D437" s="373" t="s">
        <v>2015</v>
      </c>
      <c r="E437" s="370" t="str">
        <f t="shared" ref="E437:E438" si="394">IFERROR(IF(VLOOKUP(D437,TURNOS_SERVICIOS,2,FALSE)=0,"NO DESIGNADO",VLOOKUP(D437,TURNOS_SERVICIOS,2,FALSE)),"NO DESIGNADO")</f>
        <v>SUBOFICIAL VALLEJOS ELGUETA CRISTIAN</v>
      </c>
      <c r="F437" s="371" t="str">
        <f t="shared" ref="F437:F438" si="395">IFERROR(IF(VLOOKUP(D437,TURNOS_SERVICIOS,3,FALSE)=0,"-",VLOOKUP(D437,TURNOS_SERVICIOS,3,FALSE)),"-")</f>
        <v>LA-044</v>
      </c>
      <c r="G437" s="371" t="str">
        <f t="shared" ref="G437:G438" si="396">IFERROR(IF(VLOOKUP(D437,TURNOS_SERVICIOS,4,FALSE)=0,"SIN TURNO",VLOOKUP(D437,TURNOS_SERVICIOS,4,FALSE)),0)</f>
        <v>1P</v>
      </c>
      <c r="H437" s="371" t="str">
        <f t="shared" ref="H437:H438" si="397">IFERROR(IF(VLOOKUP(D437,TURNOS_SERVICIOS,5,FALSE)=0,"SIN SERVICIO",VLOOKUP(D437,TURNOS_SERVICIOS,5,FALSE)),0)</f>
        <v>ARIETE 23</v>
      </c>
      <c r="I437" s="363">
        <f t="shared" ref="I437:I438" si="398">IFERROR(IF(VLOOKUP(D437,TURNOS_SERVICIOS,6,FALSE)=0,"-",VLOOKUP(D437,TURNOS_SERVICIOS,6,FALSE)),0)</f>
        <v>0.33333333333333331</v>
      </c>
      <c r="J437" s="363" t="str">
        <f t="shared" ref="J437:J438" si="399">IFERROR(IF(VLOOKUP(D437,TURNOS_SERVICIOS,7,FALSE)=0,"-",VLOOKUP(D437,TURNOS_SERVICIOS,7,FALSE)),0)</f>
        <v>NORM.</v>
      </c>
      <c r="K437" s="364">
        <f t="shared" ref="K437:K438" si="400">IFERROR(VLOOKUP(D437,TURNOS_SERVICIOS,8,FALSE),0)</f>
        <v>5</v>
      </c>
      <c r="L437" s="365" t="str">
        <f t="shared" ref="L437:L438" si="401">IFERROR(IF(VLOOKUP(D437,TURNOS_SERVICIOS,9,FALSE)=0,"",VLOOKUP(D437,TURNOS_SERVICIOS,9,FALSE)),"")</f>
        <v/>
      </c>
      <c r="N437" s="165"/>
      <c r="P437" s="167"/>
      <c r="Q437" s="167"/>
    </row>
    <row r="438" spans="1:17" s="166" customFormat="1" x14ac:dyDescent="0.45">
      <c r="A438" s="176">
        <f>IF(D438&lt;&gt;0,22,0)</f>
        <v>22</v>
      </c>
      <c r="B438" s="176"/>
      <c r="C438" s="176"/>
      <c r="D438" s="373" t="s">
        <v>2015</v>
      </c>
      <c r="E438" s="370" t="str">
        <f t="shared" si="394"/>
        <v>SUBOFICIAL VALLEJOS ELGUETA CRISTIAN</v>
      </c>
      <c r="F438" s="371" t="str">
        <f t="shared" si="395"/>
        <v>LA-044</v>
      </c>
      <c r="G438" s="371" t="str">
        <f t="shared" si="396"/>
        <v>1P</v>
      </c>
      <c r="H438" s="371" t="str">
        <f t="shared" si="397"/>
        <v>ARIETE 23</v>
      </c>
      <c r="I438" s="363">
        <f t="shared" si="398"/>
        <v>0.33333333333333331</v>
      </c>
      <c r="J438" s="363" t="str">
        <f t="shared" si="399"/>
        <v>NORM.</v>
      </c>
      <c r="K438" s="364">
        <f t="shared" si="400"/>
        <v>5</v>
      </c>
      <c r="L438" s="365" t="str">
        <f t="shared" si="401"/>
        <v/>
      </c>
      <c r="N438" s="165"/>
      <c r="P438" s="167"/>
      <c r="Q438" s="167"/>
    </row>
    <row r="439" spans="1:17" s="166" customFormat="1" hidden="1" x14ac:dyDescent="0.45">
      <c r="A439" s="176">
        <v>0</v>
      </c>
      <c r="B439" s="176"/>
      <c r="C439" s="176"/>
      <c r="D439" s="373" t="s">
        <v>2937</v>
      </c>
      <c r="E439" s="370" t="str">
        <f t="shared" ref="E439" si="402">IFERROR(IF(VLOOKUP(D439,TURNOS_SERVICIOS,2,FALSE)=0,"NO DESIGNADO",VLOOKUP(D439,TURNOS_SERVICIOS,2,FALSE)),"NO DESIGNADO")</f>
        <v>NO DESIGNADO</v>
      </c>
      <c r="F439" s="371" t="str">
        <f t="shared" ref="F439" si="403">IFERROR(IF(VLOOKUP(D439,TURNOS_SERVICIOS,3,FALSE)=0,"-",VLOOKUP(D439,TURNOS_SERVICIOS,3,FALSE)),"-")</f>
        <v>-</v>
      </c>
      <c r="G439" s="371">
        <f t="shared" ref="G439" si="404">IFERROR(IF(VLOOKUP(D439,TURNOS_SERVICIOS,4,FALSE)=0,"SIN TURNO",VLOOKUP(D439,TURNOS_SERVICIOS,4,FALSE)),0)</f>
        <v>0</v>
      </c>
      <c r="H439" s="371">
        <f t="shared" ref="H439" si="405">IFERROR(IF(VLOOKUP(D439,TURNOS_SERVICIOS,5,FALSE)=0,"SIN SERVICIO",VLOOKUP(D439,TURNOS_SERVICIOS,5,FALSE)),0)</f>
        <v>0</v>
      </c>
      <c r="I439" s="363">
        <f t="shared" ref="I439" si="406">IFERROR(IF(VLOOKUP(D439,TURNOS_SERVICIOS,6,FALSE)=0,"-",VLOOKUP(D439,TURNOS_SERVICIOS,6,FALSE)),0)</f>
        <v>0</v>
      </c>
      <c r="J439" s="363">
        <f t="shared" ref="J439" si="407">IFERROR(IF(VLOOKUP(D439,TURNOS_SERVICIOS,7,FALSE)=0,"-",VLOOKUP(D439,TURNOS_SERVICIOS,7,FALSE)),0)</f>
        <v>0</v>
      </c>
      <c r="K439" s="364">
        <f t="shared" ref="K439" si="408">IFERROR(VLOOKUP(D439,TURNOS_SERVICIOS,8,FALSE),0)</f>
        <v>0</v>
      </c>
      <c r="L439" s="365" t="str">
        <f t="shared" ref="L439" si="409">IFERROR(IF(VLOOKUP(D439,TURNOS_SERVICIOS,9,FALSE)=0,"",VLOOKUP(D439,TURNOS_SERVICIOS,9,FALSE)),"")</f>
        <v/>
      </c>
      <c r="N439" s="165"/>
      <c r="P439" s="167"/>
      <c r="Q439" s="167"/>
    </row>
    <row r="440" spans="1:17" s="166" customFormat="1" x14ac:dyDescent="0.3">
      <c r="A440" s="176">
        <v>22</v>
      </c>
      <c r="B440" s="162"/>
      <c r="C440" s="162"/>
      <c r="D440" s="1123" t="s">
        <v>1167</v>
      </c>
      <c r="E440" s="1124"/>
      <c r="F440" s="1123"/>
      <c r="G440" s="1123"/>
      <c r="H440" s="1123"/>
      <c r="I440" s="1123"/>
      <c r="J440" s="1123"/>
      <c r="K440" s="1123"/>
      <c r="L440" s="1124"/>
      <c r="N440" s="165"/>
    </row>
    <row r="441" spans="1:17" s="166" customFormat="1" x14ac:dyDescent="0.3">
      <c r="A441" s="176">
        <v>22</v>
      </c>
      <c r="B441" s="162"/>
      <c r="C441" s="162"/>
      <c r="D441" s="360" t="s">
        <v>193</v>
      </c>
      <c r="E441" s="370" t="str">
        <f>IFERROR(IF(VLOOKUP(D441,TURNOS_SERVICIOS,2,FALSE)=0,"NO DESIGNADO",VLOOKUP(D441,TURNOS_SERVICIOS,2,FALSE)),"NO DESIGNADO")</f>
        <v>SGTO 2DO. IGOR CORONADO GUSTAVO A. (L - P - T)</v>
      </c>
      <c r="F441" s="371" t="str">
        <f t="shared" ref="F441:F446" si="410">IFERROR(IF(VLOOKUP(D441,TURNOS_SERVICIOS,3,FALSE)=0,"-",VLOOKUP(D441,TURNOS_SERVICIOS,3,FALSE)),"-")</f>
        <v>B-700</v>
      </c>
      <c r="G441" s="362" t="str">
        <f t="shared" ref="G441:G446" si="411">IF(VLOOKUP(D441,TURNOS_SERVICIOS,4,FALSE)=0,"-",VLOOKUP(D441,TURNOS_SERVICIOS,4,FALSE))</f>
        <v>1P</v>
      </c>
      <c r="H441" s="362" t="str">
        <f t="shared" ref="H441:H446" si="412">IF(VLOOKUP(D441,TURNOS_SERVICIOS,5,FALSE)=0,"SIN SERVICIO",VLOOKUP(D441,TURNOS_SERVICIOS,5,FALSE))</f>
        <v>PATRULLA DE RESCATE</v>
      </c>
      <c r="I441" s="363">
        <f t="shared" ref="I441:I446" si="413">IF(VLOOKUP(D441,TURNOS_SERVICIOS,6,FALSE)=0,"-",VLOOKUP(D441,TURNOS_SERVICIOS,6,FALSE))</f>
        <v>0.33333333333333331</v>
      </c>
      <c r="J441" s="363" t="str">
        <f t="shared" ref="J441:J446" si="414">IF(VLOOKUP(D441,TURNOS_SERVICIOS,7,FALSE)=0,"-",VLOOKUP(D441,TURNOS_SERVICIOS,7,FALSE))</f>
        <v>NORM.</v>
      </c>
      <c r="K441" s="364">
        <f t="shared" ref="K441:K446" si="415">VLOOKUP(D441,TURNOS_SERVICIOS,8,FALSE)</f>
        <v>2</v>
      </c>
      <c r="L441" s="365" t="str">
        <f t="shared" ref="L441:L446" si="416">IF(VLOOKUP(D441,TURNOS_SERVICIOS,9,FALSE)=0,"",VLOOKUP(D441,TURNOS_SERVICIOS,9,FALSE))</f>
        <v/>
      </c>
      <c r="N441" s="165"/>
    </row>
    <row r="442" spans="1:17" s="166" customFormat="1" hidden="1" x14ac:dyDescent="0.3">
      <c r="A442" s="176">
        <v>0</v>
      </c>
      <c r="B442" s="162"/>
      <c r="C442" s="162"/>
      <c r="D442" s="360" t="s">
        <v>679</v>
      </c>
      <c r="E442" s="370" t="str">
        <f>IFERROR(IF(VLOOKUP(D442,TURNOS_SERVICIOS,2,FALSE)=0,"NO DESIGNADO",VLOOKUP(D442,TURNOS_SERVICIOS,2,FALSE)),"NO DESIGNADO")</f>
        <v>NO DESIGNADO</v>
      </c>
      <c r="F442" s="371" t="str">
        <f t="shared" ref="F442" si="417">IFERROR(IF(VLOOKUP(D442,TURNOS_SERVICIOS,3,FALSE)=0,"-",VLOOKUP(D442,TURNOS_SERVICIOS,3,FALSE)),"-")</f>
        <v>-</v>
      </c>
      <c r="G442" s="362" t="e">
        <f t="shared" ref="G442" si="418">IF(VLOOKUP(D442,TURNOS_SERVICIOS,4,FALSE)=0,"-",VLOOKUP(D442,TURNOS_SERVICIOS,4,FALSE))</f>
        <v>#N/A</v>
      </c>
      <c r="H442" s="362" t="e">
        <f t="shared" ref="H442" si="419">IF(VLOOKUP(D442,TURNOS_SERVICIOS,5,FALSE)=0,"SIN SERVICIO",VLOOKUP(D442,TURNOS_SERVICIOS,5,FALSE))</f>
        <v>#N/A</v>
      </c>
      <c r="I442" s="363" t="e">
        <f t="shared" ref="I442" si="420">IF(VLOOKUP(D442,TURNOS_SERVICIOS,6,FALSE)=0,"-",VLOOKUP(D442,TURNOS_SERVICIOS,6,FALSE))</f>
        <v>#N/A</v>
      </c>
      <c r="J442" s="363" t="e">
        <f t="shared" ref="J442" si="421">IF(VLOOKUP(D442,TURNOS_SERVICIOS,7,FALSE)=0,"-",VLOOKUP(D442,TURNOS_SERVICIOS,7,FALSE))</f>
        <v>#N/A</v>
      </c>
      <c r="K442" s="364" t="e">
        <f t="shared" ref="K442" si="422">VLOOKUP(D442,TURNOS_SERVICIOS,8,FALSE)</f>
        <v>#N/A</v>
      </c>
      <c r="L442" s="365" t="e">
        <f t="shared" ref="L442" si="423">IF(VLOOKUP(D442,TURNOS_SERVICIOS,9,FALSE)=0,"",VLOOKUP(D442,TURNOS_SERVICIOS,9,FALSE))</f>
        <v>#N/A</v>
      </c>
      <c r="N442" s="165"/>
    </row>
    <row r="443" spans="1:17" s="166" customFormat="1" x14ac:dyDescent="0.3">
      <c r="A443" s="176">
        <v>22</v>
      </c>
      <c r="B443" s="162"/>
      <c r="C443" s="162"/>
      <c r="D443" s="360" t="s">
        <v>770</v>
      </c>
      <c r="E443" s="370" t="str">
        <f>IFERROR(IF(VLOOKUP(D443,TURNOS_SERVICIOS,2,FALSE)=0,"NO DESIGNADO",VLOOKUP(D443,TURNOS_SERVICIOS,2,FALSE)),"NO DESIGNADO")</f>
        <v>SUBOFICIAL GUTIERREZ YAUPE GASTON GONZALO</v>
      </c>
      <c r="F443" s="371" t="str">
        <f t="shared" si="410"/>
        <v>Z-5143</v>
      </c>
      <c r="G443" s="362" t="str">
        <f t="shared" si="411"/>
        <v>1P</v>
      </c>
      <c r="H443" s="362" t="str">
        <f t="shared" si="412"/>
        <v>TRASLADO DE IMPUTADO</v>
      </c>
      <c r="I443" s="363">
        <f t="shared" si="413"/>
        <v>0.33333333333333331</v>
      </c>
      <c r="J443" s="363">
        <f t="shared" si="414"/>
        <v>0.83333333333333337</v>
      </c>
      <c r="K443" s="364">
        <f t="shared" si="415"/>
        <v>2</v>
      </c>
      <c r="L443" s="365" t="str">
        <f t="shared" si="416"/>
        <v/>
      </c>
      <c r="N443" s="165"/>
    </row>
    <row r="444" spans="1:17" s="166" customFormat="1" x14ac:dyDescent="0.3">
      <c r="A444" s="176">
        <v>22</v>
      </c>
      <c r="B444" s="162"/>
      <c r="C444" s="162"/>
      <c r="D444" s="360" t="s">
        <v>771</v>
      </c>
      <c r="E444" s="370" t="str">
        <f>IFERROR(IF(VLOOKUP(D444,TURNOS_SERVICIOS,2,FALSE)=0,"NO DESIGNADO",VLOOKUP(D444,TURNOS_SERVICIOS,2,FALSE)),"NO DESIGNADO")</f>
        <v>SGTO 1RO. FERNANDEZ MONTES JOSE DEL CARMEN</v>
      </c>
      <c r="F444" s="371" t="str">
        <f t="shared" si="410"/>
        <v>Z-5142</v>
      </c>
      <c r="G444" s="362" t="str">
        <f t="shared" si="411"/>
        <v>F</v>
      </c>
      <c r="H444" s="362" t="str">
        <f t="shared" si="412"/>
        <v>TRASLADO DE IMPUTADO</v>
      </c>
      <c r="I444" s="363" t="str">
        <f t="shared" si="413"/>
        <v xml:space="preserve"> </v>
      </c>
      <c r="J444" s="363" t="str">
        <f t="shared" si="414"/>
        <v xml:space="preserve"> </v>
      </c>
      <c r="K444" s="364">
        <f t="shared" si="415"/>
        <v>2</v>
      </c>
      <c r="L444" s="365" t="str">
        <f t="shared" si="416"/>
        <v>R. ROBERTO DEL RIO</v>
      </c>
      <c r="N444" s="165"/>
    </row>
    <row r="445" spans="1:17" s="166" customFormat="1" x14ac:dyDescent="0.3">
      <c r="A445" s="176">
        <v>22</v>
      </c>
      <c r="B445" s="162"/>
      <c r="C445" s="162"/>
      <c r="D445" s="360" t="s">
        <v>901</v>
      </c>
      <c r="E445" s="370" t="str">
        <f>IFERROR(VLOOKUP(D445,PTL_9[#All],2,FALSE),"-")</f>
        <v>CABO 1RO. ACEVEDO CEBALLOS LUIS EDUARDO</v>
      </c>
      <c r="F445" s="371" t="str">
        <f t="shared" si="410"/>
        <v>AA-054</v>
      </c>
      <c r="G445" s="362" t="str">
        <f t="shared" si="411"/>
        <v>1P</v>
      </c>
      <c r="H445" s="362" t="str">
        <f t="shared" si="412"/>
        <v>SERVICIO MEDICO</v>
      </c>
      <c r="I445" s="363">
        <f t="shared" si="413"/>
        <v>0.33333333333333331</v>
      </c>
      <c r="J445" s="363" t="str">
        <f t="shared" si="414"/>
        <v>NORM.</v>
      </c>
      <c r="K445" s="364">
        <f t="shared" si="415"/>
        <v>2</v>
      </c>
      <c r="L445" s="365" t="str">
        <f t="shared" si="416"/>
        <v/>
      </c>
      <c r="N445" s="165"/>
    </row>
    <row r="446" spans="1:17" s="166" customFormat="1" x14ac:dyDescent="0.3">
      <c r="A446" s="176">
        <v>22</v>
      </c>
      <c r="B446" s="162"/>
      <c r="C446" s="162"/>
      <c r="D446" s="360" t="s">
        <v>902</v>
      </c>
      <c r="E446" s="370" t="str">
        <f>IFERROR(VLOOKUP(D446,PTL_9[#All],2,FALSE),"-")</f>
        <v>SGTO 1RO. ARRATIA CONTRERAS CARLOS ALBERTO</v>
      </c>
      <c r="F446" s="371" t="str">
        <f t="shared" si="410"/>
        <v>AA-054</v>
      </c>
      <c r="G446" s="362" t="str">
        <f t="shared" si="411"/>
        <v>1P</v>
      </c>
      <c r="H446" s="362" t="str">
        <f t="shared" si="412"/>
        <v>SERVICIO MEDICO</v>
      </c>
      <c r="I446" s="363">
        <f t="shared" si="413"/>
        <v>0.33333333333333331</v>
      </c>
      <c r="J446" s="363" t="str">
        <f t="shared" si="414"/>
        <v>NORM.</v>
      </c>
      <c r="K446" s="364">
        <f t="shared" si="415"/>
        <v>0</v>
      </c>
      <c r="L446" s="365" t="str">
        <f t="shared" si="416"/>
        <v/>
      </c>
      <c r="N446" s="165"/>
    </row>
    <row r="447" spans="1:17" s="166" customFormat="1" x14ac:dyDescent="0.3">
      <c r="A447" s="176">
        <v>22</v>
      </c>
      <c r="B447" s="162"/>
      <c r="C447" s="162"/>
      <c r="D447" s="1123" t="s">
        <v>1679</v>
      </c>
      <c r="E447" s="1124"/>
      <c r="F447" s="1123"/>
      <c r="G447" s="1123"/>
      <c r="H447" s="1123"/>
      <c r="I447" s="1123"/>
      <c r="J447" s="1123"/>
      <c r="K447" s="1123"/>
      <c r="L447" s="1124"/>
      <c r="N447" s="165"/>
    </row>
    <row r="448" spans="1:17" s="166" customFormat="1" x14ac:dyDescent="0.3">
      <c r="A448" s="176">
        <f>IF(LEN(E448)&gt;2,22,0)</f>
        <v>22</v>
      </c>
      <c r="B448" s="162"/>
      <c r="C448" s="162"/>
      <c r="D448" s="360" t="s">
        <v>793</v>
      </c>
      <c r="E448" s="370" t="str">
        <f t="shared" ref="E448:E459" si="424">IFERROR(IF(VLOOKUP(D448,TURNOS_SERVICIOS,2,FALSE)=0,"NO DESIGNADO",VLOOKUP(D448,TURNOS_SERVICIOS,2,FALSE)),"NO DESIGNADO")</f>
        <v>SGTO 1RO. REYES MUÑOZ OSCAR</v>
      </c>
      <c r="F448" s="371" t="str">
        <f t="shared" ref="F448:F459" si="425">IFERROR(IF(VLOOKUP(D448,TURNOS_SERVICIOS,3,FALSE)=0,"-",VLOOKUP(D448,TURNOS_SERVICIOS,3,FALSE)),"-")</f>
        <v>-</v>
      </c>
      <c r="G448" s="362" t="str">
        <f t="shared" ref="G448:G459" si="426">IF(VLOOKUP(D448,TURNOS_SERVICIOS,4,FALSE)=0,"-",VLOOKUP(D448,TURNOS_SERVICIOS,4,FALSE))</f>
        <v>F</v>
      </c>
      <c r="H448" s="362" t="str">
        <f t="shared" ref="H448:H459" si="427">IF(VLOOKUP(D448,TURNOS_SERVICIOS,5,FALSE)=0,"SIN SERVICIO",VLOOKUP(D448,TURNOS_SERVICIOS,5,FALSE))</f>
        <v>GUARDIA</v>
      </c>
      <c r="I448" s="363" t="str">
        <f t="shared" ref="I448:I459" si="428">IF(VLOOKUP(D448,TURNOS_SERVICIOS,6,FALSE)=0,"-",VLOOKUP(D448,TURNOS_SERVICIOS,6,FALSE))</f>
        <v>-</v>
      </c>
      <c r="J448" s="363" t="str">
        <f t="shared" ref="J448:J459" si="429">IF(VLOOKUP(D448,TURNOS_SERVICIOS,7,FALSE)=0,"-",VLOOKUP(D448,TURNOS_SERVICIOS,7,FALSE))</f>
        <v>-</v>
      </c>
      <c r="K448" s="364">
        <f t="shared" ref="K448:K459" si="430">VLOOKUP(D448,TURNOS_SERVICIOS,8,FALSE)</f>
        <v>4</v>
      </c>
      <c r="L448" s="365" t="str">
        <f t="shared" ref="L448:L459" si="431">IF(VLOOKUP(D448,TURNOS_SERVICIOS,9,FALSE)=0,"",VLOOKUP(D448,TURNOS_SERVICIOS,9,FALSE))</f>
        <v/>
      </c>
      <c r="N448" s="165"/>
    </row>
    <row r="449" spans="1:14" s="166" customFormat="1" x14ac:dyDescent="0.3">
      <c r="A449" s="176">
        <f t="shared" ref="A449:A459" si="432">IF(LEN(E449)&gt;2,22,0)</f>
        <v>22</v>
      </c>
      <c r="B449" s="162"/>
      <c r="C449" s="162"/>
      <c r="D449" s="360" t="s">
        <v>794</v>
      </c>
      <c r="E449" s="370" t="str">
        <f t="shared" si="424"/>
        <v>SGTO 1RO. VERGARA BARRERA ROBINSON EDGARDO</v>
      </c>
      <c r="F449" s="371" t="str">
        <f t="shared" si="425"/>
        <v>-</v>
      </c>
      <c r="G449" s="362" t="str">
        <f t="shared" si="426"/>
        <v>SN</v>
      </c>
      <c r="H449" s="362" t="str">
        <f t="shared" si="427"/>
        <v>GUARDIA</v>
      </c>
      <c r="I449" s="363" t="str">
        <f t="shared" si="428"/>
        <v>-</v>
      </c>
      <c r="J449" s="363" t="str">
        <f t="shared" si="429"/>
        <v>-</v>
      </c>
      <c r="K449" s="364">
        <f t="shared" si="430"/>
        <v>4</v>
      </c>
      <c r="L449" s="365" t="str">
        <f t="shared" si="431"/>
        <v/>
      </c>
      <c r="N449" s="165"/>
    </row>
    <row r="450" spans="1:14" s="166" customFormat="1" x14ac:dyDescent="0.3">
      <c r="A450" s="176">
        <f t="shared" si="432"/>
        <v>22</v>
      </c>
      <c r="B450" s="162"/>
      <c r="C450" s="162"/>
      <c r="D450" s="360" t="s">
        <v>795</v>
      </c>
      <c r="E450" s="370" t="str">
        <f t="shared" si="424"/>
        <v>SGTO 1RO. CAYUPAN ANTIPIL CESAR ABRAHAM</v>
      </c>
      <c r="F450" s="371" t="str">
        <f t="shared" si="425"/>
        <v>-</v>
      </c>
      <c r="G450" s="362" t="str">
        <f t="shared" si="426"/>
        <v>1G</v>
      </c>
      <c r="H450" s="362" t="str">
        <f t="shared" si="427"/>
        <v>GUARDIA</v>
      </c>
      <c r="I450" s="363" t="str">
        <f t="shared" si="428"/>
        <v>08:00</v>
      </c>
      <c r="J450" s="363" t="str">
        <f t="shared" si="429"/>
        <v>20:00</v>
      </c>
      <c r="K450" s="364">
        <f t="shared" si="430"/>
        <v>4</v>
      </c>
      <c r="L450" s="365" t="str">
        <f t="shared" si="431"/>
        <v/>
      </c>
      <c r="N450" s="165"/>
    </row>
    <row r="451" spans="1:14" s="166" customFormat="1" hidden="1" x14ac:dyDescent="0.3">
      <c r="A451" s="176">
        <f t="shared" si="432"/>
        <v>22</v>
      </c>
      <c r="B451" s="162"/>
      <c r="C451" s="162"/>
      <c r="D451" s="360" t="s">
        <v>820</v>
      </c>
      <c r="E451" s="370" t="str">
        <f t="shared" si="424"/>
        <v>SGTO 2DO. NEUMANN VIDAL CRISTIAN ALEJANDRO</v>
      </c>
      <c r="F451" s="371" t="str">
        <f t="shared" si="425"/>
        <v>-</v>
      </c>
      <c r="G451" s="362" t="str">
        <f t="shared" si="426"/>
        <v>2G</v>
      </c>
      <c r="H451" s="362" t="str">
        <f t="shared" si="427"/>
        <v/>
      </c>
      <c r="I451" s="363" t="str">
        <f t="shared" si="428"/>
        <v>20:00</v>
      </c>
      <c r="J451" s="363" t="str">
        <f t="shared" si="429"/>
        <v>08:00</v>
      </c>
      <c r="K451" s="364">
        <f t="shared" si="430"/>
        <v>1</v>
      </c>
      <c r="L451" s="365" t="str">
        <f t="shared" si="431"/>
        <v/>
      </c>
      <c r="N451" s="165"/>
    </row>
    <row r="452" spans="1:14" s="166" customFormat="1" x14ac:dyDescent="0.3">
      <c r="A452" s="176">
        <f t="shared" si="432"/>
        <v>22</v>
      </c>
      <c r="B452" s="162"/>
      <c r="C452" s="162"/>
      <c r="D452" s="360" t="s">
        <v>708</v>
      </c>
      <c r="E452" s="370" t="str">
        <f>IFERROR(IF(VLOOKUP(D452,TURNOS_SERVICIOS,2,FALSE)=0,"NO DESIGNADO",VLOOKUP(D452,TURNOS_SERVICIOS,2,FALSE)),"NO DESIGNADO")</f>
        <v>SGTO 1RO. ROMERO VENEGAS SERGIO HERNAN</v>
      </c>
      <c r="F452" s="371" t="str">
        <f t="shared" si="425"/>
        <v>-</v>
      </c>
      <c r="G452" s="362" t="str">
        <f t="shared" si="426"/>
        <v>F</v>
      </c>
      <c r="H452" s="362" t="str">
        <f t="shared" si="427"/>
        <v>INTERNO</v>
      </c>
      <c r="I452" s="363" t="str">
        <f t="shared" si="428"/>
        <v>-</v>
      </c>
      <c r="J452" s="363" t="str">
        <f t="shared" si="429"/>
        <v>-</v>
      </c>
      <c r="K452" s="364">
        <f t="shared" si="430"/>
        <v>2</v>
      </c>
      <c r="L452" s="365" t="str">
        <f t="shared" si="431"/>
        <v/>
      </c>
      <c r="N452" s="165"/>
    </row>
    <row r="453" spans="1:14" s="166" customFormat="1" x14ac:dyDescent="0.3">
      <c r="A453" s="176">
        <f t="shared" si="432"/>
        <v>22</v>
      </c>
      <c r="B453" s="162"/>
      <c r="C453" s="162"/>
      <c r="D453" s="360" t="s">
        <v>705</v>
      </c>
      <c r="E453" s="370" t="str">
        <f t="shared" si="424"/>
        <v>SUBOFICIAL JARAMILLO VIDAL RUBEN PATRICIO</v>
      </c>
      <c r="F453" s="371" t="str">
        <f t="shared" si="425"/>
        <v>-</v>
      </c>
      <c r="G453" s="362" t="str">
        <f t="shared" si="426"/>
        <v>1G</v>
      </c>
      <c r="H453" s="362" t="str">
        <f t="shared" si="427"/>
        <v>INTERNO</v>
      </c>
      <c r="I453" s="363" t="str">
        <f t="shared" si="428"/>
        <v>08:00</v>
      </c>
      <c r="J453" s="363" t="str">
        <f t="shared" si="429"/>
        <v>20:00</v>
      </c>
      <c r="K453" s="364">
        <f t="shared" si="430"/>
        <v>2</v>
      </c>
      <c r="L453" s="365" t="str">
        <f t="shared" si="431"/>
        <v/>
      </c>
      <c r="N453" s="165"/>
    </row>
    <row r="454" spans="1:14" s="166" customFormat="1" x14ac:dyDescent="0.3">
      <c r="A454" s="176">
        <f t="shared" si="432"/>
        <v>22</v>
      </c>
      <c r="B454" s="162"/>
      <c r="C454" s="162"/>
      <c r="D454" s="360" t="s">
        <v>706</v>
      </c>
      <c r="E454" s="370" t="str">
        <f t="shared" si="424"/>
        <v>SGTO 2DO. LIRA MUÑOZ OSCAR FABIAN</v>
      </c>
      <c r="F454" s="371" t="str">
        <f t="shared" si="425"/>
        <v>-</v>
      </c>
      <c r="G454" s="362" t="str">
        <f t="shared" si="426"/>
        <v>2G</v>
      </c>
      <c r="H454" s="362" t="str">
        <f t="shared" si="427"/>
        <v>INTERNO</v>
      </c>
      <c r="I454" s="363" t="str">
        <f t="shared" si="428"/>
        <v>20:00</v>
      </c>
      <c r="J454" s="363" t="str">
        <f t="shared" si="429"/>
        <v>08:00</v>
      </c>
      <c r="K454" s="364">
        <f t="shared" si="430"/>
        <v>2</v>
      </c>
      <c r="L454" s="365" t="str">
        <f t="shared" si="431"/>
        <v/>
      </c>
      <c r="N454" s="165"/>
    </row>
    <row r="455" spans="1:14" s="166" customFormat="1" x14ac:dyDescent="0.3">
      <c r="A455" s="176">
        <f t="shared" si="432"/>
        <v>22</v>
      </c>
      <c r="B455" s="162"/>
      <c r="C455" s="162"/>
      <c r="D455" s="360" t="s">
        <v>707</v>
      </c>
      <c r="E455" s="370" t="str">
        <f t="shared" si="424"/>
        <v>SGTO 2DO. PILQUIMAN MANQUI MIGUEL ANGEL</v>
      </c>
      <c r="F455" s="371" t="str">
        <f t="shared" si="425"/>
        <v>-</v>
      </c>
      <c r="G455" s="362" t="str">
        <f t="shared" si="426"/>
        <v>SN</v>
      </c>
      <c r="H455" s="362" t="str">
        <f t="shared" si="427"/>
        <v>INTERNO</v>
      </c>
      <c r="I455" s="363" t="str">
        <f t="shared" si="428"/>
        <v>-</v>
      </c>
      <c r="J455" s="363" t="str">
        <f t="shared" si="429"/>
        <v>-</v>
      </c>
      <c r="K455" s="364">
        <f t="shared" si="430"/>
        <v>2</v>
      </c>
      <c r="L455" s="365" t="str">
        <f t="shared" si="431"/>
        <v/>
      </c>
      <c r="N455" s="165"/>
    </row>
    <row r="456" spans="1:14" s="166" customFormat="1" x14ac:dyDescent="0.3">
      <c r="A456" s="176">
        <f t="shared" si="432"/>
        <v>22</v>
      </c>
      <c r="B456" s="162"/>
      <c r="C456" s="162"/>
      <c r="D456" s="360" t="s">
        <v>821</v>
      </c>
      <c r="E456" s="370" t="str">
        <f t="shared" si="424"/>
        <v>CABO 1RO. GARCES ORELLANA DIEGO ANDRES</v>
      </c>
      <c r="F456" s="371" t="str">
        <f t="shared" si="425"/>
        <v>-</v>
      </c>
      <c r="G456" s="362" t="str">
        <f t="shared" si="426"/>
        <v>1P</v>
      </c>
      <c r="H456" s="362" t="str">
        <f t="shared" si="427"/>
        <v>R. RIO</v>
      </c>
      <c r="I456" s="363" t="str">
        <f t="shared" si="428"/>
        <v>08:00</v>
      </c>
      <c r="J456" s="363" t="str">
        <f t="shared" si="429"/>
        <v>20:00</v>
      </c>
      <c r="K456" s="364">
        <f t="shared" si="430"/>
        <v>2</v>
      </c>
      <c r="L456" s="365" t="str">
        <f t="shared" si="431"/>
        <v/>
      </c>
      <c r="N456" s="165"/>
    </row>
    <row r="457" spans="1:14" s="166" customFormat="1" x14ac:dyDescent="0.3">
      <c r="A457" s="176">
        <f t="shared" si="432"/>
        <v>22</v>
      </c>
      <c r="B457" s="162"/>
      <c r="C457" s="162"/>
      <c r="D457" s="360" t="s">
        <v>822</v>
      </c>
      <c r="E457" s="370" t="str">
        <f t="shared" si="424"/>
        <v>SGTO 2DO. MELLA GUTIERREZ SEBASTIAN ANDRES</v>
      </c>
      <c r="F457" s="371" t="str">
        <f t="shared" si="425"/>
        <v>-</v>
      </c>
      <c r="G457" s="362" t="str">
        <f t="shared" si="426"/>
        <v>2P</v>
      </c>
      <c r="H457" s="362" t="str">
        <f t="shared" si="427"/>
        <v>R. RIO</v>
      </c>
      <c r="I457" s="363" t="str">
        <f t="shared" si="428"/>
        <v>20:00</v>
      </c>
      <c r="J457" s="363" t="str">
        <f t="shared" si="429"/>
        <v>08:00</v>
      </c>
      <c r="K457" s="364">
        <f t="shared" si="430"/>
        <v>2</v>
      </c>
      <c r="L457" s="365" t="str">
        <f t="shared" si="431"/>
        <v/>
      </c>
      <c r="N457" s="165"/>
    </row>
    <row r="458" spans="1:14" s="166" customFormat="1" x14ac:dyDescent="0.3">
      <c r="A458" s="176">
        <f t="shared" si="432"/>
        <v>22</v>
      </c>
      <c r="B458" s="162"/>
      <c r="C458" s="162"/>
      <c r="D458" s="360" t="s">
        <v>823</v>
      </c>
      <c r="E458" s="370" t="str">
        <f t="shared" si="424"/>
        <v>SGTO 2DO. REYES CORDOVA CARLOS HUMBERTO</v>
      </c>
      <c r="F458" s="371" t="str">
        <f t="shared" si="425"/>
        <v>-</v>
      </c>
      <c r="G458" s="362" t="str">
        <f t="shared" si="426"/>
        <v>SN</v>
      </c>
      <c r="H458" s="362" t="str">
        <f t="shared" si="427"/>
        <v>R. RIO</v>
      </c>
      <c r="I458" s="363" t="str">
        <f t="shared" si="428"/>
        <v>-</v>
      </c>
      <c r="J458" s="363" t="str">
        <f t="shared" si="429"/>
        <v>-</v>
      </c>
      <c r="K458" s="364">
        <f t="shared" si="430"/>
        <v>2</v>
      </c>
      <c r="L458" s="365" t="str">
        <f t="shared" si="431"/>
        <v/>
      </c>
      <c r="N458" s="165"/>
    </row>
    <row r="459" spans="1:14" s="166" customFormat="1" x14ac:dyDescent="0.3">
      <c r="A459" s="176">
        <f t="shared" si="432"/>
        <v>22</v>
      </c>
      <c r="B459" s="162"/>
      <c r="C459" s="162"/>
      <c r="D459" s="360" t="s">
        <v>824</v>
      </c>
      <c r="E459" s="370" t="str">
        <f t="shared" si="424"/>
        <v>CABO 1RO. PACHECO CIFUENTES HUMBERTO ARIEL</v>
      </c>
      <c r="F459" s="371" t="str">
        <f t="shared" si="425"/>
        <v>-</v>
      </c>
      <c r="G459" s="362" t="str">
        <f t="shared" si="426"/>
        <v>F</v>
      </c>
      <c r="H459" s="362" t="str">
        <f t="shared" si="427"/>
        <v>R. RIO</v>
      </c>
      <c r="I459" s="363" t="str">
        <f t="shared" si="428"/>
        <v>-</v>
      </c>
      <c r="J459" s="363" t="str">
        <f t="shared" si="429"/>
        <v>-</v>
      </c>
      <c r="K459" s="364">
        <f t="shared" si="430"/>
        <v>2</v>
      </c>
      <c r="L459" s="365" t="str">
        <f t="shared" si="431"/>
        <v/>
      </c>
      <c r="N459" s="165"/>
    </row>
    <row r="460" spans="1:14" s="166" customFormat="1" x14ac:dyDescent="0.3">
      <c r="A460" s="176">
        <v>22</v>
      </c>
      <c r="B460" s="162"/>
      <c r="C460" s="162"/>
      <c r="D460" s="1123"/>
      <c r="E460" s="1124"/>
      <c r="F460" s="1123"/>
      <c r="G460" s="1123"/>
      <c r="H460" s="1123"/>
      <c r="I460" s="1123"/>
      <c r="J460" s="1123"/>
      <c r="K460" s="1123"/>
      <c r="L460" s="1124"/>
      <c r="N460" s="165"/>
    </row>
    <row r="461" spans="1:14" ht="28.8" x14ac:dyDescent="0.55000000000000004">
      <c r="A461" s="176">
        <v>22</v>
      </c>
      <c r="D461" s="354"/>
      <c r="E461" s="354"/>
      <c r="F461" s="355"/>
      <c r="G461" s="355"/>
      <c r="H461" s="355"/>
      <c r="I461" s="355"/>
      <c r="J461" s="355"/>
      <c r="K461" s="355"/>
      <c r="L461" s="356"/>
    </row>
    <row r="462" spans="1:14" ht="28.8" x14ac:dyDescent="0.55000000000000004">
      <c r="A462" s="176">
        <v>22</v>
      </c>
      <c r="D462" s="354"/>
      <c r="E462" s="354"/>
      <c r="F462" s="355"/>
      <c r="G462" s="355"/>
      <c r="H462" s="355"/>
      <c r="I462" s="355"/>
      <c r="J462" s="355"/>
      <c r="K462" s="355"/>
      <c r="L462" s="356"/>
    </row>
    <row r="463" spans="1:14" ht="28.8" x14ac:dyDescent="0.55000000000000004">
      <c r="A463" s="176">
        <v>22</v>
      </c>
      <c r="D463" s="354"/>
      <c r="E463" s="354"/>
      <c r="F463" s="355"/>
      <c r="G463" s="355"/>
      <c r="H463" s="355"/>
      <c r="I463" s="355"/>
      <c r="J463" s="355"/>
      <c r="K463" s="355"/>
      <c r="L463" s="357" t="str">
        <f>Datos!Z3</f>
        <v>JORGE A. DIAZ CASTAÑEDA</v>
      </c>
    </row>
    <row r="464" spans="1:14" ht="28.8" x14ac:dyDescent="0.55000000000000004">
      <c r="A464" s="176">
        <v>22</v>
      </c>
      <c r="D464" s="354"/>
      <c r="E464" s="354"/>
      <c r="F464" s="355"/>
      <c r="G464" s="355"/>
      <c r="H464" s="355"/>
      <c r="I464" s="355"/>
      <c r="J464" s="355"/>
      <c r="K464" s="355"/>
      <c r="L464" s="358" t="str">
        <f>Datos!Z4&amp;" de Carabineros"</f>
        <v>MAYOR de Carabineros</v>
      </c>
    </row>
    <row r="465" spans="1:12" ht="28.8" x14ac:dyDescent="0.55000000000000004">
      <c r="A465" s="176">
        <v>22</v>
      </c>
      <c r="D465" s="354"/>
      <c r="E465" s="354"/>
      <c r="F465" s="355"/>
      <c r="G465" s="355"/>
      <c r="H465" s="355"/>
      <c r="I465" s="355"/>
      <c r="J465" s="355"/>
      <c r="K465" s="355"/>
      <c r="L465" s="357" t="str">
        <f>Datos!Z5</f>
        <v>JEFE OPERATIVO</v>
      </c>
    </row>
    <row r="466" spans="1:12" ht="28.8" x14ac:dyDescent="0.55000000000000004">
      <c r="A466" s="176">
        <v>22</v>
      </c>
      <c r="D466" s="354"/>
      <c r="E466" s="354"/>
      <c r="F466" s="355"/>
      <c r="G466" s="355"/>
      <c r="H466" s="355"/>
      <c r="I466" s="355"/>
      <c r="J466" s="355"/>
      <c r="K466" s="355"/>
      <c r="L466" s="356"/>
    </row>
    <row r="467" spans="1:12" ht="28.8" x14ac:dyDescent="0.55000000000000004">
      <c r="A467" s="176">
        <v>22</v>
      </c>
      <c r="D467" s="354"/>
      <c r="E467" s="354"/>
      <c r="F467" s="355"/>
      <c r="G467" s="355"/>
      <c r="H467" s="355"/>
      <c r="I467" s="355"/>
      <c r="J467" s="355"/>
      <c r="K467" s="355"/>
      <c r="L467" s="356"/>
    </row>
    <row r="468" spans="1:12" ht="28.8" x14ac:dyDescent="0.55000000000000004">
      <c r="A468" s="176">
        <v>22</v>
      </c>
      <c r="D468" s="1125" t="str">
        <f ca="1">CONCATENATE("Confeccionado por ",'Panel de Trabajo'!$D$2," ",TEXT(TODAY(),"dddd"),", ",TEXT(TODAY(),"dd")," ",TEXT(TODAY(),"mmmm")," del año ",TEXT(TODAY(),"yyyyy"),", ",TEXT(NOW(),"hh:mm")," Horas.")</f>
        <v>Confeccionado por SGTO 2DO. CARLOS SANTIBAÑEZ SERRANO - OF. OPERACIONES viernes, 05 abril del año 2024, 16:01 Horas.</v>
      </c>
      <c r="E468" s="1126"/>
      <c r="F468" s="1125"/>
      <c r="G468" s="1125"/>
      <c r="H468" s="1125"/>
      <c r="I468" s="1125"/>
      <c r="J468" s="1125"/>
      <c r="K468" s="1125"/>
      <c r="L468" s="1126"/>
    </row>
  </sheetData>
  <autoFilter ref="A1:N468" xr:uid="{00000000-0009-0000-0000-000004000000}">
    <filterColumn colId="0">
      <filters>
        <filter val="22"/>
      </filters>
    </filterColumn>
  </autoFilter>
  <mergeCells count="47">
    <mergeCell ref="D52:L52"/>
    <mergeCell ref="J4:L6"/>
    <mergeCell ref="D8:D9"/>
    <mergeCell ref="E8:E9"/>
    <mergeCell ref="F8:F9"/>
    <mergeCell ref="G8:G9"/>
    <mergeCell ref="H8:H9"/>
    <mergeCell ref="I8:J8"/>
    <mergeCell ref="K8:K9"/>
    <mergeCell ref="L8:L9"/>
    <mergeCell ref="D10:L10"/>
    <mergeCell ref="D15:L15"/>
    <mergeCell ref="D17:L17"/>
    <mergeCell ref="D23:L23"/>
    <mergeCell ref="D42:L42"/>
    <mergeCell ref="D149:L149"/>
    <mergeCell ref="D58:L58"/>
    <mergeCell ref="D64:L64"/>
    <mergeCell ref="D70:L70"/>
    <mergeCell ref="D76:L76"/>
    <mergeCell ref="D82:L82"/>
    <mergeCell ref="D89:L89"/>
    <mergeCell ref="D99:L99"/>
    <mergeCell ref="D110:L110"/>
    <mergeCell ref="D120:L120"/>
    <mergeCell ref="D130:L130"/>
    <mergeCell ref="D139:L139"/>
    <mergeCell ref="D275:L275"/>
    <mergeCell ref="D158:L158"/>
    <mergeCell ref="D164:L164"/>
    <mergeCell ref="D169:L169"/>
    <mergeCell ref="D175:L175"/>
    <mergeCell ref="D181:L181"/>
    <mergeCell ref="D193:L193"/>
    <mergeCell ref="D202:L202"/>
    <mergeCell ref="D207:L207"/>
    <mergeCell ref="D212:L212"/>
    <mergeCell ref="D233:L233"/>
    <mergeCell ref="D254:L254"/>
    <mergeCell ref="D460:L460"/>
    <mergeCell ref="D468:L468"/>
    <mergeCell ref="D306:L306"/>
    <mergeCell ref="D326:L326"/>
    <mergeCell ref="D329:L329"/>
    <mergeCell ref="D351:L351"/>
    <mergeCell ref="D440:L440"/>
    <mergeCell ref="D447:L447"/>
  </mergeCells>
  <phoneticPr fontId="13" type="noConversion"/>
  <pageMargins left="0.23622047244094491" right="0.23622047244094491" top="0.74803149606299213" bottom="0.74803149606299213" header="0.31496062992125984" footer="0.31496062992125984"/>
  <pageSetup paperSize="9" scale="25" orientation="portrait" r:id="rId1"/>
  <rowBreaks count="2" manualBreakCount="2">
    <brk id="268" min="3" max="11" man="1"/>
    <brk id="345" min="3" max="11" man="1"/>
  </row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rgb="FF00B050"/>
  </sheetPr>
  <dimension ref="A1:Q734"/>
  <sheetViews>
    <sheetView showRuler="0" topLeftCell="C52" zoomScale="60" zoomScaleNormal="60" zoomScaleSheetLayoutView="70" zoomScalePageLayoutView="55" workbookViewId="0">
      <selection activeCell="D81" sqref="D81"/>
    </sheetView>
  </sheetViews>
  <sheetFormatPr baseColWidth="10" defaultColWidth="20.33203125" defaultRowHeight="14.4" x14ac:dyDescent="0.3"/>
  <cols>
    <col min="1" max="1" width="20.33203125" style="24" hidden="1" customWidth="1"/>
    <col min="2" max="2" width="16.5546875" style="21" hidden="1" customWidth="1"/>
    <col min="3" max="3" width="15.88671875" style="586" customWidth="1"/>
    <col min="4" max="4" width="81.33203125" style="438" bestFit="1" customWidth="1"/>
    <col min="5" max="5" width="16.6640625" style="202" customWidth="1"/>
    <col min="6" max="6" width="14.109375" style="23" customWidth="1"/>
    <col min="7" max="7" width="45.109375" style="412" bestFit="1" customWidth="1"/>
    <col min="8" max="8" width="9.6640625" style="50" customWidth="1"/>
    <col min="9" max="9" width="12.6640625" style="50" bestFit="1" customWidth="1"/>
    <col min="10" max="10" width="12.6640625" style="61" bestFit="1" customWidth="1"/>
    <col min="11" max="11" width="28.33203125" style="415" customWidth="1"/>
    <col min="12" max="12" width="18.88671875" style="17" bestFit="1" customWidth="1"/>
    <col min="13" max="13" width="2.6640625" style="22" customWidth="1"/>
    <col min="14" max="14" width="17.5546875" style="23" customWidth="1"/>
    <col min="15" max="15" width="17.6640625" style="24" bestFit="1" customWidth="1"/>
    <col min="16" max="16" width="20.33203125" style="22"/>
    <col min="17" max="17" width="2" style="24" bestFit="1" customWidth="1"/>
    <col min="18" max="16384" width="20.33203125" style="24"/>
  </cols>
  <sheetData>
    <row r="1" spans="1:16" x14ac:dyDescent="0.3">
      <c r="D1" s="428"/>
      <c r="E1" s="23"/>
      <c r="F1" s="53"/>
      <c r="G1" s="416"/>
      <c r="H1" s="45"/>
      <c r="I1" s="45"/>
      <c r="J1" s="53"/>
      <c r="K1" s="27" t="s">
        <v>1547</v>
      </c>
      <c r="N1" s="963"/>
      <c r="P1" s="24"/>
    </row>
    <row r="2" spans="1:16" ht="22.8" x14ac:dyDescent="0.3">
      <c r="C2" s="41" t="s">
        <v>1214</v>
      </c>
      <c r="D2" s="29" t="s">
        <v>3154</v>
      </c>
      <c r="E2" s="23"/>
      <c r="F2" s="53"/>
      <c r="G2" s="416"/>
      <c r="H2" s="45"/>
      <c r="I2" s="45"/>
      <c r="J2" s="53"/>
      <c r="K2" s="500"/>
      <c r="P2" s="24"/>
    </row>
    <row r="3" spans="1:16" ht="21.6" customHeight="1" x14ac:dyDescent="0.3">
      <c r="C3" s="41" t="s">
        <v>1165</v>
      </c>
      <c r="D3" s="429">
        <f>'Tabla de Servicio'!B2</f>
        <v>45388</v>
      </c>
      <c r="E3" s="23"/>
      <c r="F3" s="53"/>
      <c r="G3" s="416"/>
      <c r="H3" s="45"/>
      <c r="I3" s="45"/>
      <c r="J3" s="53"/>
      <c r="K3" s="412"/>
      <c r="P3" s="24"/>
    </row>
    <row r="4" spans="1:16" x14ac:dyDescent="0.3">
      <c r="D4" s="428"/>
      <c r="E4" s="23"/>
      <c r="F4" s="53"/>
      <c r="G4" s="416"/>
      <c r="H4" s="45"/>
      <c r="I4" s="45"/>
      <c r="J4" s="53"/>
      <c r="K4" s="412"/>
      <c r="P4" s="24"/>
    </row>
    <row r="5" spans="1:16" ht="18" x14ac:dyDescent="0.3">
      <c r="C5" s="587"/>
      <c r="D5" s="142"/>
      <c r="E5" s="159" t="s">
        <v>896</v>
      </c>
      <c r="F5" s="145"/>
      <c r="G5" s="417"/>
      <c r="H5" s="144"/>
      <c r="I5" s="144"/>
      <c r="J5" s="145"/>
      <c r="K5" s="142"/>
      <c r="P5" s="24"/>
    </row>
    <row r="6" spans="1:16" x14ac:dyDescent="0.3">
      <c r="C6" s="588" t="s">
        <v>886</v>
      </c>
      <c r="D6" s="430" t="s">
        <v>838</v>
      </c>
      <c r="E6" s="18" t="s">
        <v>888</v>
      </c>
      <c r="F6" s="54" t="s">
        <v>831</v>
      </c>
      <c r="G6" s="418" t="s">
        <v>118</v>
      </c>
      <c r="H6" s="46" t="s">
        <v>889</v>
      </c>
      <c r="I6" s="46" t="s">
        <v>890</v>
      </c>
      <c r="J6" s="54" t="s">
        <v>887</v>
      </c>
      <c r="K6" s="413" t="s">
        <v>747</v>
      </c>
      <c r="P6" s="24"/>
    </row>
    <row r="7" spans="1:16" x14ac:dyDescent="0.3">
      <c r="C7" s="589" t="s">
        <v>819</v>
      </c>
      <c r="D7" s="431" t="str">
        <f>IFERROR(VLOOKUP(MANDO_REPARTICION[[#This Row],[SIGLA]],JEFES_1,3,FALSE)&amp;" "&amp;VLOOKUP(MANDO_REPARTICION[[#This Row],[SIGLA]],JEFES_1,2,FALSE),"-")</f>
        <v>CORONEL BASCUR VILLAGRAN GERARDO ANTONIO</v>
      </c>
      <c r="E7" s="203" t="s">
        <v>663</v>
      </c>
      <c r="F7" s="59" t="str">
        <f>VLOOKUP(C7,'Tabla de Servicio'!$DX$8:$DY$150,2,0)</f>
        <v>F</v>
      </c>
      <c r="G7" s="419" t="str">
        <f>VLOOKUP(C7,'Tabla de Servicio'!$DX$8:$DZ$150,3,0)</f>
        <v>PREFECTO</v>
      </c>
      <c r="H7" s="47" t="s">
        <v>663</v>
      </c>
      <c r="I7" s="47" t="s">
        <v>663</v>
      </c>
      <c r="J7" s="55">
        <f>COUNTIF(BD_PRINCIPAL[DOTACIÓN ACTUAL],MANDO_REPARTICION[[#This Row],[SIGLA]])+COUNTIF(BD_PRINCIPAL[DOTACIÓN ACTUAL],VLOOKUP(MANDO_REPARTICION[[#This Row],[SIGLA]],ENCUADRE_PTR,2,0))</f>
        <v>4</v>
      </c>
      <c r="K7" s="302"/>
      <c r="P7" s="24"/>
    </row>
    <row r="8" spans="1:16" x14ac:dyDescent="0.3">
      <c r="C8" s="589" t="s">
        <v>694</v>
      </c>
      <c r="D8" s="431" t="str">
        <f>IFERROR(VLOOKUP(MANDO_REPARTICION[[#This Row],[SIGLA]],JEFES_1,3,FALSE)&amp;" "&amp;VLOOKUP(MANDO_REPARTICION[[#This Row],[SIGLA]],JEFES_1,2,FALSE),"-")</f>
        <v>TTE. CRL. MATUS TORRES CRISTIAN GABRIEL GASTON</v>
      </c>
      <c r="E8" s="204" t="s">
        <v>663</v>
      </c>
      <c r="F8" s="59" t="str">
        <f>VLOOKUP(C8,'Tabla de Servicio'!$DX$8:$DY$150,2,0)</f>
        <v>F</v>
      </c>
      <c r="G8" s="419" t="str">
        <f>VLOOKUP(C8,'Tabla de Servicio'!$DX$8:$DZ$150,3,0)</f>
        <v>SUBPREF. SERV. 1</v>
      </c>
      <c r="H8" s="47" t="s">
        <v>663</v>
      </c>
      <c r="I8" s="47" t="s">
        <v>663</v>
      </c>
      <c r="J8" s="56">
        <f>COUNTIF(BD_PRINCIPAL[DOTACIÓN ACTUAL],MANDO_REPARTICION[[#This Row],[SIGLA]])+COUNTIF(BD_PRINCIPAL[DOTACIÓN ACTUAL],VLOOKUP(MANDO_REPARTICION[[#This Row],[SIGLA]],ENCUADRE_PTR,2,0))</f>
        <v>4</v>
      </c>
      <c r="K8" s="303"/>
      <c r="P8" s="24"/>
    </row>
    <row r="9" spans="1:16" x14ac:dyDescent="0.3">
      <c r="C9" s="589" t="s">
        <v>695</v>
      </c>
      <c r="D9" s="431" t="str">
        <f>IFERROR(VLOOKUP(MANDO_REPARTICION[[#This Row],[SIGLA]],JEFES_1,3,FALSE)&amp;" "&amp;VLOOKUP(MANDO_REPARTICION[[#This Row],[SIGLA]],JEFES_1,2,FALSE),"-")</f>
        <v>TTE. CRL. NORAMBUENA CONEJEROS CRISTIAN HERNAN</v>
      </c>
      <c r="E9" s="204" t="s">
        <v>663</v>
      </c>
      <c r="F9" s="59" t="str">
        <f>VLOOKUP(C9,'Tabla de Servicio'!$DX$8:$DY$150,2,0)</f>
        <v>F</v>
      </c>
      <c r="G9" s="419" t="str">
        <f>VLOOKUP(C9,'Tabla de Servicio'!$DX$8:$DZ$150,3,0)</f>
        <v>SUBPREF. SERV. 2</v>
      </c>
      <c r="H9" s="47" t="s">
        <v>663</v>
      </c>
      <c r="I9" s="47" t="s">
        <v>663</v>
      </c>
      <c r="J9" s="56">
        <f>COUNTIF(BD_PRINCIPAL[DOTACIÓN ACTUAL],MANDO_REPARTICION[[#This Row],[SIGLA]])+COUNTIF(BD_PRINCIPAL[DOTACIÓN ACTUAL],VLOOKUP(MANDO_REPARTICION[[#This Row],[SIGLA]],ENCUADRE_PTR,2,0))</f>
        <v>4</v>
      </c>
      <c r="K9" s="303" t="s">
        <v>663</v>
      </c>
      <c r="P9" s="24"/>
    </row>
    <row r="10" spans="1:16" x14ac:dyDescent="0.3">
      <c r="C10" s="589" t="s">
        <v>696</v>
      </c>
      <c r="D10" s="431" t="str">
        <f>IFERROR(VLOOKUP(MANDO_REPARTICION[[#This Row],[SIGLA]],JEFES_1,3,FALSE)&amp;" "&amp;VLOOKUP(MANDO_REPARTICION[[#This Row],[SIGLA]],JEFES_1,2,FALSE),"-")</f>
        <v>TTE. CRL. FEBRE SANTIS FRANCISCO JAVIER</v>
      </c>
      <c r="E10" s="868" t="s">
        <v>893</v>
      </c>
      <c r="F10" s="59" t="str">
        <f>VLOOKUP(C10,'Tabla de Servicio'!$DX$8:$DY$150,2,0)</f>
        <v>1P</v>
      </c>
      <c r="G10" s="419" t="str">
        <f>VLOOKUP(C10,'Tabla de Servicio'!$DX$8:$DZ$150,3,0)</f>
        <v>SUBPREF. ADM.</v>
      </c>
      <c r="H10" s="47">
        <v>0.33333333333333331</v>
      </c>
      <c r="I10" s="47" t="s">
        <v>840</v>
      </c>
      <c r="J10" s="56">
        <f>COUNTIF(BD_PRINCIPAL[DOTACIÓN ACTUAL],MANDO_REPARTICION[[#This Row],[SIGLA]])+COUNTIF(BD_PRINCIPAL[DOTACIÓN ACTUAL],VLOOKUP(MANDO_REPARTICION[[#This Row],[SIGLA]],ENCUADRE_PTR,2,0))</f>
        <v>3</v>
      </c>
      <c r="K10" s="302" t="s">
        <v>3575</v>
      </c>
      <c r="P10" s="24"/>
    </row>
    <row r="11" spans="1:16" x14ac:dyDescent="0.3">
      <c r="C11" s="589" t="s">
        <v>697</v>
      </c>
      <c r="D11" s="431" t="str">
        <f>IFERROR(VLOOKUP(MANDO_REPARTICION[[#This Row],[SIGLA]],JEFES_1,3,FALSE)&amp;" "&amp;VLOOKUP(MANDO_REPARTICION[[#This Row],[SIGLA]],JEFES_1,2,FALSE),"-")</f>
        <v>-</v>
      </c>
      <c r="E11" s="205"/>
      <c r="F11" s="59" t="str">
        <f>VLOOKUP(C11,'Tabla de Servicio'!$DX$8:$DY$150,2,0)</f>
        <v/>
      </c>
      <c r="G11" s="419" t="str">
        <f>VLOOKUP(C11,'Tabla de Servicio'!$DX$8:$DZ$150,3,0)</f>
        <v/>
      </c>
      <c r="H11" s="48"/>
      <c r="I11" s="48"/>
      <c r="J11" s="57">
        <f>COUNTIF(BD_PRINCIPAL[DOTACIÓN ACTUAL],MANDO_REPARTICION[[#This Row],[SIGLA]])+COUNTIF(BD_PRINCIPAL[DOTACIÓN ACTUAL],VLOOKUP(MANDO_REPARTICION[[#This Row],[SIGLA]],ENCUADRE_PTR,2,0))</f>
        <v>0</v>
      </c>
      <c r="K11" s="322"/>
      <c r="P11" s="24"/>
    </row>
    <row r="12" spans="1:16" ht="18" x14ac:dyDescent="0.3">
      <c r="C12" s="587"/>
      <c r="D12" s="142"/>
      <c r="E12" s="159" t="s">
        <v>897</v>
      </c>
      <c r="F12" s="145"/>
      <c r="G12" s="417"/>
      <c r="H12" s="144"/>
      <c r="I12" s="144"/>
      <c r="J12" s="145"/>
      <c r="K12" s="142"/>
      <c r="P12" s="24"/>
    </row>
    <row r="13" spans="1:16" x14ac:dyDescent="0.3">
      <c r="C13" s="590" t="s">
        <v>886</v>
      </c>
      <c r="D13" s="432" t="s">
        <v>838</v>
      </c>
      <c r="E13" s="18" t="s">
        <v>888</v>
      </c>
      <c r="F13" s="54" t="s">
        <v>831</v>
      </c>
      <c r="G13" s="418" t="s">
        <v>118</v>
      </c>
      <c r="H13" s="46" t="s">
        <v>889</v>
      </c>
      <c r="I13" s="46" t="s">
        <v>890</v>
      </c>
      <c r="J13" s="54" t="s">
        <v>887</v>
      </c>
      <c r="K13" s="413" t="s">
        <v>663</v>
      </c>
      <c r="L13" s="17" t="s">
        <v>1957</v>
      </c>
      <c r="P13" s="24"/>
    </row>
    <row r="14" spans="1:16" ht="27.6" customHeight="1" x14ac:dyDescent="0.3">
      <c r="A14" s="21"/>
      <c r="B14" s="21" t="str">
        <f>$L14&amp;" "&amp;COUNTIF($L$14:L14,L14)</f>
        <v xml:space="preserve"> 0</v>
      </c>
      <c r="C14" s="589" t="s">
        <v>781</v>
      </c>
      <c r="D14" s="431" t="str">
        <f>IFERROR(VLOOKUP(MANDO_UNIDAD[[#This Row],[SIGLA]],JEFES_1,3,FALSE)&amp;" "&amp;VLOOKUP(MANDO_UNIDAD[[#This Row],[SIGLA]],JEFES_1,2,FALSE),"-")</f>
        <v>MAYOR NAZAR OSSA JOAQUIN PAULO</v>
      </c>
      <c r="E14" s="204" t="s">
        <v>1054</v>
      </c>
      <c r="F14" s="59" t="str">
        <f>VLOOKUP(C14,'Tabla de Servicio'!$DX$8:$DY$150,2,0)</f>
        <v>1P</v>
      </c>
      <c r="G14" s="419" t="str">
        <f>VLOOKUP(C14,'Tabla de Servicio'!$DX$8:$DZ$150,3,0)</f>
        <v>COMISARIO</v>
      </c>
      <c r="H14" s="47">
        <v>0.33333333333333331</v>
      </c>
      <c r="I14" s="47" t="s">
        <v>840</v>
      </c>
      <c r="J14" s="55">
        <f>COUNTIF(BD_PRINCIPAL[DOTACIÓN ACTUAL],MANDO_UNIDAD[[#This Row],[SIGLA]])+COUNTIF(BD_PRINCIPAL[DOTACIÓN ACTUAL],VLOOKUP(MANDO_UNIDAD[[#This Row],[SIGLA]],ENCUADRE_PTR,2,0))</f>
        <v>4</v>
      </c>
      <c r="K14" s="302" t="s">
        <v>3416</v>
      </c>
      <c r="P14" s="24"/>
    </row>
    <row r="15" spans="1:16" x14ac:dyDescent="0.3">
      <c r="A15" s="21"/>
      <c r="B15" s="21" t="str">
        <f>$L15&amp;" "&amp;COUNTIF($L$14:L15,L15)</f>
        <v xml:space="preserve"> 0</v>
      </c>
      <c r="C15" s="589" t="s">
        <v>709</v>
      </c>
      <c r="D15" s="431" t="str">
        <f>IFERROR(VLOOKUP(MANDO_UNIDAD[[#This Row],[SIGLA]],JEFES_1,3,FALSE)&amp;" "&amp;VLOOKUP(MANDO_UNIDAD[[#This Row],[SIGLA]],JEFES_1,2,FALSE),"-")</f>
        <v>-</v>
      </c>
      <c r="E15" s="204"/>
      <c r="F15" s="199" t="str">
        <f>VLOOKUP(C15,'Tabla de Servicio'!$DX$8:$DY$150,2,0)</f>
        <v>F</v>
      </c>
      <c r="G15" s="419" t="str">
        <f>VLOOKUP(C15,'Tabla de Servicio'!$DX$8:$DZ$150,3,0)</f>
        <v xml:space="preserve">JEFE OPERATIVO </v>
      </c>
      <c r="H15" s="47" t="s">
        <v>663</v>
      </c>
      <c r="I15" s="47" t="s">
        <v>663</v>
      </c>
      <c r="J15" s="56">
        <f>COUNTIF(BD_PRINCIPAL[DOTACIÓN ACTUAL],MANDO_UNIDAD[[#This Row],[SIGLA]])+COUNTIF(BD_PRINCIPAL[DOTACIÓN ACTUAL],VLOOKUP(MANDO_UNIDAD[[#This Row],[SIGLA]],ENCUADRE_PTR,2,0))</f>
        <v>0</v>
      </c>
      <c r="K15" s="301"/>
      <c r="P15" s="24"/>
    </row>
    <row r="16" spans="1:16" x14ac:dyDescent="0.3">
      <c r="A16" s="21"/>
      <c r="B16" s="21" t="str">
        <f>$L16&amp;" "&amp;COUNTIF($L$14:L16,L16)</f>
        <v xml:space="preserve"> 0</v>
      </c>
      <c r="C16" s="589" t="s">
        <v>710</v>
      </c>
      <c r="D16" s="431" t="str">
        <f>IFERROR(VLOOKUP(MANDO_UNIDAD[[#This Row],[SIGLA]],JEFES_1,3,FALSE)&amp;" "&amp;VLOOKUP(MANDO_UNIDAD[[#This Row],[SIGLA]],JEFES_1,2,FALSE),"-")</f>
        <v>CAPITÁN ANDERS CONTRERAS LEONARDO IGNACIO</v>
      </c>
      <c r="E16" s="448"/>
      <c r="F16" s="199" t="str">
        <f>VLOOKUP(C16,'Tabla de Servicio'!$DX$8:$DY$150,2,0)</f>
        <v>F</v>
      </c>
      <c r="G16" s="419" t="str">
        <f>VLOOKUP(C16,'Tabla de Servicio'!$DX$8:$DZ$150,3,0)</f>
        <v xml:space="preserve">SUBCOM. SERV </v>
      </c>
      <c r="H16" s="47" t="s">
        <v>663</v>
      </c>
      <c r="I16" s="47" t="s">
        <v>663</v>
      </c>
      <c r="J16" s="56">
        <f>COUNTIF(BD_PRINCIPAL[DOTACIÓN ACTUAL],MANDO_UNIDAD[[#This Row],[SIGLA]])+COUNTIF(BD_PRINCIPAL[DOTACIÓN ACTUAL],VLOOKUP(MANDO_UNIDAD[[#This Row],[SIGLA]],ENCUADRE_PTR,2,0))</f>
        <v>3</v>
      </c>
      <c r="K16" s="301"/>
      <c r="P16" s="24"/>
    </row>
    <row r="17" spans="1:16" x14ac:dyDescent="0.3">
      <c r="A17" s="21"/>
      <c r="B17" s="21" t="str">
        <f>$L17&amp;" "&amp;COUNTIF($L$14:L17,L17)</f>
        <v xml:space="preserve"> 0</v>
      </c>
      <c r="C17" s="589" t="s">
        <v>698</v>
      </c>
      <c r="D17" s="431" t="str">
        <f>IFERROR(VLOOKUP(MANDO_UNIDAD[[#This Row],[SIGLA]],JEFES_1,3,FALSE)&amp;" "&amp;VLOOKUP(MANDO_UNIDAD[[#This Row],[SIGLA]],JEFES_1,2,FALSE),"-")</f>
        <v>CAPITÁN ACEVEDO MORALES ANGELO FELIPE</v>
      </c>
      <c r="E17" s="868" t="s">
        <v>663</v>
      </c>
      <c r="F17" s="199" t="str">
        <f>VLOOKUP(C17,'Tabla de Servicio'!$DX$8:$DY$150,2,0)</f>
        <v>F</v>
      </c>
      <c r="G17" s="419" t="str">
        <f>VLOOKUP(C17,'Tabla de Servicio'!$DX$8:$DZ$150,3,0)</f>
        <v>SUBCOM.  ADM.</v>
      </c>
      <c r="H17" s="47" t="s">
        <v>663</v>
      </c>
      <c r="I17" s="47" t="s">
        <v>663</v>
      </c>
      <c r="J17" s="56">
        <f>COUNTIF(BD_PRINCIPAL[DOTACIÓN ACTUAL],MANDO_UNIDAD[[#This Row],[SIGLA]])+COUNTIF(BD_PRINCIPAL[DOTACIÓN ACTUAL],VLOOKUP(MANDO_UNIDAD[[#This Row],[SIGLA]],ENCUADRE_PTR,2,0))</f>
        <v>3</v>
      </c>
      <c r="K17" s="302" t="s">
        <v>663</v>
      </c>
      <c r="P17" s="24"/>
    </row>
    <row r="18" spans="1:16" x14ac:dyDescent="0.3">
      <c r="A18" s="21"/>
      <c r="B18" s="21" t="str">
        <f>$L18&amp;" "&amp;COUNTIF($L$14:L18,L18)</f>
        <v xml:space="preserve"> 0</v>
      </c>
      <c r="C18" s="589" t="s">
        <v>699</v>
      </c>
      <c r="D18" s="431" t="str">
        <f>IFERROR(VLOOKUP(MANDO_UNIDAD[[#This Row],[SIGLA]],JEFES_1,3,FALSE)&amp;" "&amp;VLOOKUP(MANDO_UNIDAD[[#This Row],[SIGLA]],JEFES_1,2,FALSE),"-")</f>
        <v>-</v>
      </c>
      <c r="E18" s="204"/>
      <c r="F18" s="199" t="str">
        <f>VLOOKUP(C18,'Tabla de Servicio'!$DX$8:$DY$150,2,0)</f>
        <v/>
      </c>
      <c r="G18" s="419" t="str">
        <f>VLOOKUP(C18,'Tabla de Servicio'!$DX$8:$DZ$150,3,0)</f>
        <v/>
      </c>
      <c r="H18" s="47"/>
      <c r="I18" s="47"/>
      <c r="J18" s="57">
        <f>COUNTIF(BD_PRINCIPAL[DOTACIÓN ACTUAL],MANDO_UNIDAD[[#This Row],[SIGLA]])+COUNTIF(BD_PRINCIPAL[DOTACIÓN ACTUAL],VLOOKUP(MANDO_UNIDAD[[#This Row],[SIGLA]],ENCUADRE_PTR,2,0))</f>
        <v>0</v>
      </c>
      <c r="K18" s="302"/>
      <c r="P18" s="24"/>
    </row>
    <row r="19" spans="1:16" ht="18" x14ac:dyDescent="0.3">
      <c r="A19" s="21"/>
      <c r="B19" s="21" t="str">
        <f>$L19&amp;" "&amp;COUNTIF($L$14:L19,L19)</f>
        <v xml:space="preserve"> 0</v>
      </c>
      <c r="C19" s="587"/>
      <c r="D19" s="142"/>
      <c r="E19" s="159" t="s">
        <v>898</v>
      </c>
      <c r="F19" s="145"/>
      <c r="G19" s="417"/>
      <c r="H19" s="144"/>
      <c r="I19" s="144"/>
      <c r="J19" s="145"/>
      <c r="K19" s="142"/>
      <c r="L19" s="473"/>
      <c r="P19" s="24"/>
    </row>
    <row r="20" spans="1:16" x14ac:dyDescent="0.3">
      <c r="A20" s="21"/>
      <c r="B20" s="21" t="str">
        <f>$L20&amp;" "&amp;COUNTIF($L$14:L20,L20)</f>
        <v>ESCUADRON  1</v>
      </c>
      <c r="C20" s="588" t="s">
        <v>886</v>
      </c>
      <c r="D20" s="430" t="s">
        <v>838</v>
      </c>
      <c r="E20" s="18" t="s">
        <v>888</v>
      </c>
      <c r="F20" s="54" t="s">
        <v>831</v>
      </c>
      <c r="G20" s="418" t="s">
        <v>118</v>
      </c>
      <c r="H20" s="46" t="s">
        <v>889</v>
      </c>
      <c r="I20" s="46" t="s">
        <v>890</v>
      </c>
      <c r="J20" s="54" t="s">
        <v>887</v>
      </c>
      <c r="K20" s="413" t="s">
        <v>747</v>
      </c>
      <c r="L20" s="468" t="s">
        <v>1983</v>
      </c>
      <c r="P20" s="24"/>
    </row>
    <row r="21" spans="1:16" x14ac:dyDescent="0.3">
      <c r="A21" s="21"/>
      <c r="B21" s="21" t="str">
        <f>$L21&amp;" "&amp;COUNTIF($L$14:L21,L21)</f>
        <v xml:space="preserve"> 0</v>
      </c>
      <c r="C21" s="410" t="s">
        <v>224</v>
      </c>
      <c r="D21" s="431" t="str">
        <f>IFERROR(VLOOKUP(OFICIALES[[#This Row],[SIGLA]],JEFES_1,3,FALSE)&amp;" "&amp;VLOOKUP(OFICIALES[[#This Row],[SIGLA]],JEFES_1,2,FALSE),"-")</f>
        <v>CAPITÁN ELGUETA ARAVENA BORIS WALTER</v>
      </c>
      <c r="E21" s="448" t="s">
        <v>1030</v>
      </c>
      <c r="F21" s="59" t="str">
        <f>VLOOKUP(C21,'Tabla de Servicio'!$DX$8:$DY$150,2,0)</f>
        <v>1P</v>
      </c>
      <c r="G21" s="419" t="str">
        <f>VLOOKUP(C21,'Tabla de Servicio'!$DX$8:$DZ$150,3,0)</f>
        <v>JEFE APS</v>
      </c>
      <c r="H21" s="47">
        <v>0.33333333333333298</v>
      </c>
      <c r="I21" s="47">
        <v>0.83333333333333204</v>
      </c>
      <c r="J21" s="56">
        <f>COUNTIF(BD_PRINCIPAL[DOTACIÓN ACTUAL],OFICIALES[[#This Row],[SIGLA]])+COUNTIF(BD_PRINCIPAL[DOTACIÓN ACTUAL],VLOOKUP(OFICIALES[[#This Row],[SIGLA]],ENCUADRE_PTR,2,0))</f>
        <v>3</v>
      </c>
      <c r="K21" s="301"/>
      <c r="L21" s="469"/>
      <c r="P21" s="24"/>
    </row>
    <row r="22" spans="1:16" x14ac:dyDescent="0.3">
      <c r="A22" s="21"/>
      <c r="B22" s="21" t="str">
        <f>$L22&amp;" "&amp;COUNTIF($L$14:L22,L22)</f>
        <v>ESCUADRON 15 1</v>
      </c>
      <c r="C22" s="410" t="s">
        <v>241</v>
      </c>
      <c r="D22" s="431" t="str">
        <f>IFERROR(VLOOKUP(OFICIALES[[#This Row],[SIGLA]],JEFES_1,3,FALSE)&amp;" "&amp;VLOOKUP(OFICIALES[[#This Row],[SIGLA]],JEFES_1,2,FALSE),"-")</f>
        <v>CAPITÁN SANCHEZ CASTRO VICTOR MANUEL</v>
      </c>
      <c r="E22" s="868" t="s">
        <v>663</v>
      </c>
      <c r="F22" s="59" t="str">
        <f>VLOOKUP(C22,'Tabla de Servicio'!$DX$8:$DY$150,2,0)</f>
        <v>F</v>
      </c>
      <c r="G22" s="420" t="str">
        <f>VLOOKUP(C22,'Tabla de Servicio'!$DX$8:$DZ$150,3,0)</f>
        <v>FRANCO</v>
      </c>
      <c r="H22" s="47"/>
      <c r="I22" s="47" t="s">
        <v>663</v>
      </c>
      <c r="J22" s="56">
        <f>COUNTIF(BD_PRINCIPAL[DOTACIÓN ACTUAL],OFICIALES[[#This Row],[SIGLA]])+COUNTIF(BD_PRINCIPAL[DOTACIÓN ACTUAL],VLOOKUP(OFICIALES[[#This Row],[SIGLA]],ENCUADRE_PTR,2,0))</f>
        <v>3</v>
      </c>
      <c r="K22" s="323"/>
      <c r="L22" s="469" t="s">
        <v>1544</v>
      </c>
      <c r="P22" s="24"/>
    </row>
    <row r="23" spans="1:16" x14ac:dyDescent="0.3">
      <c r="A23" s="21"/>
      <c r="B23" s="21" t="str">
        <f>$L23&amp;" "&amp;COUNTIF($L$14:L23,L23)</f>
        <v>ESCUADRON 13 1</v>
      </c>
      <c r="C23" s="410" t="s">
        <v>251</v>
      </c>
      <c r="D23" s="431" t="str">
        <f>IFERROR(VLOOKUP(OFICIALES[[#This Row],[SIGLA]],JEFES_1,3,FALSE)&amp;" "&amp;VLOOKUP(OFICIALES[[#This Row],[SIGLA]],JEFES_1,2,FALSE),"-")</f>
        <v>TENIENTE NAVARRO VELASQUEZ RODOLFO</v>
      </c>
      <c r="E23" s="204" t="s">
        <v>1055</v>
      </c>
      <c r="F23" s="59" t="str">
        <f>VLOOKUP(C23,'Tabla de Servicio'!$DX$8:$DY$150,2,0)</f>
        <v>1P</v>
      </c>
      <c r="G23" s="420" t="str">
        <f>VLOOKUP(C23,'Tabla de Servicio'!$DX$8:$DZ$150,3,0)</f>
        <v>BAQUEDANO</v>
      </c>
      <c r="H23" s="47">
        <v>0.33333333333333298</v>
      </c>
      <c r="I23" s="47">
        <v>0.83333333333333204</v>
      </c>
      <c r="J23" s="56">
        <f>COUNTIF(BD_PRINCIPAL[DOTACIÓN ACTUAL],OFICIALES[[#This Row],[SIGLA]])+COUNTIF(BD_PRINCIPAL[DOTACIÓN ACTUAL],VLOOKUP(OFICIALES[[#This Row],[SIGLA]],ENCUADRE_PTR,2,0))</f>
        <v>3</v>
      </c>
      <c r="K23" s="583"/>
      <c r="L23" s="469" t="s">
        <v>1542</v>
      </c>
      <c r="P23" s="24"/>
    </row>
    <row r="24" spans="1:16" x14ac:dyDescent="0.3">
      <c r="A24" s="21"/>
      <c r="B24" s="21" t="str">
        <f>$L24&amp;" "&amp;COUNTIF($L$14:L24,L24)</f>
        <v>ESCUADRON 14 1</v>
      </c>
      <c r="C24" s="410" t="s">
        <v>252</v>
      </c>
      <c r="D24" s="431" t="str">
        <f>IFERROR(VLOOKUP(OFICIALES[[#This Row],[SIGLA]],JEFES_1,3,FALSE)&amp;" "&amp;VLOOKUP(OFICIALES[[#This Row],[SIGLA]],JEFES_1,2,FALSE),"-")</f>
        <v>TENIENTE ZULOAGA MUÑOZ SEBASTIAN ALEJANDRO</v>
      </c>
      <c r="E24" s="448" t="s">
        <v>1051</v>
      </c>
      <c r="F24" s="59" t="str">
        <f>VLOOKUP(C24,'Tabla de Servicio'!$DX$8:$DY$150,2,0)</f>
        <v>2P</v>
      </c>
      <c r="G24" s="420" t="str">
        <f>VLOOKUP(C24,'Tabla de Servicio'!$DX$8:$DZ$150,3,0)</f>
        <v>ARIETE NOCTURNO</v>
      </c>
      <c r="H24" s="47">
        <v>0.83333333333333337</v>
      </c>
      <c r="I24" s="47">
        <v>0.33333333333333331</v>
      </c>
      <c r="J24" s="56">
        <f>COUNTIF(BD_PRINCIPAL[DOTACIÓN ACTUAL],OFICIALES[[#This Row],[SIGLA]])+COUNTIF(BD_PRINCIPAL[DOTACIÓN ACTUAL],VLOOKUP(OFICIALES[[#This Row],[SIGLA]],ENCUADRE_PTR,2,0))</f>
        <v>3</v>
      </c>
      <c r="K24" s="583"/>
      <c r="L24" s="469" t="s">
        <v>1543</v>
      </c>
      <c r="P24" s="24"/>
    </row>
    <row r="25" spans="1:16" x14ac:dyDescent="0.3">
      <c r="A25" s="21"/>
      <c r="B25" s="21" t="str">
        <f>$L25&amp;" "&amp;COUNTIF($L$14:L25,L25)</f>
        <v>ESCUADRON 15 2</v>
      </c>
      <c r="C25" s="410" t="s">
        <v>242</v>
      </c>
      <c r="D25" s="431" t="str">
        <f>IFERROR(VLOOKUP(OFICIALES[[#This Row],[SIGLA]],JEFES_1,3,FALSE)&amp;" "&amp;VLOOKUP(OFICIALES[[#This Row],[SIGLA]],JEFES_1,2,FALSE),"-")</f>
        <v>TENIENTE PALAVECINO LLANOS CAROLINA VIVIANA</v>
      </c>
      <c r="E25" s="204" t="s">
        <v>663</v>
      </c>
      <c r="F25" s="59" t="str">
        <f>VLOOKUP(C25,'Tabla de Servicio'!$DX$8:$DY$150,2,0)</f>
        <v>SN</v>
      </c>
      <c r="G25" s="420" t="str">
        <f>VLOOKUP(C25,'Tabla de Servicio'!$DX$8:$DZ$150,3,0)</f>
        <v>SALIENTE DE SERVICIO</v>
      </c>
      <c r="H25" s="47" t="s">
        <v>663</v>
      </c>
      <c r="I25" s="47" t="s">
        <v>663</v>
      </c>
      <c r="J25" s="56">
        <f>COUNTIF(BD_PRINCIPAL[DOTACIÓN ACTUAL],OFICIALES[[#This Row],[SIGLA]])+COUNTIF(BD_PRINCIPAL[DOTACIÓN ACTUAL],VLOOKUP(OFICIALES[[#This Row],[SIGLA]],ENCUADRE_PTR,2,0))</f>
        <v>3</v>
      </c>
      <c r="K25" s="583"/>
      <c r="L25" s="469" t="s">
        <v>1544</v>
      </c>
      <c r="P25" s="24"/>
    </row>
    <row r="26" spans="1:16" x14ac:dyDescent="0.3">
      <c r="A26" s="21"/>
      <c r="B26" s="21" t="str">
        <f>$L26&amp;" "&amp;COUNTIF($L$14:L26,L26)</f>
        <v xml:space="preserve"> 0</v>
      </c>
      <c r="C26" s="410" t="s">
        <v>199</v>
      </c>
      <c r="D26" s="431" t="str">
        <f>IFERROR(VLOOKUP(OFICIALES[[#This Row],[SIGLA]],JEFES_1,3,FALSE)&amp;" "&amp;VLOOKUP(OFICIALES[[#This Row],[SIGLA]],JEFES_1,2,FALSE),"-")</f>
        <v>-</v>
      </c>
      <c r="E26" s="448"/>
      <c r="F26" s="59" t="str">
        <f>VLOOKUP(C26,'Tabla de Servicio'!$DX$8:$DY$150,2,0)</f>
        <v/>
      </c>
      <c r="G26" s="420" t="str">
        <f>VLOOKUP(C26,'Tabla de Servicio'!$DX$8:$DZ$150,3,0)</f>
        <v/>
      </c>
      <c r="H26" s="47"/>
      <c r="I26" s="47"/>
      <c r="J26" s="56">
        <f>COUNTIF(BD_PRINCIPAL[DOTACIÓN ACTUAL],OFICIALES[[#This Row],[SIGLA]])+COUNTIF(BD_PRINCIPAL[DOTACIÓN ACTUAL],VLOOKUP(OFICIALES[[#This Row],[SIGLA]],ENCUADRE_PTR,2,0))</f>
        <v>0</v>
      </c>
      <c r="K26" s="205"/>
      <c r="L26" s="469"/>
      <c r="P26" s="24"/>
    </row>
    <row r="27" spans="1:16" x14ac:dyDescent="0.3">
      <c r="A27" s="21"/>
      <c r="B27" s="21" t="str">
        <f>$L27&amp;" "&amp;COUNTIF($L$14:L27,L27)</f>
        <v>ESCUADRON 17 1</v>
      </c>
      <c r="C27" s="410" t="s">
        <v>667</v>
      </c>
      <c r="D27" s="431" t="str">
        <f>IFERROR(VLOOKUP(OFICIALES[[#This Row],[SIGLA]],JEFES_1,3,FALSE)&amp;" "&amp;VLOOKUP(OFICIALES[[#This Row],[SIGLA]],JEFES_1,2,FALSE),"-")</f>
        <v>TENIENTE ESCOBAR PEREZ MATIAS</v>
      </c>
      <c r="E27" s="204"/>
      <c r="F27" s="59" t="str">
        <f>VLOOKUP(C27,'Tabla de Servicio'!$DX$8:$DY$150,2,0)</f>
        <v>1T</v>
      </c>
      <c r="G27" s="420" t="str">
        <f>VLOOKUP(C27,'Tabla de Servicio'!$DX$8:$DZ$150,3,0)</f>
        <v>APRESTO</v>
      </c>
      <c r="H27" s="47">
        <v>0.33333333333333331</v>
      </c>
      <c r="I27" s="47">
        <v>0.58333333333333337</v>
      </c>
      <c r="J27" s="56">
        <f>COUNTIF(BD_PRINCIPAL[DOTACIÓN ACTUAL],OFICIALES[[#This Row],[SIGLA]])+COUNTIF(BD_PRINCIPAL[DOTACIÓN ACTUAL],VLOOKUP(OFICIALES[[#This Row],[SIGLA]],ENCUADRE_PTR,2,0))</f>
        <v>3</v>
      </c>
      <c r="K27" s="323"/>
      <c r="L27" s="469" t="s">
        <v>1545</v>
      </c>
      <c r="P27" s="24"/>
    </row>
    <row r="28" spans="1:16" x14ac:dyDescent="0.3">
      <c r="A28" s="21"/>
      <c r="B28" s="21" t="str">
        <f>$L28&amp;" "&amp;COUNTIF($L$14:L28,L28)</f>
        <v>ESCUADRON 18 1</v>
      </c>
      <c r="C28" s="410" t="s">
        <v>668</v>
      </c>
      <c r="D28" s="431" t="str">
        <f>IFERROR(VLOOKUP(OFICIALES[[#This Row],[SIGLA]],JEFES_1,3,FALSE)&amp;" "&amp;VLOOKUP(OFICIALES[[#This Row],[SIGLA]],JEFES_1,2,FALSE),"-")</f>
        <v>TENIENTE SAENS SUAREZ GASPAR ALONSO</v>
      </c>
      <c r="E28" s="448" t="s">
        <v>663</v>
      </c>
      <c r="F28" s="59" t="str">
        <f>VLOOKUP(C28,'Tabla de Servicio'!$DX$8:$DY$150,2,0)</f>
        <v>F</v>
      </c>
      <c r="G28" s="420" t="str">
        <f>VLOOKUP(C28,'Tabla de Servicio'!$DX$8:$DZ$150,3,0)</f>
        <v>FRANCO</v>
      </c>
      <c r="H28" s="47" t="s">
        <v>663</v>
      </c>
      <c r="I28" s="47" t="s">
        <v>663</v>
      </c>
      <c r="J28" s="56">
        <f>COUNTIF(BD_PRINCIPAL[DOTACIÓN ACTUAL],OFICIALES[[#This Row],[SIGLA]])+COUNTIF(BD_PRINCIPAL[DOTACIÓN ACTUAL],VLOOKUP(OFICIALES[[#This Row],[SIGLA]],ENCUADRE_PTR,2,0))</f>
        <v>3</v>
      </c>
      <c r="K28" s="302"/>
      <c r="L28" s="469" t="s">
        <v>2013</v>
      </c>
      <c r="P28" s="24"/>
    </row>
    <row r="29" spans="1:16" x14ac:dyDescent="0.3">
      <c r="A29" s="21"/>
      <c r="B29" s="21" t="str">
        <f>$L29&amp;" "&amp;COUNTIF($L$14:L29,L29)</f>
        <v xml:space="preserve"> 0</v>
      </c>
      <c r="C29" s="410" t="s">
        <v>669</v>
      </c>
      <c r="D29" s="431" t="str">
        <f>IFERROR(VLOOKUP(OFICIALES[[#This Row],[SIGLA]],JEFES_1,3,FALSE)&amp;" "&amp;VLOOKUP(OFICIALES[[#This Row],[SIGLA]],JEFES_1,2,FALSE),"-")</f>
        <v>-</v>
      </c>
      <c r="E29" s="205"/>
      <c r="F29" s="59" t="str">
        <f>VLOOKUP(C29,'Tabla de Servicio'!$DX$8:$DY$150,2,0)</f>
        <v/>
      </c>
      <c r="G29" s="420" t="str">
        <f>VLOOKUP(C29,'Tabla de Servicio'!$DX$8:$DZ$150,3,0)</f>
        <v/>
      </c>
      <c r="H29" s="47"/>
      <c r="I29" s="47"/>
      <c r="J29" s="56">
        <f>COUNTIF(BD_PRINCIPAL[DOTACIÓN ACTUAL],OFICIALES[[#This Row],[SIGLA]])+COUNTIF(BD_PRINCIPAL[DOTACIÓN ACTUAL],VLOOKUP(OFICIALES[[#This Row],[SIGLA]],ENCUADRE_PTR,2,0))</f>
        <v>0</v>
      </c>
      <c r="K29" s="301"/>
      <c r="L29" s="469"/>
      <c r="P29" s="24"/>
    </row>
    <row r="30" spans="1:16" x14ac:dyDescent="0.3">
      <c r="A30" s="21"/>
      <c r="B30" s="21" t="str">
        <f>$L30&amp;" "&amp;COUNTIF($L$14:L30,L30)</f>
        <v>ESCUADRON 16 1</v>
      </c>
      <c r="C30" s="410" t="s">
        <v>670</v>
      </c>
      <c r="D30" s="431" t="str">
        <f>IFERROR(VLOOKUP(OFICIALES[[#This Row],[SIGLA]],JEFES_1,3,FALSE)&amp;" "&amp;VLOOKUP(OFICIALES[[#This Row],[SIGLA]],JEFES_1,2,FALSE),"-")</f>
        <v>TENIENTE MORAGA RUIZ MARIO IGNACIO</v>
      </c>
      <c r="E30" s="448" t="s">
        <v>1040</v>
      </c>
      <c r="F30" s="59" t="str">
        <f>VLOOKUP(C30,'Tabla de Servicio'!$DX$8:$DY$150,2,0)</f>
        <v>3T</v>
      </c>
      <c r="G30" s="420" t="str">
        <f>VLOOKUP(C30,'Tabla de Servicio'!$DX$8:$DZ$150,3,0)</f>
        <v>APS</v>
      </c>
      <c r="H30" s="47">
        <v>0.83333333333333337</v>
      </c>
      <c r="I30" s="47">
        <v>0.33333333333333331</v>
      </c>
      <c r="J30" s="56">
        <f>COUNTIF(BD_PRINCIPAL[DOTACIÓN ACTUAL],OFICIALES[[#This Row],[SIGLA]])+COUNTIF(BD_PRINCIPAL[DOTACIÓN ACTUAL],VLOOKUP(OFICIALES[[#This Row],[SIGLA]],ENCUADRE_PTR,2,0))</f>
        <v>2</v>
      </c>
      <c r="K30" s="937"/>
      <c r="L30" s="469" t="s">
        <v>1452</v>
      </c>
      <c r="P30" s="24"/>
    </row>
    <row r="31" spans="1:16" x14ac:dyDescent="0.3">
      <c r="A31" s="21"/>
      <c r="B31" s="21" t="str">
        <f>$L31&amp;" "&amp;COUNTIF($L$14:L31,L31)</f>
        <v>ESCUADRON 18 2</v>
      </c>
      <c r="C31" s="410" t="s">
        <v>827</v>
      </c>
      <c r="D31" s="431" t="str">
        <f>IFERROR(VLOOKUP(OFICIALES[[#This Row],[SIGLA]],JEFES_1,3,FALSE)&amp;" "&amp;VLOOKUP(OFICIALES[[#This Row],[SIGLA]],JEFES_1,2,FALSE),"-")</f>
        <v>TENIENTE HUERTA BOHUS PATRICIO ALEJANDRO</v>
      </c>
      <c r="E31" s="204" t="s">
        <v>663</v>
      </c>
      <c r="F31" s="59" t="str">
        <f>VLOOKUP(C31,'Tabla de Servicio'!$DX$8:$DY$150,2,0)</f>
        <v>F</v>
      </c>
      <c r="G31" s="420" t="str">
        <f>VLOOKUP(C31,'Tabla de Servicio'!$DX$8:$DZ$150,3,0)</f>
        <v>FRANCO</v>
      </c>
      <c r="H31" s="47"/>
      <c r="I31" s="47" t="s">
        <v>663</v>
      </c>
      <c r="J31" s="56">
        <f>COUNTIF(BD_PRINCIPAL[DOTACIÓN ACTUAL],OFICIALES[[#This Row],[SIGLA]])+COUNTIF(BD_PRINCIPAL[DOTACIÓN ACTUAL],VLOOKUP(OFICIALES[[#This Row],[SIGLA]],ENCUADRE_PTR,2,0))</f>
        <v>2</v>
      </c>
      <c r="K31" s="392"/>
      <c r="L31" s="469" t="s">
        <v>2013</v>
      </c>
      <c r="P31" s="24"/>
    </row>
    <row r="32" spans="1:16" ht="23.4" customHeight="1" x14ac:dyDescent="0.3">
      <c r="A32" s="21"/>
      <c r="B32" s="21" t="str">
        <f>$L32&amp;" "&amp;COUNTIF($L$14:L32,L32)</f>
        <v xml:space="preserve"> 0</v>
      </c>
      <c r="C32" s="410" t="s">
        <v>829</v>
      </c>
      <c r="D32" s="431" t="str">
        <f>IFERROR(VLOOKUP(OFICIALES[[#This Row],[SIGLA]],JEFES_1,3,FALSE)&amp;" "&amp;VLOOKUP(OFICIALES[[#This Row],[SIGLA]],JEFES_1,2,FALSE),"-")</f>
        <v>TENIENTE LEPIN SOLAR MAXIMILIANO ARTURO</v>
      </c>
      <c r="E32" s="200" t="s">
        <v>1047</v>
      </c>
      <c r="F32" s="59" t="str">
        <f>VLOOKUP(C32,'Tabla de Servicio'!$DX$8:$DY$150,2,0)</f>
        <v>1P</v>
      </c>
      <c r="G32" s="420" t="str">
        <f>VLOOKUP(C32,'Tabla de Servicio'!$DX$8:$DZ$150,3,0)</f>
        <v>ARIETE 22</v>
      </c>
      <c r="H32" s="47">
        <v>0.33333333333333331</v>
      </c>
      <c r="I32" s="47" t="s">
        <v>840</v>
      </c>
      <c r="J32" s="56">
        <f>COUNTIF(BD_PRINCIPAL[DOTACIÓN ACTUAL],OFICIALES[[#This Row],[SIGLA]])+COUNTIF(BD_PRINCIPAL[DOTACIÓN ACTUAL],VLOOKUP(OFICIALES[[#This Row],[SIGLA]],ENCUADRE_PTR,2,0))</f>
        <v>3</v>
      </c>
      <c r="K32" s="583"/>
      <c r="L32" s="469"/>
      <c r="P32" s="24"/>
    </row>
    <row r="33" spans="1:17" x14ac:dyDescent="0.3">
      <c r="A33" s="21"/>
      <c r="B33" s="21" t="str">
        <f>$L33&amp;" "&amp;COUNTIF($L$14:L33,L33)</f>
        <v xml:space="preserve"> 0</v>
      </c>
      <c r="C33" s="410" t="s">
        <v>2051</v>
      </c>
      <c r="D33" s="431" t="str">
        <f>IFERROR(VLOOKUP(OFICIALES[[#This Row],[SIGLA]],JEFES_1,3,FALSE)&amp;" "&amp;VLOOKUP(OFICIALES[[#This Row],[SIGLA]],JEFES_1,2,FALSE),"-")</f>
        <v>TENIENTE SALAZAR CARVAJAL CARLOS</v>
      </c>
      <c r="E33" s="204" t="s">
        <v>1053</v>
      </c>
      <c r="F33" s="59" t="str">
        <f>VLOOKUP(C33,'Tabla de Servicio'!$DX$8:$DY$150,2,0)</f>
        <v>1P</v>
      </c>
      <c r="G33" s="420" t="str">
        <f>VLOOKUP(C33,'Tabla de Servicio'!$DX$8:$DZ$150,3,0)</f>
        <v>ARIETE 23</v>
      </c>
      <c r="H33" s="47">
        <v>0.33333333333333331</v>
      </c>
      <c r="I33" s="47" t="s">
        <v>840</v>
      </c>
      <c r="J33" s="56">
        <f>COUNTIF(BD_PRINCIPAL[DOTACIÓN ACTUAL],OFICIALES[[#This Row],[SIGLA]])+COUNTIF(BD_PRINCIPAL[DOTACIÓN ACTUAL],VLOOKUP(OFICIALES[[#This Row],[SIGLA]],ENCUADRE_PTR,2,0))</f>
        <v>2</v>
      </c>
      <c r="K33" s="583"/>
      <c r="L33" s="469"/>
      <c r="P33" s="24"/>
    </row>
    <row r="34" spans="1:17" x14ac:dyDescent="0.3">
      <c r="A34" s="21"/>
      <c r="B34" s="21" t="str">
        <f>$L34&amp;" "&amp;COUNTIF($L$14:L34,L34)</f>
        <v xml:space="preserve"> 0</v>
      </c>
      <c r="C34" s="410" t="s">
        <v>2052</v>
      </c>
      <c r="D34" s="431" t="str">
        <f>IFERROR(VLOOKUP(OFICIALES[[#This Row],[SIGLA]],JEFES_1,3,FALSE)&amp;" "&amp;VLOOKUP(OFICIALES[[#This Row],[SIGLA]],JEFES_1,2,FALSE),"-")</f>
        <v>TENIENTE SEPULVEDA BUSTOS ALVARO SEBASTIAN</v>
      </c>
      <c r="E34" s="204" t="s">
        <v>663</v>
      </c>
      <c r="F34" s="59" t="str">
        <f>VLOOKUP(C34,'Tabla de Servicio'!$DX$8:$DY$150,2,0)</f>
        <v>F</v>
      </c>
      <c r="G34" s="420" t="str">
        <f>VLOOKUP(C34,'Tabla de Servicio'!$DX$8:$DZ$150,3,0)</f>
        <v>FRANCO</v>
      </c>
      <c r="H34" s="47" t="s">
        <v>663</v>
      </c>
      <c r="I34" s="47" t="s">
        <v>663</v>
      </c>
      <c r="J34" s="56">
        <f>COUNTIF(BD_PRINCIPAL[DOTACIÓN ACTUAL],OFICIALES[[#This Row],[SIGLA]])+COUNTIF(BD_PRINCIPAL[DOTACIÓN ACTUAL],VLOOKUP(OFICIALES[[#This Row],[SIGLA]],ENCUADRE_PTR,2,0))</f>
        <v>1</v>
      </c>
      <c r="K34" s="583"/>
      <c r="L34" s="469"/>
      <c r="P34" s="24"/>
    </row>
    <row r="35" spans="1:17" x14ac:dyDescent="0.3">
      <c r="A35" s="21"/>
      <c r="B35" s="21" t="str">
        <f>$L35&amp;" "&amp;COUNTIF($L$14:L35,L35)</f>
        <v>ESCUADRON 15 3</v>
      </c>
      <c r="C35" s="410" t="s">
        <v>2053</v>
      </c>
      <c r="D35" s="431" t="str">
        <f>IFERROR(VLOOKUP(OFICIALES[[#This Row],[SIGLA]],JEFES_1,3,FALSE)&amp;" "&amp;VLOOKUP(OFICIALES[[#This Row],[SIGLA]],JEFES_1,2,FALSE),"-")</f>
        <v>-</v>
      </c>
      <c r="E35" s="204"/>
      <c r="F35" s="59" t="str">
        <f>VLOOKUP(C35,'Tabla de Servicio'!$DX$8:$DY$150,2,0)</f>
        <v/>
      </c>
      <c r="G35" s="420" t="str">
        <f>VLOOKUP(C35,'Tabla de Servicio'!$DX$8:$DZ$150,3,0)</f>
        <v/>
      </c>
      <c r="H35" s="47"/>
      <c r="I35" s="47"/>
      <c r="J35" s="56">
        <f>COUNTIF(BD_PRINCIPAL[DOTACIÓN ACTUAL],OFICIALES[[#This Row],[SIGLA]])+COUNTIF(BD_PRINCIPAL[DOTACIÓN ACTUAL],VLOOKUP(OFICIALES[[#This Row],[SIGLA]],ENCUADRE_PTR,2,0))</f>
        <v>0</v>
      </c>
      <c r="K35" s="583"/>
      <c r="L35" s="469" t="s">
        <v>1544</v>
      </c>
      <c r="P35" s="24"/>
    </row>
    <row r="36" spans="1:17" x14ac:dyDescent="0.3">
      <c r="A36" s="21"/>
      <c r="B36" s="21" t="str">
        <f>$L36&amp;" "&amp;COUNTIF($L$14:L36,L36)</f>
        <v xml:space="preserve"> 0</v>
      </c>
      <c r="C36" s="410" t="s">
        <v>2054</v>
      </c>
      <c r="D36" s="431" t="str">
        <f>IFERROR(VLOOKUP(OFICIALES[[#This Row],[SIGLA]],JEFES_1,3,FALSE)&amp;" "&amp;VLOOKUP(OFICIALES[[#This Row],[SIGLA]],JEFES_1,2,FALSE),"-")</f>
        <v>-</v>
      </c>
      <c r="E36" s="204"/>
      <c r="F36" s="59" t="str">
        <f>VLOOKUP(C36,'Tabla de Servicio'!$DX$8:$DY$150,2,0)</f>
        <v/>
      </c>
      <c r="G36" s="420" t="s">
        <v>663</v>
      </c>
      <c r="H36" s="47"/>
      <c r="I36" s="47"/>
      <c r="J36" s="56">
        <f>COUNTIF(BD_PRINCIPAL[DOTACIÓN ACTUAL],OFICIALES[[#This Row],[SIGLA]])+COUNTIF(BD_PRINCIPAL[DOTACIÓN ACTUAL],VLOOKUP(OFICIALES[[#This Row],[SIGLA]],ENCUADRE_PTR,2,0))</f>
        <v>0</v>
      </c>
      <c r="K36" s="583"/>
      <c r="L36" s="469"/>
      <c r="P36" s="24"/>
    </row>
    <row r="37" spans="1:17" x14ac:dyDescent="0.3">
      <c r="A37" s="21"/>
      <c r="B37" s="21" t="str">
        <f>$L37&amp;" "&amp;COUNTIF($L$14:L37,L37)</f>
        <v xml:space="preserve"> 0</v>
      </c>
      <c r="C37" s="410" t="s">
        <v>2598</v>
      </c>
      <c r="D37" s="431" t="str">
        <f>IFERROR(VLOOKUP(OFICIALES[[#This Row],[SIGLA]],JEFES_1,3,FALSE)&amp;" "&amp;VLOOKUP(OFICIALES[[#This Row],[SIGLA]],JEFES_1,2,FALSE),"-")</f>
        <v>-</v>
      </c>
      <c r="E37" s="204"/>
      <c r="F37" s="59" t="str">
        <f>VLOOKUP(C37,'Tabla de Servicio'!$DX$8:$DY$150,2,0)</f>
        <v/>
      </c>
      <c r="G37" s="420" t="str">
        <f>VLOOKUP(C37,'Tabla de Servicio'!$DX$8:$DZ$150,3,0)</f>
        <v/>
      </c>
      <c r="H37" s="47"/>
      <c r="I37" s="47"/>
      <c r="J37" s="56">
        <f>COUNTIF(BD_PRINCIPAL[DOTACIÓN ACTUAL],OFICIALES[[#This Row],[SIGLA]])+COUNTIF(BD_PRINCIPAL[DOTACIÓN ACTUAL],VLOOKUP(OFICIALES[[#This Row],[SIGLA]],ENCUADRE_PTR,2,0))</f>
        <v>0</v>
      </c>
      <c r="K37" s="583"/>
      <c r="L37" s="469"/>
      <c r="P37" s="24"/>
    </row>
    <row r="38" spans="1:17" x14ac:dyDescent="0.3">
      <c r="A38" s="21"/>
      <c r="B38" s="21" t="str">
        <f>$L38&amp;" "&amp;COUNTIF($L$14:L38,L38)</f>
        <v xml:space="preserve"> 0</v>
      </c>
      <c r="C38" s="410" t="s">
        <v>2599</v>
      </c>
      <c r="D38" s="431" t="str">
        <f>IFERROR(VLOOKUP(OFICIALES[[#This Row],[SIGLA]],JEFES_1,3,FALSE)&amp;" "&amp;VLOOKUP(OFICIALES[[#This Row],[SIGLA]],JEFES_1,2,FALSE),"-")</f>
        <v>-</v>
      </c>
      <c r="E38" s="204"/>
      <c r="F38" s="59" t="str">
        <f>VLOOKUP(C38,'Tabla de Servicio'!$DX$8:$DY$150,2,0)</f>
        <v/>
      </c>
      <c r="G38" s="420" t="str">
        <f>VLOOKUP(C38,'Tabla de Servicio'!$DX$8:$DZ$150,3,0)</f>
        <v/>
      </c>
      <c r="H38" s="47"/>
      <c r="I38" s="47"/>
      <c r="J38" s="56">
        <f>COUNTIF(BD_PRINCIPAL[DOTACIÓN ACTUAL],OFICIALES[[#This Row],[SIGLA]])+COUNTIF(BD_PRINCIPAL[DOTACIÓN ACTUAL],VLOOKUP(OFICIALES[[#This Row],[SIGLA]],ENCUADRE_PTR,2,0))</f>
        <v>0</v>
      </c>
      <c r="K38" s="583"/>
      <c r="L38" s="469"/>
      <c r="P38" s="24"/>
    </row>
    <row r="39" spans="1:17" x14ac:dyDescent="0.3">
      <c r="A39" s="21"/>
      <c r="B39" s="21" t="str">
        <f>$L39&amp;" "&amp;COUNTIF($L$14:L39,L39)</f>
        <v xml:space="preserve"> 0</v>
      </c>
      <c r="C39" s="410" t="s">
        <v>2600</v>
      </c>
      <c r="D39" s="431" t="str">
        <f>IFERROR(VLOOKUP(OFICIALES[[#This Row],[SIGLA]],JEFES_1,3,FALSE)&amp;" "&amp;VLOOKUP(OFICIALES[[#This Row],[SIGLA]],JEFES_1,2,FALSE),"-")</f>
        <v>-</v>
      </c>
      <c r="E39" s="204"/>
      <c r="F39" s="59" t="str">
        <f>VLOOKUP(C39,'Tabla de Servicio'!$DX$8:$DY$150,2,0)</f>
        <v/>
      </c>
      <c r="G39" s="420" t="str">
        <f>VLOOKUP(C39,'Tabla de Servicio'!$DX$8:$DZ$150,3,0)</f>
        <v/>
      </c>
      <c r="H39" s="47"/>
      <c r="I39" s="47"/>
      <c r="J39" s="56">
        <f>COUNTIF(BD_PRINCIPAL[DOTACIÓN ACTUAL],OFICIALES[[#This Row],[SIGLA]])+COUNTIF(BD_PRINCIPAL[DOTACIÓN ACTUAL],VLOOKUP(OFICIALES[[#This Row],[SIGLA]],ENCUADRE_PTR,2,0))</f>
        <v>0</v>
      </c>
      <c r="K39" s="583"/>
      <c r="L39" s="469"/>
      <c r="P39" s="24"/>
    </row>
    <row r="40" spans="1:17" x14ac:dyDescent="0.3">
      <c r="A40" s="21"/>
      <c r="B40" s="21" t="str">
        <f>$L40&amp;" "&amp;COUNTIF($L$14:L40,L40)</f>
        <v xml:space="preserve"> 0</v>
      </c>
      <c r="C40" s="410" t="s">
        <v>2601</v>
      </c>
      <c r="D40" s="431" t="str">
        <f>IFERROR(VLOOKUP(OFICIALES[[#This Row],[SIGLA]],JEFES_1,3,FALSE)&amp;" "&amp;VLOOKUP(OFICIALES[[#This Row],[SIGLA]],JEFES_1,2,FALSE),"-")</f>
        <v>-</v>
      </c>
      <c r="E40" s="204"/>
      <c r="F40" s="59" t="str">
        <f>VLOOKUP(C40,'Tabla de Servicio'!$DX$8:$DY$150,2,0)</f>
        <v/>
      </c>
      <c r="G40" s="420" t="str">
        <f>VLOOKUP(C40,'Tabla de Servicio'!$DX$8:$DZ$150,3,0)</f>
        <v/>
      </c>
      <c r="H40" s="47"/>
      <c r="I40" s="47"/>
      <c r="J40" s="56">
        <f>COUNTIF(BD_PRINCIPAL[DOTACIÓN ACTUAL],OFICIALES[[#This Row],[SIGLA]])+COUNTIF(BD_PRINCIPAL[DOTACIÓN ACTUAL],VLOOKUP(OFICIALES[[#This Row],[SIGLA]],ENCUADRE_PTR,2,0))</f>
        <v>0</v>
      </c>
      <c r="K40" s="583"/>
      <c r="L40" s="469"/>
      <c r="P40" s="24"/>
    </row>
    <row r="41" spans="1:17" x14ac:dyDescent="0.3">
      <c r="A41" s="983">
        <f>-K23</f>
        <v>0</v>
      </c>
      <c r="B41" s="21" t="str">
        <f>$L41&amp;" "&amp;COUNTIF($L$14:L41,L41)</f>
        <v xml:space="preserve"> 0</v>
      </c>
      <c r="C41" s="410" t="s">
        <v>1510</v>
      </c>
      <c r="D41" s="431" t="str">
        <f>IFERROR(VLOOKUP(OFICIALES[[#This Row],[SIGLA]],JEFES_1,3,FALSE)&amp;" "&amp;VLOOKUP(OFICIALES[[#This Row],[SIGLA]],JEFES_1,2,FALSE),"-")</f>
        <v>-</v>
      </c>
      <c r="E41" s="205"/>
      <c r="F41" s="59" t="str">
        <f>VLOOKUP(C41,'Tabla de Servicio'!$DX$8:$DY$150,2,0)</f>
        <v/>
      </c>
      <c r="G41" s="420" t="str">
        <f>VLOOKUP(C41,'Tabla de Servicio'!$DX$8:$DZ$150,3,0)</f>
        <v/>
      </c>
      <c r="H41" s="47"/>
      <c r="I41" s="47"/>
      <c r="J41" s="56">
        <f>COUNTIF(BD_PRINCIPAL[DOTACIÓN ACTUAL],OFICIALES[[#This Row],[SIGLA]])+COUNTIF(BD_PRINCIPAL[DOTACIÓN ACTUAL],VLOOKUP(OFICIALES[[#This Row],[SIGLA]],ENCUADRE_PTR,2,0))</f>
        <v>0</v>
      </c>
      <c r="K41" s="301"/>
      <c r="L41" s="469"/>
      <c r="Q41" s="25"/>
    </row>
    <row r="42" spans="1:17" x14ac:dyDescent="0.3">
      <c r="A42" s="983">
        <f t="shared" ref="A42:A86" si="0">-K24</f>
        <v>0</v>
      </c>
      <c r="B42" s="21" t="str">
        <f>$L42&amp;" "&amp;COUNTIF($L$14:L42,L42)</f>
        <v xml:space="preserve"> 0</v>
      </c>
      <c r="C42" s="410" t="s">
        <v>1511</v>
      </c>
      <c r="D42" s="431" t="str">
        <f>IFERROR(VLOOKUP(OFICIALES[[#This Row],[SIGLA]],JEFES_1,3,FALSE)&amp;" "&amp;VLOOKUP(OFICIALES[[#This Row],[SIGLA]],JEFES_1,2,FALSE),"-")</f>
        <v>-</v>
      </c>
      <c r="E42" s="205"/>
      <c r="F42" s="59" t="str">
        <f>VLOOKUP(C42,'Tabla de Servicio'!$DX$8:$DY$150,2,0)</f>
        <v/>
      </c>
      <c r="G42" s="420" t="str">
        <f>VLOOKUP(C42,'Tabla de Servicio'!$DX$8:$DZ$150,3,0)</f>
        <v/>
      </c>
      <c r="H42" s="47"/>
      <c r="I42" s="47"/>
      <c r="J42" s="56">
        <f>COUNTIF(BD_PRINCIPAL[DOTACIÓN ACTUAL],OFICIALES[[#This Row],[SIGLA]])+COUNTIF(BD_PRINCIPAL[DOTACIÓN ACTUAL],VLOOKUP(OFICIALES[[#This Row],[SIGLA]],ENCUADRE_PTR,2,0))</f>
        <v>0</v>
      </c>
      <c r="K42" s="301"/>
      <c r="L42" s="469"/>
      <c r="Q42" s="25"/>
    </row>
    <row r="43" spans="1:17" x14ac:dyDescent="0.3">
      <c r="A43" s="983">
        <f t="shared" si="0"/>
        <v>0</v>
      </c>
      <c r="B43" s="21" t="str">
        <f>$L43&amp;" "&amp;COUNTIF($L$14:L43,L43)</f>
        <v xml:space="preserve"> 0</v>
      </c>
      <c r="C43" s="410" t="s">
        <v>1512</v>
      </c>
      <c r="D43" s="431" t="str">
        <f>IFERROR(VLOOKUP(OFICIALES[[#This Row],[SIGLA]],JEFES_1,3,FALSE)&amp;" "&amp;VLOOKUP(OFICIALES[[#This Row],[SIGLA]],JEFES_1,2,FALSE),"-")</f>
        <v>-</v>
      </c>
      <c r="E43" s="204"/>
      <c r="F43" s="59" t="str">
        <f>VLOOKUP(C43,'Tabla de Servicio'!$DX$8:$DY$150,2,0)</f>
        <v/>
      </c>
      <c r="G43" s="420" t="str">
        <f>VLOOKUP(C43,'Tabla de Servicio'!$DX$8:$DZ$150,3,0)</f>
        <v/>
      </c>
      <c r="H43" s="47"/>
      <c r="I43" s="47"/>
      <c r="J43" s="56">
        <f>COUNTIF(BD_PRINCIPAL[DOTACIÓN ACTUAL],OFICIALES[[#This Row],[SIGLA]])+COUNTIF(BD_PRINCIPAL[DOTACIÓN ACTUAL],VLOOKUP(OFICIALES[[#This Row],[SIGLA]],ENCUADRE_PTR,2,0))</f>
        <v>0</v>
      </c>
      <c r="K43" s="301"/>
      <c r="L43" s="469"/>
      <c r="Q43" s="25"/>
    </row>
    <row r="44" spans="1:17" x14ac:dyDescent="0.3">
      <c r="A44" s="983">
        <f t="shared" si="0"/>
        <v>0</v>
      </c>
      <c r="B44" s="21" t="str">
        <f>$L44&amp;" "&amp;COUNTIF($L$14:L44,L44)</f>
        <v xml:space="preserve"> 0</v>
      </c>
      <c r="C44" s="410" t="s">
        <v>1513</v>
      </c>
      <c r="D44" s="431" t="str">
        <f>IFERROR(VLOOKUP(OFICIALES[[#This Row],[SIGLA]],JEFES_1,3,FALSE)&amp;" "&amp;VLOOKUP(OFICIALES[[#This Row],[SIGLA]],JEFES_1,2,FALSE),"-")</f>
        <v>-</v>
      </c>
      <c r="E44" s="204"/>
      <c r="F44" s="59" t="str">
        <f>VLOOKUP(C44,'Tabla de Servicio'!$DX$8:$DY$150,2,0)</f>
        <v/>
      </c>
      <c r="G44" s="420" t="str">
        <f>VLOOKUP(C44,'Tabla de Servicio'!$DX$8:$DZ$150,3,0)</f>
        <v/>
      </c>
      <c r="H44" s="48"/>
      <c r="I44" s="48"/>
      <c r="J44" s="56">
        <f>COUNTIF(BD_PRINCIPAL[DOTACIÓN ACTUAL],OFICIALES[[#This Row],[SIGLA]])+COUNTIF(BD_PRINCIPAL[DOTACIÓN ACTUAL],VLOOKUP(OFICIALES[[#This Row],[SIGLA]],ENCUADRE_PTR,2,0))</f>
        <v>0</v>
      </c>
      <c r="K44" s="301"/>
      <c r="L44" s="469"/>
      <c r="Q44" s="25"/>
    </row>
    <row r="45" spans="1:17" x14ac:dyDescent="0.3">
      <c r="A45" s="983">
        <f t="shared" si="0"/>
        <v>0</v>
      </c>
      <c r="B45" s="21" t="str">
        <f>$L45&amp;" "&amp;COUNTIF($L$14:L45,L45)</f>
        <v xml:space="preserve"> 0</v>
      </c>
      <c r="C45" s="410" t="s">
        <v>1514</v>
      </c>
      <c r="D45" s="431" t="str">
        <f>IFERROR(VLOOKUP(OFICIALES[[#This Row],[SIGLA]],JEFES_1,3,FALSE)&amp;" "&amp;VLOOKUP(OFICIALES[[#This Row],[SIGLA]],JEFES_1,2,FALSE),"-")</f>
        <v>S.O.M. MUÑOZ CORTES JUAN JERVACIO</v>
      </c>
      <c r="E45" s="204"/>
      <c r="F45" s="59" t="str">
        <f>VLOOKUP(C45,'Tabla de Servicio'!$DX$8:$DY$150,2,0)</f>
        <v>F</v>
      </c>
      <c r="G45" s="420" t="str">
        <f>VLOOKUP(C45,'Tabla de Servicio'!$DX$8:$DZ$150,3,0)</f>
        <v>FRANCO</v>
      </c>
      <c r="H45" s="47" t="s">
        <v>663</v>
      </c>
      <c r="I45" s="47" t="s">
        <v>663</v>
      </c>
      <c r="J45" s="56">
        <f>COUNTIF(BD_PRINCIPAL[DOTACIÓN ACTUAL],OFICIALES[[#This Row],[SIGLA]])+COUNTIF(BD_PRINCIPAL[DOTACIÓN ACTUAL],VLOOKUP(OFICIALES[[#This Row],[SIGLA]],ENCUADRE_PTR,2,0))</f>
        <v>1</v>
      </c>
      <c r="K45" s="301"/>
      <c r="L45" s="469"/>
      <c r="Q45" s="25"/>
    </row>
    <row r="46" spans="1:17" x14ac:dyDescent="0.3">
      <c r="A46" s="983">
        <f t="shared" si="0"/>
        <v>0</v>
      </c>
      <c r="B46" s="21" t="str">
        <f>$L46&amp;" "&amp;COUNTIF($L$14:L46,L46)</f>
        <v xml:space="preserve"> 0</v>
      </c>
      <c r="C46" s="410" t="s">
        <v>1515</v>
      </c>
      <c r="D46" s="433" t="str">
        <f>IFERROR(VLOOKUP(OFICIALES[[#This Row],[SIGLA]],JEFES_1,3,FALSE)&amp;" "&amp;VLOOKUP(OFICIALES[[#This Row],[SIGLA]],JEFES_1,2,FALSE),"-")</f>
        <v>-</v>
      </c>
      <c r="E46" s="205"/>
      <c r="F46" s="59" t="str">
        <f>VLOOKUP(C46,'Tabla de Servicio'!$DX$8:$DY$150,2,0)</f>
        <v/>
      </c>
      <c r="G46" s="420" t="str">
        <f>VLOOKUP(C46,'Tabla de Servicio'!$DX$8:$DZ$150,3,0)</f>
        <v/>
      </c>
      <c r="H46" s="48"/>
      <c r="I46" s="48"/>
      <c r="J46" s="57">
        <f>COUNTIF(BD_PRINCIPAL[DOTACIÓN ACTUAL],OFICIALES[[#This Row],[SIGLA]])+COUNTIF(BD_PRINCIPAL[DOTACIÓN ACTUAL],VLOOKUP(OFICIALES[[#This Row],[SIGLA]],ENCUADRE_PTR,2,0))</f>
        <v>0</v>
      </c>
      <c r="K46" s="409"/>
      <c r="L46" s="472"/>
      <c r="Q46" s="25"/>
    </row>
    <row r="47" spans="1:17" x14ac:dyDescent="0.3">
      <c r="A47" s="983">
        <f t="shared" si="0"/>
        <v>0</v>
      </c>
      <c r="B47" s="21" t="str">
        <f>$L47&amp;" "&amp;COUNTIF($L$14:L47,L47)</f>
        <v xml:space="preserve"> 0</v>
      </c>
      <c r="C47" s="410" t="s">
        <v>2602</v>
      </c>
      <c r="D47" s="431" t="str">
        <f>IFERROR(VLOOKUP(OFICIALES[[#This Row],[SIGLA]],JEFES_1,3,FALSE)&amp;" "&amp;VLOOKUP(OFICIALES[[#This Row],[SIGLA]],JEFES_1,2,FALSE),"-")</f>
        <v>-</v>
      </c>
      <c r="E47" s="205"/>
      <c r="F47" s="59" t="str">
        <f>VLOOKUP(C47,'Tabla de Servicio'!$DX$8:$DY$150,2,0)</f>
        <v/>
      </c>
      <c r="G47" s="420" t="str">
        <f>VLOOKUP(C47,'Tabla de Servicio'!$DX$8:$DZ$150,3,0)</f>
        <v/>
      </c>
      <c r="H47" s="47"/>
      <c r="I47" s="47"/>
      <c r="J47" s="56">
        <f>COUNTIF(BD_PRINCIPAL[DOTACIÓN ACTUAL],OFICIALES[[#This Row],[SIGLA]])+COUNTIF(BD_PRINCIPAL[DOTACIÓN ACTUAL],VLOOKUP(OFICIALES[[#This Row],[SIGLA]],ENCUADRE_PTR,2,0))</f>
        <v>0</v>
      </c>
      <c r="K47" s="301"/>
      <c r="L47" s="469"/>
      <c r="Q47" s="25"/>
    </row>
    <row r="48" spans="1:17" x14ac:dyDescent="0.3">
      <c r="A48" s="983">
        <f t="shared" si="0"/>
        <v>0</v>
      </c>
      <c r="B48" s="21" t="str">
        <f>$L48&amp;" "&amp;COUNTIF($L$14:L48,L48)</f>
        <v xml:space="preserve"> 0</v>
      </c>
      <c r="C48" s="410" t="s">
        <v>2603</v>
      </c>
      <c r="D48" s="431" t="str">
        <f>IFERROR(VLOOKUP(OFICIALES[[#This Row],[SIGLA]],JEFES_1,3,FALSE)&amp;" "&amp;VLOOKUP(OFICIALES[[#This Row],[SIGLA]],JEFES_1,2,FALSE),"-")</f>
        <v>-</v>
      </c>
      <c r="E48" s="205"/>
      <c r="F48" s="59" t="str">
        <f>VLOOKUP(C48,'Tabla de Servicio'!$DX$8:$DY$150,2,0)</f>
        <v/>
      </c>
      <c r="G48" s="420" t="str">
        <f>VLOOKUP(C48,'Tabla de Servicio'!$DX$8:$DZ$150,3,0)</f>
        <v/>
      </c>
      <c r="H48" s="47"/>
      <c r="I48" s="47"/>
      <c r="J48" s="56">
        <f>COUNTIF(BD_PRINCIPAL[DOTACIÓN ACTUAL],OFICIALES[[#This Row],[SIGLA]])+COUNTIF(BD_PRINCIPAL[DOTACIÓN ACTUAL],VLOOKUP(OFICIALES[[#This Row],[SIGLA]],ENCUADRE_PTR,2,0))</f>
        <v>0</v>
      </c>
      <c r="K48" s="301"/>
      <c r="L48" s="469"/>
      <c r="Q48" s="25"/>
    </row>
    <row r="49" spans="1:17" ht="20.399999999999999" customHeight="1" x14ac:dyDescent="0.3">
      <c r="A49" s="983">
        <f t="shared" si="0"/>
        <v>0</v>
      </c>
      <c r="B49" s="21" t="str">
        <f>$L49&amp;" "&amp;COUNTIF($L$14:L49,L49)</f>
        <v xml:space="preserve"> 0</v>
      </c>
      <c r="C49" s="410" t="s">
        <v>2604</v>
      </c>
      <c r="D49" s="431" t="str">
        <f>IFERROR(VLOOKUP(OFICIALES[[#This Row],[SIGLA]],JEFES_1,3,FALSE)&amp;" "&amp;VLOOKUP(OFICIALES[[#This Row],[SIGLA]],JEFES_1,2,FALSE),"-")</f>
        <v>-</v>
      </c>
      <c r="E49" s="204"/>
      <c r="F49" s="59" t="str">
        <f>VLOOKUP(C49,'Tabla de Servicio'!$DX$8:$DY$150,2,0)</f>
        <v/>
      </c>
      <c r="G49" s="420" t="str">
        <f>VLOOKUP(C49,'Tabla de Servicio'!$DX$8:$DZ$150,3,0)</f>
        <v/>
      </c>
      <c r="H49" s="47"/>
      <c r="I49" s="47"/>
      <c r="J49" s="56">
        <f>COUNTIF(BD_PRINCIPAL[DOTACIÓN ACTUAL],OFICIALES[[#This Row],[SIGLA]])+COUNTIF(BD_PRINCIPAL[DOTACIÓN ACTUAL],VLOOKUP(OFICIALES[[#This Row],[SIGLA]],ENCUADRE_PTR,2,0))</f>
        <v>0</v>
      </c>
      <c r="K49" s="301"/>
      <c r="L49" s="469"/>
      <c r="Q49" s="25"/>
    </row>
    <row r="50" spans="1:17" x14ac:dyDescent="0.3">
      <c r="A50" s="983">
        <f t="shared" si="0"/>
        <v>0</v>
      </c>
      <c r="B50" s="21" t="str">
        <f>$L50&amp;" "&amp;COUNTIF($L$14:L50,L50)</f>
        <v xml:space="preserve"> 0</v>
      </c>
      <c r="C50" s="410" t="s">
        <v>2605</v>
      </c>
      <c r="D50" s="431" t="str">
        <f>IFERROR(VLOOKUP(OFICIALES[[#This Row],[SIGLA]],JEFES_1,3,FALSE)&amp;" "&amp;VLOOKUP(OFICIALES[[#This Row],[SIGLA]],JEFES_1,2,FALSE),"-")</f>
        <v>-</v>
      </c>
      <c r="E50" s="204"/>
      <c r="F50" s="59" t="str">
        <f>VLOOKUP(C50,'Tabla de Servicio'!$DX$8:$DY$150,2,0)</f>
        <v/>
      </c>
      <c r="G50" s="420" t="str">
        <f>VLOOKUP(C50,'Tabla de Servicio'!$DX$8:$DZ$150,3,0)</f>
        <v/>
      </c>
      <c r="H50" s="48"/>
      <c r="I50" s="48"/>
      <c r="J50" s="56">
        <f>COUNTIF(BD_PRINCIPAL[DOTACIÓN ACTUAL],OFICIALES[[#This Row],[SIGLA]])+COUNTIF(BD_PRINCIPAL[DOTACIÓN ACTUAL],VLOOKUP(OFICIALES[[#This Row],[SIGLA]],ENCUADRE_PTR,2,0))</f>
        <v>0</v>
      </c>
      <c r="K50" s="301"/>
      <c r="L50" s="469"/>
      <c r="Q50" s="25"/>
    </row>
    <row r="51" spans="1:17" ht="18" x14ac:dyDescent="0.3">
      <c r="A51" s="983">
        <f t="shared" si="0"/>
        <v>0</v>
      </c>
      <c r="B51" s="21" t="str">
        <f>$L51&amp;" "&amp;COUNTIF($L$14:L51,L51)</f>
        <v xml:space="preserve"> 0</v>
      </c>
      <c r="C51" s="587"/>
      <c r="D51" s="142"/>
      <c r="E51" s="143"/>
      <c r="F51" s="145" t="s">
        <v>850</v>
      </c>
      <c r="G51" s="417"/>
      <c r="H51" s="144"/>
      <c r="I51" s="144"/>
      <c r="J51" s="145"/>
      <c r="K51" s="142"/>
      <c r="L51" s="473"/>
      <c r="Q51" s="25"/>
    </row>
    <row r="52" spans="1:17" x14ac:dyDescent="0.3">
      <c r="A52" s="983">
        <f t="shared" si="0"/>
        <v>0</v>
      </c>
      <c r="B52" s="21" t="str">
        <f>$L52&amp;" "&amp;COUNTIF($L$14:L52,L52)</f>
        <v>ESCUADRON  2</v>
      </c>
      <c r="C52" s="591" t="s">
        <v>886</v>
      </c>
      <c r="D52" s="434" t="s">
        <v>838</v>
      </c>
      <c r="E52" s="18" t="s">
        <v>888</v>
      </c>
      <c r="F52" s="54" t="s">
        <v>831</v>
      </c>
      <c r="G52" s="418" t="s">
        <v>118</v>
      </c>
      <c r="H52" s="46" t="s">
        <v>900</v>
      </c>
      <c r="I52" s="46" t="s">
        <v>890</v>
      </c>
      <c r="J52" s="58" t="s">
        <v>887</v>
      </c>
      <c r="K52" s="413" t="s">
        <v>747</v>
      </c>
      <c r="L52" s="468" t="s">
        <v>1983</v>
      </c>
      <c r="N52" s="26" t="s">
        <v>843</v>
      </c>
      <c r="O52" s="26" t="s">
        <v>851</v>
      </c>
      <c r="P52" s="26" t="s">
        <v>973</v>
      </c>
      <c r="Q52" s="25"/>
    </row>
    <row r="53" spans="1:17" ht="17.399999999999999" x14ac:dyDescent="0.3">
      <c r="A53" s="983">
        <f t="shared" si="0"/>
        <v>0</v>
      </c>
      <c r="B53" s="21" t="str">
        <f>$L53&amp;" "&amp;COUNTIF($L$14:L53,L53)</f>
        <v>ESCUADRON 13 2</v>
      </c>
      <c r="C53" s="579" t="s">
        <v>714</v>
      </c>
      <c r="D53" s="431" t="str">
        <f>IFERROR(VLOOKUP("JEFE/"&amp;SECCIONES[[#This Row],[SIGLA]],JEFES_1,3,FALSE)&amp;" "&amp;VLOOKUP("JEFE/"&amp;SECCIONES[[#This Row],[SIGLA]],JEFES_1,2,FALSE),"-")</f>
        <v>TENIENTE DIAZ CARCAMO OLGA ELIZABETH</v>
      </c>
      <c r="E53" s="448" t="s">
        <v>1029</v>
      </c>
      <c r="F53" s="59" t="str">
        <f>VLOOKUP(C53,'Tabla de Servicio'!$DX$8:$DY$150,2,0)</f>
        <v>1P</v>
      </c>
      <c r="G53" s="419" t="str">
        <f>VLOOKUP(C53,'Tabla de Servicio'!$DX$8:$DZ$150,3,0)</f>
        <v>BAQUEDANO</v>
      </c>
      <c r="H53" s="47">
        <v>0.33333333333333331</v>
      </c>
      <c r="I53" s="47">
        <v>0.83333333333333337</v>
      </c>
      <c r="J53" s="59">
        <f>COUNTIF(BD_PRINCIPAL[DOTACIÓN ACTUAL],SECCIONES[[#This Row],[SIGLA]])+COUNTIF(BD_PRINCIPAL[DOTACIÓN ACTUAL],"JEFE/"&amp;SECCIONES[[#This Row],[SIGLA]])</f>
        <v>7</v>
      </c>
      <c r="K53" s="303"/>
      <c r="L53" s="471" t="s">
        <v>1542</v>
      </c>
      <c r="N53" s="1160" t="s">
        <v>1540</v>
      </c>
      <c r="O53" s="1160">
        <f>SUMIF(SECCIONES[[ESCUADRON ]],N53,SECCIONES[F.E.])</f>
        <v>0</v>
      </c>
      <c r="P53" s="1172">
        <f>SUM(O53:O74)</f>
        <v>109</v>
      </c>
      <c r="Q53" s="25"/>
    </row>
    <row r="54" spans="1:17" ht="17.399999999999999" x14ac:dyDescent="0.3">
      <c r="A54" s="983">
        <f t="shared" si="0"/>
        <v>0</v>
      </c>
      <c r="B54" s="21" t="str">
        <f>$L54&amp;" "&amp;COUNTIF($L$14:L54,L54)</f>
        <v xml:space="preserve"> 0</v>
      </c>
      <c r="C54" s="579" t="s">
        <v>1235</v>
      </c>
      <c r="D54" s="431" t="str">
        <f>IFERROR(VLOOKUP("JEFE/"&amp;SECCIONES[[#This Row],[SIGLA]],JEFES_1,3,FALSE)&amp;" "&amp;VLOOKUP("JEFE/"&amp;SECCIONES[[#This Row],[SIGLA]],JEFES_1,2,FALSE),"-")</f>
        <v>-</v>
      </c>
      <c r="E54" s="200"/>
      <c r="F54" s="59" t="str">
        <f>VLOOKUP(C54,'Tabla de Servicio'!$DX$8:$DY$150,2,0)</f>
        <v/>
      </c>
      <c r="G54" s="420" t="str">
        <f>VLOOKUP(C54,'Tabla de Servicio'!$DX$8:$DZ$150,3,0)</f>
        <v/>
      </c>
      <c r="H54" s="47"/>
      <c r="I54" s="47"/>
      <c r="J54" s="141">
        <f>COUNTIF(BD_PRINCIPAL[DOTACIÓN ACTUAL],SECCIONES[[#This Row],[SIGLA]])+COUNTIF(BD_PRINCIPAL[DOTACIÓN ACTUAL],"JEFE/"&amp;SECCIONES[[#This Row],[SIGLA]])</f>
        <v>0</v>
      </c>
      <c r="K54" s="303"/>
      <c r="L54" s="471"/>
      <c r="N54" s="1161"/>
      <c r="O54" s="1161"/>
      <c r="P54" s="1172"/>
      <c r="Q54" s="25"/>
    </row>
    <row r="55" spans="1:17" ht="17.399999999999999" x14ac:dyDescent="0.3">
      <c r="A55" s="983">
        <f t="shared" si="0"/>
        <v>0</v>
      </c>
      <c r="B55" s="21" t="str">
        <f>$L55&amp;" "&amp;COUNTIF($L$14:L55,L55)</f>
        <v>ESCUADRON 13 3</v>
      </c>
      <c r="C55" s="579" t="s">
        <v>726</v>
      </c>
      <c r="D55" s="439" t="str">
        <f>IFERROR(VLOOKUP("JEFE/"&amp;SECCIONES[[#This Row],[SIGLA]],JEFES_1,3,FALSE)&amp;" "&amp;VLOOKUP("JEFE/"&amp;SECCIONES[[#This Row],[SIGLA]],JEFES_1,2,FALSE),"-")</f>
        <v>SGTO 1RO. CORTES VARA MARCO EDGARDO              (T-J)</v>
      </c>
      <c r="E55" s="200" t="s">
        <v>1031</v>
      </c>
      <c r="F55" s="59" t="str">
        <f>VLOOKUP(C55,'Tabla de Servicio'!$DX$8:$DY$150,2,0)</f>
        <v>1P</v>
      </c>
      <c r="G55" s="420" t="str">
        <f>VLOOKUP(C55,'Tabla de Servicio'!$DX$8:$DZ$150,3,0)</f>
        <v>MONUMENTO</v>
      </c>
      <c r="H55" s="47">
        <v>0.33333333333333331</v>
      </c>
      <c r="I55" s="47">
        <v>0.83333333333333337</v>
      </c>
      <c r="J55" s="440">
        <f>COUNTIF(BD_PRINCIPAL[DOTACIÓN ACTUAL],SECCIONES[[#This Row],[SIGLA]])+COUNTIF(BD_PRINCIPAL[DOTACIÓN ACTUAL],"JEFE/"&amp;SECCIONES[[#This Row],[SIGLA]])</f>
        <v>8</v>
      </c>
      <c r="K55" s="449"/>
      <c r="L55" s="470" t="s">
        <v>1542</v>
      </c>
      <c r="N55" s="1162"/>
      <c r="O55" s="1162"/>
      <c r="P55" s="1172"/>
      <c r="Q55" s="25"/>
    </row>
    <row r="56" spans="1:17" ht="17.399999999999999" x14ac:dyDescent="0.3">
      <c r="A56" s="983">
        <f t="shared" si="0"/>
        <v>0</v>
      </c>
      <c r="B56" s="21" t="str">
        <f>$L56&amp;" "&amp;COUNTIF($L$14:L56,L56)</f>
        <v xml:space="preserve"> 0</v>
      </c>
      <c r="C56" s="579" t="s">
        <v>1236</v>
      </c>
      <c r="D56" s="431" t="str">
        <f>IFERROR(VLOOKUP("JEFE/"&amp;SECCIONES[[#This Row],[SIGLA]],JEFES_1,3,FALSE)&amp;" "&amp;VLOOKUP("JEFE/"&amp;SECCIONES[[#This Row],[SIGLA]],JEFES_1,2,FALSE),"-")</f>
        <v>-</v>
      </c>
      <c r="E56" s="200"/>
      <c r="F56" s="59" t="str">
        <f>VLOOKUP(C56,'Tabla de Servicio'!$DX$8:$DY$150,2,0)</f>
        <v/>
      </c>
      <c r="G56" s="420" t="str">
        <f>VLOOKUP(C56,'Tabla de Servicio'!$DX$8:$DZ$150,3,0)</f>
        <v/>
      </c>
      <c r="H56" s="47"/>
      <c r="I56" s="47"/>
      <c r="J56" s="442">
        <f>COUNTIF(BD_PRINCIPAL[DOTACIÓN ACTUAL],SECCIONES[[#This Row],[SIGLA]])+COUNTIF(BD_PRINCIPAL[DOTACIÓN ACTUAL],"JEFE/"&amp;SECCIONES[[#This Row],[SIGLA]])</f>
        <v>0</v>
      </c>
      <c r="K56" s="303"/>
      <c r="L56" s="471"/>
      <c r="N56" s="1163" t="s">
        <v>1541</v>
      </c>
      <c r="O56" s="1163">
        <f>SUMIF(SECCIONES[[ESCUADRON ]],N56,SECCIONES[F.E.])</f>
        <v>0</v>
      </c>
      <c r="P56" s="1172"/>
      <c r="Q56" s="25"/>
    </row>
    <row r="57" spans="1:17" ht="17.399999999999999" x14ac:dyDescent="0.3">
      <c r="A57" s="983">
        <f t="shared" si="0"/>
        <v>0</v>
      </c>
      <c r="B57" s="21" t="str">
        <f>$L57&amp;" "&amp;COUNTIF($L$14:L57,L57)</f>
        <v>ESCUADRON 13  1</v>
      </c>
      <c r="C57" s="579" t="s">
        <v>713</v>
      </c>
      <c r="D57" s="439" t="str">
        <f>IFERROR(VLOOKUP("JEFE/"&amp;SECCIONES[[#This Row],[SIGLA]],JEFES_1,3,FALSE)&amp;" "&amp;VLOOKUP("JEFE/"&amp;SECCIONES[[#This Row],[SIGLA]],JEFES_1,2,FALSE),"-")</f>
        <v>SGTO 2DO. CORTES GALLARDO JAVIER ALBERTO</v>
      </c>
      <c r="E57" s="448" t="s">
        <v>1021</v>
      </c>
      <c r="F57" s="59" t="str">
        <f>VLOOKUP(C57,'Tabla de Servicio'!$DX$8:$DY$150,2,0)</f>
        <v>1P</v>
      </c>
      <c r="G57" s="420" t="str">
        <f>VLOOKUP(C57,'Tabla de Servicio'!$DX$8:$DZ$150,3,0)</f>
        <v>LEGUA</v>
      </c>
      <c r="H57" s="47">
        <v>0.33333333333333331</v>
      </c>
      <c r="I57" s="47">
        <v>0.83333333333333337</v>
      </c>
      <c r="J57" s="440">
        <f>COUNTIF(BD_PRINCIPAL[DOTACIÓN ACTUAL],SECCIONES[[#This Row],[SIGLA]])+COUNTIF(BD_PRINCIPAL[DOTACIÓN ACTUAL],"JEFE/"&amp;SECCIONES[[#This Row],[SIGLA]])</f>
        <v>6</v>
      </c>
      <c r="K57" s="449"/>
      <c r="L57" s="565" t="s">
        <v>3119</v>
      </c>
      <c r="N57" s="1164"/>
      <c r="O57" s="1164"/>
      <c r="P57" s="1172"/>
      <c r="Q57" s="25"/>
    </row>
    <row r="58" spans="1:17" ht="17.399999999999999" x14ac:dyDescent="0.3">
      <c r="A58" s="983">
        <f t="shared" si="0"/>
        <v>0</v>
      </c>
      <c r="B58" s="21" t="str">
        <f>$L58&amp;" "&amp;COUNTIF($L$14:L58,L58)</f>
        <v xml:space="preserve"> 0</v>
      </c>
      <c r="C58" s="579" t="s">
        <v>1237</v>
      </c>
      <c r="D58" s="431" t="str">
        <f>IFERROR(VLOOKUP("JEFE/"&amp;SECCIONES[[#This Row],[SIGLA]],JEFES_1,3,FALSE)&amp;" "&amp;VLOOKUP("JEFE/"&amp;SECCIONES[[#This Row],[SIGLA]],JEFES_1,2,FALSE),"-")</f>
        <v>-</v>
      </c>
      <c r="E58" s="448"/>
      <c r="F58" s="59" t="str">
        <f>VLOOKUP(C58,'Tabla de Servicio'!$DX$8:$DY$150,2,0)</f>
        <v/>
      </c>
      <c r="G58" s="420" t="str">
        <f>VLOOKUP(C58,'Tabla de Servicio'!$DX$8:$DZ$150,3,0)</f>
        <v/>
      </c>
      <c r="H58" s="47"/>
      <c r="I58" s="47"/>
      <c r="J58" s="442">
        <f>COUNTIF(BD_PRINCIPAL[DOTACIÓN ACTUAL],SECCIONES[[#This Row],[SIGLA]])+COUNTIF(BD_PRINCIPAL[DOTACIÓN ACTUAL],"JEFE/"&amp;SECCIONES[[#This Row],[SIGLA]])</f>
        <v>0</v>
      </c>
      <c r="K58" s="303"/>
      <c r="L58" s="565"/>
      <c r="N58" s="1165"/>
      <c r="O58" s="1165"/>
      <c r="P58" s="1172"/>
      <c r="Q58" s="25"/>
    </row>
    <row r="59" spans="1:17" ht="17.399999999999999" x14ac:dyDescent="0.3">
      <c r="A59" s="983">
        <f t="shared" si="0"/>
        <v>0</v>
      </c>
      <c r="B59" s="21" t="str">
        <f>$L59&amp;" "&amp;COUNTIF($L$14:L59,L59)</f>
        <v>ESCUADRON 14 2</v>
      </c>
      <c r="C59" s="580" t="s">
        <v>740</v>
      </c>
      <c r="D59" s="431" t="str">
        <f>IFERROR(VLOOKUP("JEFE/"&amp;SECCIONES[[#This Row],[SIGLA]],JEFES_1,3,FALSE)&amp;" "&amp;VLOOKUP("JEFE/"&amp;SECCIONES[[#This Row],[SIGLA]],JEFES_1,2,FALSE),"-")</f>
        <v>SUBOFICIAL ROSALES CALDERON MARCO ANTONIO ( T )</v>
      </c>
      <c r="E59" s="448" t="s">
        <v>1034</v>
      </c>
      <c r="F59" s="59" t="str">
        <f>VLOOKUP(C59,'Tabla de Servicio'!$DX$8:$DY$150,2,0)</f>
        <v>3T</v>
      </c>
      <c r="G59" s="420" t="str">
        <f>VLOOKUP(C59,'Tabla de Servicio'!$DX$8:$DZ$150,3,0)</f>
        <v>APS</v>
      </c>
      <c r="H59" s="47">
        <v>0.91666666666666663</v>
      </c>
      <c r="I59" s="47">
        <v>0.33333333333333331</v>
      </c>
      <c r="J59" s="59">
        <f>COUNTIF(BD_PRINCIPAL[DOTACIÓN ACTUAL],SECCIONES[[#This Row],[SIGLA]])+COUNTIF(BD_PRINCIPAL[DOTACIÓN ACTUAL],"JEFE/"&amp;SECCIONES[[#This Row],[SIGLA]])</f>
        <v>8</v>
      </c>
      <c r="K59" s="583"/>
      <c r="L59" s="469" t="s">
        <v>1543</v>
      </c>
      <c r="N59" s="1166" t="s">
        <v>1542</v>
      </c>
      <c r="O59" s="1166">
        <f>SUMIF(SECCIONES[[ESCUADRON ]],N59,SECCIONES[F.E.])</f>
        <v>15</v>
      </c>
      <c r="P59" s="1172"/>
      <c r="Q59" s="25"/>
    </row>
    <row r="60" spans="1:17" ht="17.399999999999999" x14ac:dyDescent="0.3">
      <c r="A60" s="983">
        <f t="shared" si="0"/>
        <v>0</v>
      </c>
      <c r="B60" s="21" t="str">
        <f>$L60&amp;" "&amp;COUNTIF($L$14:L60,L60)</f>
        <v xml:space="preserve"> 0</v>
      </c>
      <c r="C60" s="580" t="s">
        <v>1238</v>
      </c>
      <c r="D60" s="431" t="str">
        <f>IFERROR(VLOOKUP("JEFE/"&amp;SECCIONES[[#This Row],[SIGLA]],JEFES_1,3,FALSE)&amp;" "&amp;VLOOKUP("JEFE/"&amp;SECCIONES[[#This Row],[SIGLA]],JEFES_1,2,FALSE),"-")</f>
        <v>-</v>
      </c>
      <c r="E60" s="868"/>
      <c r="F60" s="59" t="str">
        <f>VLOOKUP(C60,'Tabla de Servicio'!$DX$8:$DY$150,2,0)</f>
        <v/>
      </c>
      <c r="G60" s="420" t="str">
        <f>VLOOKUP(C60,'Tabla de Servicio'!$DX$8:$DZ$150,3,0)</f>
        <v/>
      </c>
      <c r="H60" s="47"/>
      <c r="I60" s="47"/>
      <c r="J60" s="141">
        <f>COUNTIF(BD_PRINCIPAL[DOTACIÓN ACTUAL],SECCIONES[[#This Row],[SIGLA]])+COUNTIF(BD_PRINCIPAL[DOTACIÓN ACTUAL],"JEFE/"&amp;SECCIONES[[#This Row],[SIGLA]])</f>
        <v>0</v>
      </c>
      <c r="K60" s="583"/>
      <c r="L60" s="469"/>
      <c r="N60" s="1167"/>
      <c r="O60" s="1167"/>
      <c r="P60" s="1172"/>
      <c r="Q60" s="25"/>
    </row>
    <row r="61" spans="1:17" ht="17.399999999999999" x14ac:dyDescent="0.3">
      <c r="A61" s="983">
        <f t="shared" si="0"/>
        <v>0</v>
      </c>
      <c r="B61" s="21" t="str">
        <f>$L61&amp;" "&amp;COUNTIF($L$14:L61,L61)</f>
        <v>ESCUADRON 14 3</v>
      </c>
      <c r="C61" s="580" t="s">
        <v>702</v>
      </c>
      <c r="D61" s="439" t="str">
        <f>IFERROR(VLOOKUP("JEFE/"&amp;SECCIONES[[#This Row],[SIGLA]],JEFES_1,3,FALSE)&amp;" "&amp;VLOOKUP("JEFE/"&amp;SECCIONES[[#This Row],[SIGLA]],JEFES_1,2,FALSE),"-")</f>
        <v>SGTO 2DO. HERNANDEZ CRUCES DIEGO ESTEBAN              (T - P- S)</v>
      </c>
      <c r="E61" s="448" t="s">
        <v>1039</v>
      </c>
      <c r="F61" s="59" t="str">
        <f>VLOOKUP(C61,'Tabla de Servicio'!$DX$8:$DY$150,2,0)</f>
        <v>2P</v>
      </c>
      <c r="G61" s="420" t="str">
        <f>VLOOKUP(C61,'Tabla de Servicio'!$DX$8:$DZ$150,3,0)</f>
        <v>MONUMENTO / BAQUEDANO</v>
      </c>
      <c r="H61" s="47">
        <v>0.83333333333333337</v>
      </c>
      <c r="I61" s="47">
        <v>0.33333333333333331</v>
      </c>
      <c r="J61" s="440">
        <f>COUNTIF(BD_PRINCIPAL[DOTACIÓN ACTUAL],SECCIONES[[#This Row],[SIGLA]])+COUNTIF(BD_PRINCIPAL[DOTACIÓN ACTUAL],"JEFE/"&amp;SECCIONES[[#This Row],[SIGLA]])</f>
        <v>5</v>
      </c>
      <c r="K61" s="301"/>
      <c r="L61" s="565" t="s">
        <v>1543</v>
      </c>
      <c r="N61" s="1168"/>
      <c r="O61" s="1168"/>
      <c r="P61" s="1172"/>
      <c r="Q61" s="25"/>
    </row>
    <row r="62" spans="1:17" ht="17.399999999999999" x14ac:dyDescent="0.3">
      <c r="A62" s="983">
        <f t="shared" si="0"/>
        <v>0</v>
      </c>
      <c r="B62" s="21" t="str">
        <f>$L62&amp;" "&amp;COUNTIF($L$14:L62,L62)</f>
        <v xml:space="preserve"> 0</v>
      </c>
      <c r="C62" s="580" t="s">
        <v>1239</v>
      </c>
      <c r="D62" s="431" t="str">
        <f>IFERROR(VLOOKUP("JEFE/"&amp;SECCIONES[[#This Row],[SIGLA]],JEFES_1,3,FALSE)&amp;" "&amp;VLOOKUP("JEFE/"&amp;SECCIONES[[#This Row],[SIGLA]],JEFES_1,2,FALSE),"-")</f>
        <v>-</v>
      </c>
      <c r="E62" s="200"/>
      <c r="F62" s="59" t="str">
        <f>VLOOKUP(C62,'Tabla de Servicio'!$DX$8:$DY$150,2,0)</f>
        <v/>
      </c>
      <c r="G62" s="420" t="str">
        <f>VLOOKUP(C62,'Tabla de Servicio'!$DX$8:$DZ$150,3,0)</f>
        <v/>
      </c>
      <c r="H62" s="750"/>
      <c r="I62" s="750"/>
      <c r="J62" s="442">
        <f>COUNTIF(BD_PRINCIPAL[DOTACIÓN ACTUAL],SECCIONES[[#This Row],[SIGLA]])+COUNTIF(BD_PRINCIPAL[DOTACIÓN ACTUAL],"JEFE/"&amp;SECCIONES[[#This Row],[SIGLA]])</f>
        <v>0</v>
      </c>
      <c r="K62" s="303"/>
      <c r="L62" s="565"/>
      <c r="N62" s="1169" t="s">
        <v>1543</v>
      </c>
      <c r="O62" s="1169">
        <f>SUMIF(SECCIONES[[ESCUADRON ]],N62,SECCIONES[F.E.])</f>
        <v>21</v>
      </c>
      <c r="P62" s="1172"/>
      <c r="Q62" s="25"/>
    </row>
    <row r="63" spans="1:17" ht="17.399999999999999" x14ac:dyDescent="0.3">
      <c r="A63" s="983">
        <f t="shared" si="0"/>
        <v>0</v>
      </c>
      <c r="B63" s="21" t="str">
        <f>$L63&amp;" "&amp;COUNTIF($L$14:L63,L63)</f>
        <v>ESCUADRON 14 4</v>
      </c>
      <c r="C63" s="580" t="s">
        <v>742</v>
      </c>
      <c r="D63" s="439" t="str">
        <f>IFERROR(VLOOKUP("JEFE/"&amp;SECCIONES[[#This Row],[SIGLA]],JEFES_1,3,FALSE)&amp;" "&amp;VLOOKUP("JEFE/"&amp;SECCIONES[[#This Row],[SIGLA]],JEFES_1,2,FALSE),"-")</f>
        <v>SUBOFICIAL BRAVO VALDERRAMA OSCAR MAURICIO</v>
      </c>
      <c r="E63" s="448" t="s">
        <v>1021</v>
      </c>
      <c r="F63" s="59" t="str">
        <f>VLOOKUP(C63,'Tabla de Servicio'!$DX$8:$DY$150,2,0)</f>
        <v>3T</v>
      </c>
      <c r="G63" s="420" t="str">
        <f>VLOOKUP(C63,'Tabla de Servicio'!$DX$8:$DZ$150,3,0)</f>
        <v>APS</v>
      </c>
      <c r="H63" s="47">
        <v>0.83333333333333337</v>
      </c>
      <c r="I63" s="47">
        <v>0.33333333333333331</v>
      </c>
      <c r="J63" s="440">
        <f>COUNTIF(BD_PRINCIPAL[DOTACIÓN ACTUAL],SECCIONES[[#This Row],[SIGLA]])+COUNTIF(BD_PRINCIPAL[DOTACIÓN ACTUAL],"JEFE/"&amp;SECCIONES[[#This Row],[SIGLA]])</f>
        <v>8</v>
      </c>
      <c r="K63" s="583"/>
      <c r="L63" s="565" t="s">
        <v>1543</v>
      </c>
      <c r="N63" s="1170"/>
      <c r="O63" s="1170"/>
      <c r="P63" s="1172"/>
    </row>
    <row r="64" spans="1:17" s="22" customFormat="1" ht="17.399999999999999" x14ac:dyDescent="0.3">
      <c r="A64" s="983">
        <f t="shared" si="0"/>
        <v>0</v>
      </c>
      <c r="B64" s="21" t="str">
        <f>$L64&amp;" "&amp;COUNTIF($L$14:L64,L64)</f>
        <v xml:space="preserve"> 0</v>
      </c>
      <c r="C64" s="580" t="s">
        <v>1240</v>
      </c>
      <c r="D64" s="431" t="str">
        <f>IFERROR(VLOOKUP("JEFE/"&amp;SECCIONES[[#This Row],[SIGLA]],JEFES_1,3,FALSE)&amp;" "&amp;VLOOKUP("JEFE/"&amp;SECCIONES[[#This Row],[SIGLA]],JEFES_1,2,FALSE),"-")</f>
        <v>-</v>
      </c>
      <c r="E64" s="448"/>
      <c r="F64" s="59" t="str">
        <f>VLOOKUP(C64,'Tabla de Servicio'!$DX$8:$DY$150,2,0)</f>
        <v/>
      </c>
      <c r="G64" s="420" t="str">
        <f>VLOOKUP(C64,'Tabla de Servicio'!$DX$8:$DZ$150,3,0)</f>
        <v/>
      </c>
      <c r="H64" s="47"/>
      <c r="I64" s="47"/>
      <c r="J64" s="442">
        <f>COUNTIF(BD_PRINCIPAL[DOTACIÓN ACTUAL],SECCIONES[[#This Row],[SIGLA]])+COUNTIF(BD_PRINCIPAL[DOTACIÓN ACTUAL],"JEFE/"&amp;SECCIONES[[#This Row],[SIGLA]])</f>
        <v>0</v>
      </c>
      <c r="K64" s="303"/>
      <c r="L64" s="565"/>
      <c r="N64" s="1171"/>
      <c r="O64" s="1171"/>
      <c r="P64" s="1172"/>
    </row>
    <row r="65" spans="1:16" ht="17.399999999999999" x14ac:dyDescent="0.3">
      <c r="A65" s="983">
        <f t="shared" si="0"/>
        <v>0</v>
      </c>
      <c r="B65" s="21" t="str">
        <f>$L65&amp;" "&amp;COUNTIF($L$14:L65,L65)</f>
        <v>ESCUADRON 15 4</v>
      </c>
      <c r="C65" s="579" t="s">
        <v>712</v>
      </c>
      <c r="D65" s="431" t="str">
        <f>IFERROR(VLOOKUP("JEFE/"&amp;SECCIONES[[#This Row],[SIGLA]],JEFES_1,3,FALSE)&amp;" "&amp;VLOOKUP("JEFE/"&amp;SECCIONES[[#This Row],[SIGLA]],JEFES_1,2,FALSE),"-")</f>
        <v>SGTO 1RO. ZEPEDA SANTOS ALEX ALEJANDRO</v>
      </c>
      <c r="E65" s="752"/>
      <c r="F65" s="59" t="str">
        <f>VLOOKUP(C65,'Tabla de Servicio'!$DX$8:$DY$150,2,0)</f>
        <v>SN</v>
      </c>
      <c r="G65" s="420" t="str">
        <f>VLOOKUP(C65,'Tabla de Servicio'!$DX$8:$DZ$150,3,0)</f>
        <v>SALIENTE SERVICIO</v>
      </c>
      <c r="H65" s="47" t="s">
        <v>663</v>
      </c>
      <c r="I65" s="47" t="s">
        <v>663</v>
      </c>
      <c r="J65" s="59">
        <f>COUNTIF(BD_PRINCIPAL[DOTACIÓN ACTUAL],SECCIONES[[#This Row],[SIGLA]])+COUNTIF(BD_PRINCIPAL[DOTACIÓN ACTUAL],"JEFE/"&amp;SECCIONES[[#This Row],[SIGLA]])</f>
        <v>8</v>
      </c>
      <c r="K65" s="583"/>
      <c r="L65" s="565" t="s">
        <v>1544</v>
      </c>
      <c r="N65" s="1149" t="s">
        <v>1544</v>
      </c>
      <c r="O65" s="1149">
        <f>SUMIF(SECCIONES[[ESCUADRON ]],N65,SECCIONES[F.E.])</f>
        <v>23</v>
      </c>
      <c r="P65" s="1172"/>
    </row>
    <row r="66" spans="1:16" ht="17.399999999999999" x14ac:dyDescent="0.3">
      <c r="A66" s="983">
        <f t="shared" si="0"/>
        <v>0</v>
      </c>
      <c r="B66" s="21" t="str">
        <f>$L66&amp;" "&amp;COUNTIF($L$14:L66,L66)</f>
        <v xml:space="preserve"> 0</v>
      </c>
      <c r="C66" s="579" t="s">
        <v>1241</v>
      </c>
      <c r="D66" s="431" t="str">
        <f>IFERROR(VLOOKUP("JEFE/"&amp;SECCIONES[[#This Row],[SIGLA]],JEFES_1,3,FALSE)&amp;" "&amp;VLOOKUP("JEFE/"&amp;SECCIONES[[#This Row],[SIGLA]],JEFES_1,2,FALSE),"-")</f>
        <v>-</v>
      </c>
      <c r="E66" s="200"/>
      <c r="F66" s="59" t="str">
        <f>VLOOKUP(C66,'Tabla de Servicio'!$DX$8:$DY$150,2,0)</f>
        <v/>
      </c>
      <c r="G66" s="420" t="str">
        <f>VLOOKUP(C66,'Tabla de Servicio'!$DX$8:$DZ$150,3,0)</f>
        <v/>
      </c>
      <c r="H66" s="47"/>
      <c r="I66" s="47"/>
      <c r="J66" s="141">
        <f>COUNTIF(BD_PRINCIPAL[DOTACIÓN ACTUAL],SECCIONES[[#This Row],[SIGLA]])+COUNTIF(BD_PRINCIPAL[DOTACIÓN ACTUAL],"JEFE/"&amp;SECCIONES[[#This Row],[SIGLA]])</f>
        <v>0</v>
      </c>
      <c r="K66" s="303"/>
      <c r="L66" s="565"/>
      <c r="N66" s="1150"/>
      <c r="O66" s="1150"/>
      <c r="P66" s="1172"/>
    </row>
    <row r="67" spans="1:16" ht="17.399999999999999" x14ac:dyDescent="0.3">
      <c r="A67" s="983">
        <f t="shared" si="0"/>
        <v>0</v>
      </c>
      <c r="B67" s="21" t="str">
        <f>$L67&amp;" "&amp;COUNTIF($L$14:L67,L67)</f>
        <v>ESCUADRON 15 5</v>
      </c>
      <c r="C67" s="579" t="s">
        <v>701</v>
      </c>
      <c r="D67" s="439" t="str">
        <f>IFERROR(VLOOKUP("JEFE/"&amp;SECCIONES[[#This Row],[SIGLA]],JEFES_1,3,FALSE)&amp;" "&amp;VLOOKUP("JEFE/"&amp;SECCIONES[[#This Row],[SIGLA]],JEFES_1,2,FALSE),"-")</f>
        <v>SGTO 1RO. MORALES LEVIO MARCO ANTONIO</v>
      </c>
      <c r="E67" s="448"/>
      <c r="F67" s="59" t="str">
        <f>VLOOKUP(C67,'Tabla de Servicio'!$DX$8:$DY$150,2,0)</f>
        <v>SN</v>
      </c>
      <c r="G67" s="420" t="str">
        <f>VLOOKUP(C67,'Tabla de Servicio'!$DX$8:$DZ$150,3,0)</f>
        <v>SALIENTE SERVICIO</v>
      </c>
      <c r="H67" s="47"/>
      <c r="I67" s="47" t="s">
        <v>663</v>
      </c>
      <c r="J67" s="440">
        <f>COUNTIF(BD_PRINCIPAL[DOTACIÓN ACTUAL],SECCIONES[[#This Row],[SIGLA]])+COUNTIF(BD_PRINCIPAL[DOTACIÓN ACTUAL],"JEFE/"&amp;SECCIONES[[#This Row],[SIGLA]])</f>
        <v>8</v>
      </c>
      <c r="K67" s="394"/>
      <c r="L67" s="565" t="s">
        <v>1544</v>
      </c>
      <c r="N67" s="1151"/>
      <c r="O67" s="1151"/>
      <c r="P67" s="1172"/>
    </row>
    <row r="68" spans="1:16" ht="17.399999999999999" x14ac:dyDescent="0.3">
      <c r="A68" s="983">
        <f t="shared" si="0"/>
        <v>0</v>
      </c>
      <c r="B68" s="21" t="str">
        <f>$L68&amp;" "&amp;COUNTIF($L$14:L68,L68)</f>
        <v xml:space="preserve"> 0</v>
      </c>
      <c r="C68" s="579" t="s">
        <v>1242</v>
      </c>
      <c r="D68" s="431" t="str">
        <f>IFERROR(VLOOKUP("JEFE/"&amp;SECCIONES[[#This Row],[SIGLA]],JEFES_1,3,FALSE)&amp;" "&amp;VLOOKUP("JEFE/"&amp;SECCIONES[[#This Row],[SIGLA]],JEFES_1,2,FALSE),"-")</f>
        <v>-</v>
      </c>
      <c r="E68" s="200"/>
      <c r="F68" s="59" t="str">
        <f>VLOOKUP(C68,'Tabla de Servicio'!$DX$8:$DY$150,2,0)</f>
        <v/>
      </c>
      <c r="G68" s="420" t="str">
        <f>VLOOKUP(C68,'Tabla de Servicio'!$DX$8:$DZ$150,3,0)</f>
        <v/>
      </c>
      <c r="H68" s="47"/>
      <c r="I68" s="47"/>
      <c r="J68" s="442">
        <f>COUNTIF(BD_PRINCIPAL[DOTACIÓN ACTUAL],SECCIONES[[#This Row],[SIGLA]])+COUNTIF(BD_PRINCIPAL[DOTACIÓN ACTUAL],"JEFE/"&amp;SECCIONES[[#This Row],[SIGLA]])</f>
        <v>0</v>
      </c>
      <c r="K68" s="303"/>
      <c r="L68" s="565"/>
      <c r="N68" s="1157" t="s">
        <v>1452</v>
      </c>
      <c r="O68" s="1157">
        <f>SUMIF(SECCIONES[[ESCUADRON ]],N68,SECCIONES[F.E.])</f>
        <v>26</v>
      </c>
      <c r="P68" s="1172"/>
    </row>
    <row r="69" spans="1:16" ht="17.399999999999999" x14ac:dyDescent="0.3">
      <c r="A69" s="983">
        <f t="shared" si="0"/>
        <v>0</v>
      </c>
      <c r="B69" s="21" t="str">
        <f>$L69&amp;" "&amp;COUNTIF($L$14:L69,L69)</f>
        <v>ESCUADRON 15 6</v>
      </c>
      <c r="C69" s="579" t="s">
        <v>704</v>
      </c>
      <c r="D69" s="439" t="str">
        <f>IFERROR(VLOOKUP("JEFE/"&amp;SECCIONES[[#This Row],[SIGLA]],JEFES_1,3,FALSE)&amp;" "&amp;VLOOKUP("JEFE/"&amp;SECCIONES[[#This Row],[SIGLA]],JEFES_1,2,FALSE),"-")</f>
        <v>SUBOFICIAL GATICA NAVARRETE ROBERTO FELIPE</v>
      </c>
      <c r="E69" s="448"/>
      <c r="F69" s="59" t="str">
        <f>VLOOKUP(C69,'Tabla de Servicio'!$DX$8:$DY$150,2,0)</f>
        <v>SN</v>
      </c>
      <c r="G69" s="420" t="str">
        <f>VLOOKUP(C69,'Tabla de Servicio'!$DX$8:$DZ$150,3,0)</f>
        <v>SALIENTE SERVICIO</v>
      </c>
      <c r="H69" s="47" t="s">
        <v>663</v>
      </c>
      <c r="I69" s="47" t="s">
        <v>663</v>
      </c>
      <c r="J69" s="440">
        <f>COUNTIF(BD_PRINCIPAL[DOTACIÓN ACTUAL],SECCIONES[[#This Row],[SIGLA]])+COUNTIF(BD_PRINCIPAL[DOTACIÓN ACTUAL],"JEFE/"&amp;SECCIONES[[#This Row],[SIGLA]])</f>
        <v>7</v>
      </c>
      <c r="K69" s="394"/>
      <c r="L69" s="565" t="s">
        <v>1544</v>
      </c>
      <c r="N69" s="1158"/>
      <c r="O69" s="1158"/>
      <c r="P69" s="1172"/>
    </row>
    <row r="70" spans="1:16" ht="17.399999999999999" x14ac:dyDescent="0.3">
      <c r="A70" s="983" t="e">
        <f t="shared" si="0"/>
        <v>#VALUE!</v>
      </c>
      <c r="B70" s="21" t="str">
        <f>$L70&amp;" "&amp;COUNTIF($L$14:L70,L70)</f>
        <v xml:space="preserve"> 0</v>
      </c>
      <c r="C70" s="579" t="s">
        <v>1243</v>
      </c>
      <c r="D70" s="431" t="str">
        <f>IFERROR(VLOOKUP("JEFE/"&amp;SECCIONES[[#This Row],[SIGLA]],JEFES_1,3,FALSE)&amp;" "&amp;VLOOKUP("JEFE/"&amp;SECCIONES[[#This Row],[SIGLA]],JEFES_1,2,FALSE),"-")</f>
        <v>-</v>
      </c>
      <c r="E70" s="200"/>
      <c r="F70" s="59" t="str">
        <f>VLOOKUP(C70,'Tabla de Servicio'!$DX$8:$DY$150,2,0)</f>
        <v/>
      </c>
      <c r="G70" s="420" t="str">
        <f>VLOOKUP(C70,'Tabla de Servicio'!$DX$8:$DZ$150,3,0)</f>
        <v/>
      </c>
      <c r="H70" s="47"/>
      <c r="I70" s="47"/>
      <c r="J70" s="442">
        <f>COUNTIF(BD_PRINCIPAL[DOTACIÓN ACTUAL],SECCIONES[[#This Row],[SIGLA]])+COUNTIF(BD_PRINCIPAL[DOTACIÓN ACTUAL],"JEFE/"&amp;SECCIONES[[#This Row],[SIGLA]])</f>
        <v>0</v>
      </c>
      <c r="K70" s="303"/>
      <c r="L70" s="565"/>
      <c r="N70" s="1159"/>
      <c r="O70" s="1159"/>
      <c r="P70" s="1172"/>
    </row>
    <row r="71" spans="1:16" ht="17.399999999999999" x14ac:dyDescent="0.3">
      <c r="A71" s="983">
        <f t="shared" si="0"/>
        <v>0</v>
      </c>
      <c r="B71" s="21" t="str">
        <f>$L71&amp;" "&amp;COUNTIF($L$14:L71,L71)</f>
        <v>ESCUADRON 16 2</v>
      </c>
      <c r="C71" s="580" t="s">
        <v>750</v>
      </c>
      <c r="D71" s="431" t="str">
        <f>IFERROR(VLOOKUP("JEFE/"&amp;SECCIONES[[#This Row],[SIGLA]],JEFES_1,3,FALSE)&amp;" "&amp;VLOOKUP("JEFE/"&amp;SECCIONES[[#This Row],[SIGLA]],JEFES_1,2,FALSE),"-")</f>
        <v>SGTO 1RO. JARA ELGUETA JUAN</v>
      </c>
      <c r="E71" s="868" t="s">
        <v>1035</v>
      </c>
      <c r="F71" s="59" t="str">
        <f>VLOOKUP(C71,'Tabla de Servicio'!$DX$8:$DY$150,2,0)</f>
        <v>1P</v>
      </c>
      <c r="G71" s="420" t="str">
        <f>VLOOKUP(C71,'Tabla de Servicio'!$DX$8:$DZ$150,3,0)</f>
        <v>ARIETE 22</v>
      </c>
      <c r="H71" s="47">
        <v>0.33333333333333331</v>
      </c>
      <c r="I71" s="47" t="s">
        <v>840</v>
      </c>
      <c r="J71" s="59">
        <f>COUNTIF(BD_PRINCIPAL[DOTACIÓN ACTUAL],SECCIONES[[#This Row],[SIGLA]])+COUNTIF(BD_PRINCIPAL[DOTACIÓN ACTUAL],"JEFE/"&amp;SECCIONES[[#This Row],[SIGLA]])</f>
        <v>11</v>
      </c>
      <c r="K71" s="394"/>
      <c r="L71" s="469" t="s">
        <v>1452</v>
      </c>
      <c r="N71" s="1152" t="s">
        <v>1545</v>
      </c>
      <c r="O71" s="1152">
        <f>SUMIF(SECCIONES[[ESCUADRON ]],N71,SECCIONES[F.E.])</f>
        <v>24</v>
      </c>
      <c r="P71" s="1172"/>
    </row>
    <row r="72" spans="1:16" ht="17.399999999999999" x14ac:dyDescent="0.3">
      <c r="A72" s="983">
        <f t="shared" si="0"/>
        <v>0</v>
      </c>
      <c r="B72" s="21" t="str">
        <f>$L72&amp;" "&amp;COUNTIF($L$14:L72,L72)</f>
        <v>ESCUADRON 16 3</v>
      </c>
      <c r="C72" s="580" t="s">
        <v>1244</v>
      </c>
      <c r="D72" s="431" t="str">
        <f>IFERROR(VLOOKUP("JEFE/"&amp;SECCIONES[[#This Row],[SIGLA]],JEFES_1,3,FALSE)&amp;" "&amp;VLOOKUP("JEFE/"&amp;SECCIONES[[#This Row],[SIGLA]],JEFES_1,2,FALSE),"-")</f>
        <v>-</v>
      </c>
      <c r="E72" s="200"/>
      <c r="F72" s="59" t="str">
        <f>VLOOKUP(C72,'Tabla de Servicio'!$DX$8:$DY$150,2,0)</f>
        <v/>
      </c>
      <c r="G72" s="420" t="str">
        <f>VLOOKUP(C72,'Tabla de Servicio'!$DX$8:$DZ$150,3,0)</f>
        <v/>
      </c>
      <c r="H72" s="47" t="s">
        <v>663</v>
      </c>
      <c r="I72" s="47" t="s">
        <v>663</v>
      </c>
      <c r="J72" s="141">
        <f>COUNTIF(BD_PRINCIPAL[DOTACIÓN ACTUAL],SECCIONES[[#This Row],[SIGLA]])+COUNTIF(BD_PRINCIPAL[DOTACIÓN ACTUAL],"JEFE/"&amp;SECCIONES[[#This Row],[SIGLA]])</f>
        <v>0</v>
      </c>
      <c r="K72" s="394"/>
      <c r="L72" s="469" t="s">
        <v>1452</v>
      </c>
      <c r="N72" s="1153"/>
      <c r="O72" s="1153"/>
      <c r="P72" s="1172"/>
    </row>
    <row r="73" spans="1:16" ht="17.399999999999999" x14ac:dyDescent="0.3">
      <c r="A73" s="983">
        <f t="shared" si="0"/>
        <v>0</v>
      </c>
      <c r="B73" s="21" t="str">
        <f>$L73&amp;" "&amp;COUNTIF($L$14:L73,L73)</f>
        <v>ESCUADRON 16 4</v>
      </c>
      <c r="C73" s="580" t="s">
        <v>715</v>
      </c>
      <c r="D73" s="439" t="str">
        <f>IFERROR(VLOOKUP("JEFE/"&amp;SECCIONES[[#This Row],[SIGLA]],JEFES_1,3,FALSE)&amp;" "&amp;VLOOKUP("JEFE/"&amp;SECCIONES[[#This Row],[SIGLA]],JEFES_1,2,FALSE),"-")</f>
        <v>SUBOFICIAL VALENZUELA AGUILERA ENZO ANTONIO</v>
      </c>
      <c r="E73" s="448" t="s">
        <v>1036</v>
      </c>
      <c r="F73" s="59" t="str">
        <f>VLOOKUP(C73,'Tabla de Servicio'!$DX$8:$DY$150,2,0)</f>
        <v>1P</v>
      </c>
      <c r="G73" s="420" t="str">
        <f>VLOOKUP(C73,'Tabla de Servicio'!$DX$8:$DZ$150,3,0)</f>
        <v>ARIETE 22</v>
      </c>
      <c r="H73" s="47">
        <v>0.33333333333333331</v>
      </c>
      <c r="I73" s="47" t="s">
        <v>840</v>
      </c>
      <c r="J73" s="440">
        <f>COUNTIF(BD_PRINCIPAL[DOTACIÓN ACTUAL],SECCIONES[[#This Row],[SIGLA]])+COUNTIF(BD_PRINCIPAL[DOTACIÓN ACTUAL],"JEFE/"&amp;SECCIONES[[#This Row],[SIGLA]])</f>
        <v>8</v>
      </c>
      <c r="K73" s="301"/>
      <c r="L73" s="470" t="s">
        <v>1452</v>
      </c>
      <c r="N73" s="1154" t="s">
        <v>1821</v>
      </c>
      <c r="O73" s="1152">
        <f>SUMIF(SECCIONES[[ESCUADRON ]],N73,SECCIONES[F.E.])</f>
        <v>0</v>
      </c>
      <c r="P73" s="1172"/>
    </row>
    <row r="74" spans="1:16" ht="17.399999999999999" x14ac:dyDescent="0.3">
      <c r="A74" s="983">
        <f t="shared" si="0"/>
        <v>0</v>
      </c>
      <c r="B74" s="21" t="str">
        <f>$L74&amp;" "&amp;COUNTIF($L$14:L74,L74)</f>
        <v xml:space="preserve"> 0</v>
      </c>
      <c r="C74" s="580" t="s">
        <v>1245</v>
      </c>
      <c r="D74" s="431" t="str">
        <f>IFERROR(VLOOKUP("JEFE/"&amp;SECCIONES[[#This Row],[SIGLA]],JEFES_1,3,FALSE)&amp;" "&amp;VLOOKUP("JEFE/"&amp;SECCIONES[[#This Row],[SIGLA]],JEFES_1,2,FALSE),"-")</f>
        <v>-</v>
      </c>
      <c r="E74" s="200"/>
      <c r="F74" s="59" t="str">
        <f>VLOOKUP(C74,'Tabla de Servicio'!$DX$8:$DY$150,2,0)</f>
        <v/>
      </c>
      <c r="G74" s="420" t="str">
        <f>VLOOKUP(C74,'Tabla de Servicio'!$DX$8:$DZ$150,3,0)</f>
        <v/>
      </c>
      <c r="H74" s="47"/>
      <c r="I74" s="47"/>
      <c r="J74" s="442">
        <f>COUNTIF(BD_PRINCIPAL[DOTACIÓN ACTUAL],SECCIONES[[#This Row],[SIGLA]])+COUNTIF(BD_PRINCIPAL[DOTACIÓN ACTUAL],"JEFE/"&amp;SECCIONES[[#This Row],[SIGLA]])</f>
        <v>0</v>
      </c>
      <c r="K74" s="303"/>
      <c r="L74" s="470"/>
      <c r="N74" s="1155"/>
      <c r="O74" s="1153"/>
      <c r="P74" s="1172"/>
    </row>
    <row r="75" spans="1:16" ht="17.399999999999999" x14ac:dyDescent="0.3">
      <c r="A75" s="983">
        <f t="shared" si="0"/>
        <v>0</v>
      </c>
      <c r="B75" s="21" t="str">
        <f>$L75&amp;" "&amp;COUNTIF($L$14:L75,L75)</f>
        <v>ESCUADRON 16 5</v>
      </c>
      <c r="C75" s="580" t="s">
        <v>711</v>
      </c>
      <c r="D75" s="439" t="str">
        <f>IFERROR(VLOOKUP("JEFE/"&amp;SECCIONES[[#This Row],[SIGLA]],JEFES_1,3,FALSE)&amp;" "&amp;VLOOKUP("JEFE/"&amp;SECCIONES[[#This Row],[SIGLA]],JEFES_1,2,FALSE),"-")</f>
        <v>SUBOFICIAL HENRIQUEZ JARAMILLO FIDEL</v>
      </c>
      <c r="E75" s="448" t="s">
        <v>3605</v>
      </c>
      <c r="F75" s="59" t="str">
        <f>VLOOKUP(C75,'Tabla de Servicio'!$DX$8:$DY$150,2,0)</f>
        <v>1P</v>
      </c>
      <c r="G75" s="420" t="str">
        <f>VLOOKUP(C75,'Tabla de Servicio'!$DX$8:$DZ$150,3,0)</f>
        <v>ARIETE 23</v>
      </c>
      <c r="H75" s="47">
        <v>0.33333333333333331</v>
      </c>
      <c r="I75" s="47" t="s">
        <v>840</v>
      </c>
      <c r="J75" s="440">
        <f>COUNTIF(BD_PRINCIPAL[DOTACIÓN ACTUAL],SECCIONES[[#This Row],[SIGLA]])+COUNTIF(BD_PRINCIPAL[DOTACIÓN ACTUAL],"JEFE/"&amp;SECCIONES[[#This Row],[SIGLA]])</f>
        <v>7</v>
      </c>
      <c r="K75" s="301"/>
      <c r="L75" s="565" t="s">
        <v>1452</v>
      </c>
      <c r="N75" s="22"/>
      <c r="O75" s="22"/>
    </row>
    <row r="76" spans="1:16" ht="17.399999999999999" x14ac:dyDescent="0.3">
      <c r="A76" s="983">
        <f t="shared" si="0"/>
        <v>0</v>
      </c>
      <c r="B76" s="21" t="str">
        <f>$L76&amp;" "&amp;COUNTIF($L$14:L76,L76)</f>
        <v xml:space="preserve"> 0</v>
      </c>
      <c r="C76" s="580" t="s">
        <v>1246</v>
      </c>
      <c r="D76" s="431" t="str">
        <f>IFERROR(VLOOKUP("JEFE/"&amp;SECCIONES[[#This Row],[SIGLA]],JEFES_1,3,FALSE)&amp;" "&amp;VLOOKUP("JEFE/"&amp;SECCIONES[[#This Row],[SIGLA]],JEFES_1,2,FALSE),"-")</f>
        <v>-</v>
      </c>
      <c r="E76" s="200"/>
      <c r="F76" s="59" t="str">
        <f>VLOOKUP(C76,'Tabla de Servicio'!$DX$8:$DY$150,2,0)</f>
        <v/>
      </c>
      <c r="G76" s="420" t="str">
        <f>VLOOKUP(C76,'Tabla de Servicio'!$DX$8:$DZ$150,3,0)</f>
        <v/>
      </c>
      <c r="H76" s="47"/>
      <c r="I76" s="47"/>
      <c r="J76" s="442">
        <f>COUNTIF(BD_PRINCIPAL[DOTACIÓN ACTUAL],SECCIONES[[#This Row],[SIGLA]])+COUNTIF(BD_PRINCIPAL[DOTACIÓN ACTUAL],"JEFE/"&amp;SECCIONES[[#This Row],[SIGLA]])</f>
        <v>0</v>
      </c>
      <c r="K76" s="303"/>
      <c r="L76" s="565"/>
      <c r="N76" s="22"/>
      <c r="O76" s="22"/>
    </row>
    <row r="77" spans="1:16" ht="17.399999999999999" x14ac:dyDescent="0.3">
      <c r="A77" s="983">
        <f t="shared" si="0"/>
        <v>0</v>
      </c>
      <c r="B77" s="21" t="str">
        <f>$L77&amp;" "&amp;COUNTIF($L$14:L77,L77)</f>
        <v>ESCUADRON 17 2</v>
      </c>
      <c r="C77" s="579" t="s">
        <v>700</v>
      </c>
      <c r="D77" s="431" t="str">
        <f>IFERROR(VLOOKUP("JEFE/"&amp;SECCIONES[[#This Row],[SIGLA]],JEFES_1,3,FALSE)&amp;" "&amp;VLOOKUP("JEFE/"&amp;SECCIONES[[#This Row],[SIGLA]],JEFES_1,2,FALSE),"-")</f>
        <v xml:space="preserve">SUBOFICIAL VILLAGRA AREVALO SERGIO HUMBERTO      ( P )  </v>
      </c>
      <c r="E77" s="448" t="s">
        <v>1009</v>
      </c>
      <c r="F77" s="59" t="str">
        <f>VLOOKUP(C77,'Tabla de Servicio'!$DX$8:$DY$150,2,0)</f>
        <v>1T</v>
      </c>
      <c r="G77" s="420" t="str">
        <f>VLOOKUP(C77,'Tabla de Servicio'!$DX$8:$DZ$150,3,0)</f>
        <v>MONEDA</v>
      </c>
      <c r="H77" s="47">
        <v>0.29166666666666669</v>
      </c>
      <c r="I77" s="47">
        <v>0.58333333333333337</v>
      </c>
      <c r="J77" s="59">
        <f>COUNTIF(BD_PRINCIPAL[DOTACIÓN ACTUAL],SECCIONES[[#This Row],[SIGLA]])+COUNTIF(BD_PRINCIPAL[DOTACIÓN ACTUAL],"JEFE/"&amp;SECCIONES[[#This Row],[SIGLA]])</f>
        <v>9</v>
      </c>
      <c r="K77" s="449"/>
      <c r="L77" s="469" t="s">
        <v>1545</v>
      </c>
      <c r="N77" s="22"/>
      <c r="O77" s="22"/>
    </row>
    <row r="78" spans="1:16" ht="17.399999999999999" x14ac:dyDescent="0.3">
      <c r="A78" s="983">
        <f t="shared" si="0"/>
        <v>0</v>
      </c>
      <c r="B78" s="21" t="str">
        <f>$L78&amp;" "&amp;COUNTIF($L$14:L78,L78)</f>
        <v xml:space="preserve"> 0</v>
      </c>
      <c r="C78" s="579" t="s">
        <v>1247</v>
      </c>
      <c r="D78" s="431" t="str">
        <f>IFERROR(VLOOKUP("JEFE/"&amp;SECCIONES[[#This Row],[SIGLA]],JEFES_1,3,FALSE)&amp;" "&amp;VLOOKUP("JEFE/"&amp;SECCIONES[[#This Row],[SIGLA]],JEFES_1,2,FALSE),"-")</f>
        <v>-</v>
      </c>
      <c r="E78" s="200"/>
      <c r="F78" s="59" t="str">
        <f>VLOOKUP(C78,'Tabla de Servicio'!$DX$8:$DY$150,2,0)</f>
        <v/>
      </c>
      <c r="G78" s="420" t="str">
        <f>VLOOKUP(C78,'Tabla de Servicio'!$DX$8:$DZ$150,3,0)</f>
        <v/>
      </c>
      <c r="H78" s="47"/>
      <c r="I78" s="47"/>
      <c r="J78" s="141">
        <f>COUNTIF(BD_PRINCIPAL[DOTACIÓN ACTUAL],SECCIONES[[#This Row],[SIGLA]])+COUNTIF(BD_PRINCIPAL[DOTACIÓN ACTUAL],"JEFE/"&amp;SECCIONES[[#This Row],[SIGLA]])</f>
        <v>0</v>
      </c>
      <c r="K78" s="303"/>
      <c r="L78" s="469"/>
      <c r="N78" s="22"/>
      <c r="O78" s="22"/>
    </row>
    <row r="79" spans="1:16" ht="17.399999999999999" x14ac:dyDescent="0.3">
      <c r="A79" s="983">
        <f t="shared" si="0"/>
        <v>0</v>
      </c>
      <c r="B79" s="21" t="str">
        <f>$L79&amp;" "&amp;COUNTIF($L$14:L79,L79)</f>
        <v>ESCUADRON 17 3</v>
      </c>
      <c r="C79" s="579" t="s">
        <v>716</v>
      </c>
      <c r="D79" s="431" t="str">
        <f>IFERROR(VLOOKUP("JEFE/"&amp;SECCIONES[[#This Row],[SIGLA]],JEFES_1,3,FALSE)&amp;" "&amp;VLOOKUP("JEFE/"&amp;SECCIONES[[#This Row],[SIGLA]],JEFES_1,2,FALSE),"-")</f>
        <v>SGTO 1RO. CIFUENTES NAVARRETE VICTOR</v>
      </c>
      <c r="E79" s="868" t="s">
        <v>1009</v>
      </c>
      <c r="F79" s="59" t="str">
        <f>VLOOKUP(C79,'Tabla de Servicio'!$DX$8:$DY$150,2,0)</f>
        <v>1T</v>
      </c>
      <c r="G79" s="420" t="str">
        <f>VLOOKUP(C79,'Tabla de Servicio'!$DX$8:$DZ$150,3,0)</f>
        <v>CONSTITUCION</v>
      </c>
      <c r="H79" s="47">
        <v>0.29166666666666669</v>
      </c>
      <c r="I79" s="47">
        <v>0.58333333333333337</v>
      </c>
      <c r="J79" s="59">
        <f>COUNTIF(BD_PRINCIPAL[DOTACIÓN ACTUAL],SECCIONES[[#This Row],[SIGLA]])+COUNTIF(BD_PRINCIPAL[DOTACIÓN ACTUAL],"JEFE/"&amp;SECCIONES[[#This Row],[SIGLA]])</f>
        <v>8</v>
      </c>
      <c r="K79" s="394"/>
      <c r="L79" s="469" t="s">
        <v>1545</v>
      </c>
      <c r="N79" s="22"/>
      <c r="O79" s="22"/>
    </row>
    <row r="80" spans="1:16" ht="17.399999999999999" x14ac:dyDescent="0.3">
      <c r="A80" s="983">
        <f t="shared" si="0"/>
        <v>0</v>
      </c>
      <c r="B80" s="21" t="str">
        <f>$L80&amp;" "&amp;COUNTIF($L$14:L80,L80)</f>
        <v xml:space="preserve"> 0</v>
      </c>
      <c r="C80" s="579" t="s">
        <v>1248</v>
      </c>
      <c r="D80" s="431" t="str">
        <f>IFERROR(VLOOKUP("JEFE/"&amp;SECCIONES[[#This Row],[SIGLA]],JEFES_1,3,FALSE)&amp;" "&amp;VLOOKUP("JEFE/"&amp;SECCIONES[[#This Row],[SIGLA]],JEFES_1,2,FALSE),"-")</f>
        <v>-</v>
      </c>
      <c r="E80" s="752"/>
      <c r="F80" s="59" t="str">
        <f>VLOOKUP(C80,'Tabla de Servicio'!$DX$8:$DY$150,2,0)</f>
        <v/>
      </c>
      <c r="G80" s="420" t="str">
        <f>VLOOKUP(C80,'Tabla de Servicio'!$DX$8:$DZ$150,3,0)</f>
        <v/>
      </c>
      <c r="H80" s="47"/>
      <c r="I80" s="47"/>
      <c r="J80" s="141">
        <f>COUNTIF(BD_PRINCIPAL[DOTACIÓN ACTUAL],SECCIONES[[#This Row],[SIGLA]])+COUNTIF(BD_PRINCIPAL[DOTACIÓN ACTUAL],"JEFE/"&amp;SECCIONES[[#This Row],[SIGLA]])</f>
        <v>0</v>
      </c>
      <c r="K80" s="303" t="s">
        <v>663</v>
      </c>
      <c r="L80" s="469"/>
      <c r="N80" s="22"/>
      <c r="O80" s="22"/>
    </row>
    <row r="81" spans="1:15" ht="17.399999999999999" x14ac:dyDescent="0.3">
      <c r="A81" s="983">
        <f t="shared" si="0"/>
        <v>0</v>
      </c>
      <c r="B81" s="21" t="str">
        <f>$L81&amp;" "&amp;COUNTIF($L$14:L81,L81)</f>
        <v>ESCUADRON 17 4</v>
      </c>
      <c r="C81" s="579" t="s">
        <v>752</v>
      </c>
      <c r="D81" s="439" t="str">
        <f>IFERROR(VLOOKUP("JEFE/"&amp;SECCIONES[[#This Row],[SIGLA]],JEFES_1,3,FALSE)&amp;" "&amp;VLOOKUP("JEFE/"&amp;SECCIONES[[#This Row],[SIGLA]],JEFES_1,2,FALSE),"-")</f>
        <v>SUBOFICIAL ARAVENA ARAYA GEORGE ALEXIS</v>
      </c>
      <c r="E81" s="868" t="s">
        <v>1038</v>
      </c>
      <c r="F81" s="59" t="str">
        <f>VLOOKUP(C81,'Tabla de Servicio'!$DX$8:$DY$150,2,0)</f>
        <v>1T</v>
      </c>
      <c r="G81" s="420" t="str">
        <f>VLOOKUP(C81,'Tabla de Servicio'!$DX$8:$DZ$150,3,0)</f>
        <v>CIUDADANIA</v>
      </c>
      <c r="H81" s="47">
        <v>0.29166666666666669</v>
      </c>
      <c r="I81" s="47">
        <v>0.58333333333333337</v>
      </c>
      <c r="J81" s="440">
        <f>COUNTIF(BD_PRINCIPAL[DOTACIÓN ACTUAL],SECCIONES[[#This Row],[SIGLA]])+COUNTIF(BD_PRINCIPAL[DOTACIÓN ACTUAL],"JEFE/"&amp;SECCIONES[[#This Row],[SIGLA]])</f>
        <v>7</v>
      </c>
      <c r="K81" s="449"/>
      <c r="L81" s="470" t="s">
        <v>1545</v>
      </c>
      <c r="N81" s="22"/>
      <c r="O81" s="22"/>
    </row>
    <row r="82" spans="1:15" ht="17.399999999999999" x14ac:dyDescent="0.3">
      <c r="A82" s="983">
        <f t="shared" si="0"/>
        <v>0</v>
      </c>
      <c r="B82" s="21" t="str">
        <f>$L82&amp;" "&amp;COUNTIF($L$14:L82,L82)</f>
        <v xml:space="preserve"> 0</v>
      </c>
      <c r="C82" s="579" t="s">
        <v>1249</v>
      </c>
      <c r="D82" s="431" t="str">
        <f>IFERROR(VLOOKUP("JEFE/"&amp;SECCIONES[[#This Row],[SIGLA]],JEFES_1,3,FALSE)&amp;" "&amp;VLOOKUP("JEFE/"&amp;SECCIONES[[#This Row],[SIGLA]],JEFES_1,2,FALSE),"-")</f>
        <v>-</v>
      </c>
      <c r="E82" s="200"/>
      <c r="F82" s="59" t="str">
        <f>VLOOKUP(C82,'Tabla de Servicio'!$DX$8:$DY$150,2,0)</f>
        <v/>
      </c>
      <c r="G82" s="420" t="str">
        <f>VLOOKUP(C82,'Tabla de Servicio'!$DX$8:$DZ$150,3,0)</f>
        <v/>
      </c>
      <c r="H82" s="47"/>
      <c r="I82" s="47"/>
      <c r="J82" s="442">
        <f>COUNTIF(BD_PRINCIPAL[DOTACIÓN ACTUAL],SECCIONES[[#This Row],[SIGLA]])+COUNTIF(BD_PRINCIPAL[DOTACIÓN ACTUAL],"JEFE/"&amp;SECCIONES[[#This Row],[SIGLA]])</f>
        <v>0</v>
      </c>
      <c r="K82" s="303"/>
      <c r="L82" s="470"/>
      <c r="N82" s="22"/>
      <c r="O82" s="22"/>
    </row>
    <row r="83" spans="1:15" ht="17.399999999999999" x14ac:dyDescent="0.3">
      <c r="A83" s="983">
        <f t="shared" si="0"/>
        <v>0</v>
      </c>
      <c r="B83" s="21" t="str">
        <f>$L83&amp;" "&amp;COUNTIF($L$14:L83,L83)</f>
        <v>ESCUADRON 18 3</v>
      </c>
      <c r="C83" s="581" t="s">
        <v>731</v>
      </c>
      <c r="D83" s="431" t="str">
        <f>IFERROR(VLOOKUP("JEFE/"&amp;SECCIONES[[#This Row],[SIGLA]],JEFES_1,3,FALSE)&amp;" "&amp;VLOOKUP("JEFE/"&amp;SECCIONES[[#This Row],[SIGLA]],JEFES_1,2,FALSE),"-")</f>
        <v>SGTO 1RO. FERNANDEZ CASTILLO LEONARDO ENRIQUE</v>
      </c>
      <c r="E83" s="752"/>
      <c r="F83" s="59" t="str">
        <f>VLOOKUP(C83,'Tabla de Servicio'!$DX$8:$DY$150,2,0)</f>
        <v>F</v>
      </c>
      <c r="G83" s="420" t="str">
        <f>VLOOKUP(C83,'Tabla de Servicio'!$DX$8:$DZ$150,3,0)</f>
        <v>FRANCO</v>
      </c>
      <c r="H83" s="47" t="s">
        <v>663</v>
      </c>
      <c r="I83" s="47" t="s">
        <v>663</v>
      </c>
      <c r="J83" s="59">
        <f>COUNTIF(BD_PRINCIPAL[DOTACIÓN ACTUAL],SECCIONES[[#This Row],[SIGLA]])+COUNTIF(BD_PRINCIPAL[DOTACIÓN ACTUAL],"JEFE/"&amp;SECCIONES[[#This Row],[SIGLA]])</f>
        <v>9</v>
      </c>
      <c r="K83" s="449"/>
      <c r="L83" s="471" t="s">
        <v>2013</v>
      </c>
      <c r="N83" s="22"/>
      <c r="O83" s="22"/>
    </row>
    <row r="84" spans="1:15" ht="17.399999999999999" x14ac:dyDescent="0.3">
      <c r="A84" s="983">
        <f t="shared" si="0"/>
        <v>0</v>
      </c>
      <c r="B84" s="21" t="str">
        <f>$L84&amp;" "&amp;COUNTIF($L$14:L84,L84)</f>
        <v xml:space="preserve"> 0</v>
      </c>
      <c r="C84" s="581" t="s">
        <v>1250</v>
      </c>
      <c r="D84" s="431" t="str">
        <f>IFERROR(VLOOKUP("JEFE/"&amp;SECCIONES[[#This Row],[SIGLA]],JEFES_1,3,FALSE)&amp;" "&amp;VLOOKUP("JEFE/"&amp;SECCIONES[[#This Row],[SIGLA]],JEFES_1,2,FALSE),"-")</f>
        <v>-</v>
      </c>
      <c r="E84" s="200"/>
      <c r="F84" s="59" t="str">
        <f>VLOOKUP(C84,'Tabla de Servicio'!$DX$8:$DY$150,2,0)</f>
        <v/>
      </c>
      <c r="G84" s="420" t="str">
        <f>VLOOKUP(C84,'Tabla de Servicio'!$DX$8:$DZ$150,3,0)</f>
        <v/>
      </c>
      <c r="H84" s="47"/>
      <c r="I84" s="47"/>
      <c r="J84" s="141">
        <f>COUNTIF(BD_PRINCIPAL[DOTACIÓN ACTUAL],SECCIONES[[#This Row],[SIGLA]])+COUNTIF(BD_PRINCIPAL[DOTACIÓN ACTUAL],"JEFE/"&amp;SECCIONES[[#This Row],[SIGLA]])</f>
        <v>0</v>
      </c>
      <c r="K84" s="303"/>
      <c r="L84" s="471"/>
      <c r="N84" s="1147" t="s">
        <v>1415</v>
      </c>
      <c r="O84" s="1148"/>
    </row>
    <row r="85" spans="1:15" ht="17.399999999999999" x14ac:dyDescent="0.3">
      <c r="A85" s="983">
        <f t="shared" si="0"/>
        <v>0</v>
      </c>
      <c r="B85" s="21" t="str">
        <f>$L85&amp;" "&amp;COUNTIF($L$14:L85,L85)</f>
        <v>ESCUADRON 18 4</v>
      </c>
      <c r="C85" s="581" t="s">
        <v>717</v>
      </c>
      <c r="D85" s="431" t="str">
        <f>IFERROR(VLOOKUP("JEFE/"&amp;SECCIONES[[#This Row],[SIGLA]],JEFES_1,3,FALSE)&amp;" "&amp;VLOOKUP("JEFE/"&amp;SECCIONES[[#This Row],[SIGLA]],JEFES_1,2,FALSE),"-")</f>
        <v>SUBOFICIAL BAHAMONDE SEPULVEDA LUIS GONZALO        (L - P-T)</v>
      </c>
      <c r="E85" s="448"/>
      <c r="F85" s="59" t="str">
        <f>VLOOKUP(C85,'Tabla de Servicio'!$DX$8:$DY$150,2,0)</f>
        <v>F</v>
      </c>
      <c r="G85" s="420" t="str">
        <f>VLOOKUP(C85,'Tabla de Servicio'!$DX$8:$DZ$150,3,0)</f>
        <v>FRANCO</v>
      </c>
      <c r="H85" s="47" t="s">
        <v>663</v>
      </c>
      <c r="I85" s="47" t="s">
        <v>663</v>
      </c>
      <c r="J85" s="441">
        <f>COUNTIF(BD_PRINCIPAL[DOTACIÓN ACTUAL],SECCIONES[[#This Row],[SIGLA]])+COUNTIF(BD_PRINCIPAL[DOTACIÓN ACTUAL],"JEFE/"&amp;SECCIONES[[#This Row],[SIGLA]])</f>
        <v>7</v>
      </c>
      <c r="K85" s="449"/>
      <c r="L85" s="471" t="s">
        <v>2013</v>
      </c>
      <c r="N85" s="1156">
        <f>SUM(PTL[F.E.])</f>
        <v>25</v>
      </c>
      <c r="O85" s="1156"/>
    </row>
    <row r="86" spans="1:15" ht="17.399999999999999" x14ac:dyDescent="0.3">
      <c r="A86" s="983">
        <f t="shared" si="0"/>
        <v>0</v>
      </c>
      <c r="B86" s="21" t="str">
        <f>$L86&amp;" "&amp;COUNTIF($L$14:L86,L86)</f>
        <v xml:space="preserve"> 0</v>
      </c>
      <c r="C86" s="581" t="s">
        <v>1251</v>
      </c>
      <c r="D86" s="751" t="str">
        <f>IFERROR(VLOOKUP("JEFE/"&amp;SECCIONES[[#This Row],[SIGLA]],JEFES_1,3,FALSE)&amp;" "&amp;VLOOKUP("JEFE/"&amp;SECCIONES[[#This Row],[SIGLA]],JEFES_1,2,FALSE),"-")</f>
        <v>-</v>
      </c>
      <c r="E86" s="200"/>
      <c r="F86" s="59" t="str">
        <f>VLOOKUP(C86,'Tabla de Servicio'!$DX$8:$DY$150,2,0)</f>
        <v/>
      </c>
      <c r="G86" s="420" t="str">
        <f>VLOOKUP(C86,'Tabla de Servicio'!$DX$8:$DZ$150,3,0)</f>
        <v/>
      </c>
      <c r="H86" s="753"/>
      <c r="I86" s="753"/>
      <c r="J86" s="754">
        <f>COUNTIF(BD_PRINCIPAL[DOTACIÓN ACTUAL],SECCIONES[[#This Row],[SIGLA]])+COUNTIF(BD_PRINCIPAL[DOTACIÓN ACTUAL],"JEFE/"&amp;SECCIONES[[#This Row],[SIGLA]])</f>
        <v>0</v>
      </c>
      <c r="K86" s="755"/>
      <c r="L86" s="756"/>
      <c r="N86" s="1156"/>
      <c r="O86" s="1156"/>
    </row>
    <row r="87" spans="1:15" ht="17.399999999999999" x14ac:dyDescent="0.3">
      <c r="A87" s="21"/>
      <c r="B87" s="21" t="str">
        <f>$L87&amp;" "&amp;COUNTIF($L$14:L87,L87)</f>
        <v>ESCUADRON 18 5</v>
      </c>
      <c r="C87" s="581" t="s">
        <v>703</v>
      </c>
      <c r="D87" s="431" t="str">
        <f>IFERROR(VLOOKUP("JEFE/"&amp;SECCIONES[[#This Row],[SIGLA]],JEFES_1,3,FALSE)&amp;" "&amp;VLOOKUP("JEFE/"&amp;SECCIONES[[#This Row],[SIGLA]],JEFES_1,2,FALSE),"-")</f>
        <v>SUBOFICIAL BARROS SOLAR FELIX                                (L -T -S)</v>
      </c>
      <c r="E87" s="448"/>
      <c r="F87" s="59" t="str">
        <f>VLOOKUP(C87,'Tabla de Servicio'!$DX$8:$DY$150,2,0)</f>
        <v>F</v>
      </c>
      <c r="G87" s="420" t="str">
        <f>VLOOKUP(C87,'Tabla de Servicio'!$DX$8:$DZ$150,3,0)</f>
        <v>FRANCO</v>
      </c>
      <c r="H87" s="47" t="s">
        <v>663</v>
      </c>
      <c r="I87" s="47" t="s">
        <v>663</v>
      </c>
      <c r="J87" s="59">
        <f>COUNTIF(BD_PRINCIPAL[DOTACIÓN ACTUAL],SECCIONES[[#This Row],[SIGLA]])+COUNTIF(BD_PRINCIPAL[DOTACIÓN ACTUAL],"JEFE/"&amp;SECCIONES[[#This Row],[SIGLA]])</f>
        <v>9</v>
      </c>
      <c r="K87" s="449"/>
      <c r="L87" s="471" t="s">
        <v>2013</v>
      </c>
      <c r="N87" s="1156"/>
      <c r="O87" s="1156"/>
    </row>
    <row r="88" spans="1:15" ht="17.399999999999999" x14ac:dyDescent="0.3">
      <c r="A88" s="21"/>
      <c r="B88" s="21" t="str">
        <f>$L88&amp;" "&amp;COUNTIF($L$14:L88,L88)</f>
        <v xml:space="preserve"> 0</v>
      </c>
      <c r="C88" s="581" t="s">
        <v>1252</v>
      </c>
      <c r="D88" s="431" t="str">
        <f>IFERROR(VLOOKUP("JEFE/"&amp;SECCIONES[[#This Row],[SIGLA]],JEFES_1,3,FALSE)&amp;" "&amp;VLOOKUP("JEFE/"&amp;SECCIONES[[#This Row],[SIGLA]],JEFES_1,2,FALSE),"-")</f>
        <v>-</v>
      </c>
      <c r="E88" s="752"/>
      <c r="F88" s="59" t="str">
        <f>VLOOKUP(C88,'Tabla de Servicio'!$DX$8:$DY$150,2,0)</f>
        <v/>
      </c>
      <c r="G88" s="420" t="str">
        <f>VLOOKUP(C88,'Tabla de Servicio'!$DX$8:$DZ$150,3,0)</f>
        <v/>
      </c>
      <c r="H88" s="47"/>
      <c r="I88" s="47"/>
      <c r="J88" s="141">
        <f>COUNTIF(BD_PRINCIPAL[DOTACIÓN ACTUAL],SECCIONES[[#This Row],[SIGLA]])+COUNTIF(BD_PRINCIPAL[DOTACIÓN ACTUAL],"JEFE/"&amp;SECCIONES[[#This Row],[SIGLA]])</f>
        <v>0</v>
      </c>
      <c r="K88" s="449"/>
      <c r="L88" s="471"/>
      <c r="N88" s="1156"/>
      <c r="O88" s="1156"/>
    </row>
    <row r="89" spans="1:15" ht="17.399999999999999" x14ac:dyDescent="0.3">
      <c r="A89" s="21"/>
      <c r="B89" s="21" t="str">
        <f>$L89&amp;" "&amp;COUNTIF($L$14:L89,L89)</f>
        <v>ESCUADRON 19 1</v>
      </c>
      <c r="C89" s="582" t="s">
        <v>730</v>
      </c>
      <c r="D89" s="431" t="str">
        <f>IFERROR(VLOOKUP("JEFE/"&amp;SECCIONES[[#This Row],[SIGLA]],JEFES_1,3,FALSE)&amp;" "&amp;VLOOKUP("JEFE/"&amp;SECCIONES[[#This Row],[SIGLA]],JEFES_1,2,FALSE),"-")</f>
        <v xml:space="preserve">SGTO 2DO. MILLAR SOLIS AQUILINO JUAN ANDRES   </v>
      </c>
      <c r="E89" s="448"/>
      <c r="F89" s="59" t="str">
        <f>VLOOKUP(C89,'Tabla de Servicio'!$DX$8:$DY$150,2,0)</f>
        <v>F</v>
      </c>
      <c r="G89" s="420" t="str">
        <f>VLOOKUP(C89,'Tabla de Servicio'!$DX$8:$DZ$150,3,0)</f>
        <v>FRANCO</v>
      </c>
      <c r="H89" s="47" t="s">
        <v>663</v>
      </c>
      <c r="I89" s="47" t="s">
        <v>663</v>
      </c>
      <c r="J89" s="59">
        <f>COUNTIF(BD_PRINCIPAL[DOTACIÓN ACTUAL],SECCIONES[[#This Row],[SIGLA]])+COUNTIF(BD_PRINCIPAL[DOTACIÓN ACTUAL],"JEFE/"&amp;SECCIONES[[#This Row],[SIGLA]])</f>
        <v>10</v>
      </c>
      <c r="K89" s="583"/>
      <c r="L89" s="566" t="s">
        <v>2014</v>
      </c>
      <c r="N89" s="1156"/>
      <c r="O89" s="1156"/>
    </row>
    <row r="90" spans="1:15" ht="17.399999999999999" x14ac:dyDescent="0.3">
      <c r="A90" s="21"/>
      <c r="B90" s="21" t="str">
        <f>$L90&amp;" "&amp;COUNTIF($L$14:L90,L90)</f>
        <v xml:space="preserve"> 0</v>
      </c>
      <c r="C90" s="582" t="s">
        <v>1253</v>
      </c>
      <c r="D90" s="431" t="str">
        <f>IFERROR(VLOOKUP("JEFE/"&amp;SECCIONES[[#This Row],[SIGLA]],JEFES_1,3,FALSE)&amp;" "&amp;VLOOKUP("JEFE/"&amp;SECCIONES[[#This Row],[SIGLA]],JEFES_1,2,FALSE),"-")</f>
        <v>-</v>
      </c>
      <c r="E90" s="200"/>
      <c r="F90" s="59" t="str">
        <f>VLOOKUP(C90,'Tabla de Servicio'!$DX$8:$DY$150,2,0)</f>
        <v/>
      </c>
      <c r="G90" s="420" t="str">
        <f>VLOOKUP(C90,'Tabla de Servicio'!$DX$8:$DZ$150,3,0)</f>
        <v/>
      </c>
      <c r="H90" s="47"/>
      <c r="I90" s="47"/>
      <c r="J90" s="59">
        <f>COUNTIF(BD_PRINCIPAL[DOTACIÓN ACTUAL],SECCIONES[[#This Row],[SIGLA]])+COUNTIF(BD_PRINCIPAL[DOTACIÓN ACTUAL],"JEFE/"&amp;SECCIONES[[#This Row],[SIGLA]])</f>
        <v>0</v>
      </c>
      <c r="K90" s="449"/>
      <c r="L90" s="471"/>
      <c r="N90" s="1156"/>
      <c r="O90" s="1156"/>
    </row>
    <row r="91" spans="1:15" ht="17.399999999999999" x14ac:dyDescent="0.3">
      <c r="A91" s="21"/>
      <c r="B91" s="21" t="str">
        <f>$L91&amp;" "&amp;COUNTIF($L$14:L91,L91)</f>
        <v>ESCUADRON 19 2</v>
      </c>
      <c r="C91" s="582" t="s">
        <v>757</v>
      </c>
      <c r="D91" s="431" t="str">
        <f>IFERROR(VLOOKUP("JEFE/"&amp;SECCIONES[[#This Row],[SIGLA]],JEFES_1,3,FALSE)&amp;" "&amp;VLOOKUP("JEFE/"&amp;SECCIONES[[#This Row],[SIGLA]],JEFES_1,2,FALSE),"-")</f>
        <v>SGTO 1RO. PORTILLA ARAYA LEONARDO MANUEL</v>
      </c>
      <c r="E91" s="448"/>
      <c r="F91" s="59" t="str">
        <f>VLOOKUP(C91,'Tabla de Servicio'!$DX$8:$DY$150,2,0)</f>
        <v>F</v>
      </c>
      <c r="G91" s="420" t="str">
        <f>VLOOKUP(C91,'Tabla de Servicio'!$DX$8:$DZ$150,3,0)</f>
        <v>FRANCO</v>
      </c>
      <c r="H91" s="47" t="s">
        <v>663</v>
      </c>
      <c r="I91" s="47" t="s">
        <v>663</v>
      </c>
      <c r="J91" s="59">
        <f>COUNTIF(BD_PRINCIPAL[DOTACIÓN ACTUAL],SECCIONES[[#This Row],[SIGLA]])+COUNTIF(BD_PRINCIPAL[DOTACIÓN ACTUAL],"JEFE/"&amp;SECCIONES[[#This Row],[SIGLA]])</f>
        <v>10</v>
      </c>
      <c r="K91" s="583" t="s">
        <v>663</v>
      </c>
      <c r="L91" s="471" t="s">
        <v>2014</v>
      </c>
      <c r="M91" s="24"/>
      <c r="N91" s="1156"/>
      <c r="O91" s="1156"/>
    </row>
    <row r="92" spans="1:15" ht="17.399999999999999" x14ac:dyDescent="0.3">
      <c r="A92" s="21"/>
      <c r="B92" s="21" t="str">
        <f>$L92&amp;" "&amp;COUNTIF($L$14:L92,L92)</f>
        <v xml:space="preserve"> 0</v>
      </c>
      <c r="C92" s="582" t="s">
        <v>1254</v>
      </c>
      <c r="D92" s="431" t="str">
        <f>IFERROR(VLOOKUP("JEFE/"&amp;SECCIONES[[#This Row],[SIGLA]],JEFES_1,3,FALSE)&amp;" "&amp;VLOOKUP("JEFE/"&amp;SECCIONES[[#This Row],[SIGLA]],JEFES_1,2,FALSE),"-")</f>
        <v>-</v>
      </c>
      <c r="E92" s="200"/>
      <c r="F92" s="59" t="str">
        <f>VLOOKUP(C92,'Tabla de Servicio'!$DX$8:$DY$150,2,0)</f>
        <v/>
      </c>
      <c r="G92" s="420" t="str">
        <f>VLOOKUP(C92,'Tabla de Servicio'!$DX$8:$DZ$150,3,0)</f>
        <v/>
      </c>
      <c r="H92" s="47"/>
      <c r="I92" s="47"/>
      <c r="J92" s="59">
        <f>COUNTIF(BD_PRINCIPAL[DOTACIÓN ACTUAL],SECCIONES[[#This Row],[SIGLA]])+COUNTIF(BD_PRINCIPAL[DOTACIÓN ACTUAL],"JEFE/"&amp;SECCIONES[[#This Row],[SIGLA]])</f>
        <v>0</v>
      </c>
      <c r="K92" s="303"/>
      <c r="L92" s="471"/>
      <c r="M92" s="24"/>
      <c r="N92" s="1156"/>
      <c r="O92" s="1156"/>
    </row>
    <row r="93" spans="1:15" ht="17.399999999999999" x14ac:dyDescent="0.3">
      <c r="A93" s="21"/>
      <c r="B93" s="21" t="str">
        <f>$L93&amp;" "&amp;COUNTIF($L$14:L93,L93)</f>
        <v>ESCUADRON 19 3</v>
      </c>
      <c r="C93" s="582" t="s">
        <v>1832</v>
      </c>
      <c r="D93" s="431" t="str">
        <f>IFERROR(VLOOKUP("JEFE/"&amp;SECCIONES[[#This Row],[SIGLA]],JEFES_1,3,FALSE)&amp;" "&amp;VLOOKUP("JEFE/"&amp;SECCIONES[[#This Row],[SIGLA]],JEFES_1,2,FALSE),"-")</f>
        <v>-</v>
      </c>
      <c r="E93" s="448"/>
      <c r="F93" s="59" t="str">
        <f>VLOOKUP(C93,'Tabla de Servicio'!$DX$8:$DY$150,2,0)</f>
        <v/>
      </c>
      <c r="G93" s="420" t="str">
        <f>VLOOKUP(C93,'Tabla de Servicio'!$DX$8:$DZ$150,3,0)</f>
        <v/>
      </c>
      <c r="H93" s="47"/>
      <c r="I93" s="47"/>
      <c r="J93" s="59">
        <f>COUNTIF(BD_PRINCIPAL[DOTACIÓN ACTUAL],SECCIONES[[#This Row],[SIGLA]])+COUNTIF(BD_PRINCIPAL[DOTACIÓN ACTUAL],"JEFE/"&amp;SECCIONES[[#This Row],[SIGLA]])</f>
        <v>0</v>
      </c>
      <c r="K93" s="303"/>
      <c r="L93" s="471" t="s">
        <v>2014</v>
      </c>
      <c r="M93" s="24"/>
      <c r="N93" s="1156"/>
      <c r="O93" s="1156"/>
    </row>
    <row r="94" spans="1:15" ht="17.399999999999999" x14ac:dyDescent="0.3">
      <c r="A94" s="21"/>
      <c r="B94" s="21" t="str">
        <f>$L94&amp;" "&amp;COUNTIF($L$14:L94,L94)</f>
        <v xml:space="preserve"> 0</v>
      </c>
      <c r="C94" s="582" t="s">
        <v>1833</v>
      </c>
      <c r="D94" s="431" t="str">
        <f>IFERROR(VLOOKUP("JEFE/"&amp;SECCIONES[[#This Row],[SIGLA]],JEFES_1,3,FALSE)&amp;" "&amp;VLOOKUP("JEFE/"&amp;SECCIONES[[#This Row],[SIGLA]],JEFES_1,2,FALSE),"-")</f>
        <v>-</v>
      </c>
      <c r="E94" s="200"/>
      <c r="F94" s="59" t="str">
        <f>VLOOKUP(C94,'Tabla de Servicio'!$DX$8:$DY$150,2,0)</f>
        <v/>
      </c>
      <c r="G94" s="420" t="str">
        <f>VLOOKUP(C94,'Tabla de Servicio'!$DX$8:$DZ$150,3,0)</f>
        <v/>
      </c>
      <c r="H94" s="750"/>
      <c r="I94" s="750"/>
      <c r="J94" s="59">
        <f>COUNTIF(BD_PRINCIPAL[DOTACIÓN ACTUAL],SECCIONES[[#This Row],[SIGLA]])+COUNTIF(BD_PRINCIPAL[DOTACIÓN ACTUAL],"JEFE/"&amp;SECCIONES[[#This Row],[SIGLA]])</f>
        <v>0</v>
      </c>
      <c r="K94" s="303"/>
      <c r="L94" s="471"/>
      <c r="M94" s="24"/>
      <c r="N94" s="1156"/>
      <c r="O94" s="1156"/>
    </row>
    <row r="95" spans="1:15" ht="17.399999999999999" x14ac:dyDescent="0.3">
      <c r="A95" s="21"/>
      <c r="B95" s="21" t="str">
        <f>$L95&amp;" "&amp;COUNTIF($L$14:L95,L95)</f>
        <v xml:space="preserve"> 0</v>
      </c>
      <c r="C95" s="580" t="s">
        <v>772</v>
      </c>
      <c r="D95" s="431" t="str">
        <f>IFERROR(VLOOKUP("JEFE/"&amp;SECCIONES[[#This Row],[SIGLA]],JEFES_1,3,FALSE)&amp;" "&amp;VLOOKUP("JEFE/"&amp;SECCIONES[[#This Row],[SIGLA]],JEFES_1,2,FALSE),"-")</f>
        <v>-</v>
      </c>
      <c r="E95" s="204"/>
      <c r="F95" s="59" t="str">
        <f>VLOOKUP(C95,'Tabla de Servicio'!$DX$8:$DY$150,2,0)</f>
        <v/>
      </c>
      <c r="G95" s="420" t="str">
        <f>VLOOKUP(C95,'Tabla de Servicio'!$DX$8:$DZ$150,3,0)</f>
        <v/>
      </c>
      <c r="H95" s="47"/>
      <c r="I95" s="47"/>
      <c r="J95" s="141">
        <f>COUNTIF(BD_PRINCIPAL[DOTACIÓN ACTUAL],SECCIONES[[#This Row],[SIGLA]])+COUNTIF(BD_PRINCIPAL[DOTACIÓN ACTUAL],"JEFE/"&amp;SECCIONES[[#This Row],[SIGLA]])</f>
        <v>0</v>
      </c>
      <c r="K95" s="449"/>
      <c r="L95" s="469"/>
      <c r="M95" s="24"/>
      <c r="N95" s="1156"/>
      <c r="O95" s="1156"/>
    </row>
    <row r="96" spans="1:15" ht="17.399999999999999" x14ac:dyDescent="0.3">
      <c r="A96" s="21"/>
      <c r="B96" s="21" t="str">
        <f>$L96&amp;" "&amp;COUNTIF($L$14:L96,L96)</f>
        <v xml:space="preserve"> 0</v>
      </c>
      <c r="C96" s="580" t="s">
        <v>856</v>
      </c>
      <c r="D96" s="431" t="str">
        <f>IFERROR(VLOOKUP("JEFE/"&amp;SECCIONES[[#This Row],[SIGLA]],JEFES_1,3,FALSE)&amp;" "&amp;VLOOKUP("JEFE/"&amp;SECCIONES[[#This Row],[SIGLA]],JEFES_1,2,FALSE),"-")</f>
        <v>-</v>
      </c>
      <c r="E96" s="448"/>
      <c r="F96" s="59" t="str">
        <f>VLOOKUP(C96,'Tabla de Servicio'!$DX$8:$DY$150,2,0)</f>
        <v/>
      </c>
      <c r="G96" s="420" t="str">
        <f>VLOOKUP(C96,'Tabla de Servicio'!$DX$8:$DZ$150,3,0)</f>
        <v/>
      </c>
      <c r="H96" s="47"/>
      <c r="I96" s="47"/>
      <c r="J96" s="141">
        <f>COUNTIF(BD_PRINCIPAL[DOTACIÓN ACTUAL],SECCIONES[[#This Row],[SIGLA]])+COUNTIF(BD_PRINCIPAL[DOTACIÓN ACTUAL],"JEFE/"&amp;SECCIONES[[#This Row],[SIGLA]])</f>
        <v>0</v>
      </c>
      <c r="K96" s="449"/>
      <c r="L96" s="471"/>
      <c r="M96" s="24"/>
      <c r="N96" s="1156"/>
      <c r="O96" s="1156"/>
    </row>
    <row r="97" spans="1:15" ht="17.399999999999999" x14ac:dyDescent="0.3">
      <c r="A97" s="21"/>
      <c r="B97" s="21" t="str">
        <f>$L97&amp;" "&amp;COUNTIF($L$14:L97,L97)</f>
        <v xml:space="preserve"> 0</v>
      </c>
      <c r="C97" s="580" t="s">
        <v>1675</v>
      </c>
      <c r="D97" s="431" t="str">
        <f>IFERROR(VLOOKUP("JEFE/"&amp;SECCIONES[[#This Row],[SIGLA]],JEFES_1,3,FALSE)&amp;" "&amp;VLOOKUP("JEFE/"&amp;SECCIONES[[#This Row],[SIGLA]],JEFES_1,2,FALSE),"-")</f>
        <v>-</v>
      </c>
      <c r="E97" s="448"/>
      <c r="F97" s="59" t="str">
        <f>VLOOKUP(C97,'Tabla de Servicio'!$DX$8:$DY$150,2,0)</f>
        <v/>
      </c>
      <c r="G97" s="420" t="str">
        <f>VLOOKUP(C97,'Tabla de Servicio'!$DX$8:$DZ$150,3,0)</f>
        <v/>
      </c>
      <c r="H97" s="47"/>
      <c r="I97" s="47"/>
      <c r="J97" s="141"/>
      <c r="K97" s="449"/>
      <c r="L97" s="469"/>
      <c r="M97" s="24"/>
      <c r="N97" s="1156"/>
      <c r="O97" s="1156"/>
    </row>
    <row r="98" spans="1:15" ht="17.399999999999999" x14ac:dyDescent="0.3">
      <c r="A98" s="21"/>
      <c r="B98" s="21" t="str">
        <f>$L98&amp;" "&amp;COUNTIF($L$14:L98,L98)</f>
        <v xml:space="preserve"> 0</v>
      </c>
      <c r="C98" s="580" t="s">
        <v>1676</v>
      </c>
      <c r="D98" s="433" t="str">
        <f>IFERROR(VLOOKUP("JEFE/"&amp;SECCIONES[[#This Row],[SIGLA]],JEFES_1,3,FALSE)&amp;" "&amp;VLOOKUP("JEFE/"&amp;SECCIONES[[#This Row],[SIGLA]],JEFES_1,2,FALSE),"-")</f>
        <v>SGTO 2DO. NUÑEZ NAHUELHUAL FRANCISCO JAVIER</v>
      </c>
      <c r="E98" s="200" t="s">
        <v>894</v>
      </c>
      <c r="F98" s="59" t="str">
        <f>VLOOKUP(C98,'Tabla de Servicio'!$DX$8:$DY$150,2,0)</f>
        <v>2T</v>
      </c>
      <c r="G98" s="420" t="str">
        <f>VLOOKUP(C98,'Tabla de Servicio'!$DX$8:$DZ$150,3,0)</f>
        <v>PLAN 2 HOMICIDIOS</v>
      </c>
      <c r="H98" s="47">
        <v>0.70833333333333337</v>
      </c>
      <c r="I98" s="47" t="s">
        <v>840</v>
      </c>
      <c r="J98" s="393">
        <f>COUNTIF(BD_PRINCIPAL[DOTACIÓN ACTUAL],SECCIONES[[#This Row],[SIGLA]])+COUNTIF(BD_PRINCIPAL[DOTACIÓN ACTUAL],"JEFE/"&amp;SECCIONES[[#This Row],[SIGLA]])</f>
        <v>12</v>
      </c>
      <c r="K98" s="449" t="s">
        <v>3241</v>
      </c>
      <c r="L98" s="471"/>
      <c r="M98" s="24"/>
      <c r="N98" s="1156"/>
      <c r="O98" s="1156"/>
    </row>
    <row r="99" spans="1:15" ht="17.399999999999999" x14ac:dyDescent="0.3">
      <c r="A99" s="21"/>
      <c r="B99" s="21" t="str">
        <f>$L99&amp;" "&amp;COUNTIF($L$14:L99,L99)</f>
        <v xml:space="preserve"> 0</v>
      </c>
      <c r="C99" s="580" t="s">
        <v>2561</v>
      </c>
      <c r="D99" s="433" t="str">
        <f>IFERROR(VLOOKUP("JEFE/"&amp;SECCIONES[[#This Row],[SIGLA]],JEFES_1,3,FALSE)&amp;" "&amp;VLOOKUP("JEFE/"&amp;SECCIONES[[#This Row],[SIGLA]],JEFES_1,2,FALSE),"-")</f>
        <v>SGTO 1RO. PALMA LUNA MARCO ANTONIO</v>
      </c>
      <c r="E99" s="200" t="s">
        <v>1026</v>
      </c>
      <c r="F99" s="59" t="str">
        <f>VLOOKUP(C99,'Tabla de Servicio'!$DX$8:$DY$150,2,0)</f>
        <v>2T</v>
      </c>
      <c r="G99" s="420" t="str">
        <f>VLOOKUP(C99,'Tabla de Servicio'!$DX$8:$DZ$150,3,0)</f>
        <v>PLAN 2 HOMICIDIOS</v>
      </c>
      <c r="H99" s="47">
        <v>0.70833333333333337</v>
      </c>
      <c r="I99" s="47" t="s">
        <v>840</v>
      </c>
      <c r="J99" s="393">
        <f>COUNTIF(BD_PRINCIPAL[DOTACIÓN ACTUAL],SECCIONES[[#This Row],[SIGLA]])+COUNTIF(BD_PRINCIPAL[DOTACIÓN ACTUAL],"JEFE/"&amp;SECCIONES[[#This Row],[SIGLA]])</f>
        <v>12</v>
      </c>
      <c r="K99" s="449" t="s">
        <v>3239</v>
      </c>
      <c r="L99" s="472"/>
      <c r="M99" s="24"/>
    </row>
    <row r="100" spans="1:15" ht="17.399999999999999" x14ac:dyDescent="0.3">
      <c r="A100" s="21"/>
      <c r="B100" s="21" t="str">
        <f>$L100&amp;" "&amp;COUNTIF($L$14:L100,L100)</f>
        <v xml:space="preserve"> 0</v>
      </c>
      <c r="C100" s="580" t="s">
        <v>2562</v>
      </c>
      <c r="D100" s="433" t="str">
        <f>IFERROR(VLOOKUP("JEFE/"&amp;SECCIONES[[#This Row],[SIGLA]],JEFES_1,3,FALSE)&amp;" "&amp;VLOOKUP("JEFE/"&amp;SECCIONES[[#This Row],[SIGLA]],JEFES_1,2,FALSE),"-")</f>
        <v>SGTO 2DO. BARROS PEREZ VICTOR HUGO                (T - L - S)</v>
      </c>
      <c r="E100" s="200" t="s">
        <v>1028</v>
      </c>
      <c r="F100" s="59" t="str">
        <f>VLOOKUP(C100,'Tabla de Servicio'!$DX$8:$DY$150,2,0)</f>
        <v>2T</v>
      </c>
      <c r="G100" s="420" t="str">
        <f>VLOOKUP(C100,'Tabla de Servicio'!$DX$8:$DZ$150,3,0)</f>
        <v>PLAN 2 HOMICIDIOS</v>
      </c>
      <c r="H100" s="47">
        <v>0.70833333333333337</v>
      </c>
      <c r="I100" s="47" t="s">
        <v>840</v>
      </c>
      <c r="J100" s="393">
        <f>COUNTIF(BD_PRINCIPAL[DOTACIÓN ACTUAL],SECCIONES[[#This Row],[SIGLA]])+COUNTIF(BD_PRINCIPAL[DOTACIÓN ACTUAL],"JEFE/"&amp;SECCIONES[[#This Row],[SIGLA]])</f>
        <v>10</v>
      </c>
      <c r="K100" s="392" t="s">
        <v>3240</v>
      </c>
      <c r="L100" s="471"/>
    </row>
    <row r="101" spans="1:15" ht="17.399999999999999" x14ac:dyDescent="0.3">
      <c r="A101" s="21"/>
      <c r="B101" s="21" t="str">
        <f>$L101&amp;" "&amp;COUNTIF($L$14:L101,L101)</f>
        <v xml:space="preserve"> 0</v>
      </c>
      <c r="C101" s="580" t="s">
        <v>2563</v>
      </c>
      <c r="D101" s="433" t="str">
        <f>IFERROR(VLOOKUP("JEFE/"&amp;SECCIONES[[#This Row],[SIGLA]],JEFES_1,3,FALSE)&amp;" "&amp;VLOOKUP("JEFE/"&amp;SECCIONES[[#This Row],[SIGLA]],JEFES_1,2,FALSE),"-")</f>
        <v>-</v>
      </c>
      <c r="E101" s="200"/>
      <c r="F101" s="59" t="str">
        <f>VLOOKUP(C101,'Tabla de Servicio'!$DX$8:$DY$150,2,0)</f>
        <v/>
      </c>
      <c r="G101" s="420" t="str">
        <f>VLOOKUP(C101,'Tabla de Servicio'!$DX$8:$DZ$150,3,0)</f>
        <v/>
      </c>
      <c r="H101" s="47"/>
      <c r="I101" s="47"/>
      <c r="J101" s="393">
        <f>COUNTIF(BD_PRINCIPAL[DOTACIÓN ACTUAL],SECCIONES[[#This Row],[SIGLA]])+COUNTIF(BD_PRINCIPAL[DOTACIÓN ACTUAL],"JEFE/"&amp;SECCIONES[[#This Row],[SIGLA]])</f>
        <v>0</v>
      </c>
      <c r="K101" s="392"/>
      <c r="L101" s="471"/>
    </row>
    <row r="102" spans="1:15" ht="17.399999999999999" x14ac:dyDescent="0.3">
      <c r="A102" s="21"/>
      <c r="B102" s="21" t="str">
        <f>$L102&amp;" "&amp;COUNTIF($L$14:L102,L102)</f>
        <v xml:space="preserve"> 0</v>
      </c>
      <c r="C102" s="580" t="s">
        <v>2564</v>
      </c>
      <c r="D102" s="433" t="str">
        <f>IFERROR(VLOOKUP("JEFE/"&amp;SECCIONES[[#This Row],[SIGLA]],JEFES_1,3,FALSE)&amp;" "&amp;VLOOKUP("JEFE/"&amp;SECCIONES[[#This Row],[SIGLA]],JEFES_1,2,FALSE),"-")</f>
        <v>-</v>
      </c>
      <c r="E102" s="204"/>
      <c r="F102" s="59" t="str">
        <f>VLOOKUP(C102,'Tabla de Servicio'!$DX$8:$DY$150,2,0)</f>
        <v/>
      </c>
      <c r="G102" s="420" t="str">
        <f>VLOOKUP(C102,'Tabla de Servicio'!$DX$8:$DZ$150,3,0)</f>
        <v/>
      </c>
      <c r="H102" s="47"/>
      <c r="I102" s="47"/>
      <c r="J102" s="393">
        <f>COUNTIF(BD_PRINCIPAL[DOTACIÓN ACTUAL],SECCIONES[[#This Row],[SIGLA]])+COUNTIF(BD_PRINCIPAL[DOTACIÓN ACTUAL],"JEFE/"&amp;SECCIONES[[#This Row],[SIGLA]])</f>
        <v>0</v>
      </c>
      <c r="K102" s="392"/>
      <c r="L102" s="565"/>
    </row>
    <row r="103" spans="1:15" ht="17.399999999999999" x14ac:dyDescent="0.3">
      <c r="A103" s="21"/>
      <c r="B103" s="21" t="str">
        <f>$L103&amp;" "&amp;COUNTIF($L$14:L103,L103)</f>
        <v xml:space="preserve"> 0</v>
      </c>
      <c r="C103" s="580" t="s">
        <v>2565</v>
      </c>
      <c r="D103" s="433" t="str">
        <f>IFERROR(VLOOKUP("JEFE/"&amp;SECCIONES[[#This Row],[SIGLA]],JEFES_1,3,FALSE)&amp;" "&amp;VLOOKUP("JEFE/"&amp;SECCIONES[[#This Row],[SIGLA]],JEFES_1,2,FALSE),"-")</f>
        <v>-</v>
      </c>
      <c r="E103" s="200"/>
      <c r="F103" s="59" t="str">
        <f>VLOOKUP(C103,'Tabla de Servicio'!$DX$8:$DY$150,2,0)</f>
        <v/>
      </c>
      <c r="G103" s="420" t="str">
        <f>VLOOKUP(C103,'Tabla de Servicio'!$DX$8:$DZ$150,3,0)</f>
        <v/>
      </c>
      <c r="H103" s="47"/>
      <c r="I103" s="47"/>
      <c r="J103" s="393">
        <f>COUNTIF(BD_PRINCIPAL[DOTACIÓN ACTUAL],SECCIONES[[#This Row],[SIGLA]])+COUNTIF(BD_PRINCIPAL[DOTACIÓN ACTUAL],"JEFE/"&amp;SECCIONES[[#This Row],[SIGLA]])</f>
        <v>0</v>
      </c>
      <c r="K103" s="392"/>
      <c r="L103" s="471"/>
    </row>
    <row r="104" spans="1:15" ht="17.399999999999999" x14ac:dyDescent="0.3">
      <c r="A104" s="21"/>
      <c r="B104" s="21" t="str">
        <f>$L104&amp;" "&amp;COUNTIF($L$14:L104,L104)</f>
        <v xml:space="preserve"> 0</v>
      </c>
      <c r="C104" s="580" t="s">
        <v>2566</v>
      </c>
      <c r="D104" s="433" t="str">
        <f>IFERROR(VLOOKUP("JEFE/"&amp;SECCIONES[[#This Row],[SIGLA]],JEFES_1,3,FALSE)&amp;" "&amp;VLOOKUP("JEFE/"&amp;SECCIONES[[#This Row],[SIGLA]],JEFES_1,2,FALSE),"-")</f>
        <v>-</v>
      </c>
      <c r="E104" s="868"/>
      <c r="F104" s="59" t="str">
        <f>VLOOKUP(C104,'Tabla de Servicio'!$DX$8:$DY$150,2,0)</f>
        <v/>
      </c>
      <c r="G104" s="420" t="str">
        <f>VLOOKUP(C104,'Tabla de Servicio'!$DX$8:$DZ$150,3,0)</f>
        <v/>
      </c>
      <c r="H104" s="47"/>
      <c r="I104" s="47"/>
      <c r="J104" s="393">
        <f>COUNTIF(BD_PRINCIPAL[DOTACIÓN ACTUAL],SECCIONES[[#This Row],[SIGLA]])+COUNTIF(BD_PRINCIPAL[DOTACIÓN ACTUAL],"JEFE/"&amp;SECCIONES[[#This Row],[SIGLA]])</f>
        <v>0</v>
      </c>
      <c r="K104" s="392"/>
      <c r="L104" s="469"/>
    </row>
    <row r="105" spans="1:15" ht="17.399999999999999" x14ac:dyDescent="0.3">
      <c r="A105" s="21"/>
      <c r="B105" s="21" t="str">
        <f>$L105&amp;" "&amp;COUNTIF($L$14:L105,L105)</f>
        <v xml:space="preserve"> 0</v>
      </c>
      <c r="C105" s="580" t="s">
        <v>2567</v>
      </c>
      <c r="D105" s="433" t="str">
        <f>IFERROR(VLOOKUP("JEFE/"&amp;SECCIONES[[#This Row],[SIGLA]],JEFES_1,3,FALSE)&amp;" "&amp;VLOOKUP("JEFE/"&amp;SECCIONES[[#This Row],[SIGLA]],JEFES_1,2,FALSE),"-")</f>
        <v>-</v>
      </c>
      <c r="E105" s="200"/>
      <c r="F105" s="59" t="str">
        <f>VLOOKUP(C105,'Tabla de Servicio'!$DX$8:$DY$150,2,0)</f>
        <v/>
      </c>
      <c r="G105" s="420" t="str">
        <f>VLOOKUP(C105,'Tabla de Servicio'!$DX$8:$DZ$150,3,0)</f>
        <v/>
      </c>
      <c r="H105" s="47"/>
      <c r="I105" s="47"/>
      <c r="J105" s="393">
        <f>COUNTIF(BD_PRINCIPAL[DOTACIÓN ACTUAL],SECCIONES[[#This Row],[SIGLA]])+COUNTIF(BD_PRINCIPAL[DOTACIÓN ACTUAL],"JEFE/"&amp;SECCIONES[[#This Row],[SIGLA]])</f>
        <v>0</v>
      </c>
      <c r="K105" s="392"/>
      <c r="L105" s="472"/>
    </row>
    <row r="106" spans="1:15" ht="27" customHeight="1" x14ac:dyDescent="0.3">
      <c r="A106" s="21"/>
      <c r="B106" s="21" t="str">
        <f>$L106&amp;" "&amp;COUNTIF($L$14:L106,L106)</f>
        <v xml:space="preserve"> 0</v>
      </c>
      <c r="C106" s="580" t="s">
        <v>2568</v>
      </c>
      <c r="D106" s="433" t="str">
        <f>IFERROR(VLOOKUP("JEFE/"&amp;SECCIONES[[#This Row],[SIGLA]],JEFES_1,3,FALSE)&amp;" "&amp;VLOOKUP("JEFE/"&amp;SECCIONES[[#This Row],[SIGLA]],JEFES_1,2,FALSE),"-")</f>
        <v>-</v>
      </c>
      <c r="E106" s="200"/>
      <c r="F106" s="59" t="str">
        <f>VLOOKUP(C106,'Tabla de Servicio'!$DX$8:$DY$150,2,0)</f>
        <v/>
      </c>
      <c r="G106" s="420" t="str">
        <f>VLOOKUP(C106,'Tabla de Servicio'!$DX$8:$DZ$150,3,0)</f>
        <v/>
      </c>
      <c r="H106" s="47"/>
      <c r="I106" s="47"/>
      <c r="J106" s="393">
        <f>COUNTIF(BD_PRINCIPAL[DOTACIÓN ACTUAL],SECCIONES[[#This Row],[SIGLA]])+COUNTIF(BD_PRINCIPAL[DOTACIÓN ACTUAL],"JEFE/"&amp;SECCIONES[[#This Row],[SIGLA]])</f>
        <v>0</v>
      </c>
      <c r="K106" s="392"/>
      <c r="L106" s="472"/>
      <c r="N106" s="1147" t="s">
        <v>1166</v>
      </c>
      <c r="O106" s="1148"/>
    </row>
    <row r="107" spans="1:15" ht="17.399999999999999" x14ac:dyDescent="0.3">
      <c r="A107" s="21"/>
      <c r="B107" s="21" t="str">
        <f>$L107&amp;" "&amp;COUNTIF($L$14:L107,L107)</f>
        <v xml:space="preserve"> 0</v>
      </c>
      <c r="C107" s="580" t="s">
        <v>2569</v>
      </c>
      <c r="D107" s="433" t="str">
        <f>IFERROR(VLOOKUP("JEFE/"&amp;SECCIONES[[#This Row],[SIGLA]],JEFES_1,3,FALSE)&amp;" "&amp;VLOOKUP("JEFE/"&amp;SECCIONES[[#This Row],[SIGLA]],JEFES_1,2,FALSE),"-")</f>
        <v>-</v>
      </c>
      <c r="E107" s="200"/>
      <c r="F107" s="59" t="str">
        <f>VLOOKUP(C107,'Tabla de Servicio'!$DX$8:$DY$150,2,0)</f>
        <v/>
      </c>
      <c r="G107" s="420" t="str">
        <f>VLOOKUP(C107,'Tabla de Servicio'!$DX$8:$DZ$150,3,0)</f>
        <v/>
      </c>
      <c r="H107" s="47"/>
      <c r="I107" s="47"/>
      <c r="J107" s="393">
        <f>COUNTIF(BD_PRINCIPAL[DOTACIÓN ACTUAL],SECCIONES[[#This Row],[SIGLA]])+COUNTIF(BD_PRINCIPAL[DOTACIÓN ACTUAL],"JEFE/"&amp;SECCIONES[[#This Row],[SIGLA]])</f>
        <v>0</v>
      </c>
      <c r="K107" s="392"/>
      <c r="L107" s="472"/>
      <c r="N107" s="1141">
        <f>SUM(PTL_9[F.E.])</f>
        <v>10</v>
      </c>
      <c r="O107" s="1142"/>
    </row>
    <row r="108" spans="1:15" ht="17.399999999999999" x14ac:dyDescent="0.3">
      <c r="A108" s="21"/>
      <c r="B108" s="21" t="str">
        <f>$L108&amp;" "&amp;COUNTIF($L$14:L108,L108)</f>
        <v xml:space="preserve"> 0</v>
      </c>
      <c r="C108" s="580" t="s">
        <v>2570</v>
      </c>
      <c r="D108" s="433" t="str">
        <f>IFERROR(VLOOKUP("JEFE/"&amp;SECCIONES[[#This Row],[SIGLA]],JEFES_1,3,FALSE)&amp;" "&amp;VLOOKUP("JEFE/"&amp;SECCIONES[[#This Row],[SIGLA]],JEFES_1,2,FALSE),"-")</f>
        <v>-</v>
      </c>
      <c r="E108" s="200"/>
      <c r="F108" s="59" t="str">
        <f>VLOOKUP(C108,'Tabla de Servicio'!$DX$8:$DY$150,2,0)</f>
        <v/>
      </c>
      <c r="G108" s="420" t="str">
        <f>VLOOKUP(C108,'Tabla de Servicio'!$DX$8:$DZ$150,3,0)</f>
        <v/>
      </c>
      <c r="H108" s="47"/>
      <c r="I108" s="47"/>
      <c r="J108" s="393">
        <f>COUNTIF(BD_PRINCIPAL[DOTACIÓN ACTUAL],SECCIONES[[#This Row],[SIGLA]])+COUNTIF(BD_PRINCIPAL[DOTACIÓN ACTUAL],"JEFE/"&amp;SECCIONES[[#This Row],[SIGLA]])</f>
        <v>0</v>
      </c>
      <c r="K108" s="392"/>
      <c r="L108" s="472"/>
      <c r="N108" s="1143"/>
      <c r="O108" s="1144"/>
    </row>
    <row r="109" spans="1:15" ht="17.399999999999999" x14ac:dyDescent="0.3">
      <c r="A109" s="21"/>
      <c r="B109" s="21" t="str">
        <f>$L109&amp;" "&amp;COUNTIF($L$14:L109,L109)</f>
        <v xml:space="preserve"> 0</v>
      </c>
      <c r="C109" s="580" t="s">
        <v>2571</v>
      </c>
      <c r="D109" s="433" t="str">
        <f>IFERROR(VLOOKUP("JEFE/"&amp;SECCIONES[[#This Row],[SIGLA]],JEFES_1,3,FALSE)&amp;" "&amp;VLOOKUP("JEFE/"&amp;SECCIONES[[#This Row],[SIGLA]],JEFES_1,2,FALSE),"-")</f>
        <v>-</v>
      </c>
      <c r="E109" s="200"/>
      <c r="F109" s="59" t="str">
        <f>VLOOKUP(C109,'Tabla de Servicio'!$DX$8:$DY$150,2,0)</f>
        <v/>
      </c>
      <c r="G109" s="420" t="str">
        <f>VLOOKUP(C109,'Tabla de Servicio'!$DX$8:$DZ$150,3,0)</f>
        <v/>
      </c>
      <c r="H109" s="47"/>
      <c r="I109" s="47"/>
      <c r="J109" s="393">
        <f>COUNTIF(BD_PRINCIPAL[DOTACIÓN ACTUAL],SECCIONES[[#This Row],[SIGLA]])+COUNTIF(BD_PRINCIPAL[DOTACIÓN ACTUAL],"JEFE/"&amp;SECCIONES[[#This Row],[SIGLA]])</f>
        <v>0</v>
      </c>
      <c r="K109" s="392"/>
      <c r="L109" s="472"/>
      <c r="N109" s="1143"/>
      <c r="O109" s="1144"/>
    </row>
    <row r="110" spans="1:15" ht="18" x14ac:dyDescent="0.3">
      <c r="A110" s="21"/>
      <c r="B110" s="21" t="str">
        <f>$L110&amp;" "&amp;COUNTIF($L$14:L110,L110)</f>
        <v xml:space="preserve"> 0</v>
      </c>
      <c r="C110" s="587"/>
      <c r="D110" s="142"/>
      <c r="E110" s="143"/>
      <c r="F110" s="145" t="s">
        <v>859</v>
      </c>
      <c r="G110" s="417"/>
      <c r="H110" s="144"/>
      <c r="I110" s="144"/>
      <c r="J110" s="145"/>
      <c r="K110" s="142"/>
      <c r="L110" s="473"/>
      <c r="N110" s="1143"/>
      <c r="O110" s="1144"/>
    </row>
    <row r="111" spans="1:15" x14ac:dyDescent="0.3">
      <c r="B111" s="21" t="str">
        <f>$L111&amp;" "&amp;COUNTIF($L$14:L111,L111)</f>
        <v>ESCUADRON 1</v>
      </c>
      <c r="C111" s="588" t="s">
        <v>886</v>
      </c>
      <c r="D111" s="430" t="s">
        <v>838</v>
      </c>
      <c r="E111" s="18" t="s">
        <v>888</v>
      </c>
      <c r="F111" s="54" t="s">
        <v>831</v>
      </c>
      <c r="G111" s="418" t="s">
        <v>118</v>
      </c>
      <c r="H111" s="46" t="s">
        <v>900</v>
      </c>
      <c r="I111" s="46" t="s">
        <v>890</v>
      </c>
      <c r="J111" s="58" t="s">
        <v>887</v>
      </c>
      <c r="K111" s="413" t="s">
        <v>747</v>
      </c>
      <c r="L111" s="468" t="s">
        <v>1794</v>
      </c>
      <c r="N111" s="1143"/>
      <c r="O111" s="1144"/>
    </row>
    <row r="112" spans="1:15" x14ac:dyDescent="0.3">
      <c r="B112" s="21" t="str">
        <f>$L112&amp;" "&amp;COUNTIF($L$14:L112,L112)</f>
        <v xml:space="preserve"> 0</v>
      </c>
      <c r="C112" s="410" t="s">
        <v>67</v>
      </c>
      <c r="D112" s="431" t="str">
        <f>IFERROR(VLOOKUP("JEFE/"&amp;PTL[[#This Row],[SIGLA]],JEFES_1,3,FALSE)&amp;" "&amp;VLOOKUP("JEFE/"&amp;PTL[[#This Row],[SIGLA]],JEFES_1,2,FALSE),"-")</f>
        <v>-</v>
      </c>
      <c r="E112" s="200"/>
      <c r="F112" s="59" t="str">
        <f>VLOOKUP(C112,'Tabla de Servicio'!$DX$8:$DY$150,2,0)</f>
        <v/>
      </c>
      <c r="G112" s="419" t="str">
        <f>VLOOKUP(C112,'Tabla de Servicio'!$DX$8:$DZ$150,3,0)</f>
        <v/>
      </c>
      <c r="H112" s="47"/>
      <c r="I112" s="47"/>
      <c r="J112" s="56">
        <f>COUNTIF(BD_PRINCIPAL[DOTACIÓN ACTUAL],PTL[[#This Row],[SIGLA]])+COUNTIF(BD_PRINCIPAL[DOTACIÓN ACTUAL],"JEFE/"&amp;PTL[[#This Row],[SIGLA]])</f>
        <v>0</v>
      </c>
      <c r="K112" s="303"/>
      <c r="L112" s="469"/>
      <c r="N112" s="1145"/>
      <c r="O112" s="1146"/>
    </row>
    <row r="113" spans="2:14" x14ac:dyDescent="0.3">
      <c r="B113" s="21" t="str">
        <f>$L113&amp;" "&amp;COUNTIF($L$14:L113,L113)</f>
        <v>ESCUADRON 15 7</v>
      </c>
      <c r="C113" s="410" t="s">
        <v>66</v>
      </c>
      <c r="D113" s="431" t="str">
        <f>IFERROR(VLOOKUP("JEFE/"&amp;PTL[[#This Row],[SIGLA]],JEFES_1,3,FALSE)&amp;" "&amp;VLOOKUP("JEFE/"&amp;PTL[[#This Row],[SIGLA]],JEFES_1,2,FALSE),"-")</f>
        <v>SGTO 1RO. ZUÑIGA NARVAEZ GUSTAVO FERNANDO (L - P - T)</v>
      </c>
      <c r="E113" s="200" t="s">
        <v>663</v>
      </c>
      <c r="F113" s="59" t="str">
        <f>VLOOKUP(C113,'Tabla de Servicio'!$DX$8:$DY$150,2,0)</f>
        <v>F</v>
      </c>
      <c r="G113" s="374" t="str">
        <f>VLOOKUP(C113,'Tabla de Servicio'!$DX$8:$DZ$150,3,0)</f>
        <v>FRANCO</v>
      </c>
      <c r="H113" s="47" t="s">
        <v>663</v>
      </c>
      <c r="I113" s="47" t="s">
        <v>663</v>
      </c>
      <c r="J113" s="56">
        <f>COUNTIF(BD_PRINCIPAL[DOTACIÓN ACTUAL],PTL[[#This Row],[SIGLA]])+COUNTIF(BD_PRINCIPAL[DOTACIÓN ACTUAL],"JEFE/"&amp;PTL[[#This Row],[SIGLA]])</f>
        <v>3</v>
      </c>
      <c r="K113" s="303"/>
      <c r="L113" s="469" t="s">
        <v>1544</v>
      </c>
      <c r="N113" s="24"/>
    </row>
    <row r="114" spans="2:14" x14ac:dyDescent="0.3">
      <c r="B114" s="21" t="str">
        <f>$L114&amp;" "&amp;COUNTIF($L$14:L114,L114)</f>
        <v xml:space="preserve"> 0</v>
      </c>
      <c r="C114" s="410" t="s">
        <v>194</v>
      </c>
      <c r="D114" s="431" t="str">
        <f>IFERROR(VLOOKUP("JEFE/"&amp;PTL[[#This Row],[SIGLA]],JEFES_1,3,FALSE)&amp;" "&amp;VLOOKUP("JEFE/"&amp;PTL[[#This Row],[SIGLA]],JEFES_1,2,FALSE),"-")</f>
        <v>CABO 1RO. HERRERA RIVAS JUVENAL AGUSTIN</v>
      </c>
      <c r="E114" s="200" t="s">
        <v>904</v>
      </c>
      <c r="F114" s="59" t="str">
        <f>VLOOKUP(C114,'Tabla de Servicio'!$DX$8:$DY$150,2,0)</f>
        <v>1P</v>
      </c>
      <c r="G114" s="374" t="str">
        <f>VLOOKUP(C114,'Tabla de Servicio'!$DX$8:$DZ$150,3,0)</f>
        <v>BAQUEDANO</v>
      </c>
      <c r="H114" s="47">
        <v>0.33333333333333331</v>
      </c>
      <c r="I114" s="47">
        <v>0.83333333333333337</v>
      </c>
      <c r="J114" s="56">
        <f>COUNTIF(BD_PRINCIPAL[DOTACIÓN ACTUAL],PTL[[#This Row],[SIGLA]])+COUNTIF(BD_PRINCIPAL[DOTACIÓN ACTUAL],"JEFE/"&amp;PTL[[#This Row],[SIGLA]])</f>
        <v>2</v>
      </c>
      <c r="K114" s="303"/>
      <c r="L114" s="469"/>
      <c r="N114" s="24"/>
    </row>
    <row r="115" spans="2:14" ht="23.4" customHeight="1" x14ac:dyDescent="0.3">
      <c r="B115" s="21" t="str">
        <f>$L115&amp;" "&amp;COUNTIF($L$14:L115,L115)</f>
        <v xml:space="preserve"> 0</v>
      </c>
      <c r="C115" s="410" t="s">
        <v>113</v>
      </c>
      <c r="D115" s="431" t="str">
        <f>IFERROR(VLOOKUP("JEFE/"&amp;PTL[[#This Row],[SIGLA]],JEFES_1,3,FALSE)&amp;" "&amp;VLOOKUP("JEFE/"&amp;PTL[[#This Row],[SIGLA]],JEFES_1,2,FALSE),"-")</f>
        <v>SGTO 2DO. MELLA MORALES MARCO ALEXIS</v>
      </c>
      <c r="E115" s="200" t="s">
        <v>906</v>
      </c>
      <c r="F115" s="59" t="str">
        <f>VLOOKUP(C115,'Tabla de Servicio'!$DX$8:$DY$150,2,0)</f>
        <v>2P</v>
      </c>
      <c r="G115" s="374" t="str">
        <f>VLOOKUP(C115,'Tabla de Servicio'!$DX$8:$DZ$150,3,0)</f>
        <v>ARIETE NOCTURNO</v>
      </c>
      <c r="H115" s="47">
        <v>0.83333333333333337</v>
      </c>
      <c r="I115" s="47">
        <v>0.33333333333333331</v>
      </c>
      <c r="J115" s="56">
        <f>COUNTIF(BD_PRINCIPAL[DOTACIÓN ACTUAL],PTL[[#This Row],[SIGLA]])+COUNTIF(BD_PRINCIPAL[DOTACIÓN ACTUAL],"JEFE/"&amp;PTL[[#This Row],[SIGLA]])</f>
        <v>2</v>
      </c>
      <c r="K115" s="583"/>
      <c r="L115" s="469"/>
      <c r="N115" s="24"/>
    </row>
    <row r="116" spans="2:14" x14ac:dyDescent="0.3">
      <c r="B116" s="21" t="str">
        <f>$L116&amp;" "&amp;COUNTIF($L$14:L116,L116)</f>
        <v>ESCUADRON 15 8</v>
      </c>
      <c r="C116" s="410" t="s">
        <v>195</v>
      </c>
      <c r="D116" s="431" t="str">
        <f>IFERROR(VLOOKUP("JEFE/"&amp;PTL[[#This Row],[SIGLA]],JEFES_1,3,FALSE)&amp;" "&amp;VLOOKUP("JEFE/"&amp;PTL[[#This Row],[SIGLA]],JEFES_1,2,FALSE),"-")</f>
        <v>SGTO 1RO. RODRIGUEZ GAETE JOSE DIONISIO</v>
      </c>
      <c r="E116" s="200" t="s">
        <v>663</v>
      </c>
      <c r="F116" s="59" t="str">
        <f>VLOOKUP(C116,'Tabla de Servicio'!$DX$8:$DY$150,2,0)</f>
        <v>SN</v>
      </c>
      <c r="G116" s="374" t="str">
        <f>VLOOKUP(C116,'Tabla de Servicio'!$DX$8:$DZ$150,3,0)</f>
        <v>SALIENTE SERVICIO</v>
      </c>
      <c r="H116" s="47" t="s">
        <v>663</v>
      </c>
      <c r="I116" s="47" t="s">
        <v>663</v>
      </c>
      <c r="J116" s="56">
        <f>COUNTIF(BD_PRINCIPAL[DOTACIÓN ACTUAL],PTL[[#This Row],[SIGLA]])+COUNTIF(BD_PRINCIPAL[DOTACIÓN ACTUAL],"JEFE/"&amp;PTL[[#This Row],[SIGLA]])</f>
        <v>2</v>
      </c>
      <c r="K116" s="301"/>
      <c r="L116" s="469" t="s">
        <v>1544</v>
      </c>
      <c r="N116" s="24"/>
    </row>
    <row r="117" spans="2:14" x14ac:dyDescent="0.3">
      <c r="B117" s="21" t="str">
        <f>$L117&amp;" "&amp;COUNTIF($L$14:L117,L117)</f>
        <v>ESCUADRON 16 6</v>
      </c>
      <c r="C117" s="410" t="s">
        <v>196</v>
      </c>
      <c r="D117" s="431" t="str">
        <f>IFERROR(VLOOKUP("JEFE/"&amp;PTL[[#This Row],[SIGLA]],JEFES_1,3,FALSE)&amp;" "&amp;VLOOKUP("JEFE/"&amp;PTL[[#This Row],[SIGLA]],JEFES_1,2,FALSE),"-")</f>
        <v>SGTO 2DO. SAN MARTIN FIGUEROA OMAR ALEJANDRO (L - P-LA - T)</v>
      </c>
      <c r="E117" s="200" t="s">
        <v>905</v>
      </c>
      <c r="F117" s="59" t="str">
        <f>VLOOKUP(C117,'Tabla de Servicio'!$DX$8:$DY$150,2,0)</f>
        <v>1P</v>
      </c>
      <c r="G117" s="374" t="str">
        <f>VLOOKUP(C117,'Tabla de Servicio'!$DX$8:$DZ$150,3,0)</f>
        <v>ARIETE 22</v>
      </c>
      <c r="H117" s="47">
        <v>0.33333333333333331</v>
      </c>
      <c r="I117" s="47" t="s">
        <v>840</v>
      </c>
      <c r="J117" s="56">
        <f>COUNTIF(BD_PRINCIPAL[DOTACIÓN ACTUAL],PTL[[#This Row],[SIGLA]])+COUNTIF(BD_PRINCIPAL[DOTACIÓN ACTUAL],"JEFE/"&amp;PTL[[#This Row],[SIGLA]])</f>
        <v>2</v>
      </c>
      <c r="K117" s="846"/>
      <c r="L117" s="469" t="s">
        <v>1452</v>
      </c>
      <c r="N117" s="24"/>
    </row>
    <row r="118" spans="2:14" ht="26.4" customHeight="1" x14ac:dyDescent="0.3">
      <c r="B118" s="21" t="str">
        <f>$L118&amp;" "&amp;COUNTIF($L$14:L118,L118)</f>
        <v>ESCUADRON 17 5</v>
      </c>
      <c r="C118" s="410" t="s">
        <v>197</v>
      </c>
      <c r="D118" s="431" t="str">
        <f>IFERROR(VLOOKUP("JEFE/"&amp;PTL[[#This Row],[SIGLA]],JEFES_1,3,FALSE)&amp;" "&amp;VLOOKUP("JEFE/"&amp;PTL[[#This Row],[SIGLA]],JEFES_1,2,FALSE),"-")</f>
        <v>SGTO 1RO. CAAMAÑO JARA RODRIGO ALEJANDRO  ( P-LA)</v>
      </c>
      <c r="E118" s="200" t="s">
        <v>1060</v>
      </c>
      <c r="F118" s="59" t="str">
        <f>VLOOKUP(C118,'Tabla de Servicio'!$DX$8:$DY$150,2,0)</f>
        <v>1T</v>
      </c>
      <c r="G118" s="374" t="str">
        <f>VLOOKUP(C118,'Tabla de Servicio'!$DX$8:$DZ$150,3,0)</f>
        <v>APRESTO</v>
      </c>
      <c r="H118" s="47">
        <v>0.33333333333333331</v>
      </c>
      <c r="I118" s="47">
        <v>0.58333333333333337</v>
      </c>
      <c r="J118" s="56">
        <f>COUNTIF(BD_PRINCIPAL[DOTACIÓN ACTUAL],PTL[[#This Row],[SIGLA]])+COUNTIF(BD_PRINCIPAL[DOTACIÓN ACTUAL],"JEFE/"&amp;PTL[[#This Row],[SIGLA]])</f>
        <v>2</v>
      </c>
      <c r="K118" s="583"/>
      <c r="L118" s="469" t="s">
        <v>1545</v>
      </c>
      <c r="N118" s="24"/>
    </row>
    <row r="119" spans="2:14" x14ac:dyDescent="0.3">
      <c r="B119" s="21" t="str">
        <f>$L119&amp;" "&amp;COUNTIF($L$14:L119,L119)</f>
        <v>ESCUADRON 18 6</v>
      </c>
      <c r="C119" s="410" t="s">
        <v>198</v>
      </c>
      <c r="D119" s="431" t="str">
        <f>IFERROR(VLOOKUP("JEFE/"&amp;PTL[[#This Row],[SIGLA]],JEFES_1,3,FALSE)&amp;" "&amp;VLOOKUP("JEFE/"&amp;PTL[[#This Row],[SIGLA]],JEFES_1,2,FALSE),"-")</f>
        <v>SGTO 1RO. PULIDO PASMINO OSCAR GONZALO (L - P - LA - T)</v>
      </c>
      <c r="E119" s="200" t="s">
        <v>663</v>
      </c>
      <c r="F119" s="59" t="str">
        <f>VLOOKUP(C119,'Tabla de Servicio'!$DX$8:$DY$150,2,0)</f>
        <v>F</v>
      </c>
      <c r="G119" s="374" t="str">
        <f>VLOOKUP(C119,'Tabla de Servicio'!$DX$8:$DZ$150,3,0)</f>
        <v>FRANCO</v>
      </c>
      <c r="H119" s="47" t="s">
        <v>663</v>
      </c>
      <c r="I119" s="47" t="s">
        <v>663</v>
      </c>
      <c r="J119" s="56">
        <f>COUNTIF(BD_PRINCIPAL[DOTACIÓN ACTUAL],PTL[[#This Row],[SIGLA]])+COUNTIF(BD_PRINCIPAL[DOTACIÓN ACTUAL],"JEFE/"&amp;PTL[[#This Row],[SIGLA]])</f>
        <v>2</v>
      </c>
      <c r="K119" s="583"/>
      <c r="L119" s="469" t="s">
        <v>2013</v>
      </c>
      <c r="N119" s="24"/>
    </row>
    <row r="120" spans="2:14" x14ac:dyDescent="0.3">
      <c r="B120" s="21" t="str">
        <f>$L120&amp;" "&amp;COUNTIF($L$14:L120,L120)</f>
        <v>ESCUADRON 19 4</v>
      </c>
      <c r="C120" s="410" t="s">
        <v>769</v>
      </c>
      <c r="D120" s="431" t="str">
        <f>IFERROR(VLOOKUP("JEFE/"&amp;PTL[[#This Row],[SIGLA]],JEFES_1,3,FALSE)&amp;" "&amp;VLOOKUP("JEFE/"&amp;PTL[[#This Row],[SIGLA]],JEFES_1,2,FALSE),"-")</f>
        <v>-</v>
      </c>
      <c r="E120" s="200"/>
      <c r="F120" s="59" t="str">
        <f>VLOOKUP(C120,'Tabla de Servicio'!$DX$8:$DY$150,2,0)</f>
        <v/>
      </c>
      <c r="G120" s="374" t="str">
        <f>VLOOKUP(C120,'Tabla de Servicio'!$DX$8:$DZ$150,3,0)</f>
        <v/>
      </c>
      <c r="H120" s="47"/>
      <c r="I120" s="47"/>
      <c r="J120" s="56">
        <f>COUNTIF(BD_PRINCIPAL[DOTACIÓN ACTUAL],PTL[[#This Row],[SIGLA]])+COUNTIF(BD_PRINCIPAL[DOTACIÓN ACTUAL],"JEFE/"&amp;PTL[[#This Row],[SIGLA]])</f>
        <v>0</v>
      </c>
      <c r="K120" s="583"/>
      <c r="L120" s="469" t="s">
        <v>2014</v>
      </c>
      <c r="N120" s="24"/>
    </row>
    <row r="121" spans="2:14" ht="23.4" customHeight="1" x14ac:dyDescent="0.3">
      <c r="B121" s="21" t="str">
        <f>$L121&amp;" "&amp;COUNTIF($L$14:L121,L121)</f>
        <v xml:space="preserve"> 0</v>
      </c>
      <c r="C121" s="410" t="s">
        <v>767</v>
      </c>
      <c r="D121" s="431" t="str">
        <f>IFERROR(VLOOKUP("JEFE/"&amp;PTL[[#This Row],[SIGLA]],JEFES_1,3,FALSE)&amp;" "&amp;VLOOKUP("JEFE/"&amp;PTL[[#This Row],[SIGLA]],JEFES_1,2,FALSE),"-")</f>
        <v>-</v>
      </c>
      <c r="E121" s="200"/>
      <c r="F121" s="59" t="str">
        <f>VLOOKUP(C121,'Tabla de Servicio'!$DX$8:$DY$150,2,0)</f>
        <v/>
      </c>
      <c r="G121" s="374" t="str">
        <f>VLOOKUP(C121,'Tabla de Servicio'!$DX$8:$DZ$150,3,0)</f>
        <v/>
      </c>
      <c r="H121" s="47"/>
      <c r="I121" s="47"/>
      <c r="J121" s="56">
        <f>COUNTIF(BD_PRINCIPAL[DOTACIÓN ACTUAL],PTL[[#This Row],[SIGLA]])+COUNTIF(BD_PRINCIPAL[DOTACIÓN ACTUAL],"JEFE/"&amp;PTL[[#This Row],[SIGLA]])</f>
        <v>0</v>
      </c>
      <c r="K121" s="303"/>
      <c r="L121" s="469"/>
      <c r="N121" s="24"/>
    </row>
    <row r="122" spans="2:14" ht="26.4" customHeight="1" x14ac:dyDescent="0.3">
      <c r="B122" s="21" t="str">
        <f>$L122&amp;" "&amp;COUNTIF($L$14:L122,L122)</f>
        <v xml:space="preserve"> 0</v>
      </c>
      <c r="C122" s="410" t="s">
        <v>680</v>
      </c>
      <c r="D122" s="431" t="str">
        <f>IFERROR(VLOOKUP("JEFE/"&amp;PTL[[#This Row],[SIGLA]],JEFES_1,3,FALSE)&amp;" "&amp;VLOOKUP("JEFE/"&amp;PTL[[#This Row],[SIGLA]],JEFES_1,2,FALSE),"-")</f>
        <v>SUBOFICIAL MUÑOZ BRAVO MARCELO ALEXIS</v>
      </c>
      <c r="E122" s="200" t="s">
        <v>663</v>
      </c>
      <c r="F122" s="59" t="str">
        <f>VLOOKUP(C122,'Tabla de Servicio'!$DX$8:$DY$150,2,0)</f>
        <v>F</v>
      </c>
      <c r="G122" s="374" t="str">
        <f>VLOOKUP(C122,'Tabla de Servicio'!$DX$8:$DZ$150,3,0)</f>
        <v>FRANCO</v>
      </c>
      <c r="H122" s="47" t="s">
        <v>663</v>
      </c>
      <c r="I122" s="47" t="s">
        <v>663</v>
      </c>
      <c r="J122" s="56">
        <f>COUNTIF(BD_PRINCIPAL[DOTACIÓN ACTUAL],PTL[[#This Row],[SIGLA]])+COUNTIF(BD_PRINCIPAL[DOTACIÓN ACTUAL],"JEFE/"&amp;PTL[[#This Row],[SIGLA]])</f>
        <v>2</v>
      </c>
      <c r="K122" s="449"/>
      <c r="L122" s="469"/>
      <c r="N122" s="24"/>
    </row>
    <row r="123" spans="2:14" x14ac:dyDescent="0.3">
      <c r="B123" s="21" t="str">
        <f>$L123&amp;" "&amp;COUNTIF($L$14:L123,L123)</f>
        <v xml:space="preserve"> 0</v>
      </c>
      <c r="C123" s="410" t="s">
        <v>754</v>
      </c>
      <c r="D123" s="431" t="str">
        <f>IFERROR(VLOOKUP("JEFE/"&amp;PTL[[#This Row],[SIGLA]],JEFES_1,3,FALSE)&amp;" "&amp;VLOOKUP("JEFE/"&amp;PTL[[#This Row],[SIGLA]],JEFES_1,2,FALSE),"-")</f>
        <v>SUBOFICIAL SABANDO VERGARA CLAUDIO  (T-LA)</v>
      </c>
      <c r="E123" s="200" t="s">
        <v>663</v>
      </c>
      <c r="F123" s="59" t="str">
        <f>VLOOKUP(C123,'Tabla de Servicio'!$DX$8:$DY$150,2,0)</f>
        <v>F</v>
      </c>
      <c r="G123" s="374" t="str">
        <f>VLOOKUP(C123,'Tabla de Servicio'!$DX$8:$DZ$150,3,0)</f>
        <v>FRANCO</v>
      </c>
      <c r="H123" s="47" t="s">
        <v>663</v>
      </c>
      <c r="I123" s="47" t="s">
        <v>663</v>
      </c>
      <c r="J123" s="56">
        <f>COUNTIF(BD_PRINCIPAL[DOTACIÓN ACTUAL],PTL[[#This Row],[SIGLA]])+COUNTIF(BD_PRINCIPAL[DOTACIÓN ACTUAL],"JEFE/"&amp;PTL[[#This Row],[SIGLA]])</f>
        <v>3</v>
      </c>
      <c r="K123" s="392"/>
      <c r="L123" s="469"/>
      <c r="N123" s="24"/>
    </row>
    <row r="124" spans="2:14" ht="24.6" customHeight="1" x14ac:dyDescent="0.3">
      <c r="B124" s="21" t="str">
        <f>$L124&amp;" "&amp;COUNTIF($L$14:L124,L124)</f>
        <v>ESCUADRON 15 9</v>
      </c>
      <c r="C124" s="410" t="s">
        <v>2015</v>
      </c>
      <c r="D124" s="431" t="str">
        <f>IFERROR(VLOOKUP("JEFE/"&amp;PTL[[#This Row],[SIGLA]],JEFES_1,3,FALSE)&amp;" "&amp;VLOOKUP("JEFE/"&amp;PTL[[#This Row],[SIGLA]],JEFES_1,2,FALSE),"-")</f>
        <v>SUBOFICIAL VALLEJOS ELGUETA CRISTIAN</v>
      </c>
      <c r="E124" s="960" t="s">
        <v>1059</v>
      </c>
      <c r="F124" s="59" t="str">
        <f>VLOOKUP(C124,'Tabla de Servicio'!$DX$8:$DY$150,2,0)</f>
        <v>1P</v>
      </c>
      <c r="G124" s="374" t="str">
        <f>VLOOKUP(C124,'Tabla de Servicio'!$DX$8:$DZ$150,3,0)</f>
        <v>ARIETE 23</v>
      </c>
      <c r="H124" s="47">
        <v>0.33333333333333331</v>
      </c>
      <c r="I124" s="47" t="s">
        <v>840</v>
      </c>
      <c r="J124" s="56">
        <f>COUNTIF(BD_PRINCIPAL[DOTACIÓN ACTUAL],PTL[[#This Row],[SIGLA]])+COUNTIF(BD_PRINCIPAL[DOTACIÓN ACTUAL],"JEFE/"&amp;PTL[[#This Row],[SIGLA]])</f>
        <v>5</v>
      </c>
      <c r="K124" s="392"/>
      <c r="L124" s="469" t="s">
        <v>1544</v>
      </c>
    </row>
    <row r="125" spans="2:14" x14ac:dyDescent="0.3">
      <c r="B125" s="21" t="str">
        <f>$L125&amp;" "&amp;COUNTIF($L$14:L125,L125)</f>
        <v xml:space="preserve"> 0</v>
      </c>
      <c r="C125" s="410" t="s">
        <v>857</v>
      </c>
      <c r="D125" s="431" t="str">
        <f>IFERROR(VLOOKUP("JEFE/"&amp;PTL[[#This Row],[SIGLA]],JEFES_1,3,FALSE)&amp;" "&amp;VLOOKUP("JEFE/"&amp;PTL[[#This Row],[SIGLA]],JEFES_1,2,FALSE),"-")</f>
        <v>-</v>
      </c>
      <c r="E125" s="200"/>
      <c r="F125" s="59" t="str">
        <f>VLOOKUP(C125,'Tabla de Servicio'!$DX$8:$DY$150,2,0)</f>
        <v/>
      </c>
      <c r="G125" s="374" t="str">
        <f>VLOOKUP(C125,'Tabla de Servicio'!$DX$8:$DZ$150,3,0)</f>
        <v/>
      </c>
      <c r="H125" s="47"/>
      <c r="I125" s="47"/>
      <c r="J125" s="56">
        <f>COUNTIF(BD_PRINCIPAL[DOTACIÓN ACTUAL],PTL[[#This Row],[SIGLA]])+COUNTIF(BD_PRINCIPAL[DOTACIÓN ACTUAL],"JEFE/"&amp;PTL[[#This Row],[SIGLA]])</f>
        <v>0</v>
      </c>
      <c r="K125" s="303"/>
      <c r="L125" s="469"/>
    </row>
    <row r="126" spans="2:14" x14ac:dyDescent="0.3">
      <c r="B126" s="21" t="str">
        <f>$L126&amp;" "&amp;COUNTIF($L$14:L126,L126)</f>
        <v xml:space="preserve"> 0</v>
      </c>
      <c r="C126" s="411" t="s">
        <v>858</v>
      </c>
      <c r="D126" s="431" t="str">
        <f>IFERROR(VLOOKUP("JEFE/"&amp;PTL[[#This Row],[SIGLA]],JEFES_1,3,FALSE)&amp;" "&amp;VLOOKUP("JEFE/"&amp;PTL[[#This Row],[SIGLA]],JEFES_1,2,FALSE),"-")</f>
        <v>-</v>
      </c>
      <c r="E126" s="200"/>
      <c r="F126" s="59" t="str">
        <f>VLOOKUP(C126,'Tabla de Servicio'!$DX$8:$DY$150,2,0)</f>
        <v/>
      </c>
      <c r="G126" s="374" t="str">
        <f>VLOOKUP(C126,'Tabla de Servicio'!$DX$8:$DZ$150,3,0)</f>
        <v/>
      </c>
      <c r="H126" s="47"/>
      <c r="I126" s="47"/>
      <c r="J126" s="56">
        <f>COUNTIF(BD_PRINCIPAL[DOTACIÓN ACTUAL],PTL[[#This Row],[SIGLA]])+COUNTIF(BD_PRINCIPAL[DOTACIÓN ACTUAL],"JEFE/"&amp;PTL[[#This Row],[SIGLA]])</f>
        <v>0</v>
      </c>
      <c r="K126" s="303"/>
      <c r="L126" s="469"/>
    </row>
    <row r="127" spans="2:14" x14ac:dyDescent="0.3">
      <c r="B127" s="21" t="str">
        <f>$L127&amp;" "&amp;COUNTIF($L$14:L127,L127)</f>
        <v xml:space="preserve"> 0</v>
      </c>
      <c r="C127" s="411" t="s">
        <v>1980</v>
      </c>
      <c r="D127" s="433" t="str">
        <f>IFERROR(VLOOKUP("JEFE/"&amp;PTL[[#This Row],[SIGLA]],JEFES_1,3,FALSE)&amp;" "&amp;VLOOKUP("JEFE/"&amp;PTL[[#This Row],[SIGLA]],JEFES_1,2,FALSE),"-")</f>
        <v>-</v>
      </c>
      <c r="E127" s="201"/>
      <c r="F127" s="59" t="str">
        <f>VLOOKUP(C127,'Tabla de Servicio'!$DX$8:$DY$150,2,0)</f>
        <v/>
      </c>
      <c r="G127" s="374" t="str">
        <f>VLOOKUP(C127,'Tabla de Servicio'!$DX$8:$DZ$150,3,0)</f>
        <v/>
      </c>
      <c r="H127" s="48"/>
      <c r="I127" s="48"/>
      <c r="J127" s="56">
        <f>COUNTIF(BD_PRINCIPAL[DOTACIÓN ACTUAL],PTL[[#This Row],[SIGLA]])+COUNTIF(BD_PRINCIPAL[DOTACIÓN ACTUAL],"JEFE/"&amp;PTL[[#This Row],[SIGLA]])</f>
        <v>0</v>
      </c>
      <c r="K127" s="304"/>
      <c r="L127" s="472"/>
    </row>
    <row r="128" spans="2:14" x14ac:dyDescent="0.3">
      <c r="B128" s="21" t="str">
        <f>$L128&amp;" "&amp;COUNTIF($L$14:L128,L128)</f>
        <v xml:space="preserve"> 0</v>
      </c>
      <c r="C128" s="411" t="s">
        <v>1981</v>
      </c>
      <c r="D128" s="431" t="str">
        <f>IFERROR(VLOOKUP("JEFE/"&amp;PTL[[#This Row],[SIGLA]],JEFES_1,3,FALSE)&amp;" "&amp;VLOOKUP("JEFE/"&amp;PTL[[#This Row],[SIGLA]],JEFES_1,2,FALSE),"-")</f>
        <v>-</v>
      </c>
      <c r="E128" s="200"/>
      <c r="F128" s="59" t="str">
        <f>VLOOKUP(C128,'Tabla de Servicio'!$DX$8:$DY$150,2,0)</f>
        <v/>
      </c>
      <c r="G128" s="374" t="str">
        <f>VLOOKUP(C128,'Tabla de Servicio'!$DX$8:$DZ$150,3,0)</f>
        <v/>
      </c>
      <c r="H128" s="47"/>
      <c r="I128" s="47"/>
      <c r="J128" s="56">
        <f>COUNTIF(BD_PRINCIPAL[DOTACIÓN ACTUAL],PTL[[#This Row],[SIGLA]])+COUNTIF(BD_PRINCIPAL[DOTACIÓN ACTUAL],"JEFE/"&amp;PTL[[#This Row],[SIGLA]])</f>
        <v>0</v>
      </c>
      <c r="K128" s="303"/>
      <c r="L128" s="469"/>
    </row>
    <row r="129" spans="2:12" x14ac:dyDescent="0.3">
      <c r="B129" s="21" t="str">
        <f>$L129&amp;" "&amp;COUNTIF($L$14:L129,L129)</f>
        <v xml:space="preserve"> 0</v>
      </c>
      <c r="C129" s="411" t="s">
        <v>2572</v>
      </c>
      <c r="D129" s="433" t="str">
        <f>IFERROR(VLOOKUP("JEFE/"&amp;PTL[[#This Row],[SIGLA]],JEFES_1,3,FALSE)&amp;" "&amp;VLOOKUP("JEFE/"&amp;PTL[[#This Row],[SIGLA]],JEFES_1,2,FALSE),"-")</f>
        <v>-</v>
      </c>
      <c r="E129" s="201"/>
      <c r="F129" s="59" t="str">
        <f>VLOOKUP(C129,'Tabla de Servicio'!$DX$8:$DY$150,2,0)</f>
        <v/>
      </c>
      <c r="G129" s="374" t="str">
        <f>VLOOKUP(C129,'Tabla de Servicio'!$DX$8:$DZ$150,3,0)</f>
        <v/>
      </c>
      <c r="H129" s="48"/>
      <c r="I129" s="48"/>
      <c r="J129" s="56">
        <f>COUNTIF(BD_PRINCIPAL[DOTACIÓN ACTUAL],PTL[[#This Row],[SIGLA]])+COUNTIF(BD_PRINCIPAL[DOTACIÓN ACTUAL],"JEFE/"&amp;PTL[[#This Row],[SIGLA]])</f>
        <v>0</v>
      </c>
      <c r="K129" s="304"/>
      <c r="L129" s="472"/>
    </row>
    <row r="130" spans="2:12" x14ac:dyDescent="0.3">
      <c r="B130" s="21" t="str">
        <f>$L130&amp;" "&amp;COUNTIF($L$14:L130,L130)</f>
        <v xml:space="preserve"> 0</v>
      </c>
      <c r="C130" s="411" t="s">
        <v>2573</v>
      </c>
      <c r="D130" s="431" t="str">
        <f>IFERROR(VLOOKUP("JEFE/"&amp;PTL[[#This Row],[SIGLA]],JEFES_1,3,FALSE)&amp;" "&amp;VLOOKUP("JEFE/"&amp;PTL[[#This Row],[SIGLA]],JEFES_1,2,FALSE),"-")</f>
        <v>-</v>
      </c>
      <c r="E130" s="200"/>
      <c r="F130" s="59" t="str">
        <f>VLOOKUP(C130,'Tabla de Servicio'!$DX$8:$DY$150,2,0)</f>
        <v/>
      </c>
      <c r="G130" s="374" t="str">
        <f>VLOOKUP(C130,'Tabla de Servicio'!$DX$8:$DZ$150,3,0)</f>
        <v/>
      </c>
      <c r="H130" s="47"/>
      <c r="I130" s="47"/>
      <c r="J130" s="56">
        <f>COUNTIF(BD_PRINCIPAL[DOTACIÓN ACTUAL],PTL[[#This Row],[SIGLA]])+COUNTIF(BD_PRINCIPAL[DOTACIÓN ACTUAL],"JEFE/"&amp;PTL[[#This Row],[SIGLA]])</f>
        <v>0</v>
      </c>
      <c r="K130" s="303"/>
      <c r="L130" s="469"/>
    </row>
    <row r="131" spans="2:12" x14ac:dyDescent="0.3">
      <c r="B131" s="21" t="str">
        <f>$L131&amp;" "&amp;COUNTIF($L$14:L131,L131)</f>
        <v xml:space="preserve"> 0</v>
      </c>
      <c r="C131" s="411" t="s">
        <v>2574</v>
      </c>
      <c r="D131" s="433" t="str">
        <f>IFERROR(VLOOKUP("JEFE/"&amp;PTL[[#This Row],[SIGLA]],JEFES_1,3,FALSE)&amp;" "&amp;VLOOKUP("JEFE/"&amp;PTL[[#This Row],[SIGLA]],JEFES_1,2,FALSE),"-")</f>
        <v>-</v>
      </c>
      <c r="E131" s="201"/>
      <c r="F131" s="59" t="str">
        <f>VLOOKUP(C131,'Tabla de Servicio'!$DX$8:$DY$150,2,0)</f>
        <v/>
      </c>
      <c r="G131" s="374" t="str">
        <f>VLOOKUP(C131,'Tabla de Servicio'!$DX$8:$DZ$150,3,0)</f>
        <v/>
      </c>
      <c r="H131" s="48"/>
      <c r="I131" s="48"/>
      <c r="J131" s="56">
        <f>COUNTIF(BD_PRINCIPAL[DOTACIÓN ACTUAL],PTL[[#This Row],[SIGLA]])+COUNTIF(BD_PRINCIPAL[DOTACIÓN ACTUAL],"JEFE/"&amp;PTL[[#This Row],[SIGLA]])</f>
        <v>0</v>
      </c>
      <c r="K131" s="304"/>
      <c r="L131" s="472"/>
    </row>
    <row r="132" spans="2:12" x14ac:dyDescent="0.3">
      <c r="B132" s="21" t="str">
        <f>$L132&amp;" "&amp;COUNTIF($L$14:L132,L132)</f>
        <v xml:space="preserve"> 0</v>
      </c>
      <c r="C132" s="411" t="s">
        <v>2575</v>
      </c>
      <c r="D132" s="431" t="str">
        <f>IFERROR(VLOOKUP("JEFE/"&amp;PTL[[#This Row],[SIGLA]],JEFES_1,3,FALSE)&amp;" "&amp;VLOOKUP("JEFE/"&amp;PTL[[#This Row],[SIGLA]],JEFES_1,2,FALSE),"-")</f>
        <v>-</v>
      </c>
      <c r="E132" s="200"/>
      <c r="F132" s="59" t="str">
        <f>VLOOKUP(C132,'Tabla de Servicio'!$DX$8:$DY$150,2,0)</f>
        <v/>
      </c>
      <c r="G132" s="374" t="str">
        <f>VLOOKUP(C132,'Tabla de Servicio'!$DX$8:$DZ$150,3,0)</f>
        <v/>
      </c>
      <c r="H132" s="47"/>
      <c r="I132" s="47"/>
      <c r="J132" s="56">
        <f>COUNTIF(BD_PRINCIPAL[DOTACIÓN ACTUAL],PTL[[#This Row],[SIGLA]])+COUNTIF(BD_PRINCIPAL[DOTACIÓN ACTUAL],"JEFE/"&amp;PTL[[#This Row],[SIGLA]])</f>
        <v>0</v>
      </c>
      <c r="K132" s="303"/>
      <c r="L132" s="469"/>
    </row>
    <row r="133" spans="2:12" x14ac:dyDescent="0.3">
      <c r="B133" s="21" t="str">
        <f>$L133&amp;" "&amp;COUNTIF($L$14:L133,L133)</f>
        <v xml:space="preserve"> 0</v>
      </c>
      <c r="C133" s="411" t="s">
        <v>2576</v>
      </c>
      <c r="D133" s="433" t="str">
        <f>IFERROR(VLOOKUP("JEFE/"&amp;PTL[[#This Row],[SIGLA]],JEFES_1,3,FALSE)&amp;" "&amp;VLOOKUP("JEFE/"&amp;PTL[[#This Row],[SIGLA]],JEFES_1,2,FALSE),"-")</f>
        <v>-</v>
      </c>
      <c r="E133" s="201"/>
      <c r="F133" s="59" t="str">
        <f>VLOOKUP(C133,'Tabla de Servicio'!$DX$8:$DY$150,2,0)</f>
        <v/>
      </c>
      <c r="G133" s="374" t="str">
        <f>VLOOKUP(C133,'Tabla de Servicio'!$DX$8:$DZ$150,3,0)</f>
        <v/>
      </c>
      <c r="H133" s="48"/>
      <c r="I133" s="48"/>
      <c r="J133" s="56">
        <f>COUNTIF(BD_PRINCIPAL[DOTACIÓN ACTUAL],PTL[[#This Row],[SIGLA]])+COUNTIF(BD_PRINCIPAL[DOTACIÓN ACTUAL],"JEFE/"&amp;PTL[[#This Row],[SIGLA]])</f>
        <v>0</v>
      </c>
      <c r="K133" s="304"/>
      <c r="L133" s="472"/>
    </row>
    <row r="134" spans="2:12" x14ac:dyDescent="0.3">
      <c r="B134" s="21" t="str">
        <f>$L134&amp;" "&amp;COUNTIF($L$14:L134,L134)</f>
        <v xml:space="preserve"> 0</v>
      </c>
      <c r="C134" s="411" t="s">
        <v>2577</v>
      </c>
      <c r="D134" s="431" t="str">
        <f>IFERROR(VLOOKUP("JEFE/"&amp;PTL[[#This Row],[SIGLA]],JEFES_1,3,FALSE)&amp;" "&amp;VLOOKUP("JEFE/"&amp;PTL[[#This Row],[SIGLA]],JEFES_1,2,FALSE),"-")</f>
        <v>-</v>
      </c>
      <c r="E134" s="200"/>
      <c r="F134" s="59" t="str">
        <f>VLOOKUP(C134,'Tabla de Servicio'!$DX$8:$DY$150,2,0)</f>
        <v/>
      </c>
      <c r="G134" s="374" t="str">
        <f>VLOOKUP(C134,'Tabla de Servicio'!$DX$8:$DZ$150,3,0)</f>
        <v/>
      </c>
      <c r="H134" s="47"/>
      <c r="I134" s="47"/>
      <c r="J134" s="56">
        <f>COUNTIF(BD_PRINCIPAL[DOTACIÓN ACTUAL],PTL[[#This Row],[SIGLA]])+COUNTIF(BD_PRINCIPAL[DOTACIÓN ACTUAL],"JEFE/"&amp;PTL[[#This Row],[SIGLA]])</f>
        <v>0</v>
      </c>
      <c r="K134" s="303"/>
      <c r="L134" s="469"/>
    </row>
    <row r="135" spans="2:12" ht="18" x14ac:dyDescent="0.3">
      <c r="C135" s="587"/>
      <c r="D135" s="142"/>
      <c r="E135" s="143"/>
      <c r="F135" s="145" t="s">
        <v>1167</v>
      </c>
      <c r="G135" s="417"/>
      <c r="H135" s="144"/>
      <c r="I135" s="144"/>
      <c r="J135" s="145"/>
      <c r="K135" s="142"/>
      <c r="L135" s="473"/>
    </row>
    <row r="136" spans="2:12" x14ac:dyDescent="0.3">
      <c r="C136" s="719" t="s">
        <v>886</v>
      </c>
      <c r="D136" s="720" t="s">
        <v>838</v>
      </c>
      <c r="E136" s="721" t="s">
        <v>888</v>
      </c>
      <c r="F136" s="722" t="s">
        <v>831</v>
      </c>
      <c r="G136" s="723" t="s">
        <v>118</v>
      </c>
      <c r="H136" s="724" t="s">
        <v>900</v>
      </c>
      <c r="I136" s="725" t="s">
        <v>890</v>
      </c>
      <c r="J136" s="726" t="s">
        <v>887</v>
      </c>
      <c r="K136" s="727" t="s">
        <v>747</v>
      </c>
      <c r="L136" s="718"/>
    </row>
    <row r="137" spans="2:12" ht="26.4" x14ac:dyDescent="0.3">
      <c r="C137" s="589" t="s">
        <v>193</v>
      </c>
      <c r="D137" s="431" t="str">
        <f>IFERROR(VLOOKUP(PTL_9[[#This Row],[SIGLA]],JEFES_1,3,FALSE)&amp;" "&amp;VLOOKUP(PTL_9[[#This Row],[SIGLA]],JEFES_1,2,FALSE),"-")</f>
        <v>SGTO 2DO. IGOR CORONADO GUSTAVO A. (L - P - T)</v>
      </c>
      <c r="E137" s="759" t="s">
        <v>1042</v>
      </c>
      <c r="F137" s="200" t="s">
        <v>853</v>
      </c>
      <c r="G137" s="20" t="s">
        <v>193</v>
      </c>
      <c r="H137" s="47">
        <v>0.33333333333333331</v>
      </c>
      <c r="I137" s="47" t="s">
        <v>840</v>
      </c>
      <c r="J137" s="56">
        <f>COUNTIF(BD_PRINCIPAL[DOTACIÓN ACTUAL],PTL_9[[#This Row],[SIGLA]])+COUNTIF(BD_PRINCIPAL[DOTACIÓN ACTUAL],"JEFE/"&amp;PTL_9[[#This Row],[SIGLA]])</f>
        <v>2</v>
      </c>
      <c r="K137" s="303"/>
      <c r="L137" s="474"/>
    </row>
    <row r="138" spans="2:12" ht="26.4" x14ac:dyDescent="0.3">
      <c r="C138" s="589" t="s">
        <v>193</v>
      </c>
      <c r="D138" s="431" t="s">
        <v>1917</v>
      </c>
      <c r="E138" s="759" t="s">
        <v>1042</v>
      </c>
      <c r="F138" s="200" t="s">
        <v>855</v>
      </c>
      <c r="G138" s="20" t="s">
        <v>193</v>
      </c>
      <c r="H138" s="47"/>
      <c r="I138" s="47"/>
      <c r="J138" s="56">
        <f>COUNTIF(BD_PRINCIPAL[DOTACIÓN ACTUAL],PTL_9[[#This Row],[SIGLA]])+COUNTIF(BD_PRINCIPAL[DOTACIÓN ACTUAL],"JEFE/"&amp;PTL_9[[#This Row],[SIGLA]])</f>
        <v>2</v>
      </c>
      <c r="K138" s="303"/>
      <c r="L138" s="474"/>
    </row>
    <row r="139" spans="2:12" x14ac:dyDescent="0.3">
      <c r="C139" s="592" t="s">
        <v>901</v>
      </c>
      <c r="D139" s="435" t="s">
        <v>3464</v>
      </c>
      <c r="E139" s="200" t="s">
        <v>1408</v>
      </c>
      <c r="F139" s="405" t="s">
        <v>853</v>
      </c>
      <c r="G139" s="423" t="s">
        <v>998</v>
      </c>
      <c r="H139" s="406">
        <v>0.33333333333333331</v>
      </c>
      <c r="I139" s="406" t="s">
        <v>840</v>
      </c>
      <c r="J139" s="407">
        <v>2</v>
      </c>
      <c r="K139" s="408"/>
      <c r="L139" s="474"/>
    </row>
    <row r="140" spans="2:12" x14ac:dyDescent="0.3">
      <c r="C140" s="592" t="s">
        <v>902</v>
      </c>
      <c r="D140" s="435" t="str">
        <f>IFERROR(VLOOKUP(PTL_9[[#This Row],[SIGLA]],BD_PRINCIPAL[[DOTACIÓN]:[GRADO]],4,FALSE)&amp;" "&amp;VLOOKUP(PTL_9[[#This Row],[SIGLA]],BD_PRINCIPAL[[DOTACIÓN]:[GRADO]],3,FALSE),"-")</f>
        <v>SGTO 1RO. ARRATIA CONTRERAS CARLOS ALBERTO</v>
      </c>
      <c r="E140" s="200" t="s">
        <v>1408</v>
      </c>
      <c r="F140" s="405" t="s">
        <v>853</v>
      </c>
      <c r="G140" s="423" t="s">
        <v>998</v>
      </c>
      <c r="H140" s="406">
        <v>0.33333333333333331</v>
      </c>
      <c r="I140" s="406" t="s">
        <v>840</v>
      </c>
      <c r="J140" s="407"/>
      <c r="K140" s="303"/>
      <c r="L140" s="474"/>
    </row>
    <row r="141" spans="2:12" x14ac:dyDescent="0.3">
      <c r="C141" s="589" t="s">
        <v>770</v>
      </c>
      <c r="D141" s="431" t="str">
        <f>IFERROR(VLOOKUP(PTL_9[[#This Row],[SIGLA]],JEFES_1,3,FALSE)&amp;" "&amp;VLOOKUP(PTL_9[[#This Row],[SIGLA]],JEFES_1,2,FALSE),"-")</f>
        <v>SUBOFICIAL GUTIERREZ YAUPE GASTON GONZALO</v>
      </c>
      <c r="E141" s="200" t="s">
        <v>1072</v>
      </c>
      <c r="F141" s="59" t="str">
        <f>VLOOKUP(C141,'Tabla de Servicio'!$DX$8:$DY$150,2,0)</f>
        <v>1P</v>
      </c>
      <c r="G141" s="424" t="s">
        <v>2455</v>
      </c>
      <c r="H141" s="47">
        <v>0.33333333333333331</v>
      </c>
      <c r="I141" s="47">
        <v>0.83333333333333337</v>
      </c>
      <c r="J141" s="56">
        <f>COUNTIF(BD_PRINCIPAL[DOTACIÓN ACTUAL],PTL_9[[#This Row],[SIGLA]])+COUNTIF(BD_PRINCIPAL[DOTACIÓN ACTUAL],"JEFE/"&amp;PTL_9[[#This Row],[SIGLA]])</f>
        <v>2</v>
      </c>
      <c r="K141" s="303"/>
      <c r="L141" s="474"/>
    </row>
    <row r="142" spans="2:12" x14ac:dyDescent="0.3">
      <c r="C142" s="589" t="s">
        <v>771</v>
      </c>
      <c r="D142" s="431" t="str">
        <f>IFERROR(VLOOKUP(PTL_9[[#This Row],[SIGLA]],JEFES_1,3,FALSE)&amp;" "&amp;VLOOKUP(PTL_9[[#This Row],[SIGLA]],JEFES_1,2,FALSE),"-")</f>
        <v>SGTO 1RO. FERNANDEZ MONTES JOSE DEL CARMEN</v>
      </c>
      <c r="E142" s="200" t="s">
        <v>1071</v>
      </c>
      <c r="F142" s="59" t="str">
        <f>VLOOKUP(C142,'Tabla de Servicio'!$DX$8:$DY$150,2,0)</f>
        <v>F</v>
      </c>
      <c r="G142" s="424" t="s">
        <v>2455</v>
      </c>
      <c r="H142" s="47" t="s">
        <v>663</v>
      </c>
      <c r="I142" s="47" t="s">
        <v>663</v>
      </c>
      <c r="J142" s="56">
        <f>COUNTIF(BD_PRINCIPAL[DOTACIÓN ACTUAL],PTL_9[[#This Row],[SIGLA]])+COUNTIF(BD_PRINCIPAL[DOTACIÓN ACTUAL],"JEFE/"&amp;PTL_9[[#This Row],[SIGLA]])</f>
        <v>2</v>
      </c>
      <c r="K142" s="303" t="s">
        <v>3305</v>
      </c>
      <c r="L142" s="474"/>
    </row>
    <row r="143" spans="2:12" ht="26.4" x14ac:dyDescent="0.3">
      <c r="C143" s="593" t="s">
        <v>1411</v>
      </c>
      <c r="D143" s="433" t="str">
        <f>IFERROR(VLOOKUP(PTL_9[[#This Row],[SIGLA]],JEFES_1,3,FALSE)&amp;" "&amp;VLOOKUP(PTL_9[[#This Row],[SIGLA]],JEFES_1,2,FALSE),"-")</f>
        <v>-</v>
      </c>
      <c r="E143" s="201"/>
      <c r="F143" s="201"/>
      <c r="G143" s="425"/>
      <c r="H143" s="48"/>
      <c r="I143" s="48"/>
      <c r="J143" s="57">
        <f>COUNTIF(BD_PRINCIPAL[DOTACIÓN ACTUAL],PTL_9[[#This Row],[SIGLA]])+COUNTIF(BD_PRINCIPAL[DOTACIÓN ACTUAL],"JEFE/"&amp;PTL_9[[#This Row],[SIGLA]])</f>
        <v>0</v>
      </c>
      <c r="K143" s="304"/>
      <c r="L143" s="474"/>
    </row>
    <row r="144" spans="2:12" ht="18" x14ac:dyDescent="0.3">
      <c r="C144" s="587"/>
      <c r="D144" s="142"/>
      <c r="E144" s="143"/>
      <c r="F144" s="145" t="s">
        <v>1533</v>
      </c>
      <c r="G144" s="417"/>
      <c r="H144" s="144"/>
      <c r="I144" s="144"/>
      <c r="J144" s="145"/>
      <c r="K144" s="142"/>
      <c r="L144" s="473"/>
    </row>
    <row r="145" spans="3:12" x14ac:dyDescent="0.3">
      <c r="C145" s="590" t="s">
        <v>886</v>
      </c>
      <c r="D145" s="432" t="s">
        <v>838</v>
      </c>
      <c r="E145" s="19" t="s">
        <v>888</v>
      </c>
      <c r="F145" s="198" t="s">
        <v>831</v>
      </c>
      <c r="G145" s="422" t="s">
        <v>118</v>
      </c>
      <c r="H145" s="49" t="s">
        <v>900</v>
      </c>
      <c r="I145" s="51" t="s">
        <v>890</v>
      </c>
      <c r="J145" s="60" t="s">
        <v>887</v>
      </c>
      <c r="K145" s="414" t="s">
        <v>747</v>
      </c>
      <c r="L145" s="300"/>
    </row>
    <row r="146" spans="3:12" ht="26.4" x14ac:dyDescent="0.3">
      <c r="C146" s="589" t="s">
        <v>793</v>
      </c>
      <c r="D146" s="431" t="str">
        <f>IFERROR(VLOOKUP(PTL_911[[#This Row],[SIGLA]],JEFES_1,3,FALSE)&amp;" "&amp;VLOOKUP(PTL_911[[#This Row],[SIGLA]],JEFES_1,2,FALSE),"-")</f>
        <v>SGTO 1RO. REYES MUÑOZ OSCAR</v>
      </c>
      <c r="E146" s="206"/>
      <c r="F146" s="59" t="str">
        <f>VLOOKUP(C146,'Tabla de Servicio'!$DX$8:$DY$150,2,0)</f>
        <v>F</v>
      </c>
      <c r="G146" s="419" t="str">
        <f>VLOOKUP(C146,'Tabla de Servicio'!$DX$8:$DZ$150,3,0)</f>
        <v>GUARDIA</v>
      </c>
      <c r="H146" s="47" t="str">
        <f>IFERROR(_xlfn.IFS(PTL_911[[#This Row],[TURNO]]="1G","08:00",PTL_911[[#This Row],[TURNO]]="2G","20:00",PTL_911[[#This Row],[TURNO]]="1P","08:00",PTL_911[[#This Row],[TURNO]]="2P","20:00",PTL_911[[#This Row],[TURNO]]="1T","08:00",PTL_911[[#This Row],[TURNO]]="2T","14:00",PTL_911[[#This Row],[TURNO]]="3T","20:00"),"-")</f>
        <v>-</v>
      </c>
      <c r="I146" s="47" t="str">
        <f>IFERROR(_xlfn.IFS(PTL_911[[#This Row],[TURNO]]="1G","20:00",PTL_911[[#This Row],[TURNO]]="2G","08:00",PTL_911[[#This Row],[TURNO]]="1P","20:00",PTL_911[[#This Row],[TURNO]]="2P","08:00",PTL_911[[#This Row],[TURNO]]="1T","14:00",PTL_911[[#This Row],[TURNO]]="2T","20:00",PTL_911[[#This Row],[TURNO]]="3T","08:00"),"-")</f>
        <v>-</v>
      </c>
      <c r="J146" s="56">
        <f>COUNTIF(BD_PRINCIPAL[DOTACIÓN ACTUAL],PTL_911[[#This Row],[SIGLA]])+COUNTIF(BD_PRINCIPAL[DOTACIÓN ACTUAL],"JEFE/"&amp;PTL_911[[#This Row],[SIGLA]])</f>
        <v>4</v>
      </c>
      <c r="K146" s="452"/>
      <c r="L146" s="475"/>
    </row>
    <row r="147" spans="3:12" ht="26.4" x14ac:dyDescent="0.3">
      <c r="C147" s="589" t="s">
        <v>794</v>
      </c>
      <c r="D147" s="431" t="str">
        <f>IFERROR(VLOOKUP(PTL_911[[#This Row],[SIGLA]],JEFES_1,3,FALSE)&amp;" "&amp;VLOOKUP(PTL_911[[#This Row],[SIGLA]],JEFES_1,2,FALSE),"-")</f>
        <v>SGTO 1RO. VERGARA BARRERA ROBINSON EDGARDO</v>
      </c>
      <c r="E147" s="206"/>
      <c r="F147" s="59" t="str">
        <f>VLOOKUP(C147,'Tabla de Servicio'!$DX$8:$DY$150,2,0)</f>
        <v>SN</v>
      </c>
      <c r="G147" s="374" t="str">
        <f>VLOOKUP(C147,'Tabla de Servicio'!$DX$8:$DZ$150,3,0)</f>
        <v>GUARDIA</v>
      </c>
      <c r="H147" s="47" t="str">
        <f>IFERROR(_xlfn.IFS(PTL_911[[#This Row],[TURNO]]="1G","08:00",PTL_911[[#This Row],[TURNO]]="2G","20:00",PTL_911[[#This Row],[TURNO]]="1P","08:00",PTL_911[[#This Row],[TURNO]]="2P","20:00",PTL_911[[#This Row],[TURNO]]="1T","08:00",PTL_911[[#This Row],[TURNO]]="2T","14:00",PTL_911[[#This Row],[TURNO]]="3T","20:00"),"-")</f>
        <v>-</v>
      </c>
      <c r="I147" s="47" t="str">
        <f>IFERROR(_xlfn.IFS(PTL_911[[#This Row],[TURNO]]="1G","20:00",PTL_911[[#This Row],[TURNO]]="2G","08:00",PTL_911[[#This Row],[TURNO]]="1P","20:00",PTL_911[[#This Row],[TURNO]]="2P","08:00",PTL_911[[#This Row],[TURNO]]="1T","14:00",PTL_911[[#This Row],[TURNO]]="2T","20:00",PTL_911[[#This Row],[TURNO]]="3T","08:00"),"-")</f>
        <v>-</v>
      </c>
      <c r="J147" s="56">
        <f>COUNTIF(BD_PRINCIPAL[DOTACIÓN ACTUAL],PTL_911[[#This Row],[SIGLA]])+COUNTIF(BD_PRINCIPAL[DOTACIÓN ACTUAL],"JEFE/"&amp;PTL_911[[#This Row],[SIGLA]])</f>
        <v>4</v>
      </c>
      <c r="K147" s="452"/>
      <c r="L147" s="475"/>
    </row>
    <row r="148" spans="3:12" ht="26.4" x14ac:dyDescent="0.3">
      <c r="C148" s="589" t="s">
        <v>795</v>
      </c>
      <c r="D148" s="431" t="str">
        <f>IFERROR(VLOOKUP(PTL_911[[#This Row],[SIGLA]],JEFES_1,3,FALSE)&amp;" "&amp;VLOOKUP(PTL_911[[#This Row],[SIGLA]],JEFES_1,2,FALSE),"-")</f>
        <v>SGTO 1RO. CAYUPAN ANTIPIL CESAR ABRAHAM</v>
      </c>
      <c r="E148" s="206"/>
      <c r="F148" s="59" t="str">
        <f>VLOOKUP(C148,'Tabla de Servicio'!$DX$8:$DY$150,2,0)</f>
        <v>1G</v>
      </c>
      <c r="G148" s="374" t="str">
        <f>VLOOKUP(C148,'Tabla de Servicio'!$DX$8:$DZ$150,3,0)</f>
        <v>GUARDIA</v>
      </c>
      <c r="H148" s="47" t="str">
        <f>IFERROR(_xlfn.IFS(PTL_911[[#This Row],[TURNO]]="1G","08:00",PTL_911[[#This Row],[TURNO]]="2G","20:00",PTL_911[[#This Row],[TURNO]]="1P","08:00",PTL_911[[#This Row],[TURNO]]="2P","20:00",PTL_911[[#This Row],[TURNO]]="1T","08:00",PTL_911[[#This Row],[TURNO]]="2T","14:00",PTL_911[[#This Row],[TURNO]]="3T","20:00"),"-")</f>
        <v>08:00</v>
      </c>
      <c r="I148" s="47" t="str">
        <f>IFERROR(_xlfn.IFS(PTL_911[[#This Row],[TURNO]]="1G","20:00",PTL_911[[#This Row],[TURNO]]="2G","08:00",PTL_911[[#This Row],[TURNO]]="1P","20:00",PTL_911[[#This Row],[TURNO]]="2P","08:00",PTL_911[[#This Row],[TURNO]]="1T","14:00",PTL_911[[#This Row],[TURNO]]="2T","20:00",PTL_911[[#This Row],[TURNO]]="3T","08:00"),"-")</f>
        <v>20:00</v>
      </c>
      <c r="J148" s="56">
        <f>COUNTIF(BD_PRINCIPAL[DOTACIÓN ACTUAL],PTL_911[[#This Row],[SIGLA]])+COUNTIF(BD_PRINCIPAL[DOTACIÓN ACTUAL],"JEFE/"&amp;PTL_911[[#This Row],[SIGLA]])</f>
        <v>4</v>
      </c>
      <c r="K148" s="452"/>
      <c r="L148" s="475"/>
    </row>
    <row r="149" spans="3:12" ht="26.4" x14ac:dyDescent="0.3">
      <c r="C149" s="589" t="s">
        <v>820</v>
      </c>
      <c r="D149" s="431" t="str">
        <f>IFERROR(VLOOKUP(PTL_911[[#This Row],[SIGLA]],JEFES_1,3,FALSE)&amp;" "&amp;VLOOKUP(PTL_911[[#This Row],[SIGLA]],JEFES_1,2,FALSE),"-")</f>
        <v>SGTO 2DO. NEUMANN VIDAL CRISTIAN ALEJANDRO</v>
      </c>
      <c r="E149" s="206"/>
      <c r="F149" s="59" t="str">
        <f>VLOOKUP(C149,'Tabla de Servicio'!$DX$8:$DY$150,2,0)</f>
        <v>2G</v>
      </c>
      <c r="G149" s="374" t="str">
        <f>VLOOKUP(C149,'Tabla de Servicio'!$DX$8:$DZ$150,3,0)</f>
        <v/>
      </c>
      <c r="H149" s="47" t="str">
        <f>IFERROR(_xlfn.IFS(PTL_911[[#This Row],[TURNO]]="1G","08:00",PTL_911[[#This Row],[TURNO]]="2G","20:00",PTL_911[[#This Row],[TURNO]]="1P","08:00",PTL_911[[#This Row],[TURNO]]="2P","20:00",PTL_911[[#This Row],[TURNO]]="1T","08:00",PTL_911[[#This Row],[TURNO]]="2T","14:00",PTL_911[[#This Row],[TURNO]]="3T","20:00"),"-")</f>
        <v>20:00</v>
      </c>
      <c r="I149" s="47" t="str">
        <f>IFERROR(_xlfn.IFS(PTL_911[[#This Row],[TURNO]]="1G","20:00",PTL_911[[#This Row],[TURNO]]="2G","08:00",PTL_911[[#This Row],[TURNO]]="1P","20:00",PTL_911[[#This Row],[TURNO]]="2P","08:00",PTL_911[[#This Row],[TURNO]]="1T","14:00",PTL_911[[#This Row],[TURNO]]="2T","20:00",PTL_911[[#This Row],[TURNO]]="3T","08:00"),"-")</f>
        <v>08:00</v>
      </c>
      <c r="J149" s="56">
        <f>COUNTIF(BD_PRINCIPAL[DOTACIÓN ACTUAL],PTL_911[[#This Row],[SIGLA]])+COUNTIF(BD_PRINCIPAL[DOTACIÓN ACTUAL],"JEFE/"&amp;PTL_911[[#This Row],[SIGLA]])</f>
        <v>1</v>
      </c>
      <c r="K149" s="452"/>
      <c r="L149" s="475"/>
    </row>
    <row r="150" spans="3:12" x14ac:dyDescent="0.3">
      <c r="C150" s="589" t="s">
        <v>708</v>
      </c>
      <c r="D150" s="431" t="str">
        <f>IFERROR(VLOOKUP(PTL_911[[#This Row],[SIGLA]],JEFES_1,3,FALSE)&amp;" "&amp;VLOOKUP(PTL_911[[#This Row],[SIGLA]],JEFES_1,2,FALSE),"-")</f>
        <v>SGTO 1RO. ROMERO VENEGAS SERGIO HERNAN</v>
      </c>
      <c r="E150" s="206"/>
      <c r="F150" s="59" t="str">
        <f>VLOOKUP(C150,'Tabla de Servicio'!$DX$8:$DY$150,2,0)</f>
        <v>F</v>
      </c>
      <c r="G150" s="374" t="str">
        <f>VLOOKUP(C150,'Tabla de Servicio'!$DX$8:$DZ$150,3,0)</f>
        <v>INTERNO</v>
      </c>
      <c r="H150" s="47" t="str">
        <f>IFERROR(_xlfn.IFS(PTL_911[[#This Row],[TURNO]]="1G","08:00",PTL_911[[#This Row],[TURNO]]="2G","20:00",PTL_911[[#This Row],[TURNO]]="1P","08:00",PTL_911[[#This Row],[TURNO]]="2P","20:00",PTL_911[[#This Row],[TURNO]]="1T","08:00",PTL_911[[#This Row],[TURNO]]="2T","14:00",PTL_911[[#This Row],[TURNO]]="3T","20:00"),"-")</f>
        <v>-</v>
      </c>
      <c r="I150" s="47" t="str">
        <f>IFERROR(_xlfn.IFS(PTL_911[[#This Row],[TURNO]]="1G","20:00",PTL_911[[#This Row],[TURNO]]="2G","08:00",PTL_911[[#This Row],[TURNO]]="1P","20:00",PTL_911[[#This Row],[TURNO]]="2P","08:00",PTL_911[[#This Row],[TURNO]]="1T","14:00",PTL_911[[#This Row],[TURNO]]="2T","20:00",PTL_911[[#This Row],[TURNO]]="3T","08:00"),"-")</f>
        <v>-</v>
      </c>
      <c r="J150" s="56">
        <f>COUNTIF(BD_PRINCIPAL[DOTACIÓN ACTUAL],PTL_911[[#This Row],[SIGLA]])+COUNTIF(BD_PRINCIPAL[DOTACIÓN ACTUAL],"JEFE/"&amp;PTL_911[[#This Row],[SIGLA]])</f>
        <v>2</v>
      </c>
      <c r="K150" s="452"/>
      <c r="L150" s="475"/>
    </row>
    <row r="151" spans="3:12" x14ac:dyDescent="0.3">
      <c r="C151" s="589" t="s">
        <v>705</v>
      </c>
      <c r="D151" s="431" t="str">
        <f>IFERROR(VLOOKUP(PTL_911[[#This Row],[SIGLA]],JEFES_1,3,FALSE)&amp;" "&amp;VLOOKUP(PTL_911[[#This Row],[SIGLA]],JEFES_1,2,FALSE),"-")</f>
        <v>SUBOFICIAL JARAMILLO VIDAL RUBEN PATRICIO</v>
      </c>
      <c r="E151" s="206"/>
      <c r="F151" s="59" t="str">
        <f>VLOOKUP(C151,'Tabla de Servicio'!$DX$8:$DY$150,2,0)</f>
        <v>1G</v>
      </c>
      <c r="G151" s="374" t="str">
        <f>VLOOKUP(C151,'Tabla de Servicio'!$DX$8:$DZ$150,3,0)</f>
        <v>INTERNO</v>
      </c>
      <c r="H151" s="47" t="str">
        <f>IFERROR(_xlfn.IFS(PTL_911[[#This Row],[TURNO]]="1G","08:00",PTL_911[[#This Row],[TURNO]]="2G","20:00",PTL_911[[#This Row],[TURNO]]="1P","08:00",PTL_911[[#This Row],[TURNO]]="2P","20:00",PTL_911[[#This Row],[TURNO]]="1T","08:00",PTL_911[[#This Row],[TURNO]]="2T","14:00",PTL_911[[#This Row],[TURNO]]="3T","20:00"),"-")</f>
        <v>08:00</v>
      </c>
      <c r="I151" s="47" t="str">
        <f>IFERROR(_xlfn.IFS(PTL_911[[#This Row],[TURNO]]="1G","20:00",PTL_911[[#This Row],[TURNO]]="2G","08:00",PTL_911[[#This Row],[TURNO]]="1P","20:00",PTL_911[[#This Row],[TURNO]]="2P","08:00",PTL_911[[#This Row],[TURNO]]="1T","14:00",PTL_911[[#This Row],[TURNO]]="2T","20:00",PTL_911[[#This Row],[TURNO]]="3T","08:00"),"-")</f>
        <v>20:00</v>
      </c>
      <c r="J151" s="56">
        <f>COUNTIF(BD_PRINCIPAL[DOTACIÓN ACTUAL],PTL_911[[#This Row],[SIGLA]])+COUNTIF(BD_PRINCIPAL[DOTACIÓN ACTUAL],"JEFE/"&amp;PTL_911[[#This Row],[SIGLA]])</f>
        <v>2</v>
      </c>
      <c r="K151" s="452"/>
      <c r="L151" s="475"/>
    </row>
    <row r="152" spans="3:12" x14ac:dyDescent="0.3">
      <c r="C152" s="589" t="s">
        <v>706</v>
      </c>
      <c r="D152" s="433" t="str">
        <f>IFERROR(VLOOKUP(PTL_911[[#This Row],[SIGLA]],JEFES_1,3,FALSE)&amp;" "&amp;VLOOKUP(PTL_911[[#This Row],[SIGLA]],JEFES_1,2,FALSE),"-")</f>
        <v>SGTO 2DO. LIRA MUÑOZ OSCAR FABIAN</v>
      </c>
      <c r="E152" s="207"/>
      <c r="F152" s="59" t="str">
        <f>VLOOKUP(C152,'Tabla de Servicio'!$DX$8:$DY$150,2,0)</f>
        <v>2G</v>
      </c>
      <c r="G152" s="421" t="str">
        <f>VLOOKUP(C152,'Tabla de Servicio'!$DX$8:$DZ$150,3,0)</f>
        <v>INTERNO</v>
      </c>
      <c r="H152" s="48" t="str">
        <f>IFERROR(_xlfn.IFS(PTL_911[[#This Row],[TURNO]]="1G","08:00",PTL_911[[#This Row],[TURNO]]="2G","20:00",PTL_911[[#This Row],[TURNO]]="1P","08:00",PTL_911[[#This Row],[TURNO]]="2P","20:00",PTL_911[[#This Row],[TURNO]]="1T","08:00",PTL_911[[#This Row],[TURNO]]="2T","14:00",PTL_911[[#This Row],[TURNO]]="3T","20:00"),"-")</f>
        <v>20:00</v>
      </c>
      <c r="I152" s="48" t="str">
        <f>IFERROR(_xlfn.IFS(PTL_911[[#This Row],[TURNO]]="1G","20:00",PTL_911[[#This Row],[TURNO]]="2G","08:00",PTL_911[[#This Row],[TURNO]]="1P","20:00",PTL_911[[#This Row],[TURNO]]="2P","08:00",PTL_911[[#This Row],[TURNO]]="1T","14:00",PTL_911[[#This Row],[TURNO]]="2T","20:00",PTL_911[[#This Row],[TURNO]]="3T","08:00"),"-")</f>
        <v>08:00</v>
      </c>
      <c r="J152" s="57">
        <f>COUNTIF(BD_PRINCIPAL[DOTACIÓN ACTUAL],PTL_911[[#This Row],[SIGLA]])+COUNTIF(BD_PRINCIPAL[DOTACIÓN ACTUAL],"JEFE/"&amp;PTL_911[[#This Row],[SIGLA]])</f>
        <v>2</v>
      </c>
      <c r="K152" s="453"/>
      <c r="L152" s="475"/>
    </row>
    <row r="153" spans="3:12" x14ac:dyDescent="0.3">
      <c r="C153" s="589" t="s">
        <v>707</v>
      </c>
      <c r="D153" s="431" t="str">
        <f>IFERROR(VLOOKUP(PTL_911[[#This Row],[SIGLA]],JEFES_1,3,FALSE)&amp;" "&amp;VLOOKUP(PTL_911[[#This Row],[SIGLA]],JEFES_1,2,FALSE),"-")</f>
        <v>SGTO 2DO. PILQUIMAN MANQUI MIGUEL ANGEL</v>
      </c>
      <c r="E153" s="206"/>
      <c r="F153" s="59" t="str">
        <f>VLOOKUP(C153,'Tabla de Servicio'!$DX$8:$DY$150,2,0)</f>
        <v>SN</v>
      </c>
      <c r="G153" s="374" t="str">
        <f>VLOOKUP(C153,'Tabla de Servicio'!$DX$8:$DZ$150,3,0)</f>
        <v>INTERNO</v>
      </c>
      <c r="H153" s="47" t="str">
        <f>IFERROR(_xlfn.IFS(PTL_911[[#This Row],[TURNO]]="1G","08:00",PTL_911[[#This Row],[TURNO]]="2G","20:00",PTL_911[[#This Row],[TURNO]]="1P","08:00",PTL_911[[#This Row],[TURNO]]="2P","20:00",PTL_911[[#This Row],[TURNO]]="1T","08:00",PTL_911[[#This Row],[TURNO]]="2T","14:00",PTL_911[[#This Row],[TURNO]]="3T","20:00"),"-")</f>
        <v>-</v>
      </c>
      <c r="I153" s="47" t="str">
        <f>IFERROR(_xlfn.IFS(PTL_911[[#This Row],[TURNO]]="1G","20:00",PTL_911[[#This Row],[TURNO]]="2G","08:00",PTL_911[[#This Row],[TURNO]]="1P","20:00",PTL_911[[#This Row],[TURNO]]="2P","08:00",PTL_911[[#This Row],[TURNO]]="1T","14:00",PTL_911[[#This Row],[TURNO]]="2T","20:00",PTL_911[[#This Row],[TURNO]]="3T","08:00"),"-")</f>
        <v>-</v>
      </c>
      <c r="J153" s="56">
        <f>COUNTIF(BD_PRINCIPAL[DOTACIÓN ACTUAL],PTL_911[[#This Row],[SIGLA]])+COUNTIF(BD_PRINCIPAL[DOTACIÓN ACTUAL],"JEFE/"&amp;PTL_911[[#This Row],[SIGLA]])</f>
        <v>2</v>
      </c>
      <c r="K153" s="452"/>
      <c r="L153" s="475"/>
    </row>
    <row r="154" spans="3:12" ht="26.4" x14ac:dyDescent="0.3">
      <c r="C154" s="594" t="s">
        <v>821</v>
      </c>
      <c r="D154" s="436" t="str">
        <f>IFERROR(VLOOKUP(PTL_911[[#This Row],[SIGLA]],JEFES_1,3,FALSE)&amp;" "&amp;VLOOKUP(PTL_911[[#This Row],[SIGLA]],JEFES_1,2,FALSE),"-")</f>
        <v>CABO 1RO. GARCES ORELLANA DIEGO ANDRES</v>
      </c>
      <c r="E154" s="284"/>
      <c r="F154" s="59" t="str">
        <f>VLOOKUP(C154,'Tabla de Servicio'!$DX$8:$DY$150,2,0)</f>
        <v>1P</v>
      </c>
      <c r="G154" s="426" t="str">
        <f>VLOOKUP(C154,'Tabla de Servicio'!$DX$8:$DZ$150,3,0)</f>
        <v>R. RIO</v>
      </c>
      <c r="H154" s="450" t="str">
        <f>IFERROR(_xlfn.IFS(PTL_911[[#This Row],[TURNO]]="1G","08:00",PTL_911[[#This Row],[TURNO]]="2G","20:00",PTL_911[[#This Row],[TURNO]]="1P","08:00",PTL_911[[#This Row],[TURNO]]="2P","20:00",PTL_911[[#This Row],[TURNO]]="1T","08:00",PTL_911[[#This Row],[TURNO]]="2T","14:00",PTL_911[[#This Row],[TURNO]]="3T","20:00"),"-")</f>
        <v>08:00</v>
      </c>
      <c r="I154" s="450" t="str">
        <f>IFERROR(_xlfn.IFS(PTL_911[[#This Row],[TURNO]]="1G","20:00",PTL_911[[#This Row],[TURNO]]="2G","08:00",PTL_911[[#This Row],[TURNO]]="1P","20:00",PTL_911[[#This Row],[TURNO]]="2P","08:00",PTL_911[[#This Row],[TURNO]]="1T","14:00",PTL_911[[#This Row],[TURNO]]="2T","20:00",PTL_911[[#This Row],[TURNO]]="3T","08:00"),"-")</f>
        <v>20:00</v>
      </c>
      <c r="J154" s="285">
        <f>COUNTIF(BD_PRINCIPAL[DOTACIÓN ACTUAL],PTL_911[[#This Row],[SIGLA]])+COUNTIF(BD_PRINCIPAL[DOTACIÓN ACTUAL],"JEFE/"&amp;PTL_911[[#This Row],[SIGLA]])</f>
        <v>2</v>
      </c>
      <c r="K154" s="453"/>
      <c r="L154" s="475"/>
    </row>
    <row r="155" spans="3:12" ht="26.4" x14ac:dyDescent="0.3">
      <c r="C155" s="594" t="s">
        <v>822</v>
      </c>
      <c r="D155" s="437" t="str">
        <f>IFERROR(VLOOKUP(PTL_911[[#This Row],[SIGLA]],JEFES_1,3,FALSE)&amp;" "&amp;VLOOKUP(PTL_911[[#This Row],[SIGLA]],JEFES_1,2,FALSE),"-")</f>
        <v>SGTO 2DO. MELLA GUTIERREZ SEBASTIAN ANDRES</v>
      </c>
      <c r="E155" s="282"/>
      <c r="F155" s="59" t="str">
        <f>VLOOKUP(C155,'Tabla de Servicio'!$DX$8:$DY$150,2,0)</f>
        <v>2P</v>
      </c>
      <c r="G155" s="427" t="str">
        <f>VLOOKUP(C155,'Tabla de Servicio'!$DX$8:$DZ$150,3,0)</f>
        <v>R. RIO</v>
      </c>
      <c r="H155" s="451" t="str">
        <f>IFERROR(_xlfn.IFS(PTL_911[[#This Row],[TURNO]]="1G","08:00",PTL_911[[#This Row],[TURNO]]="2G","20:00",PTL_911[[#This Row],[TURNO]]="1P","08:00",PTL_911[[#This Row],[TURNO]]="2P","20:00",PTL_911[[#This Row],[TURNO]]="1T","08:00",PTL_911[[#This Row],[TURNO]]="2T","14:00",PTL_911[[#This Row],[TURNO]]="3T","20:00"),"-")</f>
        <v>20:00</v>
      </c>
      <c r="I155" s="451" t="str">
        <f>IFERROR(_xlfn.IFS(PTL_911[[#This Row],[TURNO]]="1G","20:00",PTL_911[[#This Row],[TURNO]]="2G","08:00",PTL_911[[#This Row],[TURNO]]="1P","20:00",PTL_911[[#This Row],[TURNO]]="2P","08:00",PTL_911[[#This Row],[TURNO]]="1T","14:00",PTL_911[[#This Row],[TURNO]]="2T","20:00",PTL_911[[#This Row],[TURNO]]="3T","08:00"),"-")</f>
        <v>08:00</v>
      </c>
      <c r="J155" s="283">
        <f>COUNTIF(BD_PRINCIPAL[DOTACIÓN ACTUAL],PTL_911[[#This Row],[SIGLA]])+COUNTIF(BD_PRINCIPAL[DOTACIÓN ACTUAL],"JEFE/"&amp;PTL_911[[#This Row],[SIGLA]])</f>
        <v>2</v>
      </c>
      <c r="K155" s="454"/>
      <c r="L155" s="475"/>
    </row>
    <row r="156" spans="3:12" ht="26.4" x14ac:dyDescent="0.3">
      <c r="C156" s="594" t="s">
        <v>823</v>
      </c>
      <c r="D156" s="437" t="str">
        <f>IFERROR(VLOOKUP(PTL_911[[#This Row],[SIGLA]],JEFES_1,3,FALSE)&amp;" "&amp;VLOOKUP(PTL_911[[#This Row],[SIGLA]],JEFES_1,2,FALSE),"-")</f>
        <v>SGTO 2DO. REYES CORDOVA CARLOS HUMBERTO</v>
      </c>
      <c r="E156" s="282"/>
      <c r="F156" s="59" t="str">
        <f>VLOOKUP(C156,'Tabla de Servicio'!$DX$8:$DY$150,2,0)</f>
        <v>SN</v>
      </c>
      <c r="G156" s="427" t="str">
        <f>VLOOKUP(C156,'Tabla de Servicio'!$DX$8:$DZ$150,3,0)</f>
        <v>R. RIO</v>
      </c>
      <c r="H156" s="451" t="str">
        <f>IFERROR(_xlfn.IFS(PTL_911[[#This Row],[TURNO]]="1G","08:00",PTL_911[[#This Row],[TURNO]]="2G","20:00",PTL_911[[#This Row],[TURNO]]="1P","08:00",PTL_911[[#This Row],[TURNO]]="2P","20:00",PTL_911[[#This Row],[TURNO]]="1T","08:00",PTL_911[[#This Row],[TURNO]]="2T","14:00",PTL_911[[#This Row],[TURNO]]="3T","20:00"),"-")</f>
        <v>-</v>
      </c>
      <c r="I156" s="451" t="str">
        <f>IFERROR(_xlfn.IFS(PTL_911[[#This Row],[TURNO]]="1G","20:00",PTL_911[[#This Row],[TURNO]]="2G","08:00",PTL_911[[#This Row],[TURNO]]="1P","20:00",PTL_911[[#This Row],[TURNO]]="2P","08:00",PTL_911[[#This Row],[TURNO]]="1T","14:00",PTL_911[[#This Row],[TURNO]]="2T","20:00",PTL_911[[#This Row],[TURNO]]="3T","08:00"),"-")</f>
        <v>-</v>
      </c>
      <c r="J156" s="283">
        <f>COUNTIF(BD_PRINCIPAL[DOTACIÓN ACTUAL],PTL_911[[#This Row],[SIGLA]])+COUNTIF(BD_PRINCIPAL[DOTACIÓN ACTUAL],"JEFE/"&amp;PTL_911[[#This Row],[SIGLA]])</f>
        <v>2</v>
      </c>
      <c r="K156" s="452"/>
      <c r="L156" s="475"/>
    </row>
    <row r="157" spans="3:12" ht="26.4" x14ac:dyDescent="0.3">
      <c r="C157" s="594" t="s">
        <v>824</v>
      </c>
      <c r="D157" s="437" t="str">
        <f>IFERROR(VLOOKUP(PTL_911[[#This Row],[SIGLA]],JEFES_1,3,FALSE)&amp;" "&amp;VLOOKUP(PTL_911[[#This Row],[SIGLA]],JEFES_1,2,FALSE),"-")</f>
        <v>CABO 1RO. PACHECO CIFUENTES HUMBERTO ARIEL</v>
      </c>
      <c r="E157" s="282"/>
      <c r="F157" s="59" t="str">
        <f>VLOOKUP(C157,'Tabla de Servicio'!$DX$8:$DY$150,2,0)</f>
        <v>F</v>
      </c>
      <c r="G157" s="427" t="str">
        <f>VLOOKUP(C157,'Tabla de Servicio'!$DX$8:$DZ$150,3,0)</f>
        <v>R. RIO</v>
      </c>
      <c r="H157" s="451" t="str">
        <f>IFERROR(_xlfn.IFS(PTL_911[[#This Row],[TURNO]]="1G","08:00",PTL_911[[#This Row],[TURNO]]="2G","20:00",PTL_911[[#This Row],[TURNO]]="1P","08:00",PTL_911[[#This Row],[TURNO]]="2P","20:00",PTL_911[[#This Row],[TURNO]]="1T","08:00",PTL_911[[#This Row],[TURNO]]="2T","14:00",PTL_911[[#This Row],[TURNO]]="3T","20:00"),"-")</f>
        <v>-</v>
      </c>
      <c r="I157" s="451" t="str">
        <f>IFERROR(_xlfn.IFS(PTL_911[[#This Row],[TURNO]]="1G","20:00",PTL_911[[#This Row],[TURNO]]="2G","08:00",PTL_911[[#This Row],[TURNO]]="1P","20:00",PTL_911[[#This Row],[TURNO]]="2P","08:00",PTL_911[[#This Row],[TURNO]]="1T","14:00",PTL_911[[#This Row],[TURNO]]="2T","20:00",PTL_911[[#This Row],[TURNO]]="3T","08:00"),"-")</f>
        <v>-</v>
      </c>
      <c r="J157" s="283">
        <f>COUNTIF(BD_PRINCIPAL[DOTACIÓN ACTUAL],PTL_911[[#This Row],[SIGLA]])+COUNTIF(BD_PRINCIPAL[DOTACIÓN ACTUAL],"JEFE/"&amp;PTL_911[[#This Row],[SIGLA]])</f>
        <v>2</v>
      </c>
      <c r="K157" s="452"/>
      <c r="L157" s="475"/>
    </row>
    <row r="158" spans="3:12" ht="18" x14ac:dyDescent="0.3">
      <c r="C158" s="587"/>
      <c r="D158" s="142"/>
      <c r="E158" s="143"/>
      <c r="F158" s="145" t="s">
        <v>1984</v>
      </c>
      <c r="G158" s="417"/>
      <c r="H158" s="144"/>
      <c r="I158" s="144"/>
      <c r="J158" s="145"/>
      <c r="K158" s="142"/>
      <c r="L158" s="473"/>
    </row>
    <row r="159" spans="3:12" x14ac:dyDescent="0.3">
      <c r="C159" s="590" t="s">
        <v>886</v>
      </c>
      <c r="D159" s="432" t="s">
        <v>838</v>
      </c>
      <c r="E159" s="19" t="s">
        <v>888</v>
      </c>
      <c r="F159" s="198" t="s">
        <v>831</v>
      </c>
      <c r="G159" s="422" t="s">
        <v>118</v>
      </c>
      <c r="H159" s="49" t="s">
        <v>900</v>
      </c>
      <c r="I159" s="51" t="s">
        <v>890</v>
      </c>
      <c r="J159" s="60" t="s">
        <v>887</v>
      </c>
      <c r="K159" s="414" t="s">
        <v>747</v>
      </c>
    </row>
    <row r="160" spans="3:12" ht="26.4" x14ac:dyDescent="0.3">
      <c r="C160" s="589" t="s">
        <v>1985</v>
      </c>
      <c r="D160" s="431" t="str">
        <f>IFERROR(VLOOKUP(PTL_91110[[#This Row],[SIGLA]],JEFES_1,3,FALSE)&amp;" "&amp;VLOOKUP(PTL_91110[[#This Row],[SIGLA]],JEFES_1,2,FALSE),"-")</f>
        <v>S.O.M. NAVARRO ELGUETA NELSON JAVIER</v>
      </c>
      <c r="E160" s="595" t="s">
        <v>1015</v>
      </c>
      <c r="F160" s="595" t="s">
        <v>853</v>
      </c>
      <c r="G160" s="596" t="str">
        <f>PTL_91110[[#This Row],[SIGLA]]</f>
        <v>SECCIÓN REJAS Y CORDELES 1</v>
      </c>
      <c r="H160" s="47"/>
      <c r="I160" s="47"/>
      <c r="J160" s="56">
        <f>COUNTIF(BD_PRINCIPAL[DOTACIÓN ACTUAL],PTL_91110[[#This Row],[SIGLA]])+COUNTIF(BD_PRINCIPAL[DOTACIÓN ACTUAL],"JEFE/"&amp;PTL_91110[[#This Row],[SIGLA]])</f>
        <v>2</v>
      </c>
      <c r="K160" s="303"/>
    </row>
    <row r="161" spans="3:11" ht="26.4" x14ac:dyDescent="0.3">
      <c r="C161" s="589" t="s">
        <v>1986</v>
      </c>
      <c r="D161" s="431" t="str">
        <f>IFERROR(VLOOKUP(PTL_91110[[#This Row],[SIGLA]],JEFES_1,3,FALSE)&amp;" "&amp;VLOOKUP(PTL_91110[[#This Row],[SIGLA]],JEFES_1,2,FALSE),"-")</f>
        <v>CABO 1RO. ARENA QUIÑONES ALEXANDER NEFTALI (GRUA - L - P - T)</v>
      </c>
      <c r="E161" s="595" t="s">
        <v>1044</v>
      </c>
      <c r="F161" s="595" t="s">
        <v>2</v>
      </c>
      <c r="G161" s="596" t="str">
        <f>PTL_91110[[#This Row],[SIGLA]]</f>
        <v>SECCIÓN REJAS Y CORDELES 2</v>
      </c>
      <c r="H161" s="47">
        <v>0.33333333333333331</v>
      </c>
      <c r="I161" s="47" t="s">
        <v>840</v>
      </c>
      <c r="J161" s="56">
        <f>COUNTIF(BD_PRINCIPAL[DOTACIÓN ACTUAL],PTL_91110[[#This Row],[SIGLA]])+COUNTIF(BD_PRINCIPAL[DOTACIÓN ACTUAL],"JEFE/"&amp;PTL_91110[[#This Row],[SIGLA]])</f>
        <v>4</v>
      </c>
      <c r="K161" s="303"/>
    </row>
    <row r="162" spans="3:11" ht="26.4" x14ac:dyDescent="0.3">
      <c r="C162" s="589" t="s">
        <v>1987</v>
      </c>
      <c r="D162" s="431" t="str">
        <f>IFERROR(VLOOKUP(PTL_91110[[#This Row],[SIGLA]],JEFES_1,3,FALSE)&amp;" "&amp;VLOOKUP(PTL_91110[[#This Row],[SIGLA]],JEFES_1,2,FALSE),"-")</f>
        <v>SGTO 2DO. CASTRO VERDUGO JOSE LUIS</v>
      </c>
      <c r="E162" s="595" t="s">
        <v>1044</v>
      </c>
      <c r="F162" s="595" t="s">
        <v>1</v>
      </c>
      <c r="G162" s="596" t="str">
        <f>PTL_91110[[#This Row],[SIGLA]]</f>
        <v>SECCIÓN REJAS Y CORDELES 3</v>
      </c>
      <c r="H162" s="47">
        <v>0.58333333333333337</v>
      </c>
      <c r="I162" s="47" t="s">
        <v>840</v>
      </c>
      <c r="J162" s="56">
        <f>COUNTIF(BD_PRINCIPAL[DOTACIÓN ACTUAL],PTL_91110[[#This Row],[SIGLA]])+COUNTIF(BD_PRINCIPAL[DOTACIÓN ACTUAL],"JEFE/"&amp;PTL_91110[[#This Row],[SIGLA]])</f>
        <v>4</v>
      </c>
      <c r="K162" s="303"/>
    </row>
    <row r="163" spans="3:11" x14ac:dyDescent="0.3">
      <c r="D163" s="415"/>
      <c r="E163" s="415"/>
      <c r="F163" s="27"/>
    </row>
    <row r="164" spans="3:11" x14ac:dyDescent="0.3">
      <c r="D164" s="415"/>
      <c r="E164" s="415"/>
      <c r="F164" s="27"/>
    </row>
    <row r="165" spans="3:11" x14ac:dyDescent="0.3">
      <c r="D165" s="415"/>
      <c r="E165" s="415"/>
      <c r="F165" s="27"/>
    </row>
    <row r="166" spans="3:11" x14ac:dyDescent="0.3">
      <c r="D166" s="415"/>
      <c r="E166" s="415"/>
      <c r="F166" s="27"/>
    </row>
    <row r="167" spans="3:11" x14ac:dyDescent="0.3">
      <c r="D167" s="415"/>
      <c r="E167" s="415"/>
      <c r="F167" s="27"/>
    </row>
    <row r="168" spans="3:11" x14ac:dyDescent="0.3">
      <c r="D168" s="415"/>
      <c r="E168" s="415"/>
      <c r="F168" s="27"/>
    </row>
    <row r="169" spans="3:11" x14ac:dyDescent="0.3">
      <c r="D169" s="415"/>
      <c r="E169" s="415"/>
      <c r="F169" s="27"/>
    </row>
    <row r="170" spans="3:11" x14ac:dyDescent="0.3">
      <c r="D170" s="415"/>
      <c r="E170" s="415"/>
      <c r="F170" s="27"/>
    </row>
    <row r="171" spans="3:11" x14ac:dyDescent="0.3">
      <c r="D171" s="415"/>
      <c r="E171" s="415"/>
      <c r="F171" s="27"/>
    </row>
    <row r="172" spans="3:11" x14ac:dyDescent="0.3">
      <c r="D172" s="415"/>
      <c r="E172" s="415"/>
      <c r="F172" s="27"/>
    </row>
    <row r="173" spans="3:11" x14ac:dyDescent="0.3">
      <c r="D173" s="415"/>
      <c r="E173" s="415"/>
      <c r="F173" s="27"/>
    </row>
    <row r="174" spans="3:11" x14ac:dyDescent="0.3">
      <c r="D174" s="415"/>
      <c r="E174" s="415"/>
      <c r="F174" s="27"/>
    </row>
    <row r="175" spans="3:11" x14ac:dyDescent="0.3">
      <c r="D175" s="415"/>
      <c r="E175" s="415"/>
      <c r="F175" s="27"/>
    </row>
    <row r="176" spans="3:11" x14ac:dyDescent="0.3">
      <c r="D176" s="415"/>
      <c r="E176" s="415"/>
      <c r="F176" s="27"/>
    </row>
    <row r="177" spans="4:6" x14ac:dyDescent="0.3">
      <c r="D177" s="415"/>
      <c r="E177" s="415"/>
      <c r="F177" s="27"/>
    </row>
    <row r="178" spans="4:6" x14ac:dyDescent="0.3">
      <c r="D178" s="415"/>
      <c r="E178" s="415"/>
      <c r="F178" s="27"/>
    </row>
    <row r="179" spans="4:6" x14ac:dyDescent="0.3">
      <c r="D179" s="415"/>
      <c r="E179" s="415"/>
      <c r="F179" s="27"/>
    </row>
    <row r="180" spans="4:6" x14ac:dyDescent="0.3">
      <c r="D180" s="415"/>
      <c r="E180" s="415"/>
      <c r="F180" s="27"/>
    </row>
    <row r="181" spans="4:6" x14ac:dyDescent="0.3">
      <c r="D181" s="415"/>
      <c r="E181" s="415"/>
      <c r="F181" s="27"/>
    </row>
    <row r="182" spans="4:6" x14ac:dyDescent="0.3">
      <c r="D182" s="415"/>
      <c r="E182" s="415"/>
      <c r="F182" s="27"/>
    </row>
    <row r="183" spans="4:6" x14ac:dyDescent="0.3">
      <c r="D183" s="415"/>
      <c r="E183" s="415"/>
      <c r="F183" s="27"/>
    </row>
    <row r="184" spans="4:6" x14ac:dyDescent="0.3">
      <c r="D184" s="415"/>
      <c r="E184" s="415"/>
      <c r="F184" s="27"/>
    </row>
    <row r="185" spans="4:6" x14ac:dyDescent="0.3">
      <c r="D185" s="415"/>
      <c r="E185" s="415"/>
      <c r="F185" s="27"/>
    </row>
    <row r="186" spans="4:6" x14ac:dyDescent="0.3">
      <c r="D186" s="415"/>
      <c r="E186" s="415"/>
      <c r="F186" s="27"/>
    </row>
    <row r="187" spans="4:6" x14ac:dyDescent="0.3">
      <c r="D187" s="415"/>
      <c r="E187" s="415"/>
      <c r="F187" s="27"/>
    </row>
    <row r="188" spans="4:6" x14ac:dyDescent="0.3">
      <c r="D188" s="415"/>
      <c r="E188" s="415"/>
      <c r="F188" s="27"/>
    </row>
    <row r="189" spans="4:6" x14ac:dyDescent="0.3">
      <c r="D189" s="415"/>
      <c r="E189" s="415"/>
      <c r="F189" s="27"/>
    </row>
    <row r="190" spans="4:6" x14ac:dyDescent="0.3">
      <c r="D190" s="415"/>
      <c r="E190" s="415"/>
      <c r="F190" s="27"/>
    </row>
    <row r="191" spans="4:6" x14ac:dyDescent="0.3">
      <c r="D191" s="415"/>
      <c r="E191" s="415"/>
      <c r="F191" s="27"/>
    </row>
    <row r="192" spans="4:6" x14ac:dyDescent="0.3">
      <c r="D192" s="415"/>
      <c r="E192" s="415"/>
      <c r="F192" s="27"/>
    </row>
    <row r="193" spans="4:6" x14ac:dyDescent="0.3">
      <c r="D193" s="415"/>
      <c r="E193" s="415"/>
      <c r="F193" s="27"/>
    </row>
    <row r="194" spans="4:6" x14ac:dyDescent="0.3">
      <c r="D194" s="415"/>
      <c r="E194" s="415"/>
      <c r="F194" s="27"/>
    </row>
    <row r="195" spans="4:6" x14ac:dyDescent="0.3">
      <c r="D195" s="415"/>
      <c r="E195" s="415"/>
      <c r="F195" s="27"/>
    </row>
    <row r="196" spans="4:6" x14ac:dyDescent="0.3">
      <c r="D196" s="415"/>
      <c r="E196" s="415"/>
      <c r="F196" s="27"/>
    </row>
    <row r="197" spans="4:6" x14ac:dyDescent="0.3">
      <c r="D197" s="415"/>
      <c r="E197" s="415"/>
      <c r="F197" s="27"/>
    </row>
    <row r="198" spans="4:6" x14ac:dyDescent="0.3">
      <c r="D198" s="415"/>
      <c r="E198" s="415"/>
      <c r="F198" s="27"/>
    </row>
    <row r="199" spans="4:6" x14ac:dyDescent="0.3">
      <c r="D199" s="415"/>
      <c r="E199" s="415"/>
      <c r="F199" s="27"/>
    </row>
    <row r="200" spans="4:6" x14ac:dyDescent="0.3">
      <c r="D200" s="415"/>
      <c r="E200" s="415"/>
      <c r="F200" s="27"/>
    </row>
    <row r="201" spans="4:6" x14ac:dyDescent="0.3">
      <c r="D201" s="415"/>
      <c r="E201" s="415"/>
      <c r="F201" s="27"/>
    </row>
    <row r="202" spans="4:6" x14ac:dyDescent="0.3">
      <c r="D202" s="415"/>
      <c r="E202" s="415"/>
      <c r="F202" s="27"/>
    </row>
    <row r="203" spans="4:6" x14ac:dyDescent="0.3">
      <c r="D203" s="415"/>
      <c r="E203" s="415"/>
      <c r="F203" s="27"/>
    </row>
    <row r="204" spans="4:6" x14ac:dyDescent="0.3">
      <c r="D204" s="415"/>
      <c r="E204" s="415"/>
      <c r="F204" s="27"/>
    </row>
    <row r="205" spans="4:6" x14ac:dyDescent="0.3">
      <c r="D205" s="415"/>
      <c r="E205" s="415"/>
      <c r="F205" s="27"/>
    </row>
    <row r="206" spans="4:6" x14ac:dyDescent="0.3">
      <c r="D206" s="415"/>
      <c r="E206" s="415"/>
      <c r="F206" s="27"/>
    </row>
    <row r="207" spans="4:6" x14ac:dyDescent="0.3">
      <c r="D207" s="415"/>
      <c r="E207" s="415"/>
      <c r="F207" s="27"/>
    </row>
    <row r="208" spans="4:6" x14ac:dyDescent="0.3">
      <c r="D208" s="415"/>
      <c r="E208" s="415"/>
      <c r="F208" s="27"/>
    </row>
    <row r="209" spans="4:6" x14ac:dyDescent="0.3">
      <c r="D209" s="415"/>
      <c r="E209" s="415"/>
      <c r="F209" s="27"/>
    </row>
    <row r="210" spans="4:6" x14ac:dyDescent="0.3">
      <c r="D210" s="415"/>
      <c r="E210" s="415"/>
      <c r="F210" s="27"/>
    </row>
    <row r="211" spans="4:6" x14ac:dyDescent="0.3">
      <c r="D211" s="415"/>
      <c r="E211" s="415"/>
      <c r="F211" s="27"/>
    </row>
    <row r="212" spans="4:6" x14ac:dyDescent="0.3">
      <c r="D212" s="415"/>
      <c r="E212" s="415"/>
      <c r="F212" s="27"/>
    </row>
    <row r="213" spans="4:6" x14ac:dyDescent="0.3">
      <c r="D213" s="415"/>
      <c r="E213" s="415"/>
      <c r="F213" s="27"/>
    </row>
    <row r="214" spans="4:6" x14ac:dyDescent="0.3">
      <c r="D214" s="415"/>
      <c r="E214" s="415"/>
      <c r="F214" s="27"/>
    </row>
    <row r="215" spans="4:6" x14ac:dyDescent="0.3">
      <c r="D215" s="415"/>
      <c r="E215" s="415"/>
      <c r="F215" s="27"/>
    </row>
    <row r="216" spans="4:6" x14ac:dyDescent="0.3">
      <c r="D216" s="415"/>
      <c r="E216" s="415"/>
      <c r="F216" s="27"/>
    </row>
    <row r="217" spans="4:6" x14ac:dyDescent="0.3">
      <c r="D217" s="415"/>
      <c r="E217" s="415"/>
      <c r="F217" s="27"/>
    </row>
    <row r="218" spans="4:6" x14ac:dyDescent="0.3">
      <c r="D218" s="415"/>
      <c r="E218" s="415"/>
      <c r="F218" s="27"/>
    </row>
    <row r="219" spans="4:6" x14ac:dyDescent="0.3">
      <c r="D219" s="415"/>
      <c r="E219" s="415"/>
      <c r="F219" s="27"/>
    </row>
    <row r="220" spans="4:6" x14ac:dyDescent="0.3">
      <c r="D220" s="415"/>
      <c r="E220" s="415"/>
      <c r="F220" s="27"/>
    </row>
    <row r="221" spans="4:6" x14ac:dyDescent="0.3">
      <c r="D221" s="415"/>
      <c r="E221" s="415"/>
      <c r="F221" s="27"/>
    </row>
    <row r="222" spans="4:6" x14ac:dyDescent="0.3">
      <c r="D222" s="415"/>
      <c r="E222" s="415"/>
      <c r="F222" s="27"/>
    </row>
    <row r="223" spans="4:6" x14ac:dyDescent="0.3">
      <c r="D223" s="415"/>
      <c r="E223" s="415"/>
      <c r="F223" s="27"/>
    </row>
    <row r="224" spans="4:6" x14ac:dyDescent="0.3">
      <c r="D224" s="415"/>
      <c r="E224" s="415"/>
      <c r="F224" s="27"/>
    </row>
    <row r="225" spans="4:6" x14ac:dyDescent="0.3">
      <c r="D225" s="415"/>
      <c r="E225" s="415"/>
      <c r="F225" s="27"/>
    </row>
    <row r="226" spans="4:6" x14ac:dyDescent="0.3">
      <c r="D226" s="415"/>
      <c r="E226" s="415"/>
      <c r="F226" s="27"/>
    </row>
    <row r="227" spans="4:6" x14ac:dyDescent="0.3">
      <c r="D227" s="415"/>
      <c r="E227" s="415"/>
      <c r="F227" s="27"/>
    </row>
    <row r="228" spans="4:6" x14ac:dyDescent="0.3">
      <c r="D228" s="415"/>
      <c r="E228" s="415"/>
      <c r="F228" s="27"/>
    </row>
    <row r="229" spans="4:6" x14ac:dyDescent="0.3">
      <c r="D229" s="415"/>
      <c r="E229" s="415"/>
      <c r="F229" s="27"/>
    </row>
    <row r="230" spans="4:6" x14ac:dyDescent="0.3">
      <c r="D230" s="415"/>
      <c r="E230" s="415"/>
      <c r="F230" s="27"/>
    </row>
    <row r="231" spans="4:6" x14ac:dyDescent="0.3">
      <c r="D231" s="415"/>
      <c r="E231" s="415"/>
      <c r="F231" s="27"/>
    </row>
    <row r="232" spans="4:6" x14ac:dyDescent="0.3">
      <c r="D232" s="415"/>
      <c r="E232" s="415"/>
      <c r="F232" s="27"/>
    </row>
    <row r="233" spans="4:6" x14ac:dyDescent="0.3">
      <c r="D233" s="415"/>
      <c r="E233" s="415"/>
      <c r="F233" s="27"/>
    </row>
    <row r="234" spans="4:6" x14ac:dyDescent="0.3">
      <c r="D234" s="415"/>
      <c r="E234" s="415"/>
      <c r="F234" s="27"/>
    </row>
    <row r="235" spans="4:6" x14ac:dyDescent="0.3">
      <c r="D235" s="415"/>
      <c r="E235" s="415"/>
      <c r="F235" s="27"/>
    </row>
    <row r="236" spans="4:6" x14ac:dyDescent="0.3">
      <c r="D236" s="415"/>
      <c r="E236" s="415"/>
      <c r="F236" s="27"/>
    </row>
    <row r="237" spans="4:6" x14ac:dyDescent="0.3">
      <c r="D237" s="415"/>
      <c r="E237" s="415"/>
      <c r="F237" s="27"/>
    </row>
    <row r="238" spans="4:6" x14ac:dyDescent="0.3">
      <c r="D238" s="415"/>
      <c r="E238" s="415"/>
      <c r="F238" s="27"/>
    </row>
    <row r="239" spans="4:6" x14ac:dyDescent="0.3">
      <c r="D239" s="415"/>
      <c r="E239" s="415"/>
      <c r="F239" s="27"/>
    </row>
    <row r="240" spans="4:6" x14ac:dyDescent="0.3">
      <c r="D240" s="415"/>
      <c r="E240" s="415"/>
      <c r="F240" s="27"/>
    </row>
    <row r="241" spans="4:6" x14ac:dyDescent="0.3">
      <c r="D241" s="415"/>
      <c r="E241" s="415"/>
      <c r="F241" s="27"/>
    </row>
    <row r="242" spans="4:6" x14ac:dyDescent="0.3">
      <c r="D242" s="415"/>
      <c r="E242" s="415"/>
      <c r="F242" s="27"/>
    </row>
    <row r="243" spans="4:6" x14ac:dyDescent="0.3">
      <c r="D243" s="415"/>
      <c r="E243" s="415"/>
      <c r="F243" s="27"/>
    </row>
    <row r="244" spans="4:6" x14ac:dyDescent="0.3">
      <c r="D244" s="415"/>
      <c r="E244" s="415"/>
      <c r="F244" s="27"/>
    </row>
    <row r="245" spans="4:6" x14ac:dyDescent="0.3">
      <c r="D245" s="415"/>
      <c r="E245" s="415"/>
      <c r="F245" s="27"/>
    </row>
    <row r="246" spans="4:6" x14ac:dyDescent="0.3">
      <c r="D246" s="415"/>
      <c r="E246" s="415"/>
      <c r="F246" s="27"/>
    </row>
    <row r="247" spans="4:6" x14ac:dyDescent="0.3">
      <c r="D247" s="415"/>
      <c r="E247" s="415"/>
      <c r="F247" s="27"/>
    </row>
    <row r="248" spans="4:6" x14ac:dyDescent="0.3">
      <c r="D248" s="415"/>
      <c r="E248" s="415"/>
      <c r="F248" s="27"/>
    </row>
    <row r="249" spans="4:6" x14ac:dyDescent="0.3">
      <c r="D249" s="415"/>
      <c r="E249" s="415"/>
      <c r="F249" s="27"/>
    </row>
    <row r="250" spans="4:6" x14ac:dyDescent="0.3">
      <c r="D250" s="415"/>
      <c r="E250" s="415"/>
      <c r="F250" s="27"/>
    </row>
    <row r="251" spans="4:6" x14ac:dyDescent="0.3">
      <c r="D251" s="415"/>
      <c r="E251" s="415"/>
      <c r="F251" s="27"/>
    </row>
    <row r="252" spans="4:6" x14ac:dyDescent="0.3">
      <c r="D252" s="415"/>
      <c r="E252" s="415"/>
      <c r="F252" s="27"/>
    </row>
    <row r="253" spans="4:6" x14ac:dyDescent="0.3">
      <c r="D253" s="415"/>
      <c r="E253" s="415"/>
      <c r="F253" s="27"/>
    </row>
    <row r="254" spans="4:6" x14ac:dyDescent="0.3">
      <c r="D254" s="415"/>
      <c r="E254" s="415"/>
      <c r="F254" s="27"/>
    </row>
    <row r="255" spans="4:6" x14ac:dyDescent="0.3">
      <c r="D255" s="415"/>
      <c r="E255" s="415"/>
      <c r="F255" s="27"/>
    </row>
    <row r="256" spans="4:6" x14ac:dyDescent="0.3">
      <c r="D256" s="415"/>
      <c r="E256" s="415"/>
      <c r="F256" s="27"/>
    </row>
    <row r="257" spans="4:6" x14ac:dyDescent="0.3">
      <c r="D257" s="415"/>
      <c r="E257" s="415"/>
      <c r="F257" s="27"/>
    </row>
    <row r="258" spans="4:6" x14ac:dyDescent="0.3">
      <c r="D258" s="415"/>
      <c r="E258" s="415"/>
      <c r="F258" s="27"/>
    </row>
    <row r="259" spans="4:6" x14ac:dyDescent="0.3">
      <c r="D259" s="415"/>
      <c r="E259" s="415"/>
      <c r="F259" s="27"/>
    </row>
    <row r="260" spans="4:6" x14ac:dyDescent="0.3">
      <c r="D260" s="415"/>
      <c r="E260" s="415"/>
      <c r="F260" s="27"/>
    </row>
    <row r="261" spans="4:6" x14ac:dyDescent="0.3">
      <c r="D261" s="415"/>
      <c r="E261" s="415"/>
      <c r="F261" s="27"/>
    </row>
    <row r="262" spans="4:6" x14ac:dyDescent="0.3">
      <c r="D262" s="415"/>
      <c r="E262" s="415"/>
      <c r="F262" s="27"/>
    </row>
    <row r="263" spans="4:6" x14ac:dyDescent="0.3">
      <c r="D263" s="415"/>
      <c r="E263" s="415"/>
      <c r="F263" s="27"/>
    </row>
    <row r="264" spans="4:6" x14ac:dyDescent="0.3">
      <c r="D264" s="415"/>
      <c r="E264" s="415"/>
      <c r="F264" s="27"/>
    </row>
    <row r="265" spans="4:6" x14ac:dyDescent="0.3">
      <c r="D265" s="415"/>
      <c r="E265" s="415"/>
      <c r="F265" s="27"/>
    </row>
    <row r="266" spans="4:6" x14ac:dyDescent="0.3">
      <c r="D266" s="415"/>
      <c r="E266" s="415"/>
      <c r="F266" s="27"/>
    </row>
    <row r="267" spans="4:6" x14ac:dyDescent="0.3">
      <c r="D267" s="415"/>
      <c r="E267" s="415"/>
      <c r="F267" s="27"/>
    </row>
    <row r="268" spans="4:6" x14ac:dyDescent="0.3">
      <c r="D268" s="415"/>
      <c r="E268" s="415"/>
      <c r="F268" s="27"/>
    </row>
    <row r="269" spans="4:6" x14ac:dyDescent="0.3">
      <c r="D269" s="415"/>
      <c r="E269" s="415"/>
      <c r="F269" s="27"/>
    </row>
    <row r="270" spans="4:6" x14ac:dyDescent="0.3">
      <c r="D270" s="415"/>
      <c r="E270" s="415"/>
      <c r="F270" s="27"/>
    </row>
    <row r="271" spans="4:6" x14ac:dyDescent="0.3">
      <c r="D271" s="415"/>
      <c r="E271" s="415"/>
      <c r="F271" s="27"/>
    </row>
    <row r="272" spans="4:6" x14ac:dyDescent="0.3">
      <c r="D272" s="415"/>
      <c r="E272" s="415"/>
      <c r="F272" s="27"/>
    </row>
    <row r="273" spans="4:6" x14ac:dyDescent="0.3">
      <c r="D273" s="415"/>
      <c r="E273" s="415"/>
      <c r="F273" s="27"/>
    </row>
    <row r="274" spans="4:6" x14ac:dyDescent="0.3">
      <c r="D274" s="415"/>
      <c r="E274" s="415"/>
      <c r="F274" s="27"/>
    </row>
    <row r="275" spans="4:6" x14ac:dyDescent="0.3">
      <c r="D275" s="415"/>
      <c r="E275" s="415"/>
      <c r="F275" s="27"/>
    </row>
    <row r="276" spans="4:6" x14ac:dyDescent="0.3">
      <c r="D276" s="415"/>
      <c r="E276" s="415"/>
      <c r="F276" s="27"/>
    </row>
    <row r="277" spans="4:6" x14ac:dyDescent="0.3">
      <c r="D277" s="415"/>
      <c r="E277" s="415"/>
      <c r="F277" s="27"/>
    </row>
    <row r="278" spans="4:6" x14ac:dyDescent="0.3">
      <c r="D278" s="415"/>
      <c r="E278" s="415"/>
      <c r="F278" s="27"/>
    </row>
    <row r="279" spans="4:6" x14ac:dyDescent="0.3">
      <c r="D279" s="415"/>
      <c r="E279" s="415"/>
      <c r="F279" s="27"/>
    </row>
    <row r="280" spans="4:6" x14ac:dyDescent="0.3">
      <c r="D280" s="415"/>
      <c r="E280" s="415"/>
      <c r="F280" s="27"/>
    </row>
    <row r="281" spans="4:6" x14ac:dyDescent="0.3">
      <c r="D281" s="415"/>
      <c r="E281" s="415"/>
      <c r="F281" s="27"/>
    </row>
    <row r="282" spans="4:6" x14ac:dyDescent="0.3">
      <c r="D282" s="415"/>
      <c r="E282" s="415"/>
      <c r="F282" s="27"/>
    </row>
    <row r="283" spans="4:6" x14ac:dyDescent="0.3">
      <c r="D283" s="415"/>
      <c r="E283" s="415"/>
      <c r="F283" s="27"/>
    </row>
    <row r="284" spans="4:6" x14ac:dyDescent="0.3">
      <c r="D284" s="415"/>
      <c r="E284" s="415"/>
      <c r="F284" s="27"/>
    </row>
    <row r="285" spans="4:6" x14ac:dyDescent="0.3">
      <c r="D285" s="415"/>
      <c r="E285" s="415"/>
      <c r="F285" s="27"/>
    </row>
    <row r="286" spans="4:6" x14ac:dyDescent="0.3">
      <c r="D286" s="415"/>
      <c r="E286" s="415"/>
      <c r="F286" s="27"/>
    </row>
    <row r="287" spans="4:6" x14ac:dyDescent="0.3">
      <c r="D287" s="415"/>
      <c r="E287" s="415"/>
      <c r="F287" s="27"/>
    </row>
    <row r="288" spans="4:6" x14ac:dyDescent="0.3">
      <c r="D288" s="415"/>
      <c r="E288" s="415"/>
      <c r="F288" s="27"/>
    </row>
    <row r="289" spans="4:6" x14ac:dyDescent="0.3">
      <c r="D289" s="415"/>
      <c r="E289" s="415"/>
      <c r="F289" s="27"/>
    </row>
    <row r="290" spans="4:6" x14ac:dyDescent="0.3">
      <c r="D290" s="415"/>
      <c r="E290" s="415"/>
      <c r="F290" s="27"/>
    </row>
    <row r="291" spans="4:6" x14ac:dyDescent="0.3">
      <c r="D291" s="415"/>
      <c r="E291" s="415"/>
      <c r="F291" s="27"/>
    </row>
    <row r="292" spans="4:6" x14ac:dyDescent="0.3">
      <c r="D292" s="415"/>
      <c r="E292" s="415"/>
      <c r="F292" s="27"/>
    </row>
    <row r="293" spans="4:6" x14ac:dyDescent="0.3">
      <c r="D293" s="415"/>
      <c r="E293" s="415"/>
      <c r="F293" s="27"/>
    </row>
    <row r="294" spans="4:6" x14ac:dyDescent="0.3">
      <c r="D294" s="415"/>
      <c r="E294" s="415"/>
      <c r="F294" s="27"/>
    </row>
    <row r="295" spans="4:6" x14ac:dyDescent="0.3">
      <c r="D295" s="415"/>
      <c r="E295" s="415"/>
      <c r="F295" s="27"/>
    </row>
    <row r="296" spans="4:6" x14ac:dyDescent="0.3">
      <c r="D296" s="415"/>
      <c r="E296" s="415"/>
      <c r="F296" s="27"/>
    </row>
    <row r="297" spans="4:6" x14ac:dyDescent="0.3">
      <c r="D297" s="415"/>
      <c r="E297" s="415"/>
      <c r="F297" s="27"/>
    </row>
    <row r="298" spans="4:6" x14ac:dyDescent="0.3">
      <c r="D298" s="415"/>
      <c r="E298" s="415"/>
      <c r="F298" s="27"/>
    </row>
    <row r="299" spans="4:6" x14ac:dyDescent="0.3">
      <c r="D299" s="415"/>
      <c r="E299" s="415"/>
      <c r="F299" s="27"/>
    </row>
    <row r="300" spans="4:6" x14ac:dyDescent="0.3">
      <c r="D300" s="415"/>
      <c r="E300" s="415"/>
      <c r="F300" s="27"/>
    </row>
    <row r="301" spans="4:6" x14ac:dyDescent="0.3">
      <c r="D301" s="415"/>
      <c r="E301" s="415"/>
      <c r="F301" s="27"/>
    </row>
    <row r="302" spans="4:6" x14ac:dyDescent="0.3">
      <c r="D302" s="415"/>
      <c r="E302" s="415"/>
      <c r="F302" s="27"/>
    </row>
    <row r="303" spans="4:6" x14ac:dyDescent="0.3">
      <c r="D303" s="415"/>
      <c r="E303" s="415"/>
      <c r="F303" s="27"/>
    </row>
    <row r="304" spans="4:6" x14ac:dyDescent="0.3">
      <c r="D304" s="415"/>
      <c r="E304" s="415"/>
      <c r="F304" s="27"/>
    </row>
    <row r="305" spans="4:6" x14ac:dyDescent="0.3">
      <c r="D305" s="415"/>
      <c r="E305" s="415"/>
      <c r="F305" s="27"/>
    </row>
    <row r="306" spans="4:6" x14ac:dyDescent="0.3">
      <c r="D306" s="415"/>
      <c r="E306" s="415"/>
      <c r="F306" s="27"/>
    </row>
    <row r="307" spans="4:6" x14ac:dyDescent="0.3">
      <c r="D307" s="415"/>
      <c r="E307" s="415"/>
      <c r="F307" s="27"/>
    </row>
    <row r="308" spans="4:6" x14ac:dyDescent="0.3">
      <c r="D308" s="415"/>
      <c r="E308" s="415"/>
      <c r="F308" s="27"/>
    </row>
    <row r="309" spans="4:6" x14ac:dyDescent="0.3">
      <c r="D309" s="415"/>
      <c r="E309" s="415"/>
      <c r="F309" s="27"/>
    </row>
    <row r="310" spans="4:6" x14ac:dyDescent="0.3">
      <c r="D310" s="415"/>
      <c r="E310" s="415"/>
      <c r="F310" s="27"/>
    </row>
    <row r="311" spans="4:6" x14ac:dyDescent="0.3">
      <c r="D311" s="415"/>
      <c r="E311" s="415"/>
      <c r="F311" s="27"/>
    </row>
    <row r="312" spans="4:6" x14ac:dyDescent="0.3">
      <c r="D312" s="415"/>
      <c r="E312" s="415"/>
      <c r="F312" s="27"/>
    </row>
    <row r="313" spans="4:6" x14ac:dyDescent="0.3">
      <c r="D313" s="415"/>
      <c r="E313" s="415"/>
      <c r="F313" s="27"/>
    </row>
    <row r="314" spans="4:6" x14ac:dyDescent="0.3">
      <c r="D314" s="415"/>
      <c r="E314" s="415"/>
      <c r="F314" s="27"/>
    </row>
    <row r="315" spans="4:6" x14ac:dyDescent="0.3">
      <c r="D315" s="415"/>
      <c r="E315" s="415"/>
      <c r="F315" s="27"/>
    </row>
    <row r="316" spans="4:6" x14ac:dyDescent="0.3">
      <c r="D316" s="415"/>
      <c r="E316" s="415"/>
      <c r="F316" s="27"/>
    </row>
    <row r="317" spans="4:6" x14ac:dyDescent="0.3">
      <c r="D317" s="415"/>
      <c r="E317" s="415"/>
      <c r="F317" s="27"/>
    </row>
    <row r="318" spans="4:6" x14ac:dyDescent="0.3">
      <c r="D318" s="415"/>
      <c r="E318" s="415"/>
      <c r="F318" s="27"/>
    </row>
    <row r="319" spans="4:6" x14ac:dyDescent="0.3">
      <c r="D319" s="415"/>
      <c r="E319" s="415"/>
      <c r="F319" s="27"/>
    </row>
    <row r="320" spans="4:6" x14ac:dyDescent="0.3">
      <c r="D320" s="415"/>
      <c r="E320" s="415"/>
      <c r="F320" s="27"/>
    </row>
    <row r="321" spans="4:6" x14ac:dyDescent="0.3">
      <c r="D321" s="415"/>
      <c r="E321" s="415"/>
      <c r="F321" s="27"/>
    </row>
    <row r="322" spans="4:6" x14ac:dyDescent="0.3">
      <c r="D322" s="415"/>
      <c r="E322" s="415"/>
      <c r="F322" s="27"/>
    </row>
    <row r="323" spans="4:6" x14ac:dyDescent="0.3">
      <c r="D323" s="415"/>
      <c r="E323" s="415"/>
      <c r="F323" s="27"/>
    </row>
    <row r="324" spans="4:6" x14ac:dyDescent="0.3">
      <c r="D324" s="415"/>
      <c r="E324" s="415"/>
      <c r="F324" s="27"/>
    </row>
    <row r="325" spans="4:6" x14ac:dyDescent="0.3">
      <c r="D325" s="415"/>
      <c r="E325" s="415"/>
      <c r="F325" s="27"/>
    </row>
    <row r="326" spans="4:6" x14ac:dyDescent="0.3">
      <c r="D326" s="415"/>
      <c r="E326" s="415"/>
      <c r="F326" s="27"/>
    </row>
    <row r="327" spans="4:6" x14ac:dyDescent="0.3">
      <c r="D327" s="415"/>
      <c r="E327" s="415"/>
      <c r="F327" s="27"/>
    </row>
    <row r="328" spans="4:6" x14ac:dyDescent="0.3">
      <c r="D328" s="415"/>
      <c r="E328" s="415"/>
      <c r="F328" s="27"/>
    </row>
    <row r="329" spans="4:6" x14ac:dyDescent="0.3">
      <c r="D329" s="415"/>
      <c r="E329" s="415"/>
      <c r="F329" s="27"/>
    </row>
    <row r="330" spans="4:6" x14ac:dyDescent="0.3">
      <c r="D330" s="415"/>
      <c r="E330" s="415"/>
      <c r="F330" s="27"/>
    </row>
    <row r="331" spans="4:6" x14ac:dyDescent="0.3">
      <c r="D331" s="415"/>
      <c r="E331" s="415"/>
      <c r="F331" s="27"/>
    </row>
    <row r="332" spans="4:6" x14ac:dyDescent="0.3">
      <c r="D332" s="415"/>
      <c r="E332" s="415"/>
      <c r="F332" s="27"/>
    </row>
    <row r="333" spans="4:6" x14ac:dyDescent="0.3">
      <c r="D333" s="415"/>
      <c r="E333" s="415"/>
      <c r="F333" s="27"/>
    </row>
    <row r="334" spans="4:6" x14ac:dyDescent="0.3">
      <c r="D334" s="415"/>
      <c r="E334" s="415"/>
      <c r="F334" s="27"/>
    </row>
    <row r="335" spans="4:6" x14ac:dyDescent="0.3">
      <c r="D335" s="415"/>
      <c r="E335" s="415"/>
      <c r="F335" s="27"/>
    </row>
    <row r="336" spans="4:6" x14ac:dyDescent="0.3">
      <c r="D336" s="415"/>
      <c r="E336" s="415"/>
      <c r="F336" s="27"/>
    </row>
    <row r="337" spans="4:6" x14ac:dyDescent="0.3">
      <c r="D337" s="415"/>
      <c r="E337" s="415"/>
      <c r="F337" s="27"/>
    </row>
    <row r="338" spans="4:6" x14ac:dyDescent="0.3">
      <c r="D338" s="415"/>
      <c r="E338" s="415"/>
      <c r="F338" s="27"/>
    </row>
    <row r="339" spans="4:6" x14ac:dyDescent="0.3">
      <c r="D339" s="415"/>
      <c r="E339" s="415"/>
      <c r="F339" s="27"/>
    </row>
    <row r="340" spans="4:6" x14ac:dyDescent="0.3">
      <c r="D340" s="415"/>
      <c r="E340" s="415"/>
      <c r="F340" s="27"/>
    </row>
    <row r="341" spans="4:6" x14ac:dyDescent="0.3">
      <c r="D341" s="415"/>
      <c r="E341" s="415"/>
      <c r="F341" s="27"/>
    </row>
    <row r="342" spans="4:6" x14ac:dyDescent="0.3">
      <c r="D342" s="415"/>
      <c r="E342" s="415"/>
      <c r="F342" s="27"/>
    </row>
    <row r="343" spans="4:6" x14ac:dyDescent="0.3">
      <c r="D343" s="415"/>
      <c r="E343" s="415"/>
      <c r="F343" s="27"/>
    </row>
    <row r="344" spans="4:6" x14ac:dyDescent="0.3">
      <c r="D344" s="415"/>
      <c r="E344" s="415"/>
      <c r="F344" s="27"/>
    </row>
    <row r="345" spans="4:6" x14ac:dyDescent="0.3">
      <c r="D345" s="415"/>
      <c r="E345" s="415"/>
      <c r="F345" s="27"/>
    </row>
    <row r="346" spans="4:6" x14ac:dyDescent="0.3">
      <c r="D346" s="415"/>
      <c r="E346" s="415"/>
      <c r="F346" s="27"/>
    </row>
    <row r="347" spans="4:6" x14ac:dyDescent="0.3">
      <c r="D347" s="415"/>
      <c r="E347" s="415"/>
      <c r="F347" s="27"/>
    </row>
    <row r="348" spans="4:6" x14ac:dyDescent="0.3">
      <c r="D348" s="415"/>
      <c r="E348" s="415"/>
      <c r="F348" s="27"/>
    </row>
    <row r="349" spans="4:6" x14ac:dyDescent="0.3">
      <c r="D349" s="415"/>
      <c r="E349" s="415"/>
      <c r="F349" s="27"/>
    </row>
    <row r="350" spans="4:6" x14ac:dyDescent="0.3">
      <c r="D350" s="415"/>
      <c r="E350" s="415"/>
      <c r="F350" s="27"/>
    </row>
    <row r="351" spans="4:6" x14ac:dyDescent="0.3">
      <c r="D351" s="415"/>
      <c r="E351" s="415"/>
      <c r="F351" s="27"/>
    </row>
    <row r="352" spans="4:6" x14ac:dyDescent="0.3">
      <c r="D352" s="415"/>
      <c r="E352" s="415"/>
      <c r="F352" s="27"/>
    </row>
    <row r="353" spans="4:6" x14ac:dyDescent="0.3">
      <c r="D353" s="415"/>
      <c r="E353" s="415"/>
      <c r="F353" s="27"/>
    </row>
    <row r="354" spans="4:6" x14ac:dyDescent="0.3">
      <c r="D354" s="415"/>
      <c r="E354" s="415"/>
      <c r="F354" s="27"/>
    </row>
    <row r="355" spans="4:6" x14ac:dyDescent="0.3">
      <c r="D355" s="415"/>
      <c r="E355" s="415"/>
      <c r="F355" s="27"/>
    </row>
    <row r="356" spans="4:6" x14ac:dyDescent="0.3">
      <c r="D356" s="415"/>
      <c r="E356" s="415"/>
      <c r="F356" s="27"/>
    </row>
    <row r="357" spans="4:6" x14ac:dyDescent="0.3">
      <c r="D357" s="415"/>
      <c r="E357" s="415"/>
      <c r="F357" s="27"/>
    </row>
    <row r="358" spans="4:6" x14ac:dyDescent="0.3">
      <c r="D358" s="415"/>
      <c r="E358" s="415"/>
      <c r="F358" s="27"/>
    </row>
    <row r="359" spans="4:6" x14ac:dyDescent="0.3">
      <c r="D359" s="415"/>
      <c r="E359" s="415"/>
      <c r="F359" s="27"/>
    </row>
    <row r="360" spans="4:6" x14ac:dyDescent="0.3">
      <c r="D360" s="415"/>
      <c r="E360" s="415"/>
      <c r="F360" s="27"/>
    </row>
    <row r="361" spans="4:6" x14ac:dyDescent="0.3">
      <c r="D361" s="415"/>
      <c r="E361" s="415"/>
      <c r="F361" s="27"/>
    </row>
    <row r="362" spans="4:6" x14ac:dyDescent="0.3">
      <c r="D362" s="415"/>
      <c r="E362" s="415"/>
      <c r="F362" s="27"/>
    </row>
    <row r="363" spans="4:6" x14ac:dyDescent="0.3">
      <c r="D363" s="415"/>
      <c r="E363" s="415"/>
      <c r="F363" s="27"/>
    </row>
    <row r="364" spans="4:6" x14ac:dyDescent="0.3">
      <c r="D364" s="415"/>
      <c r="E364" s="415"/>
      <c r="F364" s="27"/>
    </row>
    <row r="365" spans="4:6" x14ac:dyDescent="0.3">
      <c r="D365" s="415"/>
      <c r="E365" s="415"/>
      <c r="F365" s="27"/>
    </row>
    <row r="366" spans="4:6" x14ac:dyDescent="0.3">
      <c r="D366" s="415"/>
      <c r="E366" s="415"/>
      <c r="F366" s="27"/>
    </row>
    <row r="367" spans="4:6" x14ac:dyDescent="0.3">
      <c r="D367" s="415"/>
      <c r="E367" s="415"/>
      <c r="F367" s="27"/>
    </row>
    <row r="368" spans="4:6" x14ac:dyDescent="0.3">
      <c r="D368" s="415"/>
      <c r="E368" s="415"/>
      <c r="F368" s="27"/>
    </row>
    <row r="369" spans="4:6" x14ac:dyDescent="0.3">
      <c r="D369" s="415"/>
      <c r="E369" s="415"/>
      <c r="F369" s="27"/>
    </row>
    <row r="370" spans="4:6" x14ac:dyDescent="0.3">
      <c r="D370" s="415"/>
      <c r="E370" s="415"/>
      <c r="F370" s="27"/>
    </row>
    <row r="371" spans="4:6" x14ac:dyDescent="0.3">
      <c r="D371" s="415"/>
      <c r="E371" s="415"/>
      <c r="F371" s="27"/>
    </row>
    <row r="372" spans="4:6" x14ac:dyDescent="0.3">
      <c r="D372" s="415"/>
      <c r="E372" s="415"/>
      <c r="F372" s="27"/>
    </row>
    <row r="373" spans="4:6" x14ac:dyDescent="0.3">
      <c r="D373" s="415"/>
      <c r="E373" s="415"/>
      <c r="F373" s="27"/>
    </row>
    <row r="374" spans="4:6" x14ac:dyDescent="0.3">
      <c r="D374" s="415"/>
      <c r="E374" s="415"/>
      <c r="F374" s="27"/>
    </row>
    <row r="375" spans="4:6" x14ac:dyDescent="0.3">
      <c r="D375" s="415"/>
      <c r="E375" s="415"/>
      <c r="F375" s="27"/>
    </row>
    <row r="376" spans="4:6" x14ac:dyDescent="0.3">
      <c r="D376" s="415"/>
      <c r="E376" s="415"/>
      <c r="F376" s="27"/>
    </row>
    <row r="377" spans="4:6" x14ac:dyDescent="0.3">
      <c r="D377" s="415"/>
      <c r="E377" s="415"/>
      <c r="F377" s="27"/>
    </row>
    <row r="378" spans="4:6" x14ac:dyDescent="0.3">
      <c r="D378" s="415"/>
      <c r="E378" s="415"/>
      <c r="F378" s="27"/>
    </row>
    <row r="379" spans="4:6" x14ac:dyDescent="0.3">
      <c r="D379" s="415"/>
      <c r="E379" s="415"/>
      <c r="F379" s="27"/>
    </row>
    <row r="380" spans="4:6" x14ac:dyDescent="0.3">
      <c r="D380" s="415"/>
      <c r="E380" s="415"/>
      <c r="F380" s="27"/>
    </row>
    <row r="381" spans="4:6" x14ac:dyDescent="0.3">
      <c r="D381" s="415"/>
      <c r="E381" s="415"/>
      <c r="F381" s="27"/>
    </row>
    <row r="382" spans="4:6" x14ac:dyDescent="0.3">
      <c r="D382" s="415"/>
      <c r="E382" s="415"/>
      <c r="F382" s="27"/>
    </row>
    <row r="383" spans="4:6" x14ac:dyDescent="0.3">
      <c r="D383" s="415"/>
      <c r="E383" s="415"/>
      <c r="F383" s="27"/>
    </row>
    <row r="384" spans="4:6" x14ac:dyDescent="0.3">
      <c r="D384" s="415"/>
      <c r="E384" s="415"/>
      <c r="F384" s="27"/>
    </row>
    <row r="385" spans="4:6" x14ac:dyDescent="0.3">
      <c r="D385" s="415"/>
      <c r="E385" s="415"/>
      <c r="F385" s="27"/>
    </row>
    <row r="386" spans="4:6" x14ac:dyDescent="0.3">
      <c r="D386" s="415"/>
      <c r="E386" s="415"/>
      <c r="F386" s="27"/>
    </row>
    <row r="387" spans="4:6" x14ac:dyDescent="0.3">
      <c r="D387" s="415"/>
      <c r="E387" s="415"/>
      <c r="F387" s="27"/>
    </row>
    <row r="388" spans="4:6" x14ac:dyDescent="0.3">
      <c r="D388" s="415"/>
      <c r="E388" s="415"/>
      <c r="F388" s="27"/>
    </row>
    <row r="389" spans="4:6" x14ac:dyDescent="0.3">
      <c r="D389" s="415"/>
      <c r="E389" s="415"/>
      <c r="F389" s="27"/>
    </row>
    <row r="390" spans="4:6" x14ac:dyDescent="0.3">
      <c r="D390" s="415"/>
      <c r="E390" s="415"/>
      <c r="F390" s="27"/>
    </row>
    <row r="391" spans="4:6" x14ac:dyDescent="0.3">
      <c r="D391" s="415"/>
      <c r="E391" s="415"/>
      <c r="F391" s="27"/>
    </row>
    <row r="392" spans="4:6" x14ac:dyDescent="0.3">
      <c r="D392" s="415"/>
      <c r="E392" s="415"/>
      <c r="F392" s="27"/>
    </row>
    <row r="393" spans="4:6" x14ac:dyDescent="0.3">
      <c r="D393" s="415"/>
      <c r="E393" s="415"/>
      <c r="F393" s="27"/>
    </row>
    <row r="394" spans="4:6" x14ac:dyDescent="0.3">
      <c r="D394" s="415"/>
      <c r="E394" s="415"/>
      <c r="F394" s="27"/>
    </row>
    <row r="395" spans="4:6" x14ac:dyDescent="0.3">
      <c r="D395" s="415"/>
      <c r="E395" s="415"/>
      <c r="F395" s="27"/>
    </row>
    <row r="396" spans="4:6" x14ac:dyDescent="0.3">
      <c r="D396" s="415"/>
      <c r="E396" s="415"/>
      <c r="F396" s="27"/>
    </row>
    <row r="397" spans="4:6" x14ac:dyDescent="0.3">
      <c r="D397" s="415"/>
      <c r="E397" s="415"/>
      <c r="F397" s="27"/>
    </row>
    <row r="398" spans="4:6" x14ac:dyDescent="0.3">
      <c r="D398" s="415"/>
      <c r="E398" s="415"/>
      <c r="F398" s="27"/>
    </row>
    <row r="399" spans="4:6" x14ac:dyDescent="0.3">
      <c r="D399" s="415"/>
      <c r="E399" s="415"/>
      <c r="F399" s="27"/>
    </row>
    <row r="400" spans="4:6" x14ac:dyDescent="0.3">
      <c r="D400" s="415"/>
      <c r="E400" s="415"/>
      <c r="F400" s="27"/>
    </row>
    <row r="401" spans="4:6" x14ac:dyDescent="0.3">
      <c r="D401" s="415"/>
      <c r="E401" s="415"/>
      <c r="F401" s="27"/>
    </row>
    <row r="402" spans="4:6" x14ac:dyDescent="0.3">
      <c r="D402" s="415"/>
      <c r="E402" s="415"/>
      <c r="F402" s="27"/>
    </row>
    <row r="403" spans="4:6" x14ac:dyDescent="0.3">
      <c r="D403" s="415"/>
      <c r="E403" s="415"/>
      <c r="F403" s="27"/>
    </row>
    <row r="404" spans="4:6" x14ac:dyDescent="0.3">
      <c r="D404" s="415"/>
      <c r="E404" s="415"/>
      <c r="F404" s="27"/>
    </row>
    <row r="405" spans="4:6" x14ac:dyDescent="0.3">
      <c r="D405" s="415"/>
      <c r="E405" s="415"/>
      <c r="F405" s="27"/>
    </row>
    <row r="406" spans="4:6" x14ac:dyDescent="0.3">
      <c r="D406" s="415"/>
      <c r="E406" s="415"/>
      <c r="F406" s="27"/>
    </row>
    <row r="407" spans="4:6" x14ac:dyDescent="0.3">
      <c r="D407" s="415"/>
      <c r="E407" s="415"/>
      <c r="F407" s="27"/>
    </row>
    <row r="408" spans="4:6" x14ac:dyDescent="0.3">
      <c r="D408" s="415"/>
      <c r="E408" s="415"/>
      <c r="F408" s="27"/>
    </row>
    <row r="409" spans="4:6" x14ac:dyDescent="0.3">
      <c r="D409" s="415"/>
      <c r="E409" s="415"/>
      <c r="F409" s="27"/>
    </row>
    <row r="410" spans="4:6" x14ac:dyDescent="0.3">
      <c r="D410" s="415"/>
      <c r="E410" s="415"/>
      <c r="F410" s="27"/>
    </row>
    <row r="411" spans="4:6" x14ac:dyDescent="0.3">
      <c r="D411" s="415"/>
      <c r="E411" s="415"/>
      <c r="F411" s="27"/>
    </row>
    <row r="412" spans="4:6" x14ac:dyDescent="0.3">
      <c r="D412" s="415"/>
      <c r="E412" s="415"/>
      <c r="F412" s="27"/>
    </row>
    <row r="413" spans="4:6" x14ac:dyDescent="0.3">
      <c r="D413" s="415"/>
      <c r="E413" s="415"/>
      <c r="F413" s="27"/>
    </row>
    <row r="414" spans="4:6" x14ac:dyDescent="0.3">
      <c r="D414" s="415"/>
      <c r="E414" s="415"/>
      <c r="F414" s="27"/>
    </row>
    <row r="415" spans="4:6" x14ac:dyDescent="0.3">
      <c r="D415" s="415"/>
      <c r="E415" s="415"/>
      <c r="F415" s="27"/>
    </row>
    <row r="416" spans="4:6" x14ac:dyDescent="0.3">
      <c r="D416" s="415"/>
      <c r="E416" s="415"/>
      <c r="F416" s="27"/>
    </row>
    <row r="417" spans="4:6" x14ac:dyDescent="0.3">
      <c r="D417" s="415"/>
      <c r="E417" s="415"/>
      <c r="F417" s="27"/>
    </row>
    <row r="418" spans="4:6" x14ac:dyDescent="0.3">
      <c r="D418" s="415"/>
      <c r="E418" s="415"/>
      <c r="F418" s="27"/>
    </row>
    <row r="419" spans="4:6" x14ac:dyDescent="0.3">
      <c r="D419" s="415"/>
      <c r="E419" s="415"/>
      <c r="F419" s="27"/>
    </row>
    <row r="420" spans="4:6" x14ac:dyDescent="0.3">
      <c r="D420" s="415"/>
      <c r="E420" s="415"/>
      <c r="F420" s="27"/>
    </row>
    <row r="421" spans="4:6" x14ac:dyDescent="0.3">
      <c r="D421" s="415"/>
      <c r="E421" s="415"/>
      <c r="F421" s="27"/>
    </row>
    <row r="422" spans="4:6" x14ac:dyDescent="0.3">
      <c r="D422" s="415"/>
      <c r="E422" s="415"/>
      <c r="F422" s="27"/>
    </row>
    <row r="423" spans="4:6" x14ac:dyDescent="0.3">
      <c r="D423" s="415"/>
      <c r="E423" s="415"/>
      <c r="F423" s="27"/>
    </row>
    <row r="424" spans="4:6" x14ac:dyDescent="0.3">
      <c r="D424" s="415"/>
      <c r="E424" s="415"/>
      <c r="F424" s="27"/>
    </row>
    <row r="425" spans="4:6" x14ac:dyDescent="0.3">
      <c r="D425" s="415"/>
      <c r="E425" s="415"/>
      <c r="F425" s="27"/>
    </row>
    <row r="426" spans="4:6" x14ac:dyDescent="0.3">
      <c r="D426" s="415"/>
      <c r="E426" s="415"/>
      <c r="F426" s="27"/>
    </row>
    <row r="427" spans="4:6" x14ac:dyDescent="0.3">
      <c r="D427" s="415"/>
      <c r="E427" s="415"/>
      <c r="F427" s="27"/>
    </row>
    <row r="428" spans="4:6" x14ac:dyDescent="0.3">
      <c r="D428" s="415"/>
      <c r="E428" s="415"/>
      <c r="F428" s="27"/>
    </row>
    <row r="429" spans="4:6" x14ac:dyDescent="0.3">
      <c r="D429" s="415"/>
      <c r="E429" s="415"/>
      <c r="F429" s="27"/>
    </row>
    <row r="430" spans="4:6" x14ac:dyDescent="0.3">
      <c r="D430" s="415"/>
      <c r="E430" s="415"/>
      <c r="F430" s="27"/>
    </row>
    <row r="431" spans="4:6" x14ac:dyDescent="0.3">
      <c r="D431" s="415"/>
      <c r="E431" s="415"/>
      <c r="F431" s="27"/>
    </row>
    <row r="432" spans="4:6" x14ac:dyDescent="0.3">
      <c r="D432" s="415"/>
      <c r="E432" s="415"/>
      <c r="F432" s="27"/>
    </row>
    <row r="433" spans="4:6" x14ac:dyDescent="0.3">
      <c r="D433" s="415"/>
      <c r="E433" s="415"/>
      <c r="F433" s="27"/>
    </row>
    <row r="434" spans="4:6" x14ac:dyDescent="0.3">
      <c r="D434" s="415"/>
      <c r="E434" s="415"/>
      <c r="F434" s="27"/>
    </row>
    <row r="435" spans="4:6" x14ac:dyDescent="0.3">
      <c r="D435" s="415"/>
      <c r="E435" s="415"/>
      <c r="F435" s="27"/>
    </row>
    <row r="436" spans="4:6" x14ac:dyDescent="0.3">
      <c r="D436" s="415"/>
      <c r="E436" s="415"/>
      <c r="F436" s="27"/>
    </row>
    <row r="437" spans="4:6" x14ac:dyDescent="0.3">
      <c r="D437" s="415"/>
      <c r="E437" s="415"/>
      <c r="F437" s="27"/>
    </row>
    <row r="438" spans="4:6" x14ac:dyDescent="0.3">
      <c r="D438" s="415"/>
      <c r="E438" s="415"/>
      <c r="F438" s="27"/>
    </row>
    <row r="439" spans="4:6" x14ac:dyDescent="0.3">
      <c r="D439" s="415"/>
      <c r="E439" s="415"/>
      <c r="F439" s="27"/>
    </row>
    <row r="440" spans="4:6" x14ac:dyDescent="0.3">
      <c r="D440" s="415"/>
      <c r="E440" s="415"/>
      <c r="F440" s="27"/>
    </row>
    <row r="441" spans="4:6" x14ac:dyDescent="0.3">
      <c r="D441" s="415"/>
      <c r="E441" s="415"/>
      <c r="F441" s="27"/>
    </row>
    <row r="442" spans="4:6" x14ac:dyDescent="0.3">
      <c r="D442" s="415"/>
      <c r="E442" s="415"/>
      <c r="F442" s="27"/>
    </row>
    <row r="443" spans="4:6" x14ac:dyDescent="0.3">
      <c r="D443" s="415"/>
      <c r="E443" s="415"/>
      <c r="F443" s="27"/>
    </row>
    <row r="444" spans="4:6" x14ac:dyDescent="0.3">
      <c r="D444" s="415"/>
      <c r="E444" s="415"/>
      <c r="F444" s="27"/>
    </row>
    <row r="445" spans="4:6" x14ac:dyDescent="0.3">
      <c r="D445" s="415"/>
      <c r="E445" s="415"/>
      <c r="F445" s="27"/>
    </row>
    <row r="446" spans="4:6" x14ac:dyDescent="0.3">
      <c r="D446" s="415"/>
      <c r="E446" s="415"/>
      <c r="F446" s="27"/>
    </row>
    <row r="447" spans="4:6" x14ac:dyDescent="0.3">
      <c r="D447" s="415"/>
      <c r="E447" s="415"/>
      <c r="F447" s="27"/>
    </row>
    <row r="448" spans="4:6" x14ac:dyDescent="0.3">
      <c r="D448" s="415"/>
      <c r="E448" s="415"/>
      <c r="F448" s="27"/>
    </row>
    <row r="449" spans="4:6" x14ac:dyDescent="0.3">
      <c r="D449" s="415"/>
      <c r="E449" s="415"/>
      <c r="F449" s="27"/>
    </row>
    <row r="450" spans="4:6" x14ac:dyDescent="0.3">
      <c r="D450" s="415"/>
      <c r="E450" s="415"/>
      <c r="F450" s="27"/>
    </row>
    <row r="451" spans="4:6" x14ac:dyDescent="0.3">
      <c r="D451" s="415"/>
      <c r="E451" s="415"/>
      <c r="F451" s="27"/>
    </row>
    <row r="452" spans="4:6" x14ac:dyDescent="0.3">
      <c r="D452" s="415"/>
      <c r="E452" s="415"/>
      <c r="F452" s="27"/>
    </row>
    <row r="453" spans="4:6" x14ac:dyDescent="0.3">
      <c r="D453" s="415"/>
      <c r="E453" s="415"/>
      <c r="F453" s="27"/>
    </row>
    <row r="454" spans="4:6" x14ac:dyDescent="0.3">
      <c r="D454" s="415"/>
      <c r="E454" s="415"/>
      <c r="F454" s="27"/>
    </row>
    <row r="455" spans="4:6" x14ac:dyDescent="0.3">
      <c r="D455" s="415"/>
      <c r="E455" s="415"/>
      <c r="F455" s="27"/>
    </row>
    <row r="456" spans="4:6" x14ac:dyDescent="0.3">
      <c r="D456" s="415"/>
      <c r="E456" s="415"/>
      <c r="F456" s="27"/>
    </row>
    <row r="457" spans="4:6" x14ac:dyDescent="0.3">
      <c r="D457" s="415"/>
      <c r="E457" s="415"/>
      <c r="F457" s="27"/>
    </row>
    <row r="458" spans="4:6" x14ac:dyDescent="0.3">
      <c r="D458" s="415"/>
      <c r="E458" s="415"/>
      <c r="F458" s="27"/>
    </row>
    <row r="459" spans="4:6" x14ac:dyDescent="0.3">
      <c r="D459" s="415"/>
      <c r="E459" s="415"/>
      <c r="F459" s="27"/>
    </row>
    <row r="460" spans="4:6" x14ac:dyDescent="0.3">
      <c r="D460" s="415"/>
      <c r="E460" s="415"/>
      <c r="F460" s="27"/>
    </row>
    <row r="461" spans="4:6" x14ac:dyDescent="0.3">
      <c r="D461" s="415"/>
      <c r="E461" s="415"/>
      <c r="F461" s="27"/>
    </row>
    <row r="462" spans="4:6" x14ac:dyDescent="0.3">
      <c r="D462" s="415"/>
      <c r="E462" s="415"/>
      <c r="F462" s="27"/>
    </row>
    <row r="463" spans="4:6" x14ac:dyDescent="0.3">
      <c r="D463" s="415"/>
      <c r="E463" s="415"/>
      <c r="F463" s="27"/>
    </row>
    <row r="464" spans="4:6" x14ac:dyDescent="0.3">
      <c r="D464" s="415"/>
      <c r="E464" s="415"/>
      <c r="F464" s="27"/>
    </row>
    <row r="465" spans="4:6" x14ac:dyDescent="0.3">
      <c r="D465" s="415"/>
      <c r="E465" s="415"/>
      <c r="F465" s="27"/>
    </row>
    <row r="466" spans="4:6" x14ac:dyDescent="0.3">
      <c r="D466" s="415"/>
      <c r="E466" s="415"/>
      <c r="F466" s="27"/>
    </row>
    <row r="467" spans="4:6" x14ac:dyDescent="0.3">
      <c r="D467" s="415"/>
      <c r="E467" s="415"/>
      <c r="F467" s="27"/>
    </row>
    <row r="468" spans="4:6" x14ac:dyDescent="0.3">
      <c r="D468" s="415"/>
      <c r="E468" s="415"/>
      <c r="F468" s="27"/>
    </row>
    <row r="469" spans="4:6" x14ac:dyDescent="0.3">
      <c r="D469" s="415"/>
      <c r="E469" s="415"/>
      <c r="F469" s="27"/>
    </row>
    <row r="470" spans="4:6" x14ac:dyDescent="0.3">
      <c r="D470" s="415"/>
      <c r="E470" s="415"/>
      <c r="F470" s="27"/>
    </row>
    <row r="471" spans="4:6" x14ac:dyDescent="0.3">
      <c r="D471" s="415"/>
      <c r="E471" s="415"/>
      <c r="F471" s="27"/>
    </row>
    <row r="472" spans="4:6" x14ac:dyDescent="0.3">
      <c r="D472" s="415"/>
      <c r="E472" s="415"/>
      <c r="F472" s="27"/>
    </row>
    <row r="473" spans="4:6" x14ac:dyDescent="0.3">
      <c r="D473" s="415"/>
      <c r="E473" s="415"/>
      <c r="F473" s="27"/>
    </row>
    <row r="474" spans="4:6" x14ac:dyDescent="0.3">
      <c r="D474" s="415"/>
      <c r="E474" s="415"/>
      <c r="F474" s="27"/>
    </row>
    <row r="475" spans="4:6" x14ac:dyDescent="0.3">
      <c r="D475" s="415"/>
      <c r="E475" s="415"/>
      <c r="F475" s="27"/>
    </row>
    <row r="476" spans="4:6" x14ac:dyDescent="0.3">
      <c r="D476" s="415"/>
      <c r="E476" s="415"/>
      <c r="F476" s="27"/>
    </row>
    <row r="477" spans="4:6" x14ac:dyDescent="0.3">
      <c r="D477" s="415"/>
      <c r="E477" s="415"/>
      <c r="F477" s="27"/>
    </row>
    <row r="478" spans="4:6" x14ac:dyDescent="0.3">
      <c r="D478" s="415"/>
      <c r="E478" s="415"/>
      <c r="F478" s="27"/>
    </row>
    <row r="479" spans="4:6" x14ac:dyDescent="0.3">
      <c r="D479" s="415"/>
      <c r="E479" s="415"/>
      <c r="F479" s="27"/>
    </row>
    <row r="480" spans="4:6" x14ac:dyDescent="0.3">
      <c r="D480" s="415"/>
      <c r="E480" s="415"/>
      <c r="F480" s="27"/>
    </row>
    <row r="481" spans="4:6" x14ac:dyDescent="0.3">
      <c r="D481" s="415"/>
      <c r="E481" s="415"/>
      <c r="F481" s="27"/>
    </row>
    <row r="482" spans="4:6" x14ac:dyDescent="0.3">
      <c r="D482" s="415"/>
      <c r="E482" s="415"/>
      <c r="F482" s="27"/>
    </row>
    <row r="483" spans="4:6" x14ac:dyDescent="0.3">
      <c r="D483" s="415"/>
      <c r="E483" s="415"/>
      <c r="F483" s="27"/>
    </row>
    <row r="484" spans="4:6" x14ac:dyDescent="0.3">
      <c r="D484" s="415"/>
      <c r="E484" s="415"/>
      <c r="F484" s="27"/>
    </row>
    <row r="485" spans="4:6" x14ac:dyDescent="0.3">
      <c r="D485" s="415"/>
      <c r="E485" s="415"/>
      <c r="F485" s="27"/>
    </row>
    <row r="486" spans="4:6" x14ac:dyDescent="0.3">
      <c r="D486" s="415"/>
      <c r="E486" s="415"/>
      <c r="F486" s="27"/>
    </row>
    <row r="487" spans="4:6" x14ac:dyDescent="0.3">
      <c r="D487" s="415"/>
      <c r="E487" s="415"/>
      <c r="F487" s="27"/>
    </row>
    <row r="488" spans="4:6" x14ac:dyDescent="0.3">
      <c r="D488" s="415"/>
      <c r="E488" s="415"/>
      <c r="F488" s="27"/>
    </row>
    <row r="489" spans="4:6" x14ac:dyDescent="0.3">
      <c r="D489" s="415"/>
      <c r="E489" s="415"/>
      <c r="F489" s="27"/>
    </row>
    <row r="490" spans="4:6" x14ac:dyDescent="0.3">
      <c r="D490" s="415"/>
      <c r="E490" s="415"/>
      <c r="F490" s="27"/>
    </row>
    <row r="491" spans="4:6" x14ac:dyDescent="0.3">
      <c r="D491" s="415"/>
      <c r="E491" s="415"/>
      <c r="F491" s="27"/>
    </row>
    <row r="492" spans="4:6" x14ac:dyDescent="0.3">
      <c r="D492" s="415"/>
      <c r="E492" s="415"/>
      <c r="F492" s="27"/>
    </row>
    <row r="493" spans="4:6" x14ac:dyDescent="0.3">
      <c r="D493" s="415"/>
      <c r="E493" s="415"/>
      <c r="F493" s="27"/>
    </row>
    <row r="494" spans="4:6" x14ac:dyDescent="0.3">
      <c r="D494" s="415"/>
      <c r="E494" s="415"/>
      <c r="F494" s="27"/>
    </row>
    <row r="495" spans="4:6" x14ac:dyDescent="0.3">
      <c r="D495" s="415"/>
      <c r="E495" s="415"/>
      <c r="F495" s="27"/>
    </row>
    <row r="496" spans="4:6" x14ac:dyDescent="0.3">
      <c r="D496" s="415"/>
      <c r="E496" s="415"/>
      <c r="F496" s="27"/>
    </row>
    <row r="497" spans="4:6" x14ac:dyDescent="0.3">
      <c r="D497" s="415"/>
      <c r="E497" s="415"/>
      <c r="F497" s="27"/>
    </row>
    <row r="498" spans="4:6" x14ac:dyDescent="0.3">
      <c r="D498" s="415"/>
      <c r="E498" s="415"/>
      <c r="F498" s="27"/>
    </row>
    <row r="499" spans="4:6" x14ac:dyDescent="0.3">
      <c r="D499" s="415"/>
      <c r="E499" s="415"/>
      <c r="F499" s="27"/>
    </row>
    <row r="500" spans="4:6" x14ac:dyDescent="0.3">
      <c r="D500" s="415"/>
      <c r="E500" s="415"/>
      <c r="F500" s="27"/>
    </row>
    <row r="501" spans="4:6" x14ac:dyDescent="0.3">
      <c r="D501" s="415"/>
      <c r="E501" s="415"/>
      <c r="F501" s="27"/>
    </row>
    <row r="502" spans="4:6" x14ac:dyDescent="0.3">
      <c r="D502" s="415"/>
      <c r="E502" s="415"/>
      <c r="F502" s="27"/>
    </row>
    <row r="503" spans="4:6" x14ac:dyDescent="0.3">
      <c r="D503" s="415"/>
      <c r="E503" s="415"/>
      <c r="F503" s="27"/>
    </row>
    <row r="504" spans="4:6" x14ac:dyDescent="0.3">
      <c r="D504" s="415"/>
      <c r="E504" s="415"/>
      <c r="F504" s="27"/>
    </row>
    <row r="505" spans="4:6" x14ac:dyDescent="0.3">
      <c r="D505" s="415"/>
      <c r="E505" s="415"/>
      <c r="F505" s="27"/>
    </row>
    <row r="506" spans="4:6" x14ac:dyDescent="0.3">
      <c r="D506" s="415"/>
      <c r="E506" s="415"/>
      <c r="F506" s="27"/>
    </row>
    <row r="507" spans="4:6" x14ac:dyDescent="0.3">
      <c r="D507" s="415"/>
      <c r="E507" s="415"/>
      <c r="F507" s="27"/>
    </row>
    <row r="508" spans="4:6" x14ac:dyDescent="0.3">
      <c r="D508" s="415"/>
      <c r="E508" s="415"/>
      <c r="F508" s="27"/>
    </row>
    <row r="509" spans="4:6" x14ac:dyDescent="0.3">
      <c r="D509" s="415"/>
      <c r="E509" s="415"/>
      <c r="F509" s="27"/>
    </row>
    <row r="510" spans="4:6" x14ac:dyDescent="0.3">
      <c r="D510" s="415"/>
      <c r="E510" s="415"/>
      <c r="F510" s="27"/>
    </row>
    <row r="511" spans="4:6" x14ac:dyDescent="0.3">
      <c r="D511" s="415"/>
      <c r="E511" s="415"/>
      <c r="F511" s="27"/>
    </row>
    <row r="512" spans="4:6" x14ac:dyDescent="0.3">
      <c r="D512" s="415"/>
      <c r="E512" s="415"/>
      <c r="F512" s="27"/>
    </row>
    <row r="513" spans="4:6" x14ac:dyDescent="0.3">
      <c r="D513" s="415"/>
      <c r="E513" s="415"/>
      <c r="F513" s="27"/>
    </row>
    <row r="514" spans="4:6" x14ac:dyDescent="0.3">
      <c r="D514" s="415"/>
      <c r="E514" s="415"/>
      <c r="F514" s="27"/>
    </row>
    <row r="515" spans="4:6" x14ac:dyDescent="0.3">
      <c r="D515" s="415"/>
      <c r="E515" s="415"/>
      <c r="F515" s="27"/>
    </row>
    <row r="516" spans="4:6" x14ac:dyDescent="0.3">
      <c r="D516" s="415"/>
      <c r="E516" s="415"/>
      <c r="F516" s="27"/>
    </row>
    <row r="517" spans="4:6" x14ac:dyDescent="0.3">
      <c r="D517" s="415"/>
      <c r="E517" s="415"/>
      <c r="F517" s="27"/>
    </row>
    <row r="518" spans="4:6" x14ac:dyDescent="0.3">
      <c r="D518" s="415"/>
      <c r="E518" s="415"/>
      <c r="F518" s="27"/>
    </row>
    <row r="519" spans="4:6" x14ac:dyDescent="0.3">
      <c r="D519" s="415"/>
      <c r="E519" s="415"/>
      <c r="F519" s="27"/>
    </row>
    <row r="520" spans="4:6" x14ac:dyDescent="0.3">
      <c r="D520" s="415"/>
      <c r="E520" s="415"/>
      <c r="F520" s="27"/>
    </row>
    <row r="521" spans="4:6" x14ac:dyDescent="0.3">
      <c r="D521" s="415"/>
      <c r="E521" s="415"/>
      <c r="F521" s="27"/>
    </row>
    <row r="522" spans="4:6" x14ac:dyDescent="0.3">
      <c r="D522" s="415"/>
      <c r="E522" s="415"/>
      <c r="F522" s="27"/>
    </row>
    <row r="523" spans="4:6" x14ac:dyDescent="0.3">
      <c r="D523" s="415"/>
      <c r="E523" s="415"/>
      <c r="F523" s="27"/>
    </row>
    <row r="524" spans="4:6" x14ac:dyDescent="0.3">
      <c r="D524" s="415"/>
      <c r="E524" s="415"/>
      <c r="F524" s="27"/>
    </row>
    <row r="525" spans="4:6" x14ac:dyDescent="0.3">
      <c r="D525" s="415"/>
      <c r="E525" s="415"/>
      <c r="F525" s="27"/>
    </row>
    <row r="526" spans="4:6" x14ac:dyDescent="0.3">
      <c r="D526" s="415"/>
      <c r="E526" s="415"/>
      <c r="F526" s="27"/>
    </row>
    <row r="527" spans="4:6" x14ac:dyDescent="0.3">
      <c r="D527" s="415"/>
      <c r="E527" s="415"/>
      <c r="F527" s="27"/>
    </row>
    <row r="528" spans="4:6" x14ac:dyDescent="0.3">
      <c r="D528" s="415"/>
      <c r="E528" s="415"/>
      <c r="F528" s="27"/>
    </row>
    <row r="529" spans="4:6" x14ac:dyDescent="0.3">
      <c r="D529" s="415"/>
      <c r="E529" s="415"/>
      <c r="F529" s="27"/>
    </row>
    <row r="530" spans="4:6" x14ac:dyDescent="0.3">
      <c r="D530" s="415"/>
      <c r="E530" s="415"/>
      <c r="F530" s="27"/>
    </row>
    <row r="531" spans="4:6" x14ac:dyDescent="0.3">
      <c r="D531" s="415"/>
      <c r="E531" s="415"/>
      <c r="F531" s="27"/>
    </row>
    <row r="532" spans="4:6" x14ac:dyDescent="0.3">
      <c r="D532" s="415"/>
      <c r="E532" s="415"/>
      <c r="F532" s="27"/>
    </row>
    <row r="533" spans="4:6" x14ac:dyDescent="0.3">
      <c r="D533" s="415"/>
      <c r="E533" s="415"/>
      <c r="F533" s="27"/>
    </row>
    <row r="534" spans="4:6" x14ac:dyDescent="0.3">
      <c r="D534" s="415"/>
      <c r="E534" s="415"/>
      <c r="F534" s="27"/>
    </row>
    <row r="535" spans="4:6" x14ac:dyDescent="0.3">
      <c r="D535" s="415"/>
      <c r="E535" s="415"/>
      <c r="F535" s="27"/>
    </row>
    <row r="536" spans="4:6" x14ac:dyDescent="0.3">
      <c r="D536" s="415"/>
      <c r="E536" s="415"/>
      <c r="F536" s="27"/>
    </row>
    <row r="537" spans="4:6" x14ac:dyDescent="0.3">
      <c r="D537" s="415"/>
      <c r="E537" s="415"/>
      <c r="F537" s="27"/>
    </row>
    <row r="538" spans="4:6" x14ac:dyDescent="0.3">
      <c r="D538" s="415"/>
      <c r="E538" s="415"/>
      <c r="F538" s="27"/>
    </row>
    <row r="539" spans="4:6" x14ac:dyDescent="0.3">
      <c r="D539" s="415"/>
      <c r="E539" s="415"/>
      <c r="F539" s="27"/>
    </row>
    <row r="540" spans="4:6" x14ac:dyDescent="0.3">
      <c r="D540" s="415"/>
      <c r="E540" s="415"/>
      <c r="F540" s="27"/>
    </row>
    <row r="541" spans="4:6" x14ac:dyDescent="0.3">
      <c r="D541" s="415"/>
      <c r="E541" s="415"/>
      <c r="F541" s="27"/>
    </row>
    <row r="542" spans="4:6" x14ac:dyDescent="0.3">
      <c r="D542" s="415"/>
      <c r="E542" s="415"/>
      <c r="F542" s="27"/>
    </row>
    <row r="543" spans="4:6" x14ac:dyDescent="0.3">
      <c r="D543" s="415"/>
      <c r="E543" s="415"/>
      <c r="F543" s="27"/>
    </row>
    <row r="544" spans="4:6" x14ac:dyDescent="0.3">
      <c r="D544" s="415"/>
      <c r="E544" s="415"/>
      <c r="F544" s="27"/>
    </row>
    <row r="545" spans="4:6" x14ac:dyDescent="0.3">
      <c r="D545" s="415"/>
      <c r="E545" s="415"/>
      <c r="F545" s="27"/>
    </row>
    <row r="546" spans="4:6" x14ac:dyDescent="0.3">
      <c r="D546" s="415"/>
      <c r="E546" s="415"/>
      <c r="F546" s="27"/>
    </row>
    <row r="547" spans="4:6" x14ac:dyDescent="0.3">
      <c r="D547" s="415"/>
      <c r="E547" s="415"/>
      <c r="F547" s="27"/>
    </row>
    <row r="548" spans="4:6" x14ac:dyDescent="0.3">
      <c r="D548" s="415"/>
      <c r="E548" s="415"/>
      <c r="F548" s="27"/>
    </row>
    <row r="549" spans="4:6" x14ac:dyDescent="0.3">
      <c r="D549" s="415"/>
      <c r="E549" s="415"/>
      <c r="F549" s="27"/>
    </row>
    <row r="550" spans="4:6" x14ac:dyDescent="0.3">
      <c r="D550" s="415"/>
      <c r="E550" s="415"/>
      <c r="F550" s="27"/>
    </row>
    <row r="551" spans="4:6" x14ac:dyDescent="0.3">
      <c r="D551" s="415"/>
      <c r="E551" s="415"/>
      <c r="F551" s="27"/>
    </row>
    <row r="552" spans="4:6" x14ac:dyDescent="0.3">
      <c r="D552" s="415"/>
      <c r="E552" s="415"/>
      <c r="F552" s="27"/>
    </row>
    <row r="553" spans="4:6" x14ac:dyDescent="0.3">
      <c r="D553" s="415"/>
      <c r="E553" s="415"/>
      <c r="F553" s="27"/>
    </row>
    <row r="554" spans="4:6" x14ac:dyDescent="0.3">
      <c r="D554" s="415"/>
      <c r="E554" s="415"/>
      <c r="F554" s="27"/>
    </row>
    <row r="555" spans="4:6" x14ac:dyDescent="0.3">
      <c r="D555" s="415"/>
      <c r="E555" s="415"/>
      <c r="F555" s="27"/>
    </row>
    <row r="556" spans="4:6" x14ac:dyDescent="0.3">
      <c r="D556" s="415"/>
      <c r="E556" s="415"/>
      <c r="F556" s="27"/>
    </row>
    <row r="557" spans="4:6" x14ac:dyDescent="0.3">
      <c r="D557" s="415"/>
      <c r="E557" s="415"/>
      <c r="F557" s="27"/>
    </row>
    <row r="558" spans="4:6" x14ac:dyDescent="0.3">
      <c r="D558" s="415"/>
      <c r="E558" s="415"/>
      <c r="F558" s="27"/>
    </row>
    <row r="559" spans="4:6" x14ac:dyDescent="0.3">
      <c r="D559" s="415"/>
      <c r="E559" s="415"/>
      <c r="F559" s="27"/>
    </row>
    <row r="560" spans="4:6" x14ac:dyDescent="0.3">
      <c r="D560" s="415"/>
      <c r="E560" s="415"/>
      <c r="F560" s="27"/>
    </row>
    <row r="561" spans="4:6" x14ac:dyDescent="0.3">
      <c r="D561" s="415"/>
      <c r="E561" s="415"/>
      <c r="F561" s="27"/>
    </row>
    <row r="562" spans="4:6" x14ac:dyDescent="0.3">
      <c r="D562" s="415"/>
      <c r="E562" s="415"/>
      <c r="F562" s="27"/>
    </row>
    <row r="563" spans="4:6" x14ac:dyDescent="0.3">
      <c r="D563" s="415"/>
      <c r="E563" s="415"/>
      <c r="F563" s="27"/>
    </row>
    <row r="564" spans="4:6" x14ac:dyDescent="0.3">
      <c r="D564" s="415"/>
      <c r="E564" s="415"/>
      <c r="F564" s="27"/>
    </row>
    <row r="565" spans="4:6" x14ac:dyDescent="0.3">
      <c r="D565" s="415"/>
      <c r="E565" s="415"/>
      <c r="F565" s="27"/>
    </row>
    <row r="566" spans="4:6" x14ac:dyDescent="0.3">
      <c r="D566" s="415"/>
      <c r="E566" s="415"/>
      <c r="F566" s="27"/>
    </row>
    <row r="567" spans="4:6" x14ac:dyDescent="0.3">
      <c r="D567" s="415"/>
      <c r="E567" s="415"/>
      <c r="F567" s="27"/>
    </row>
    <row r="568" spans="4:6" x14ac:dyDescent="0.3">
      <c r="D568" s="415"/>
      <c r="E568" s="415"/>
      <c r="F568" s="27"/>
    </row>
    <row r="569" spans="4:6" x14ac:dyDescent="0.3">
      <c r="D569" s="415"/>
      <c r="E569" s="415"/>
      <c r="F569" s="27"/>
    </row>
    <row r="570" spans="4:6" x14ac:dyDescent="0.3">
      <c r="D570" s="415"/>
      <c r="E570" s="415"/>
      <c r="F570" s="27"/>
    </row>
    <row r="571" spans="4:6" x14ac:dyDescent="0.3">
      <c r="D571" s="415"/>
      <c r="E571" s="415"/>
      <c r="F571" s="27"/>
    </row>
    <row r="572" spans="4:6" x14ac:dyDescent="0.3">
      <c r="D572" s="415"/>
      <c r="E572" s="415"/>
      <c r="F572" s="27"/>
    </row>
    <row r="573" spans="4:6" x14ac:dyDescent="0.3">
      <c r="D573" s="415"/>
      <c r="E573" s="415"/>
      <c r="F573" s="27"/>
    </row>
    <row r="574" spans="4:6" x14ac:dyDescent="0.3">
      <c r="D574" s="415"/>
      <c r="E574" s="415"/>
      <c r="F574" s="27"/>
    </row>
    <row r="575" spans="4:6" x14ac:dyDescent="0.3">
      <c r="D575" s="415"/>
      <c r="E575" s="415"/>
      <c r="F575" s="27"/>
    </row>
    <row r="576" spans="4:6" x14ac:dyDescent="0.3">
      <c r="D576" s="415"/>
      <c r="E576" s="415"/>
      <c r="F576" s="27"/>
    </row>
    <row r="577" spans="4:6" x14ac:dyDescent="0.3">
      <c r="D577" s="415"/>
      <c r="E577" s="415"/>
      <c r="F577" s="27"/>
    </row>
    <row r="578" spans="4:6" x14ac:dyDescent="0.3">
      <c r="D578" s="415"/>
      <c r="E578" s="415"/>
      <c r="F578" s="27"/>
    </row>
    <row r="579" spans="4:6" x14ac:dyDescent="0.3">
      <c r="D579" s="415"/>
      <c r="E579" s="415"/>
      <c r="F579" s="27"/>
    </row>
    <row r="580" spans="4:6" x14ac:dyDescent="0.3">
      <c r="D580" s="415"/>
      <c r="E580" s="415"/>
      <c r="F580" s="27"/>
    </row>
    <row r="581" spans="4:6" x14ac:dyDescent="0.3">
      <c r="D581" s="415"/>
      <c r="E581" s="415"/>
      <c r="F581" s="27"/>
    </row>
    <row r="582" spans="4:6" x14ac:dyDescent="0.3">
      <c r="D582" s="415"/>
      <c r="E582" s="415"/>
      <c r="F582" s="27"/>
    </row>
    <row r="583" spans="4:6" x14ac:dyDescent="0.3">
      <c r="D583" s="415"/>
      <c r="E583" s="415"/>
      <c r="F583" s="27"/>
    </row>
    <row r="584" spans="4:6" x14ac:dyDescent="0.3">
      <c r="D584" s="415"/>
      <c r="E584" s="415"/>
      <c r="F584" s="27"/>
    </row>
    <row r="585" spans="4:6" x14ac:dyDescent="0.3">
      <c r="D585" s="415"/>
      <c r="E585" s="415"/>
      <c r="F585" s="27"/>
    </row>
    <row r="586" spans="4:6" x14ac:dyDescent="0.3">
      <c r="D586" s="415"/>
      <c r="E586" s="415"/>
      <c r="F586" s="27"/>
    </row>
    <row r="587" spans="4:6" x14ac:dyDescent="0.3">
      <c r="D587" s="415"/>
      <c r="E587" s="415"/>
      <c r="F587" s="27"/>
    </row>
    <row r="588" spans="4:6" x14ac:dyDescent="0.3">
      <c r="D588" s="415"/>
      <c r="E588" s="415"/>
      <c r="F588" s="27"/>
    </row>
    <row r="589" spans="4:6" x14ac:dyDescent="0.3">
      <c r="D589" s="415"/>
      <c r="E589" s="415"/>
      <c r="F589" s="27"/>
    </row>
    <row r="590" spans="4:6" x14ac:dyDescent="0.3">
      <c r="D590" s="415"/>
      <c r="E590" s="415"/>
      <c r="F590" s="27"/>
    </row>
    <row r="591" spans="4:6" x14ac:dyDescent="0.3">
      <c r="D591" s="415"/>
      <c r="E591" s="415"/>
      <c r="F591" s="27"/>
    </row>
    <row r="592" spans="4:6" x14ac:dyDescent="0.3">
      <c r="D592" s="415"/>
      <c r="E592" s="415"/>
      <c r="F592" s="27"/>
    </row>
    <row r="593" spans="4:6" x14ac:dyDescent="0.3">
      <c r="D593" s="415"/>
      <c r="E593" s="415"/>
      <c r="F593" s="27"/>
    </row>
    <row r="594" spans="4:6" x14ac:dyDescent="0.3">
      <c r="D594" s="415"/>
      <c r="E594" s="415"/>
      <c r="F594" s="27"/>
    </row>
    <row r="595" spans="4:6" x14ac:dyDescent="0.3">
      <c r="D595" s="415"/>
      <c r="E595" s="415"/>
      <c r="F595" s="27"/>
    </row>
    <row r="596" spans="4:6" x14ac:dyDescent="0.3">
      <c r="D596" s="415"/>
      <c r="E596" s="415"/>
      <c r="F596" s="27"/>
    </row>
    <row r="597" spans="4:6" x14ac:dyDescent="0.3">
      <c r="D597" s="415"/>
      <c r="E597" s="415"/>
      <c r="F597" s="27"/>
    </row>
    <row r="598" spans="4:6" x14ac:dyDescent="0.3">
      <c r="D598" s="415"/>
      <c r="E598" s="415"/>
      <c r="F598" s="27"/>
    </row>
    <row r="599" spans="4:6" x14ac:dyDescent="0.3">
      <c r="D599" s="415"/>
      <c r="E599" s="415"/>
      <c r="F599" s="27"/>
    </row>
    <row r="600" spans="4:6" x14ac:dyDescent="0.3">
      <c r="D600" s="415"/>
      <c r="E600" s="415"/>
      <c r="F600" s="27"/>
    </row>
    <row r="601" spans="4:6" x14ac:dyDescent="0.3">
      <c r="D601" s="415"/>
      <c r="E601" s="415"/>
      <c r="F601" s="27"/>
    </row>
    <row r="602" spans="4:6" x14ac:dyDescent="0.3">
      <c r="D602" s="415"/>
      <c r="E602" s="415"/>
      <c r="F602" s="27"/>
    </row>
    <row r="603" spans="4:6" x14ac:dyDescent="0.3">
      <c r="D603" s="415"/>
      <c r="E603" s="415"/>
      <c r="F603" s="27"/>
    </row>
    <row r="604" spans="4:6" x14ac:dyDescent="0.3">
      <c r="D604" s="415"/>
      <c r="E604" s="415"/>
      <c r="F604" s="27"/>
    </row>
    <row r="605" spans="4:6" x14ac:dyDescent="0.3">
      <c r="D605" s="415"/>
      <c r="E605" s="415"/>
      <c r="F605" s="27"/>
    </row>
    <row r="606" spans="4:6" x14ac:dyDescent="0.3">
      <c r="D606" s="415"/>
      <c r="E606" s="415"/>
      <c r="F606" s="27"/>
    </row>
    <row r="607" spans="4:6" x14ac:dyDescent="0.3">
      <c r="D607" s="415"/>
      <c r="E607" s="415"/>
      <c r="F607" s="27"/>
    </row>
    <row r="608" spans="4:6" x14ac:dyDescent="0.3">
      <c r="D608" s="415"/>
      <c r="E608" s="415"/>
      <c r="F608" s="27"/>
    </row>
    <row r="609" spans="4:6" x14ac:dyDescent="0.3">
      <c r="D609" s="415"/>
      <c r="E609" s="415"/>
      <c r="F609" s="27"/>
    </row>
    <row r="610" spans="4:6" x14ac:dyDescent="0.3">
      <c r="D610" s="415"/>
      <c r="E610" s="415"/>
      <c r="F610" s="27"/>
    </row>
    <row r="611" spans="4:6" x14ac:dyDescent="0.3">
      <c r="D611" s="415"/>
      <c r="E611" s="415"/>
      <c r="F611" s="27"/>
    </row>
    <row r="612" spans="4:6" x14ac:dyDescent="0.3">
      <c r="D612" s="415"/>
      <c r="E612" s="415"/>
      <c r="F612" s="27"/>
    </row>
    <row r="613" spans="4:6" x14ac:dyDescent="0.3">
      <c r="D613" s="415"/>
      <c r="E613" s="415"/>
      <c r="F613" s="27"/>
    </row>
    <row r="614" spans="4:6" x14ac:dyDescent="0.3">
      <c r="D614" s="415"/>
      <c r="E614" s="415"/>
      <c r="F614" s="27"/>
    </row>
    <row r="615" spans="4:6" x14ac:dyDescent="0.3">
      <c r="D615" s="415"/>
      <c r="E615" s="415"/>
      <c r="F615" s="27"/>
    </row>
    <row r="616" spans="4:6" x14ac:dyDescent="0.3">
      <c r="D616" s="415"/>
      <c r="E616" s="415"/>
      <c r="F616" s="27"/>
    </row>
    <row r="617" spans="4:6" x14ac:dyDescent="0.3">
      <c r="D617" s="415"/>
      <c r="E617" s="415"/>
      <c r="F617" s="27"/>
    </row>
    <row r="618" spans="4:6" x14ac:dyDescent="0.3">
      <c r="D618" s="415"/>
      <c r="E618" s="415"/>
      <c r="F618" s="27"/>
    </row>
    <row r="619" spans="4:6" x14ac:dyDescent="0.3">
      <c r="D619" s="415"/>
      <c r="E619" s="415"/>
      <c r="F619" s="27"/>
    </row>
    <row r="620" spans="4:6" x14ac:dyDescent="0.3">
      <c r="D620" s="415"/>
      <c r="E620" s="415"/>
      <c r="F620" s="27"/>
    </row>
    <row r="621" spans="4:6" x14ac:dyDescent="0.3">
      <c r="D621" s="415"/>
      <c r="E621" s="415"/>
      <c r="F621" s="27"/>
    </row>
    <row r="622" spans="4:6" x14ac:dyDescent="0.3">
      <c r="D622" s="415"/>
      <c r="E622" s="415"/>
      <c r="F622" s="27"/>
    </row>
    <row r="623" spans="4:6" x14ac:dyDescent="0.3">
      <c r="D623" s="415"/>
      <c r="E623" s="415"/>
      <c r="F623" s="27"/>
    </row>
    <row r="624" spans="4:6" x14ac:dyDescent="0.3">
      <c r="D624" s="415"/>
      <c r="E624" s="415"/>
      <c r="F624" s="27"/>
    </row>
    <row r="625" spans="4:6" x14ac:dyDescent="0.3">
      <c r="D625" s="415"/>
      <c r="E625" s="415"/>
      <c r="F625" s="27"/>
    </row>
    <row r="626" spans="4:6" x14ac:dyDescent="0.3">
      <c r="D626" s="415"/>
      <c r="E626" s="415"/>
      <c r="F626" s="27"/>
    </row>
    <row r="627" spans="4:6" x14ac:dyDescent="0.3">
      <c r="D627" s="415"/>
      <c r="E627" s="415"/>
      <c r="F627" s="27"/>
    </row>
    <row r="628" spans="4:6" x14ac:dyDescent="0.3">
      <c r="D628" s="415"/>
      <c r="E628" s="415"/>
      <c r="F628" s="27"/>
    </row>
    <row r="629" spans="4:6" x14ac:dyDescent="0.3">
      <c r="D629" s="415"/>
      <c r="E629" s="415"/>
      <c r="F629" s="27"/>
    </row>
    <row r="630" spans="4:6" x14ac:dyDescent="0.3">
      <c r="D630" s="415"/>
      <c r="E630" s="415"/>
      <c r="F630" s="27"/>
    </row>
    <row r="631" spans="4:6" x14ac:dyDescent="0.3">
      <c r="D631" s="415"/>
      <c r="E631" s="415"/>
      <c r="F631" s="27"/>
    </row>
    <row r="632" spans="4:6" x14ac:dyDescent="0.3">
      <c r="D632" s="415"/>
      <c r="E632" s="415"/>
      <c r="F632" s="27"/>
    </row>
    <row r="633" spans="4:6" x14ac:dyDescent="0.3">
      <c r="D633" s="415"/>
      <c r="E633" s="415"/>
      <c r="F633" s="27"/>
    </row>
    <row r="634" spans="4:6" x14ac:dyDescent="0.3">
      <c r="D634" s="415"/>
      <c r="E634" s="415"/>
      <c r="F634" s="27"/>
    </row>
    <row r="635" spans="4:6" x14ac:dyDescent="0.3">
      <c r="D635" s="415"/>
      <c r="E635" s="415"/>
      <c r="F635" s="27"/>
    </row>
    <row r="636" spans="4:6" x14ac:dyDescent="0.3">
      <c r="D636" s="415"/>
      <c r="E636" s="415"/>
      <c r="F636" s="27"/>
    </row>
    <row r="637" spans="4:6" x14ac:dyDescent="0.3">
      <c r="D637" s="415"/>
      <c r="E637" s="415"/>
      <c r="F637" s="27"/>
    </row>
    <row r="638" spans="4:6" x14ac:dyDescent="0.3">
      <c r="D638" s="415"/>
      <c r="E638" s="415"/>
      <c r="F638" s="27"/>
    </row>
    <row r="639" spans="4:6" x14ac:dyDescent="0.3">
      <c r="D639" s="415"/>
      <c r="E639" s="415"/>
      <c r="F639" s="27"/>
    </row>
    <row r="640" spans="4:6" x14ac:dyDescent="0.3">
      <c r="D640" s="415"/>
      <c r="E640" s="415"/>
      <c r="F640" s="27"/>
    </row>
    <row r="641" spans="4:6" x14ac:dyDescent="0.3">
      <c r="D641" s="415"/>
      <c r="E641" s="415"/>
      <c r="F641" s="27"/>
    </row>
    <row r="642" spans="4:6" x14ac:dyDescent="0.3">
      <c r="D642" s="415"/>
      <c r="E642" s="415"/>
      <c r="F642" s="27"/>
    </row>
    <row r="643" spans="4:6" x14ac:dyDescent="0.3">
      <c r="D643" s="415"/>
      <c r="E643" s="415"/>
      <c r="F643" s="27"/>
    </row>
    <row r="644" spans="4:6" x14ac:dyDescent="0.3">
      <c r="D644" s="415"/>
      <c r="E644" s="415"/>
      <c r="F644" s="27"/>
    </row>
    <row r="645" spans="4:6" x14ac:dyDescent="0.3">
      <c r="D645" s="415"/>
      <c r="E645" s="415"/>
      <c r="F645" s="27"/>
    </row>
    <row r="646" spans="4:6" x14ac:dyDescent="0.3">
      <c r="D646" s="415"/>
      <c r="E646" s="415"/>
      <c r="F646" s="27"/>
    </row>
    <row r="647" spans="4:6" x14ac:dyDescent="0.3">
      <c r="D647" s="415"/>
      <c r="E647" s="415"/>
      <c r="F647" s="27"/>
    </row>
    <row r="648" spans="4:6" x14ac:dyDescent="0.3">
      <c r="D648" s="415"/>
      <c r="E648" s="415"/>
      <c r="F648" s="27"/>
    </row>
    <row r="649" spans="4:6" x14ac:dyDescent="0.3">
      <c r="D649" s="415"/>
      <c r="E649" s="415"/>
      <c r="F649" s="27"/>
    </row>
    <row r="650" spans="4:6" x14ac:dyDescent="0.3">
      <c r="D650" s="415"/>
      <c r="E650" s="415"/>
      <c r="F650" s="27"/>
    </row>
    <row r="651" spans="4:6" x14ac:dyDescent="0.3">
      <c r="D651" s="415"/>
      <c r="E651" s="415"/>
      <c r="F651" s="27"/>
    </row>
    <row r="652" spans="4:6" x14ac:dyDescent="0.3">
      <c r="D652" s="415"/>
      <c r="E652" s="415"/>
      <c r="F652" s="27"/>
    </row>
    <row r="653" spans="4:6" x14ac:dyDescent="0.3">
      <c r="D653" s="415"/>
      <c r="E653" s="415"/>
      <c r="F653" s="27"/>
    </row>
    <row r="654" spans="4:6" x14ac:dyDescent="0.3">
      <c r="D654" s="415"/>
      <c r="E654" s="415"/>
      <c r="F654" s="27"/>
    </row>
    <row r="655" spans="4:6" x14ac:dyDescent="0.3">
      <c r="D655" s="415"/>
      <c r="E655" s="415"/>
      <c r="F655" s="27"/>
    </row>
    <row r="656" spans="4:6" x14ac:dyDescent="0.3">
      <c r="D656" s="415"/>
      <c r="E656" s="415"/>
      <c r="F656" s="27"/>
    </row>
    <row r="657" spans="4:6" x14ac:dyDescent="0.3">
      <c r="D657" s="415"/>
      <c r="E657" s="415"/>
      <c r="F657" s="27"/>
    </row>
    <row r="658" spans="4:6" x14ac:dyDescent="0.3">
      <c r="D658" s="415"/>
      <c r="E658" s="415"/>
      <c r="F658" s="27"/>
    </row>
    <row r="659" spans="4:6" x14ac:dyDescent="0.3">
      <c r="D659" s="415"/>
      <c r="E659" s="415"/>
      <c r="F659" s="27"/>
    </row>
    <row r="660" spans="4:6" x14ac:dyDescent="0.3">
      <c r="D660" s="415"/>
      <c r="E660" s="415"/>
      <c r="F660" s="27"/>
    </row>
    <row r="661" spans="4:6" x14ac:dyDescent="0.3">
      <c r="D661" s="415"/>
      <c r="E661" s="415"/>
      <c r="F661" s="27"/>
    </row>
    <row r="662" spans="4:6" x14ac:dyDescent="0.3">
      <c r="D662" s="415"/>
      <c r="E662" s="415"/>
      <c r="F662" s="27"/>
    </row>
    <row r="663" spans="4:6" x14ac:dyDescent="0.3">
      <c r="D663" s="415"/>
      <c r="E663" s="415"/>
      <c r="F663" s="27"/>
    </row>
    <row r="664" spans="4:6" x14ac:dyDescent="0.3">
      <c r="D664" s="415"/>
      <c r="E664" s="415"/>
      <c r="F664" s="27"/>
    </row>
    <row r="665" spans="4:6" x14ac:dyDescent="0.3">
      <c r="D665" s="415"/>
      <c r="E665" s="415"/>
      <c r="F665" s="27"/>
    </row>
    <row r="666" spans="4:6" x14ac:dyDescent="0.3">
      <c r="D666" s="415"/>
      <c r="E666" s="415"/>
      <c r="F666" s="27"/>
    </row>
    <row r="667" spans="4:6" x14ac:dyDescent="0.3">
      <c r="D667" s="415"/>
      <c r="E667" s="415"/>
      <c r="F667" s="27"/>
    </row>
    <row r="668" spans="4:6" x14ac:dyDescent="0.3">
      <c r="D668" s="415"/>
      <c r="E668" s="415"/>
      <c r="F668" s="27"/>
    </row>
    <row r="669" spans="4:6" x14ac:dyDescent="0.3">
      <c r="D669" s="415"/>
      <c r="E669" s="415"/>
      <c r="F669" s="27"/>
    </row>
    <row r="670" spans="4:6" x14ac:dyDescent="0.3">
      <c r="D670" s="415"/>
      <c r="E670" s="415"/>
      <c r="F670" s="27"/>
    </row>
    <row r="671" spans="4:6" x14ac:dyDescent="0.3">
      <c r="D671" s="415"/>
      <c r="E671" s="415"/>
      <c r="F671" s="27"/>
    </row>
    <row r="672" spans="4:6" x14ac:dyDescent="0.3">
      <c r="D672" s="415"/>
      <c r="E672" s="415"/>
      <c r="F672" s="27"/>
    </row>
    <row r="673" spans="4:6" x14ac:dyDescent="0.3">
      <c r="D673" s="415"/>
      <c r="E673" s="415"/>
      <c r="F673" s="27"/>
    </row>
    <row r="674" spans="4:6" x14ac:dyDescent="0.3">
      <c r="D674" s="415"/>
      <c r="E674" s="415"/>
      <c r="F674" s="27"/>
    </row>
    <row r="675" spans="4:6" x14ac:dyDescent="0.3">
      <c r="D675" s="415"/>
      <c r="E675" s="415"/>
      <c r="F675" s="27"/>
    </row>
    <row r="676" spans="4:6" x14ac:dyDescent="0.3">
      <c r="D676" s="415"/>
      <c r="E676" s="415"/>
      <c r="F676" s="27"/>
    </row>
    <row r="677" spans="4:6" x14ac:dyDescent="0.3">
      <c r="D677" s="415"/>
      <c r="E677" s="415"/>
      <c r="F677" s="27"/>
    </row>
    <row r="678" spans="4:6" x14ac:dyDescent="0.3">
      <c r="D678" s="415"/>
      <c r="E678" s="415"/>
      <c r="F678" s="27"/>
    </row>
    <row r="679" spans="4:6" x14ac:dyDescent="0.3">
      <c r="D679" s="415"/>
      <c r="E679" s="415"/>
      <c r="F679" s="27"/>
    </row>
    <row r="680" spans="4:6" x14ac:dyDescent="0.3">
      <c r="D680" s="415"/>
      <c r="E680" s="415"/>
      <c r="F680" s="27"/>
    </row>
    <row r="681" spans="4:6" x14ac:dyDescent="0.3">
      <c r="D681" s="415"/>
      <c r="E681" s="415"/>
      <c r="F681" s="27"/>
    </row>
    <row r="682" spans="4:6" x14ac:dyDescent="0.3">
      <c r="D682" s="415"/>
      <c r="E682" s="415"/>
      <c r="F682" s="27"/>
    </row>
    <row r="683" spans="4:6" x14ac:dyDescent="0.3">
      <c r="D683" s="415"/>
      <c r="E683" s="415"/>
      <c r="F683" s="27"/>
    </row>
    <row r="684" spans="4:6" x14ac:dyDescent="0.3">
      <c r="D684" s="415"/>
      <c r="E684" s="415"/>
      <c r="F684" s="27"/>
    </row>
    <row r="685" spans="4:6" x14ac:dyDescent="0.3">
      <c r="D685" s="415"/>
      <c r="E685" s="415"/>
      <c r="F685" s="27"/>
    </row>
    <row r="686" spans="4:6" x14ac:dyDescent="0.3">
      <c r="D686" s="415"/>
      <c r="E686" s="415"/>
      <c r="F686" s="27"/>
    </row>
    <row r="687" spans="4:6" x14ac:dyDescent="0.3">
      <c r="D687" s="415"/>
      <c r="E687" s="415"/>
      <c r="F687" s="27"/>
    </row>
    <row r="688" spans="4:6" x14ac:dyDescent="0.3">
      <c r="D688" s="415"/>
      <c r="E688" s="415"/>
      <c r="F688" s="27"/>
    </row>
    <row r="689" spans="4:6" x14ac:dyDescent="0.3">
      <c r="D689" s="415"/>
      <c r="E689" s="415"/>
      <c r="F689" s="27"/>
    </row>
    <row r="690" spans="4:6" x14ac:dyDescent="0.3">
      <c r="D690" s="415"/>
      <c r="E690" s="415"/>
      <c r="F690" s="27"/>
    </row>
    <row r="691" spans="4:6" x14ac:dyDescent="0.3">
      <c r="D691" s="415"/>
      <c r="E691" s="415"/>
      <c r="F691" s="27"/>
    </row>
    <row r="692" spans="4:6" x14ac:dyDescent="0.3">
      <c r="D692" s="415"/>
      <c r="E692" s="415"/>
      <c r="F692" s="27"/>
    </row>
    <row r="693" spans="4:6" x14ac:dyDescent="0.3">
      <c r="D693" s="415"/>
      <c r="E693" s="415"/>
      <c r="F693" s="27"/>
    </row>
    <row r="694" spans="4:6" x14ac:dyDescent="0.3">
      <c r="D694" s="415"/>
      <c r="E694" s="415"/>
      <c r="F694" s="27"/>
    </row>
    <row r="695" spans="4:6" x14ac:dyDescent="0.3">
      <c r="D695" s="415"/>
      <c r="E695" s="415"/>
      <c r="F695" s="27"/>
    </row>
    <row r="696" spans="4:6" x14ac:dyDescent="0.3">
      <c r="D696" s="415"/>
      <c r="E696" s="415"/>
      <c r="F696" s="27"/>
    </row>
    <row r="697" spans="4:6" x14ac:dyDescent="0.3">
      <c r="D697" s="415"/>
      <c r="E697" s="415"/>
      <c r="F697" s="27"/>
    </row>
    <row r="698" spans="4:6" x14ac:dyDescent="0.3">
      <c r="D698" s="415"/>
      <c r="E698" s="415"/>
      <c r="F698" s="27"/>
    </row>
    <row r="699" spans="4:6" x14ac:dyDescent="0.3">
      <c r="D699" s="415"/>
      <c r="E699" s="415"/>
      <c r="F699" s="27"/>
    </row>
    <row r="700" spans="4:6" x14ac:dyDescent="0.3">
      <c r="D700" s="415"/>
      <c r="E700" s="415"/>
      <c r="F700" s="27"/>
    </row>
    <row r="701" spans="4:6" x14ac:dyDescent="0.3">
      <c r="D701" s="415"/>
      <c r="E701" s="415"/>
      <c r="F701" s="27"/>
    </row>
    <row r="702" spans="4:6" x14ac:dyDescent="0.3">
      <c r="D702" s="415"/>
      <c r="E702" s="415"/>
      <c r="F702" s="27"/>
    </row>
    <row r="703" spans="4:6" x14ac:dyDescent="0.3">
      <c r="D703" s="415"/>
      <c r="E703" s="415"/>
      <c r="F703" s="27"/>
    </row>
    <row r="704" spans="4:6" x14ac:dyDescent="0.3">
      <c r="D704" s="415"/>
      <c r="E704" s="415"/>
      <c r="F704" s="27"/>
    </row>
    <row r="705" spans="4:6" x14ac:dyDescent="0.3">
      <c r="D705" s="415"/>
      <c r="E705" s="415"/>
      <c r="F705" s="27"/>
    </row>
    <row r="706" spans="4:6" x14ac:dyDescent="0.3">
      <c r="D706" s="415"/>
      <c r="E706" s="415"/>
      <c r="F706" s="27"/>
    </row>
    <row r="707" spans="4:6" x14ac:dyDescent="0.3">
      <c r="D707" s="415"/>
      <c r="E707" s="415"/>
      <c r="F707" s="27"/>
    </row>
    <row r="708" spans="4:6" x14ac:dyDescent="0.3">
      <c r="D708" s="415"/>
      <c r="E708" s="415"/>
      <c r="F708" s="27"/>
    </row>
    <row r="709" spans="4:6" x14ac:dyDescent="0.3">
      <c r="D709" s="415"/>
      <c r="E709" s="415"/>
      <c r="F709" s="27"/>
    </row>
    <row r="710" spans="4:6" x14ac:dyDescent="0.3">
      <c r="D710" s="415"/>
      <c r="E710" s="415"/>
      <c r="F710" s="27"/>
    </row>
    <row r="711" spans="4:6" x14ac:dyDescent="0.3">
      <c r="D711" s="415"/>
      <c r="E711" s="415"/>
      <c r="F711" s="27"/>
    </row>
    <row r="712" spans="4:6" x14ac:dyDescent="0.3">
      <c r="D712" s="415"/>
      <c r="E712" s="415"/>
      <c r="F712" s="27"/>
    </row>
    <row r="713" spans="4:6" x14ac:dyDescent="0.3">
      <c r="D713" s="415"/>
      <c r="E713" s="415"/>
      <c r="F713" s="27"/>
    </row>
    <row r="714" spans="4:6" x14ac:dyDescent="0.3">
      <c r="D714" s="415"/>
      <c r="E714" s="415"/>
      <c r="F714" s="27"/>
    </row>
    <row r="715" spans="4:6" x14ac:dyDescent="0.3">
      <c r="D715" s="415"/>
      <c r="E715" s="415"/>
      <c r="F715" s="27"/>
    </row>
    <row r="716" spans="4:6" x14ac:dyDescent="0.3">
      <c r="D716" s="415"/>
      <c r="E716" s="415"/>
      <c r="F716" s="27"/>
    </row>
    <row r="717" spans="4:6" x14ac:dyDescent="0.3">
      <c r="D717" s="415"/>
      <c r="E717" s="415"/>
      <c r="F717" s="27"/>
    </row>
    <row r="718" spans="4:6" x14ac:dyDescent="0.3">
      <c r="D718" s="415"/>
      <c r="E718" s="415"/>
      <c r="F718" s="27"/>
    </row>
    <row r="719" spans="4:6" x14ac:dyDescent="0.3">
      <c r="D719" s="415"/>
      <c r="E719" s="415"/>
      <c r="F719" s="27"/>
    </row>
    <row r="720" spans="4:6" x14ac:dyDescent="0.3">
      <c r="D720" s="415"/>
      <c r="E720" s="415"/>
      <c r="F720" s="27"/>
    </row>
    <row r="721" spans="4:6" x14ac:dyDescent="0.3">
      <c r="D721" s="415"/>
      <c r="E721" s="415"/>
      <c r="F721" s="27"/>
    </row>
    <row r="722" spans="4:6" x14ac:dyDescent="0.3">
      <c r="D722" s="415"/>
      <c r="E722" s="415"/>
      <c r="F722" s="27"/>
    </row>
    <row r="723" spans="4:6" x14ac:dyDescent="0.3">
      <c r="D723" s="415"/>
      <c r="E723" s="415"/>
      <c r="F723" s="27"/>
    </row>
    <row r="724" spans="4:6" x14ac:dyDescent="0.3">
      <c r="D724" s="415"/>
      <c r="E724" s="415"/>
      <c r="F724" s="27"/>
    </row>
    <row r="725" spans="4:6" x14ac:dyDescent="0.3">
      <c r="D725" s="415"/>
      <c r="E725" s="415"/>
    </row>
    <row r="726" spans="4:6" x14ac:dyDescent="0.3">
      <c r="D726" s="415"/>
      <c r="E726" s="415"/>
    </row>
    <row r="727" spans="4:6" x14ac:dyDescent="0.3">
      <c r="D727" s="415"/>
      <c r="E727" s="415"/>
    </row>
    <row r="728" spans="4:6" x14ac:dyDescent="0.3">
      <c r="D728" s="415"/>
      <c r="E728" s="415"/>
    </row>
    <row r="729" spans="4:6" x14ac:dyDescent="0.3">
      <c r="D729" s="415"/>
      <c r="E729" s="415"/>
    </row>
    <row r="730" spans="4:6" x14ac:dyDescent="0.3">
      <c r="D730" s="415"/>
      <c r="E730" s="415"/>
    </row>
    <row r="731" spans="4:6" x14ac:dyDescent="0.3">
      <c r="D731" s="415"/>
      <c r="E731" s="415"/>
    </row>
    <row r="732" spans="4:6" x14ac:dyDescent="0.3">
      <c r="D732" s="415"/>
      <c r="E732" s="415"/>
    </row>
    <row r="733" spans="4:6" x14ac:dyDescent="0.3">
      <c r="D733" s="415"/>
      <c r="E733" s="415"/>
    </row>
    <row r="734" spans="4:6" x14ac:dyDescent="0.3">
      <c r="D734" s="415"/>
      <c r="E734" s="415"/>
    </row>
  </sheetData>
  <sheetProtection algorithmName="SHA-512" hashValue="H9STH5SejVxacI+eQvh0lHKPIGTpLyAMQ93r/qMb29205HoT5AP9pIYHGYTFPqPzGREqVznjaVxJqVyOrp9YMg==" saltValue="Qlm3NDjqWESstesRHLdOkg==" spinCount="100000" sheet="1" objects="1" scenarios="1"/>
  <mergeCells count="21">
    <mergeCell ref="O53:O55"/>
    <mergeCell ref="O56:O58"/>
    <mergeCell ref="O59:O61"/>
    <mergeCell ref="O62:O64"/>
    <mergeCell ref="P53:P74"/>
    <mergeCell ref="N53:N55"/>
    <mergeCell ref="N56:N58"/>
    <mergeCell ref="N59:N61"/>
    <mergeCell ref="N62:N64"/>
    <mergeCell ref="N65:N67"/>
    <mergeCell ref="N107:O112"/>
    <mergeCell ref="N106:O106"/>
    <mergeCell ref="O65:O67"/>
    <mergeCell ref="N71:N72"/>
    <mergeCell ref="N73:N74"/>
    <mergeCell ref="N85:O98"/>
    <mergeCell ref="O68:O70"/>
    <mergeCell ref="O71:O72"/>
    <mergeCell ref="O73:O74"/>
    <mergeCell ref="N68:N70"/>
    <mergeCell ref="N84:O84"/>
  </mergeCells>
  <phoneticPr fontId="13" type="noConversion"/>
  <conditionalFormatting sqref="E159:E162">
    <cfRule type="duplicateValues" dxfId="247" priority="53680"/>
  </conditionalFormatting>
  <conditionalFormatting sqref="E47:E48">
    <cfRule type="duplicateValues" dxfId="246" priority="34"/>
  </conditionalFormatting>
  <conditionalFormatting sqref="E29">
    <cfRule type="duplicateValues" dxfId="245" priority="21"/>
  </conditionalFormatting>
  <conditionalFormatting sqref="K26">
    <cfRule type="duplicateValues" dxfId="244" priority="12"/>
  </conditionalFormatting>
  <conditionalFormatting sqref="K30">
    <cfRule type="duplicateValues" dxfId="243" priority="11"/>
  </conditionalFormatting>
  <conditionalFormatting sqref="E43:E46">
    <cfRule type="duplicateValues" dxfId="242" priority="10"/>
  </conditionalFormatting>
  <conditionalFormatting sqref="E41:E42">
    <cfRule type="duplicateValues" dxfId="241" priority="9"/>
  </conditionalFormatting>
  <conditionalFormatting sqref="E26">
    <cfRule type="duplicateValues" dxfId="240" priority="6"/>
  </conditionalFormatting>
  <conditionalFormatting sqref="E28">
    <cfRule type="duplicateValues" dxfId="239" priority="3"/>
  </conditionalFormatting>
  <conditionalFormatting sqref="E21">
    <cfRule type="duplicateValues" dxfId="238" priority="2"/>
  </conditionalFormatting>
  <conditionalFormatting sqref="E30">
    <cfRule type="duplicateValues" dxfId="237" priority="1"/>
  </conditionalFormatting>
  <conditionalFormatting sqref="E725:E1048576 E126:E136 E105:E112 E123 E1:E9 E18:E20 E11:E14 E16 E24 E32 E139:E158 E61:E70 E96:E101 E80 E82:E94 E72:E78 E49:E59 E103">
    <cfRule type="duplicateValues" dxfId="236" priority="78738"/>
  </conditionalFormatting>
  <dataValidations count="1">
    <dataValidation type="list" allowBlank="1" showInputMessage="1" showErrorMessage="1" sqref="H21:I32 H146:I157 H41:I50 H112:I125 H160:I162 H36:H40 H82 H7:I11 H14:I18 H133:I133 H131:I131 H129:I129 H127:I127 H34:I35 H137:I143 H33 H83:I109 H53:I81" xr:uid="{00000000-0002-0000-0500-000000000000}">
      <formula1>HORA</formula1>
    </dataValidation>
  </dataValidations>
  <pageMargins left="0.25" right="0.25" top="0.75" bottom="0.75" header="0.3" footer="0.3"/>
  <pageSetup scale="36" orientation="portrait" r:id="rId1"/>
  <colBreaks count="1" manualBreakCount="1">
    <brk id="15" max="1048575" man="1"/>
  </colBreaks>
  <ignoredErrors>
    <ignoredError sqref="J137 H146:I15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8" r:id="rId4" name="Button 4">
              <controlPr defaultSize="0" print="0" autoFill="0" autoPict="0" macro="[0]!CartaDeServicios">
                <anchor>
                  <from>
                    <xdr:col>14</xdr:col>
                    <xdr:colOff>472440</xdr:colOff>
                    <xdr:row>20</xdr:row>
                    <xdr:rowOff>53340</xdr:rowOff>
                  </from>
                  <to>
                    <xdr:col>18</xdr:col>
                    <xdr:colOff>220980</xdr:colOff>
                    <xdr:row>24</xdr:row>
                    <xdr:rowOff>91440</xdr:rowOff>
                  </to>
                </anchor>
              </controlPr>
            </control>
          </mc:Choice>
        </mc:AlternateContent>
        <mc:AlternateContent xmlns:mc="http://schemas.openxmlformats.org/markup-compatibility/2006">
          <mc:Choice Requires="x14">
            <control shapeId="41990" r:id="rId5" name="Button 6">
              <controlPr defaultSize="0" print="0" autoFill="0" autoPict="0" macro="[0]!DistribucionPDF.DistribucionPDF">
                <anchor>
                  <from>
                    <xdr:col>14</xdr:col>
                    <xdr:colOff>472440</xdr:colOff>
                    <xdr:row>25</xdr:row>
                    <xdr:rowOff>121920</xdr:rowOff>
                  </from>
                  <to>
                    <xdr:col>18</xdr:col>
                    <xdr:colOff>220980</xdr:colOff>
                    <xdr:row>29</xdr:row>
                    <xdr:rowOff>167640</xdr:rowOff>
                  </to>
                </anchor>
              </controlPr>
            </control>
          </mc:Choice>
        </mc:AlternateContent>
        <mc:AlternateContent xmlns:mc="http://schemas.openxmlformats.org/markup-compatibility/2006">
          <mc:Choice Requires="x14">
            <control shapeId="41992" r:id="rId6" name="Button 8">
              <controlPr defaultSize="0" print="0" autoFill="0" autoPict="0" macro="[0]!Input_piedefirma">
                <anchor>
                  <from>
                    <xdr:col>14</xdr:col>
                    <xdr:colOff>472440</xdr:colOff>
                    <xdr:row>30</xdr:row>
                    <xdr:rowOff>144780</xdr:rowOff>
                  </from>
                  <to>
                    <xdr:col>18</xdr:col>
                    <xdr:colOff>220980</xdr:colOff>
                    <xdr:row>34</xdr:row>
                    <xdr:rowOff>76200</xdr:rowOff>
                  </to>
                </anchor>
              </controlPr>
            </control>
          </mc:Choice>
        </mc:AlternateContent>
        <mc:AlternateContent xmlns:mc="http://schemas.openxmlformats.org/markup-compatibility/2006">
          <mc:Choice Requires="x14">
            <control shapeId="41995" r:id="rId7" name="Button 11">
              <controlPr defaultSize="0" print="0" autoFill="0" autoPict="0" macro="[0]!CerrarSesion">
                <anchor>
                  <from>
                    <xdr:col>14</xdr:col>
                    <xdr:colOff>472440</xdr:colOff>
                    <xdr:row>15</xdr:row>
                    <xdr:rowOff>83820</xdr:rowOff>
                  </from>
                  <to>
                    <xdr:col>18</xdr:col>
                    <xdr:colOff>220980</xdr:colOff>
                    <xdr:row>19</xdr:row>
                    <xdr:rowOff>76200</xdr:rowOff>
                  </to>
                </anchor>
              </controlPr>
            </control>
          </mc:Choice>
        </mc:AlternateContent>
        <mc:AlternateContent xmlns:mc="http://schemas.openxmlformats.org/markup-compatibility/2006">
          <mc:Choice Requires="x14">
            <control shapeId="42001" r:id="rId8" name="Button 17">
              <controlPr defaultSize="0" print="0" autoFill="0" autoPict="0" macro="[0]!PasarATablaDeServicio">
                <anchor>
                  <from>
                    <xdr:col>14</xdr:col>
                    <xdr:colOff>472440</xdr:colOff>
                    <xdr:row>11</xdr:row>
                    <xdr:rowOff>175260</xdr:rowOff>
                  </from>
                  <to>
                    <xdr:col>18</xdr:col>
                    <xdr:colOff>220980</xdr:colOff>
                    <xdr:row>14</xdr:row>
                    <xdr:rowOff>167640</xdr:rowOff>
                  </to>
                </anchor>
              </controlPr>
            </control>
          </mc:Choice>
        </mc:AlternateContent>
        <mc:AlternateContent xmlns:mc="http://schemas.openxmlformats.org/markup-compatibility/2006">
          <mc:Choice Requires="x14">
            <control shapeId="42055" r:id="rId9" name="Button 71">
              <controlPr defaultSize="0" print="0" autoFill="0" autoPict="0" macro="[0]!TablaEscuadrones">
                <anchor moveWithCells="1" sizeWithCells="1">
                  <from>
                    <xdr:col>9</xdr:col>
                    <xdr:colOff>861060</xdr:colOff>
                    <xdr:row>2</xdr:row>
                    <xdr:rowOff>60960</xdr:rowOff>
                  </from>
                  <to>
                    <xdr:col>11</xdr:col>
                    <xdr:colOff>0</xdr:colOff>
                    <xdr:row>3</xdr:row>
                    <xdr:rowOff>121920</xdr:rowOff>
                  </to>
                </anchor>
              </controlPr>
            </control>
          </mc:Choice>
        </mc:AlternateContent>
      </controls>
    </mc:Choice>
  </mc:AlternateContent>
  <tableParts count="8">
    <tablePart r:id="rId10"/>
    <tablePart r:id="rId11"/>
    <tablePart r:id="rId12"/>
    <tablePart r:id="rId13"/>
    <tablePart r:id="rId14"/>
    <tablePart r:id="rId15"/>
    <tablePart r:id="rId16"/>
    <tablePart r:id="rId17"/>
  </tableParts>
  <extLst>
    <ext xmlns:x14="http://schemas.microsoft.com/office/spreadsheetml/2009/9/main" uri="{78C0D931-6437-407d-A8EE-F0AAD7539E65}">
      <x14:conditionalFormattings>
        <x14:conditionalFormatting xmlns:xm="http://schemas.microsoft.com/office/excel/2006/main">
          <x14:cfRule type="iconSet" priority="74003" id="{1A8267ED-3FEE-4039-8146-E83B8832210B}">
            <x14:iconSet custom="1">
              <x14:cfvo type="percent">
                <xm:f>0</xm:f>
              </x14:cfvo>
              <x14:cfvo type="num">
                <xm:f>6</xm:f>
              </x14:cfvo>
              <x14:cfvo type="num">
                <xm:f>10</xm:f>
              </x14:cfvo>
              <x14:cfIcon iconSet="3TrafficLights1" iconId="0"/>
              <x14:cfIcon iconSet="3TrafficLights1" iconId="1"/>
              <x14:cfIcon iconSet="3TrafficLights1" iconId="2"/>
            </x14:iconSet>
          </x14:cfRule>
          <xm:sqref>J53:J109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Datos!$AB$3:$AB$13</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6">
    <pageSetUpPr fitToPage="1"/>
  </sheetPr>
  <dimension ref="A1:M118"/>
  <sheetViews>
    <sheetView view="pageBreakPreview" topLeftCell="B1" zoomScale="55" zoomScaleNormal="55" zoomScaleSheetLayoutView="55" workbookViewId="0">
      <selection activeCell="E6" sqref="E6"/>
    </sheetView>
  </sheetViews>
  <sheetFormatPr baseColWidth="10" defaultRowHeight="14.4" x14ac:dyDescent="0.3"/>
  <cols>
    <col min="1" max="1" width="13.44140625" bestFit="1" customWidth="1"/>
    <col min="2" max="2" width="19.5546875" customWidth="1"/>
    <col min="3" max="3" width="28.44140625" style="279" customWidth="1"/>
    <col min="4" max="4" width="120.33203125" customWidth="1"/>
    <col min="5" max="5" width="13.88671875" bestFit="1" customWidth="1"/>
    <col min="6" max="6" width="18.33203125" customWidth="1"/>
    <col min="7" max="7" width="56.6640625" customWidth="1"/>
    <col min="9" max="9" width="22.33203125" bestFit="1" customWidth="1"/>
    <col min="13" max="13" width="11.5546875" style="279"/>
  </cols>
  <sheetData>
    <row r="1" spans="1:13" ht="181.2" customHeight="1" x14ac:dyDescent="0.45">
      <c r="A1" s="332">
        <v>22</v>
      </c>
      <c r="B1" s="163"/>
      <c r="C1" s="178"/>
      <c r="D1" s="178"/>
      <c r="E1" s="178"/>
      <c r="F1" s="167"/>
      <c r="G1" s="167"/>
      <c r="H1" s="168" t="s">
        <v>1165</v>
      </c>
      <c r="I1" s="169">
        <f>'Panel de Trabajo'!D3</f>
        <v>45388</v>
      </c>
    </row>
    <row r="2" spans="1:13" ht="31.8" thickBot="1" x14ac:dyDescent="0.35">
      <c r="A2" s="332">
        <v>22</v>
      </c>
      <c r="B2" s="163"/>
      <c r="C2" s="1176" t="s">
        <v>1634</v>
      </c>
      <c r="D2" s="1176"/>
      <c r="E2" s="1176"/>
      <c r="F2" s="1176"/>
      <c r="G2" s="1176"/>
      <c r="H2" s="166"/>
      <c r="I2" s="166"/>
    </row>
    <row r="3" spans="1:13" ht="28.2" thickBot="1" x14ac:dyDescent="0.35">
      <c r="A3" s="162">
        <v>22</v>
      </c>
      <c r="B3" s="163"/>
      <c r="C3" s="1177" t="str">
        <f>CONCATENATE(UPPER(TEXT(I1,"DDDD")),", ",TEXT(I1,"DD")," DE ",UPPER(TEXT(I1,"MMMM"))," DEL AÑO ",TEXT(I1,"YYYY"),".")</f>
        <v>SÁBADO, 06 DE ABRIL DEL AÑO 2024.</v>
      </c>
      <c r="D3" s="1178"/>
      <c r="E3" s="1178"/>
      <c r="F3" s="1178"/>
      <c r="G3" s="1179"/>
      <c r="H3" s="166"/>
      <c r="I3" s="335"/>
    </row>
    <row r="4" spans="1:13" ht="31.2" x14ac:dyDescent="0.3">
      <c r="A4" s="162">
        <v>22</v>
      </c>
      <c r="B4" s="333"/>
      <c r="C4" s="1180" t="s">
        <v>1494</v>
      </c>
      <c r="D4" s="1181"/>
      <c r="E4" s="1181"/>
      <c r="F4" s="1181"/>
      <c r="G4" s="1181"/>
      <c r="H4" s="166"/>
      <c r="I4" s="165"/>
    </row>
    <row r="5" spans="1:13" ht="23.4" x14ac:dyDescent="0.3">
      <c r="A5" s="162">
        <v>22</v>
      </c>
      <c r="B5" s="162"/>
      <c r="C5" s="445" t="s">
        <v>886</v>
      </c>
      <c r="D5" s="446" t="s">
        <v>1091</v>
      </c>
      <c r="E5" s="445" t="s">
        <v>888</v>
      </c>
      <c r="F5" s="447" t="s">
        <v>831</v>
      </c>
      <c r="G5" s="447" t="s">
        <v>118</v>
      </c>
    </row>
    <row r="6" spans="1:13" ht="23.4" x14ac:dyDescent="0.3">
      <c r="A6" s="176">
        <f>IF(LEN(D6)&gt;2,22,0)</f>
        <v>22</v>
      </c>
      <c r="B6" s="176"/>
      <c r="C6" s="329" t="s">
        <v>781</v>
      </c>
      <c r="D6" s="377" t="str">
        <f>IFERROR(IF(VLOOKUP(C6,TURNOS_SERVICIOS,2,FALSE)=0,"-",VLOOKUP(C6,TURNOS_SERVICIOS,2,FALSE)),"-")</f>
        <v>MAYOR NAZAR OSSA JOAQUIN PAULO</v>
      </c>
      <c r="E6" s="336" t="str">
        <f>IFERROR(IF(VLOOKUP(C6,TURNOS_SERVICIOS,3,FALSE)=0,"-",VLOOKUP(C6,TURNOS_SERVICIOS,3,FALSE)),"-")</f>
        <v>J-1227</v>
      </c>
      <c r="F6" s="336" t="str">
        <f>IFERROR(IF(VLOOKUP(C6,TURNOS_SERVICIOS,4,FALSE)=0,"-",VLOOKUP(C6,TURNOS_SERVICIOS,4,FALSE)),"-")</f>
        <v>1P</v>
      </c>
      <c r="G6" s="336" t="str">
        <f>IFERROR(IF(VLOOKUP(C6,TURNOS_SERVICIOS,5,FALSE)=0,"-",VLOOKUP(C6,TURNOS_SERVICIOS,5,FALSE)),"-")</f>
        <v>COMISARIO</v>
      </c>
      <c r="H6" s="166"/>
      <c r="I6" s="165"/>
    </row>
    <row r="7" spans="1:13" ht="23.4" x14ac:dyDescent="0.3">
      <c r="A7" s="176">
        <f t="shared" ref="A7:A77" si="0">IF(LEN(D7)&gt;2,22,0)</f>
        <v>0</v>
      </c>
      <c r="B7" s="176"/>
      <c r="C7" s="330" t="s">
        <v>709</v>
      </c>
      <c r="D7" s="376" t="str">
        <f>IFERROR(IF(VLOOKUP(C7,TURNOS_SERVICIOS,2,FALSE)=0,"-",VLOOKUP(C7,TURNOS_SERVICIOS,2,FALSE)),"-")</f>
        <v>-</v>
      </c>
      <c r="E7" s="331" t="str">
        <f>IFERROR(IF(VLOOKUP(C7,TURNOS_SERVICIOS,3,FALSE)=0,"-",VLOOKUP(C7,TURNOS_SERVICIOS,3,FALSE)),"-")</f>
        <v>-</v>
      </c>
      <c r="F7" s="331" t="str">
        <f>IFERROR(IF(VLOOKUP(C7,TURNOS_SERVICIOS,4,FALSE)=0,"-",VLOOKUP(C7,TURNOS_SERVICIOS,4,FALSE)),"-")</f>
        <v>F</v>
      </c>
      <c r="G7" s="331" t="str">
        <f>IFERROR(IF(VLOOKUP(C7,TURNOS_SERVICIOS,5,FALSE)=0,"-",VLOOKUP(C7,TURNOS_SERVICIOS,5,FALSE)),"-")</f>
        <v xml:space="preserve">JEFE OPERATIVO </v>
      </c>
      <c r="H7" s="166"/>
      <c r="I7" s="165"/>
    </row>
    <row r="8" spans="1:13" ht="23.4" x14ac:dyDescent="0.3">
      <c r="A8" s="176">
        <f t="shared" si="0"/>
        <v>22</v>
      </c>
      <c r="B8" s="176"/>
      <c r="C8" s="329" t="s">
        <v>710</v>
      </c>
      <c r="D8" s="377" t="str">
        <f>IFERROR(IF(VLOOKUP(C8,TURNOS_SERVICIOS,2,FALSE)=0,"-",VLOOKUP(C8,TURNOS_SERVICIOS,2,FALSE)),"-")</f>
        <v>CAPITÁN ANDERS CONTRERAS LEONARDO IGNACIO</v>
      </c>
      <c r="E8" s="336" t="str">
        <f>IFERROR(IF(VLOOKUP(C8,TURNOS_SERVICIOS,3,FALSE)=0,"-",VLOOKUP(C8,TURNOS_SERVICIOS,3,FALSE)),"-")</f>
        <v>-</v>
      </c>
      <c r="F8" s="336" t="str">
        <f>IFERROR(IF(VLOOKUP(C8,TURNOS_SERVICIOS,4,FALSE)=0,"-",VLOOKUP(C8,TURNOS_SERVICIOS,4,FALSE)),"-")</f>
        <v>F</v>
      </c>
      <c r="G8" s="336" t="str">
        <f>IFERROR(IF(VLOOKUP(C8,TURNOS_SERVICIOS,5,FALSE)=0,"-",VLOOKUP(C8,TURNOS_SERVICIOS,5,FALSE)),"-")</f>
        <v xml:space="preserve">SUBCOM. SERV </v>
      </c>
      <c r="H8" s="166"/>
      <c r="I8" s="165"/>
    </row>
    <row r="9" spans="1:13" ht="23.4" x14ac:dyDescent="0.3">
      <c r="A9" s="176">
        <f t="shared" si="0"/>
        <v>22</v>
      </c>
      <c r="B9" s="176"/>
      <c r="C9" s="330" t="s">
        <v>698</v>
      </c>
      <c r="D9" s="376" t="str">
        <f>IFERROR(IF(VLOOKUP(C9,TURNOS_SERVICIOS,2,FALSE)=0,"-",VLOOKUP(C9,TURNOS_SERVICIOS,2,FALSE)),"-")</f>
        <v>CAPITÁN ACEVEDO MORALES ANGELO FELIPE</v>
      </c>
      <c r="E9" s="331" t="str">
        <f>IFERROR(IF(VLOOKUP(C9,TURNOS_SERVICIOS,3,FALSE)=0,"-",VLOOKUP(C9,TURNOS_SERVICIOS,3,FALSE)),"-")</f>
        <v xml:space="preserve"> </v>
      </c>
      <c r="F9" s="331" t="str">
        <f>IFERROR(IF(VLOOKUP(C9,TURNOS_SERVICIOS,4,FALSE)=0,"-",VLOOKUP(C9,TURNOS_SERVICIOS,4,FALSE)),"-")</f>
        <v>F</v>
      </c>
      <c r="G9" s="331" t="str">
        <f>IFERROR(IF(VLOOKUP(C9,TURNOS_SERVICIOS,5,FALSE)=0,"-",VLOOKUP(C9,TURNOS_SERVICIOS,5,FALSE)),"-")</f>
        <v>SUBCOM.  ADM.</v>
      </c>
      <c r="H9" s="166"/>
      <c r="I9" s="165"/>
    </row>
    <row r="10" spans="1:13" ht="23.4" x14ac:dyDescent="0.3">
      <c r="A10" s="176">
        <f t="shared" si="0"/>
        <v>0</v>
      </c>
      <c r="B10" s="176"/>
      <c r="C10" s="329" t="s">
        <v>699</v>
      </c>
      <c r="D10" s="377" t="str">
        <f>IFERROR(IF(VLOOKUP(C10,TURNOS_SERVICIOS,2,FALSE)=0,"-",VLOOKUP(C10,TURNOS_SERVICIOS,2,FALSE)),"-")</f>
        <v>-</v>
      </c>
      <c r="E10" s="336" t="str">
        <f>IFERROR(IF(VLOOKUP(C10,TURNOS_SERVICIOS,3,FALSE)=0,"-",VLOOKUP(C10,TURNOS_SERVICIOS,3,FALSE)),"-")</f>
        <v>-</v>
      </c>
      <c r="F10" s="336" t="str">
        <f>IFERROR(IF(VLOOKUP(C10,TURNOS_SERVICIOS,4,FALSE)=0,"-",VLOOKUP(C10,TURNOS_SERVICIOS,4,FALSE)),"-")</f>
        <v/>
      </c>
      <c r="G10" s="336" t="str">
        <f>IFERROR(IF(VLOOKUP(C10,TURNOS_SERVICIOS,5,FALSE)=0,"-",VLOOKUP(C10,TURNOS_SERVICIOS,5,FALSE)),"-")</f>
        <v/>
      </c>
      <c r="H10" s="166"/>
      <c r="I10" s="165"/>
    </row>
    <row r="11" spans="1:13" ht="31.2" x14ac:dyDescent="0.3">
      <c r="A11" s="162">
        <v>22</v>
      </c>
      <c r="B11" s="333"/>
      <c r="C11" s="1180" t="s">
        <v>1635</v>
      </c>
      <c r="D11" s="1181"/>
      <c r="E11" s="1181"/>
      <c r="F11" s="1181"/>
      <c r="G11" s="1181"/>
      <c r="H11" s="166"/>
      <c r="I11" s="165"/>
    </row>
    <row r="12" spans="1:13" ht="23.4" x14ac:dyDescent="0.3">
      <c r="A12" s="176">
        <v>22</v>
      </c>
      <c r="B12" s="176"/>
      <c r="C12" s="329" t="s">
        <v>224</v>
      </c>
      <c r="D12" s="377" t="str">
        <f t="shared" ref="D12:D23" si="1">IFERROR(IF(VLOOKUP(C12,TURNOS_SERVICIOS,2,FALSE)=0,"NO DESIGNADO",VLOOKUP(C12,TURNOS_SERVICIOS,2,FALSE)),"NO DESIGNADO")</f>
        <v>CAPITÁN ELGUETA ARAVENA BORIS WALTER</v>
      </c>
      <c r="E12" s="336" t="str">
        <f t="shared" ref="E12:E23" si="2">IFERROR(IF(VLOOKUP(C12,TURNOS_SERVICIOS,3,FALSE)=0,"-",VLOOKUP(C12,TURNOS_SERVICIOS,3,FALSE)),"-")</f>
        <v>B-646</v>
      </c>
      <c r="F12" s="336" t="str">
        <f t="shared" ref="F12:F23" si="3">IF(VLOOKUP(C12,TURNOS_SERVICIOS,4,FALSE)=0,"-",VLOOKUP(C12,TURNOS_SERVICIOS,4,FALSE))</f>
        <v>1P</v>
      </c>
      <c r="G12" s="336" t="str">
        <f t="shared" ref="G12:G23" si="4">IF(VLOOKUP(C12,TURNOS_SERVICIOS,5,FALSE)=0,"-",VLOOKUP(C12,TURNOS_SERVICIOS,5,FALSE))</f>
        <v>JEFE APS</v>
      </c>
      <c r="H12" s="166"/>
      <c r="I12" s="165"/>
      <c r="M12"/>
    </row>
    <row r="13" spans="1:13" ht="23.4" x14ac:dyDescent="0.3">
      <c r="A13" s="176">
        <f t="shared" si="0"/>
        <v>22</v>
      </c>
      <c r="B13" s="176"/>
      <c r="C13" s="330" t="s">
        <v>241</v>
      </c>
      <c r="D13" s="376" t="str">
        <f t="shared" si="1"/>
        <v>CAPITÁN SANCHEZ CASTRO VICTOR MANUEL</v>
      </c>
      <c r="E13" s="334" t="str">
        <f t="shared" si="2"/>
        <v xml:space="preserve"> </v>
      </c>
      <c r="F13" s="334" t="str">
        <f t="shared" si="3"/>
        <v>F</v>
      </c>
      <c r="G13" s="334" t="str">
        <f t="shared" si="4"/>
        <v>FRANCO</v>
      </c>
      <c r="H13" s="166"/>
      <c r="I13" s="165"/>
    </row>
    <row r="14" spans="1:13" ht="23.4" x14ac:dyDescent="0.3">
      <c r="A14" s="176">
        <f t="shared" si="0"/>
        <v>22</v>
      </c>
      <c r="B14" s="176"/>
      <c r="C14" s="329" t="s">
        <v>251</v>
      </c>
      <c r="D14" s="377" t="str">
        <f t="shared" si="1"/>
        <v>TENIENTE NAVARRO VELASQUEZ RODOLFO</v>
      </c>
      <c r="E14" s="336" t="str">
        <f t="shared" si="2"/>
        <v>J-1228</v>
      </c>
      <c r="F14" s="336" t="str">
        <f t="shared" si="3"/>
        <v>1P</v>
      </c>
      <c r="G14" s="336" t="str">
        <f t="shared" si="4"/>
        <v>BAQUEDANO</v>
      </c>
      <c r="H14" s="166"/>
      <c r="I14" s="165"/>
    </row>
    <row r="15" spans="1:13" ht="23.4" x14ac:dyDescent="0.3">
      <c r="A15" s="176">
        <f t="shared" si="0"/>
        <v>22</v>
      </c>
      <c r="B15" s="176"/>
      <c r="C15" s="330" t="s">
        <v>252</v>
      </c>
      <c r="D15" s="376" t="str">
        <f t="shared" si="1"/>
        <v>TENIENTE ZULOAGA MUÑOZ SEBASTIAN ALEJANDRO</v>
      </c>
      <c r="E15" s="334" t="str">
        <f t="shared" si="2"/>
        <v>J-032</v>
      </c>
      <c r="F15" s="334" t="str">
        <f t="shared" si="3"/>
        <v>2P</v>
      </c>
      <c r="G15" s="334" t="str">
        <f t="shared" si="4"/>
        <v>ARIETE NOCTURNO</v>
      </c>
      <c r="H15" s="166"/>
      <c r="I15" s="165"/>
      <c r="M15"/>
    </row>
    <row r="16" spans="1:13" ht="23.4" x14ac:dyDescent="0.3">
      <c r="A16" s="176">
        <f t="shared" si="0"/>
        <v>22</v>
      </c>
      <c r="B16" s="176"/>
      <c r="C16" s="329" t="s">
        <v>242</v>
      </c>
      <c r="D16" s="377" t="str">
        <f t="shared" si="1"/>
        <v>TENIENTE PALAVECINO LLANOS CAROLINA VIVIANA</v>
      </c>
      <c r="E16" s="336" t="str">
        <f t="shared" si="2"/>
        <v xml:space="preserve"> </v>
      </c>
      <c r="F16" s="336" t="str">
        <f t="shared" si="3"/>
        <v>SN</v>
      </c>
      <c r="G16" s="336" t="str">
        <f t="shared" si="4"/>
        <v>SALIENTE DE SERVICIO</v>
      </c>
      <c r="H16" s="166"/>
      <c r="I16" s="165"/>
    </row>
    <row r="17" spans="1:13" ht="23.4" x14ac:dyDescent="0.3">
      <c r="A17" s="176">
        <f t="shared" si="0"/>
        <v>0</v>
      </c>
      <c r="B17" s="176"/>
      <c r="C17" s="330" t="s">
        <v>199</v>
      </c>
      <c r="D17" s="376" t="str">
        <f t="shared" si="1"/>
        <v>-</v>
      </c>
      <c r="E17" s="334" t="str">
        <f t="shared" si="2"/>
        <v>-</v>
      </c>
      <c r="F17" s="334" t="str">
        <f t="shared" si="3"/>
        <v/>
      </c>
      <c r="G17" s="334" t="str">
        <f t="shared" si="4"/>
        <v/>
      </c>
      <c r="H17" s="166"/>
      <c r="I17" s="165"/>
    </row>
    <row r="18" spans="1:13" ht="23.4" x14ac:dyDescent="0.3">
      <c r="A18" s="176">
        <f t="shared" si="0"/>
        <v>22</v>
      </c>
      <c r="B18" s="176"/>
      <c r="C18" s="329" t="s">
        <v>667</v>
      </c>
      <c r="D18" s="377" t="str">
        <f t="shared" si="1"/>
        <v>TENIENTE ESCOBAR PEREZ MATIAS</v>
      </c>
      <c r="E18" s="336" t="str">
        <f t="shared" si="2"/>
        <v>-</v>
      </c>
      <c r="F18" s="336" t="str">
        <f t="shared" si="3"/>
        <v>1T</v>
      </c>
      <c r="G18" s="336" t="str">
        <f t="shared" si="4"/>
        <v>APRESTO</v>
      </c>
      <c r="H18" s="166"/>
      <c r="I18" s="165"/>
    </row>
    <row r="19" spans="1:13" ht="23.4" x14ac:dyDescent="0.3">
      <c r="A19" s="176">
        <f t="shared" si="0"/>
        <v>22</v>
      </c>
      <c r="B19" s="176"/>
      <c r="C19" s="330" t="s">
        <v>668</v>
      </c>
      <c r="D19" s="376" t="str">
        <f t="shared" si="1"/>
        <v>TENIENTE SAENS SUAREZ GASPAR ALONSO</v>
      </c>
      <c r="E19" s="334" t="str">
        <f t="shared" si="2"/>
        <v xml:space="preserve"> </v>
      </c>
      <c r="F19" s="334" t="str">
        <f t="shared" si="3"/>
        <v>F</v>
      </c>
      <c r="G19" s="334" t="str">
        <f t="shared" si="4"/>
        <v>FRANCO</v>
      </c>
      <c r="H19" s="166"/>
      <c r="I19" s="165"/>
    </row>
    <row r="20" spans="1:13" ht="23.4" x14ac:dyDescent="0.3">
      <c r="A20" s="176">
        <f t="shared" si="0"/>
        <v>0</v>
      </c>
      <c r="B20" s="176"/>
      <c r="C20" s="329" t="s">
        <v>669</v>
      </c>
      <c r="D20" s="377" t="str">
        <f t="shared" si="1"/>
        <v>-</v>
      </c>
      <c r="E20" s="336" t="str">
        <f t="shared" si="2"/>
        <v>-</v>
      </c>
      <c r="F20" s="336" t="str">
        <f t="shared" si="3"/>
        <v/>
      </c>
      <c r="G20" s="336" t="str">
        <f t="shared" si="4"/>
        <v/>
      </c>
      <c r="H20" s="166"/>
      <c r="I20" s="165"/>
    </row>
    <row r="21" spans="1:13" ht="23.4" x14ac:dyDescent="0.3">
      <c r="A21" s="176">
        <f t="shared" si="0"/>
        <v>22</v>
      </c>
      <c r="B21" s="176"/>
      <c r="C21" s="330" t="s">
        <v>670</v>
      </c>
      <c r="D21" s="376" t="str">
        <f t="shared" si="1"/>
        <v>TENIENTE MORAGA RUIZ MARIO IGNACIO</v>
      </c>
      <c r="E21" s="334" t="str">
        <f t="shared" si="2"/>
        <v>B-687</v>
      </c>
      <c r="F21" s="334" t="str">
        <f t="shared" si="3"/>
        <v>3T</v>
      </c>
      <c r="G21" s="334" t="str">
        <f t="shared" si="4"/>
        <v>APS</v>
      </c>
      <c r="H21" s="166"/>
      <c r="I21" s="165"/>
      <c r="M21"/>
    </row>
    <row r="22" spans="1:13" ht="23.4" x14ac:dyDescent="0.3">
      <c r="A22" s="176">
        <f t="shared" si="0"/>
        <v>22</v>
      </c>
      <c r="B22" s="176"/>
      <c r="C22" s="329" t="s">
        <v>827</v>
      </c>
      <c r="D22" s="377" t="str">
        <f t="shared" si="1"/>
        <v>TENIENTE HUERTA BOHUS PATRICIO ALEJANDRO</v>
      </c>
      <c r="E22" s="336" t="str">
        <f t="shared" si="2"/>
        <v xml:space="preserve"> </v>
      </c>
      <c r="F22" s="336" t="str">
        <f t="shared" si="3"/>
        <v>F</v>
      </c>
      <c r="G22" s="336" t="str">
        <f t="shared" si="4"/>
        <v>FRANCO</v>
      </c>
      <c r="H22" s="166"/>
      <c r="I22" s="165"/>
      <c r="M22"/>
    </row>
    <row r="23" spans="1:13" ht="23.4" x14ac:dyDescent="0.3">
      <c r="A23" s="176">
        <f t="shared" si="0"/>
        <v>22</v>
      </c>
      <c r="B23" s="176"/>
      <c r="C23" s="330" t="s">
        <v>829</v>
      </c>
      <c r="D23" s="376" t="str">
        <f t="shared" si="1"/>
        <v>TENIENTE LEPIN SOLAR MAXIMILIANO ARTURO</v>
      </c>
      <c r="E23" s="334" t="str">
        <f t="shared" si="2"/>
        <v>J-010</v>
      </c>
      <c r="F23" s="334" t="str">
        <f t="shared" si="3"/>
        <v>1P</v>
      </c>
      <c r="G23" s="334" t="str">
        <f t="shared" si="4"/>
        <v>ARIETE 22</v>
      </c>
      <c r="H23" s="166"/>
      <c r="I23" s="165"/>
    </row>
    <row r="24" spans="1:13" ht="23.4" x14ac:dyDescent="0.3">
      <c r="A24" s="176">
        <f t="shared" si="0"/>
        <v>0</v>
      </c>
      <c r="B24" s="330" t="s">
        <v>1510</v>
      </c>
      <c r="C24" s="329" t="s">
        <v>1522</v>
      </c>
      <c r="D24" s="377" t="str">
        <f t="shared" ref="D24:D29" si="5">IFERROR(IF(VLOOKUP(B24,TURNOS_SERVICIOS,2,FALSE)=0,"NO DESIGNADO",VLOOKUP(B24,TURNOS_SERVICIOS,2,FALSE)),"NO DESIGNADO")</f>
        <v>-</v>
      </c>
      <c r="E24" s="336" t="str">
        <f t="shared" ref="E24:E29" si="6">IFERROR(IF(VLOOKUP(B24,TURNOS_SERVICIOS,3,FALSE)=0,"-",VLOOKUP(B24,TURNOS_SERVICIOS,3,FALSE)),"-")</f>
        <v>-</v>
      </c>
      <c r="F24" s="336" t="str">
        <f t="shared" ref="F24:F29" si="7">IF(VLOOKUP(B24,TURNOS_SERVICIOS,4,FALSE)=0,"-",VLOOKUP(B24,TURNOS_SERVICIOS,4,FALSE))</f>
        <v/>
      </c>
      <c r="G24" s="336" t="str">
        <f t="shared" ref="G24:G29" si="8">IF(VLOOKUP(B24,TURNOS_SERVICIOS,5,FALSE)=0,"-",VLOOKUP(B24,TURNOS_SERVICIOS,5,FALSE))</f>
        <v/>
      </c>
      <c r="H24" s="166"/>
      <c r="I24" s="165"/>
      <c r="M24"/>
    </row>
    <row r="25" spans="1:13" ht="23.4" x14ac:dyDescent="0.3">
      <c r="A25" s="176">
        <f t="shared" si="0"/>
        <v>0</v>
      </c>
      <c r="B25" s="330" t="s">
        <v>1511</v>
      </c>
      <c r="C25" s="330" t="s">
        <v>1522</v>
      </c>
      <c r="D25" s="376" t="str">
        <f t="shared" si="5"/>
        <v>-</v>
      </c>
      <c r="E25" s="334" t="str">
        <f t="shared" si="6"/>
        <v>-</v>
      </c>
      <c r="F25" s="334" t="str">
        <f t="shared" si="7"/>
        <v/>
      </c>
      <c r="G25" s="334" t="str">
        <f t="shared" si="8"/>
        <v/>
      </c>
      <c r="H25" s="166"/>
      <c r="I25" s="165"/>
    </row>
    <row r="26" spans="1:13" ht="23.4" x14ac:dyDescent="0.3">
      <c r="A26" s="176">
        <f t="shared" si="0"/>
        <v>0</v>
      </c>
      <c r="B26" s="330" t="s">
        <v>1512</v>
      </c>
      <c r="C26" s="329" t="s">
        <v>1522</v>
      </c>
      <c r="D26" s="377" t="str">
        <f t="shared" si="5"/>
        <v>-</v>
      </c>
      <c r="E26" s="336" t="str">
        <f t="shared" si="6"/>
        <v>-</v>
      </c>
      <c r="F26" s="336" t="str">
        <f t="shared" si="7"/>
        <v/>
      </c>
      <c r="G26" s="336" t="str">
        <f t="shared" si="8"/>
        <v/>
      </c>
      <c r="H26" s="166"/>
      <c r="I26" s="165"/>
      <c r="M26"/>
    </row>
    <row r="27" spans="1:13" ht="23.4" x14ac:dyDescent="0.3">
      <c r="A27" s="176">
        <f t="shared" si="0"/>
        <v>0</v>
      </c>
      <c r="B27" s="330" t="s">
        <v>1513</v>
      </c>
      <c r="C27" s="330" t="s">
        <v>1522</v>
      </c>
      <c r="D27" s="376" t="str">
        <f t="shared" si="5"/>
        <v>-</v>
      </c>
      <c r="E27" s="334" t="str">
        <f t="shared" si="6"/>
        <v>-</v>
      </c>
      <c r="F27" s="334" t="str">
        <f t="shared" si="7"/>
        <v/>
      </c>
      <c r="G27" s="334" t="str">
        <f t="shared" si="8"/>
        <v/>
      </c>
      <c r="H27" s="166"/>
      <c r="I27" s="165"/>
      <c r="M27"/>
    </row>
    <row r="28" spans="1:13" ht="23.4" x14ac:dyDescent="0.3">
      <c r="A28" s="176">
        <f t="shared" si="0"/>
        <v>22</v>
      </c>
      <c r="B28" s="330" t="s">
        <v>1514</v>
      </c>
      <c r="C28" s="329" t="s">
        <v>1522</v>
      </c>
      <c r="D28" s="377" t="str">
        <f t="shared" si="5"/>
        <v>S.O.M. MUÑOZ CORTES JUAN JERVACIO</v>
      </c>
      <c r="E28" s="336" t="str">
        <f t="shared" si="6"/>
        <v>-</v>
      </c>
      <c r="F28" s="336" t="str">
        <f t="shared" si="7"/>
        <v>F</v>
      </c>
      <c r="G28" s="336" t="str">
        <f t="shared" si="8"/>
        <v>FRANCO</v>
      </c>
      <c r="H28" s="166"/>
      <c r="I28" s="165"/>
    </row>
    <row r="29" spans="1:13" ht="23.4" x14ac:dyDescent="0.3">
      <c r="A29" s="176">
        <f t="shared" si="0"/>
        <v>0</v>
      </c>
      <c r="B29" s="330" t="s">
        <v>1515</v>
      </c>
      <c r="C29" s="330" t="s">
        <v>1522</v>
      </c>
      <c r="D29" s="376" t="str">
        <f t="shared" si="5"/>
        <v>-</v>
      </c>
      <c r="E29" s="334" t="str">
        <f t="shared" si="6"/>
        <v>-</v>
      </c>
      <c r="F29" s="334" t="str">
        <f t="shared" si="7"/>
        <v/>
      </c>
      <c r="G29" s="334" t="str">
        <f t="shared" si="8"/>
        <v/>
      </c>
      <c r="H29" s="166"/>
      <c r="I29" s="165"/>
    </row>
    <row r="30" spans="1:13" ht="31.2" x14ac:dyDescent="0.3">
      <c r="A30" s="162">
        <v>22</v>
      </c>
      <c r="B30" s="333"/>
      <c r="C30" s="1180" t="s">
        <v>1691</v>
      </c>
      <c r="D30" s="1181"/>
      <c r="E30" s="1181"/>
      <c r="F30" s="1181"/>
      <c r="G30" s="1181"/>
      <c r="H30" s="166"/>
      <c r="I30" s="165"/>
    </row>
    <row r="31" spans="1:13" ht="23.4" x14ac:dyDescent="0.3">
      <c r="A31" s="162">
        <v>22</v>
      </c>
      <c r="B31" s="333"/>
      <c r="C31" s="1173" t="s">
        <v>1684</v>
      </c>
      <c r="D31" s="1174"/>
      <c r="E31" s="1174"/>
      <c r="F31" s="1174"/>
      <c r="G31" s="1175"/>
      <c r="H31" s="166"/>
      <c r="I31" s="165"/>
    </row>
    <row r="32" spans="1:13" ht="23.4" x14ac:dyDescent="0.3">
      <c r="A32" s="378">
        <v>22</v>
      </c>
      <c r="B32" s="42"/>
      <c r="C32" s="329" t="s">
        <v>714</v>
      </c>
      <c r="D32" s="377" t="str">
        <f t="shared" ref="D32:D84" si="9">IFERROR(IF(VLOOKUP(C32,TURNOS_SERVICIOS,2,FALSE)=0,"NO DESIGNADO",VLOOKUP(C32,TURNOS_SERVICIOS,2,FALSE)),"NO DESIGNADO")</f>
        <v>TENIENTE DIAZ CARCAMO OLGA ELIZABETH</v>
      </c>
      <c r="E32" s="336" t="str">
        <f t="shared" ref="E32:E37" si="10">IFERROR(IF(VLOOKUP(C32,TURNOS_SERVICIOS,3,FALSE)=0,"-",VLOOKUP(C32,TURNOS_SERVICIOS,3,FALSE)),"-")</f>
        <v>B-645</v>
      </c>
      <c r="F32" s="336" t="str">
        <f t="shared" ref="F32:F84" si="11">IFERROR(IF(VLOOKUP(C32,TURNOS_SERVICIOS,4,FALSE)=0,"-",VLOOKUP(C32,TURNOS_SERVICIOS,4,FALSE)),0)</f>
        <v>1P</v>
      </c>
      <c r="G32" s="336" t="str">
        <f t="shared" ref="G32:G84" si="12">IFERROR(IF(VLOOKUP(C32,TURNOS_SERVICIOS,5,FALSE)=0,"-",VLOOKUP(C32,TURNOS_SERVICIOS,5,FALSE)),0)</f>
        <v>BAQUEDANO</v>
      </c>
      <c r="H32" s="166"/>
      <c r="I32" s="165"/>
    </row>
    <row r="33" spans="1:13" ht="23.4" x14ac:dyDescent="0.3">
      <c r="A33" s="176">
        <f t="shared" si="0"/>
        <v>0</v>
      </c>
      <c r="B33" s="42"/>
      <c r="C33" s="329" t="s">
        <v>1235</v>
      </c>
      <c r="D33" s="377" t="str">
        <f t="shared" si="9"/>
        <v>-</v>
      </c>
      <c r="E33" s="336" t="str">
        <f t="shared" si="10"/>
        <v>-</v>
      </c>
      <c r="F33" s="336" t="str">
        <f t="shared" si="11"/>
        <v/>
      </c>
      <c r="G33" s="336" t="str">
        <f t="shared" si="12"/>
        <v/>
      </c>
      <c r="H33" s="166"/>
      <c r="I33" s="165"/>
      <c r="M33"/>
    </row>
    <row r="34" spans="1:13" ht="23.4" x14ac:dyDescent="0.3">
      <c r="A34" s="378">
        <v>22</v>
      </c>
      <c r="B34" s="42"/>
      <c r="C34" s="330" t="s">
        <v>726</v>
      </c>
      <c r="D34" s="376" t="str">
        <f t="shared" si="9"/>
        <v>SGTO 1RO. CORTES VARA MARCO EDGARDO              (T-J)</v>
      </c>
      <c r="E34" s="334" t="str">
        <f t="shared" si="10"/>
        <v>B-647</v>
      </c>
      <c r="F34" s="334" t="str">
        <f t="shared" si="11"/>
        <v>1P</v>
      </c>
      <c r="G34" s="334" t="str">
        <f t="shared" si="12"/>
        <v>MONUMENTO</v>
      </c>
      <c r="H34" s="166"/>
      <c r="I34" s="165"/>
    </row>
    <row r="35" spans="1:13" ht="23.4" x14ac:dyDescent="0.3">
      <c r="A35" s="176">
        <f t="shared" si="0"/>
        <v>0</v>
      </c>
      <c r="B35" s="42"/>
      <c r="C35" s="330" t="s">
        <v>1236</v>
      </c>
      <c r="D35" s="376" t="str">
        <f t="shared" si="9"/>
        <v>-</v>
      </c>
      <c r="E35" s="334" t="str">
        <f t="shared" si="10"/>
        <v>-</v>
      </c>
      <c r="F35" s="334" t="str">
        <f t="shared" si="11"/>
        <v/>
      </c>
      <c r="G35" s="334" t="str">
        <f t="shared" si="12"/>
        <v/>
      </c>
      <c r="H35" s="166"/>
      <c r="I35" s="165"/>
      <c r="M35"/>
    </row>
    <row r="36" spans="1:13" ht="23.4" x14ac:dyDescent="0.3">
      <c r="A36" s="378">
        <v>22</v>
      </c>
      <c r="B36" s="42"/>
      <c r="C36" s="329" t="s">
        <v>713</v>
      </c>
      <c r="D36" s="377" t="str">
        <f t="shared" si="9"/>
        <v>SGTO 2DO. CORTES GALLARDO JAVIER ALBERTO</v>
      </c>
      <c r="E36" s="336" t="str">
        <f t="shared" si="10"/>
        <v>B-499</v>
      </c>
      <c r="F36" s="336" t="str">
        <f t="shared" si="11"/>
        <v>1P</v>
      </c>
      <c r="G36" s="336" t="str">
        <f t="shared" si="12"/>
        <v>LEGUA</v>
      </c>
      <c r="H36" s="166"/>
      <c r="I36" s="165"/>
    </row>
    <row r="37" spans="1:13" ht="23.4" x14ac:dyDescent="0.3">
      <c r="A37" s="176">
        <f t="shared" si="0"/>
        <v>0</v>
      </c>
      <c r="B37" s="42"/>
      <c r="C37" s="329" t="s">
        <v>1237</v>
      </c>
      <c r="D37" s="377" t="str">
        <f t="shared" si="9"/>
        <v>-</v>
      </c>
      <c r="E37" s="336" t="str">
        <f t="shared" si="10"/>
        <v>-</v>
      </c>
      <c r="F37" s="336" t="str">
        <f t="shared" si="11"/>
        <v/>
      </c>
      <c r="G37" s="336" t="str">
        <f t="shared" si="12"/>
        <v/>
      </c>
      <c r="H37" s="166"/>
      <c r="I37" s="165"/>
      <c r="M37"/>
    </row>
    <row r="38" spans="1:13" ht="23.4" x14ac:dyDescent="0.3">
      <c r="A38" s="162">
        <v>22</v>
      </c>
      <c r="B38" s="333"/>
      <c r="C38" s="1173" t="s">
        <v>1685</v>
      </c>
      <c r="D38" s="1174"/>
      <c r="E38" s="1174"/>
      <c r="F38" s="1174"/>
      <c r="G38" s="1175"/>
      <c r="H38" s="166"/>
      <c r="I38" s="165"/>
    </row>
    <row r="39" spans="1:13" ht="23.4" x14ac:dyDescent="0.3">
      <c r="A39" s="378">
        <v>22</v>
      </c>
      <c r="B39" s="42"/>
      <c r="C39" s="330" t="s">
        <v>740</v>
      </c>
      <c r="D39" s="376" t="str">
        <f t="shared" si="9"/>
        <v>SUBOFICIAL ROSALES CALDERON MARCO ANTONIO ( T )</v>
      </c>
      <c r="E39" s="334" t="str">
        <f t="shared" ref="E39:E44" si="13">IFERROR(IF(VLOOKUP(C39,TURNOS_SERVICIOS,3,FALSE)=0,"-",VLOOKUP(C39,TURNOS_SERVICIOS,3,FALSE)),"-")</f>
        <v>B-681</v>
      </c>
      <c r="F39" s="334" t="str">
        <f t="shared" si="11"/>
        <v>3T</v>
      </c>
      <c r="G39" s="334" t="str">
        <f t="shared" si="12"/>
        <v>APS</v>
      </c>
      <c r="H39" s="166"/>
      <c r="I39" s="165"/>
    </row>
    <row r="40" spans="1:13" ht="23.4" x14ac:dyDescent="0.3">
      <c r="A40" s="176">
        <f t="shared" si="0"/>
        <v>0</v>
      </c>
      <c r="B40" s="42"/>
      <c r="C40" s="330" t="s">
        <v>1238</v>
      </c>
      <c r="D40" s="376" t="str">
        <f t="shared" si="9"/>
        <v>-</v>
      </c>
      <c r="E40" s="334" t="str">
        <f t="shared" si="13"/>
        <v>-</v>
      </c>
      <c r="F40" s="334" t="str">
        <f t="shared" si="11"/>
        <v/>
      </c>
      <c r="G40" s="334" t="str">
        <f t="shared" si="12"/>
        <v/>
      </c>
      <c r="H40" s="166"/>
      <c r="I40" s="165"/>
      <c r="M40"/>
    </row>
    <row r="41" spans="1:13" ht="23.4" x14ac:dyDescent="0.3">
      <c r="A41" s="378">
        <v>22</v>
      </c>
      <c r="B41" s="42"/>
      <c r="C41" s="329" t="s">
        <v>702</v>
      </c>
      <c r="D41" s="377" t="str">
        <f t="shared" si="9"/>
        <v>SGTO 2DO. HERNANDEZ CRUCES DIEGO ESTEBAN              (T - P- S)</v>
      </c>
      <c r="E41" s="336" t="str">
        <f t="shared" si="13"/>
        <v>B-686</v>
      </c>
      <c r="F41" s="336" t="str">
        <f t="shared" si="11"/>
        <v>2P</v>
      </c>
      <c r="G41" s="336" t="str">
        <f t="shared" si="12"/>
        <v>MONUMENTO / BAQUEDANO</v>
      </c>
      <c r="H41" s="166"/>
      <c r="I41" s="165"/>
    </row>
    <row r="42" spans="1:13" ht="23.4" x14ac:dyDescent="0.3">
      <c r="A42" s="176">
        <f t="shared" si="0"/>
        <v>0</v>
      </c>
      <c r="B42" s="42"/>
      <c r="C42" s="329" t="s">
        <v>1239</v>
      </c>
      <c r="D42" s="377" t="str">
        <f t="shared" si="9"/>
        <v>-</v>
      </c>
      <c r="E42" s="336" t="str">
        <f t="shared" si="13"/>
        <v>-</v>
      </c>
      <c r="F42" s="336" t="str">
        <f t="shared" si="11"/>
        <v/>
      </c>
      <c r="G42" s="336" t="str">
        <f t="shared" si="12"/>
        <v/>
      </c>
      <c r="H42" s="166"/>
      <c r="I42" s="165"/>
      <c r="M42"/>
    </row>
    <row r="43" spans="1:13" ht="23.4" x14ac:dyDescent="0.3">
      <c r="A43" s="378">
        <v>22</v>
      </c>
      <c r="B43" s="42"/>
      <c r="C43" s="330" t="s">
        <v>742</v>
      </c>
      <c r="D43" s="376" t="str">
        <f t="shared" si="9"/>
        <v>SUBOFICIAL BRAVO VALDERRAMA OSCAR MAURICIO</v>
      </c>
      <c r="E43" s="334" t="str">
        <f t="shared" si="13"/>
        <v>B-499</v>
      </c>
      <c r="F43" s="334" t="str">
        <f t="shared" si="11"/>
        <v>3T</v>
      </c>
      <c r="G43" s="334" t="str">
        <f t="shared" si="12"/>
        <v>APS</v>
      </c>
      <c r="H43" s="166"/>
      <c r="I43" s="165"/>
    </row>
    <row r="44" spans="1:13" ht="23.4" x14ac:dyDescent="0.3">
      <c r="A44" s="176">
        <f t="shared" si="0"/>
        <v>0</v>
      </c>
      <c r="B44" s="42"/>
      <c r="C44" s="330" t="s">
        <v>1240</v>
      </c>
      <c r="D44" s="376" t="str">
        <f t="shared" si="9"/>
        <v>-</v>
      </c>
      <c r="E44" s="334" t="str">
        <f t="shared" si="13"/>
        <v>-</v>
      </c>
      <c r="F44" s="334" t="str">
        <f t="shared" si="11"/>
        <v/>
      </c>
      <c r="G44" s="334" t="str">
        <f t="shared" si="12"/>
        <v/>
      </c>
      <c r="H44" s="166"/>
      <c r="I44" s="165"/>
      <c r="M44"/>
    </row>
    <row r="45" spans="1:13" ht="23.4" x14ac:dyDescent="0.3">
      <c r="A45" s="162">
        <v>22</v>
      </c>
      <c r="B45" s="333"/>
      <c r="C45" s="1173" t="s">
        <v>1686</v>
      </c>
      <c r="D45" s="1174"/>
      <c r="E45" s="1174"/>
      <c r="F45" s="1174"/>
      <c r="G45" s="1175"/>
      <c r="H45" s="166"/>
      <c r="I45" s="165"/>
    </row>
    <row r="46" spans="1:13" ht="23.4" x14ac:dyDescent="0.3">
      <c r="A46" s="378">
        <v>22</v>
      </c>
      <c r="B46" s="42"/>
      <c r="C46" s="329" t="s">
        <v>712</v>
      </c>
      <c r="D46" s="377" t="str">
        <f t="shared" si="9"/>
        <v>SGTO 1RO. ZEPEDA SANTOS ALEX ALEJANDRO</v>
      </c>
      <c r="E46" s="336" t="str">
        <f t="shared" ref="E46:E51" si="14">IFERROR(IF(VLOOKUP(C46,TURNOS_SERVICIOS,3,FALSE)=0,"-",VLOOKUP(C46,TURNOS_SERVICIOS,3,FALSE)),"-")</f>
        <v>-</v>
      </c>
      <c r="F46" s="336" t="str">
        <f t="shared" si="11"/>
        <v>SN</v>
      </c>
      <c r="G46" s="336" t="str">
        <f t="shared" si="12"/>
        <v>SALIENTE SERVICIO</v>
      </c>
      <c r="H46" s="166"/>
      <c r="I46" s="165"/>
    </row>
    <row r="47" spans="1:13" ht="23.4" x14ac:dyDescent="0.3">
      <c r="A47" s="176">
        <f t="shared" si="0"/>
        <v>0</v>
      </c>
      <c r="B47" s="42"/>
      <c r="C47" s="329" t="s">
        <v>1241</v>
      </c>
      <c r="D47" s="377" t="str">
        <f t="shared" si="9"/>
        <v>-</v>
      </c>
      <c r="E47" s="336" t="str">
        <f t="shared" si="14"/>
        <v>-</v>
      </c>
      <c r="F47" s="336" t="str">
        <f t="shared" si="11"/>
        <v/>
      </c>
      <c r="G47" s="336" t="str">
        <f t="shared" si="12"/>
        <v/>
      </c>
      <c r="H47" s="166"/>
      <c r="I47" s="165"/>
      <c r="M47"/>
    </row>
    <row r="48" spans="1:13" ht="23.4" x14ac:dyDescent="0.3">
      <c r="A48" s="378">
        <v>22</v>
      </c>
      <c r="B48" s="42"/>
      <c r="C48" s="330" t="s">
        <v>701</v>
      </c>
      <c r="D48" s="376" t="str">
        <f t="shared" si="9"/>
        <v>SGTO 1RO. MORALES LEVIO MARCO ANTONIO</v>
      </c>
      <c r="E48" s="334" t="str">
        <f t="shared" si="14"/>
        <v>-</v>
      </c>
      <c r="F48" s="334" t="str">
        <f t="shared" si="11"/>
        <v>SN</v>
      </c>
      <c r="G48" s="334" t="str">
        <f t="shared" si="12"/>
        <v>SALIENTE SERVICIO</v>
      </c>
      <c r="H48" s="166"/>
      <c r="I48" s="165"/>
    </row>
    <row r="49" spans="1:13" ht="23.4" x14ac:dyDescent="0.3">
      <c r="A49" s="176">
        <f t="shared" si="0"/>
        <v>0</v>
      </c>
      <c r="B49" s="42"/>
      <c r="C49" s="330" t="s">
        <v>1242</v>
      </c>
      <c r="D49" s="376" t="str">
        <f t="shared" si="9"/>
        <v>-</v>
      </c>
      <c r="E49" s="334" t="str">
        <f t="shared" si="14"/>
        <v>-</v>
      </c>
      <c r="F49" s="334" t="str">
        <f t="shared" si="11"/>
        <v/>
      </c>
      <c r="G49" s="334" t="str">
        <f t="shared" si="12"/>
        <v/>
      </c>
      <c r="H49" s="166"/>
      <c r="I49" s="165"/>
      <c r="M49"/>
    </row>
    <row r="50" spans="1:13" ht="23.4" x14ac:dyDescent="0.3">
      <c r="A50" s="378">
        <v>22</v>
      </c>
      <c r="B50" s="42"/>
      <c r="C50" s="329" t="s">
        <v>704</v>
      </c>
      <c r="D50" s="377" t="str">
        <f t="shared" si="9"/>
        <v>SUBOFICIAL GATICA NAVARRETE ROBERTO FELIPE</v>
      </c>
      <c r="E50" s="336" t="str">
        <f t="shared" si="14"/>
        <v>-</v>
      </c>
      <c r="F50" s="336" t="str">
        <f t="shared" si="11"/>
        <v>SN</v>
      </c>
      <c r="G50" s="336" t="str">
        <f t="shared" si="12"/>
        <v>SALIENTE SERVICIO</v>
      </c>
      <c r="H50" s="166"/>
      <c r="I50" s="165"/>
    </row>
    <row r="51" spans="1:13" ht="23.4" x14ac:dyDescent="0.3">
      <c r="A51" s="176">
        <f t="shared" si="0"/>
        <v>0</v>
      </c>
      <c r="B51" s="42"/>
      <c r="C51" s="329" t="s">
        <v>1243</v>
      </c>
      <c r="D51" s="377" t="str">
        <f t="shared" si="9"/>
        <v>-</v>
      </c>
      <c r="E51" s="336" t="str">
        <f t="shared" si="14"/>
        <v>-</v>
      </c>
      <c r="F51" s="336" t="str">
        <f t="shared" si="11"/>
        <v/>
      </c>
      <c r="G51" s="336" t="str">
        <f t="shared" si="12"/>
        <v/>
      </c>
      <c r="H51" s="166"/>
      <c r="I51" s="165"/>
      <c r="M51"/>
    </row>
    <row r="52" spans="1:13" ht="23.4" x14ac:dyDescent="0.3">
      <c r="A52" s="162">
        <v>22</v>
      </c>
      <c r="B52" s="333"/>
      <c r="C52" s="1173" t="s">
        <v>1687</v>
      </c>
      <c r="D52" s="1174"/>
      <c r="E52" s="1174"/>
      <c r="F52" s="1174"/>
      <c r="G52" s="1175"/>
      <c r="H52" s="166"/>
      <c r="I52" s="165"/>
    </row>
    <row r="53" spans="1:13" ht="23.4" x14ac:dyDescent="0.3">
      <c r="A53" s="378">
        <v>22</v>
      </c>
      <c r="B53" s="42"/>
      <c r="C53" s="330" t="s">
        <v>750</v>
      </c>
      <c r="D53" s="376" t="str">
        <f t="shared" si="9"/>
        <v>SGTO 1RO. JARA ELGUETA JUAN</v>
      </c>
      <c r="E53" s="334" t="str">
        <f t="shared" ref="E53:E58" si="15">IFERROR(IF(VLOOKUP(C53,TURNOS_SERVICIOS,3,FALSE)=0,"-",VLOOKUP(C53,TURNOS_SERVICIOS,3,FALSE)),"-")</f>
        <v>B-682</v>
      </c>
      <c r="F53" s="334" t="str">
        <f t="shared" si="11"/>
        <v>1P</v>
      </c>
      <c r="G53" s="334" t="str">
        <f t="shared" si="12"/>
        <v>ARIETE 22</v>
      </c>
      <c r="H53" s="166"/>
      <c r="I53" s="165"/>
    </row>
    <row r="54" spans="1:13" ht="23.4" x14ac:dyDescent="0.3">
      <c r="A54" s="176">
        <f t="shared" si="0"/>
        <v>0</v>
      </c>
      <c r="B54" s="42"/>
      <c r="C54" s="330" t="s">
        <v>1244</v>
      </c>
      <c r="D54" s="376" t="str">
        <f t="shared" si="9"/>
        <v>-</v>
      </c>
      <c r="E54" s="334" t="str">
        <f t="shared" si="15"/>
        <v>-</v>
      </c>
      <c r="F54" s="334" t="str">
        <f t="shared" si="11"/>
        <v/>
      </c>
      <c r="G54" s="334" t="str">
        <f t="shared" si="12"/>
        <v/>
      </c>
      <c r="H54" s="166"/>
      <c r="I54" s="165"/>
      <c r="M54"/>
    </row>
    <row r="55" spans="1:13" ht="23.4" x14ac:dyDescent="0.3">
      <c r="A55" s="378">
        <v>22</v>
      </c>
      <c r="B55" s="42"/>
      <c r="C55" s="329" t="s">
        <v>715</v>
      </c>
      <c r="D55" s="377" t="str">
        <f t="shared" si="9"/>
        <v>SUBOFICIAL VALENZUELA AGUILERA ENZO ANTONIO</v>
      </c>
      <c r="E55" s="336" t="str">
        <f t="shared" si="15"/>
        <v>B-683</v>
      </c>
      <c r="F55" s="336" t="str">
        <f t="shared" si="11"/>
        <v>1P</v>
      </c>
      <c r="G55" s="336" t="str">
        <f t="shared" si="12"/>
        <v>ARIETE 22</v>
      </c>
      <c r="H55" s="166"/>
      <c r="I55" s="165"/>
    </row>
    <row r="56" spans="1:13" ht="23.4" x14ac:dyDescent="0.3">
      <c r="A56" s="176">
        <f t="shared" si="0"/>
        <v>0</v>
      </c>
      <c r="B56" s="42"/>
      <c r="C56" s="329" t="s">
        <v>1245</v>
      </c>
      <c r="D56" s="377" t="str">
        <f t="shared" si="9"/>
        <v>-</v>
      </c>
      <c r="E56" s="336" t="str">
        <f t="shared" si="15"/>
        <v>-</v>
      </c>
      <c r="F56" s="336" t="str">
        <f t="shared" si="11"/>
        <v/>
      </c>
      <c r="G56" s="336" t="str">
        <f t="shared" si="12"/>
        <v/>
      </c>
      <c r="H56" s="166"/>
      <c r="I56" s="165"/>
      <c r="M56"/>
    </row>
    <row r="57" spans="1:13" ht="23.4" x14ac:dyDescent="0.3">
      <c r="A57" s="378">
        <v>22</v>
      </c>
      <c r="B57" s="42"/>
      <c r="C57" s="330" t="s">
        <v>711</v>
      </c>
      <c r="D57" s="376" t="str">
        <f t="shared" si="9"/>
        <v>SUBOFICIAL HENRIQUEZ JARAMILLO FIDEL</v>
      </c>
      <c r="E57" s="334" t="str">
        <f t="shared" si="15"/>
        <v xml:space="preserve"> B-684</v>
      </c>
      <c r="F57" s="334" t="str">
        <f t="shared" si="11"/>
        <v>1P</v>
      </c>
      <c r="G57" s="334" t="str">
        <f t="shared" si="12"/>
        <v>ARIETE 23</v>
      </c>
      <c r="H57" s="166"/>
      <c r="I57" s="165"/>
    </row>
    <row r="58" spans="1:13" ht="23.4" x14ac:dyDescent="0.3">
      <c r="A58" s="176">
        <f t="shared" si="0"/>
        <v>0</v>
      </c>
      <c r="B58" s="42"/>
      <c r="C58" s="330" t="s">
        <v>1246</v>
      </c>
      <c r="D58" s="376" t="str">
        <f t="shared" si="9"/>
        <v>-</v>
      </c>
      <c r="E58" s="334" t="str">
        <f t="shared" si="15"/>
        <v>-</v>
      </c>
      <c r="F58" s="334" t="str">
        <f t="shared" si="11"/>
        <v/>
      </c>
      <c r="G58" s="334" t="str">
        <f t="shared" si="12"/>
        <v/>
      </c>
      <c r="H58" s="166"/>
      <c r="I58" s="165"/>
      <c r="M58"/>
    </row>
    <row r="59" spans="1:13" ht="23.4" x14ac:dyDescent="0.3">
      <c r="A59" s="162">
        <v>22</v>
      </c>
      <c r="B59" s="333"/>
      <c r="C59" s="1173" t="s">
        <v>1688</v>
      </c>
      <c r="D59" s="1174"/>
      <c r="E59" s="1174"/>
      <c r="F59" s="1174"/>
      <c r="G59" s="1175"/>
      <c r="H59" s="166"/>
      <c r="I59" s="165"/>
    </row>
    <row r="60" spans="1:13" ht="23.4" x14ac:dyDescent="0.3">
      <c r="A60" s="378">
        <v>22</v>
      </c>
      <c r="B60" s="42"/>
      <c r="C60" s="329" t="s">
        <v>700</v>
      </c>
      <c r="D60" s="377" t="str">
        <f t="shared" si="9"/>
        <v xml:space="preserve">SUBOFICIAL VILLAGRA AREVALO SERGIO HUMBERTO      ( P )  </v>
      </c>
      <c r="E60" s="336" t="str">
        <f t="shared" ref="E60:E65" si="16">IFERROR(IF(VLOOKUP(C60,TURNOS_SERVICIOS,3,FALSE)=0,"-",VLOOKUP(C60,TURNOS_SERVICIOS,3,FALSE)),"-")</f>
        <v>AB-365</v>
      </c>
      <c r="F60" s="336" t="str">
        <f t="shared" si="11"/>
        <v>1T</v>
      </c>
      <c r="G60" s="336" t="str">
        <f t="shared" si="12"/>
        <v>MONEDA</v>
      </c>
      <c r="H60" s="166"/>
      <c r="I60" s="165"/>
    </row>
    <row r="61" spans="1:13" ht="23.4" x14ac:dyDescent="0.3">
      <c r="A61" s="176">
        <f t="shared" si="0"/>
        <v>0</v>
      </c>
      <c r="B61" s="42"/>
      <c r="C61" s="329" t="s">
        <v>1247</v>
      </c>
      <c r="D61" s="377" t="str">
        <f t="shared" si="9"/>
        <v>-</v>
      </c>
      <c r="E61" s="336" t="str">
        <f t="shared" si="16"/>
        <v>-</v>
      </c>
      <c r="F61" s="336" t="str">
        <f t="shared" si="11"/>
        <v/>
      </c>
      <c r="G61" s="336" t="str">
        <f t="shared" si="12"/>
        <v/>
      </c>
      <c r="H61" s="166"/>
      <c r="I61" s="165"/>
      <c r="M61"/>
    </row>
    <row r="62" spans="1:13" ht="23.4" x14ac:dyDescent="0.3">
      <c r="A62" s="378">
        <v>22</v>
      </c>
      <c r="B62" s="42"/>
      <c r="C62" s="330" t="s">
        <v>716</v>
      </c>
      <c r="D62" s="376" t="str">
        <f t="shared" si="9"/>
        <v>SGTO 1RO. CIFUENTES NAVARRETE VICTOR</v>
      </c>
      <c r="E62" s="334" t="str">
        <f t="shared" si="16"/>
        <v>AB-365</v>
      </c>
      <c r="F62" s="334" t="str">
        <f t="shared" si="11"/>
        <v>1T</v>
      </c>
      <c r="G62" s="334" t="str">
        <f t="shared" si="12"/>
        <v>CONSTITUCION</v>
      </c>
      <c r="H62" s="166"/>
      <c r="I62" s="165"/>
    </row>
    <row r="63" spans="1:13" ht="23.4" x14ac:dyDescent="0.3">
      <c r="A63" s="176">
        <f t="shared" si="0"/>
        <v>0</v>
      </c>
      <c r="B63" s="42"/>
      <c r="C63" s="330" t="s">
        <v>1248</v>
      </c>
      <c r="D63" s="376" t="str">
        <f t="shared" si="9"/>
        <v>-</v>
      </c>
      <c r="E63" s="334" t="str">
        <f t="shared" si="16"/>
        <v>-</v>
      </c>
      <c r="F63" s="334" t="str">
        <f t="shared" si="11"/>
        <v/>
      </c>
      <c r="G63" s="334" t="str">
        <f t="shared" si="12"/>
        <v/>
      </c>
      <c r="H63" s="166"/>
      <c r="I63" s="165"/>
      <c r="M63"/>
    </row>
    <row r="64" spans="1:13" ht="23.4" x14ac:dyDescent="0.3">
      <c r="A64" s="378">
        <v>22</v>
      </c>
      <c r="B64" s="42"/>
      <c r="C64" s="329" t="s">
        <v>752</v>
      </c>
      <c r="D64" s="377" t="str">
        <f t="shared" si="9"/>
        <v>SUBOFICIAL ARAVENA ARAYA GEORGE ALEXIS</v>
      </c>
      <c r="E64" s="336" t="str">
        <f t="shared" si="16"/>
        <v>B-685</v>
      </c>
      <c r="F64" s="336" t="str">
        <f t="shared" si="11"/>
        <v>1T</v>
      </c>
      <c r="G64" s="336" t="str">
        <f t="shared" si="12"/>
        <v>CIUDADANIA</v>
      </c>
      <c r="H64" s="166"/>
      <c r="I64" s="165"/>
    </row>
    <row r="65" spans="1:13" ht="23.4" x14ac:dyDescent="0.3">
      <c r="A65" s="176">
        <f t="shared" si="0"/>
        <v>0</v>
      </c>
      <c r="B65" s="42"/>
      <c r="C65" s="329" t="s">
        <v>1249</v>
      </c>
      <c r="D65" s="377" t="str">
        <f t="shared" si="9"/>
        <v>-</v>
      </c>
      <c r="E65" s="336" t="str">
        <f t="shared" si="16"/>
        <v>-</v>
      </c>
      <c r="F65" s="336" t="str">
        <f t="shared" si="11"/>
        <v/>
      </c>
      <c r="G65" s="336" t="str">
        <f t="shared" si="12"/>
        <v/>
      </c>
      <c r="H65" s="166"/>
      <c r="I65" s="165"/>
      <c r="M65"/>
    </row>
    <row r="66" spans="1:13" ht="23.4" x14ac:dyDescent="0.3">
      <c r="A66" s="162">
        <v>22</v>
      </c>
      <c r="B66" s="333"/>
      <c r="C66" s="1173" t="s">
        <v>1689</v>
      </c>
      <c r="D66" s="1174"/>
      <c r="E66" s="1174"/>
      <c r="F66" s="1174"/>
      <c r="G66" s="1175"/>
      <c r="H66" s="166"/>
      <c r="I66" s="165"/>
    </row>
    <row r="67" spans="1:13" ht="23.4" x14ac:dyDescent="0.3">
      <c r="A67" s="378">
        <v>22</v>
      </c>
      <c r="B67" s="42"/>
      <c r="C67" s="330" t="s">
        <v>731</v>
      </c>
      <c r="D67" s="376" t="str">
        <f t="shared" ref="D67:D72" si="17">IFERROR(IF(VLOOKUP(C67,TURNOS_SERVICIOS,2,FALSE)=0,"NO DESIGNADO",VLOOKUP(C67,TURNOS_SERVICIOS,2,FALSE)),"NO DESIGNADO")</f>
        <v>SGTO 1RO. FERNANDEZ CASTILLO LEONARDO ENRIQUE</v>
      </c>
      <c r="E67" s="334" t="str">
        <f t="shared" ref="E67:E72" si="18">IFERROR(IF(VLOOKUP(C67,TURNOS_SERVICIOS,3,FALSE)=0,"-",VLOOKUP(C67,TURNOS_SERVICIOS,3,FALSE)),"-")</f>
        <v>-</v>
      </c>
      <c r="F67" s="334" t="str">
        <f t="shared" ref="F67:F72" si="19">IFERROR(IF(VLOOKUP(C67,TURNOS_SERVICIOS,4,FALSE)=0,"-",VLOOKUP(C67,TURNOS_SERVICIOS,4,FALSE)),0)</f>
        <v>F</v>
      </c>
      <c r="G67" s="334" t="str">
        <f t="shared" ref="G67:G72" si="20">IFERROR(IF(VLOOKUP(C67,TURNOS_SERVICIOS,5,FALSE)=0,"-",VLOOKUP(C67,TURNOS_SERVICIOS,5,FALSE)),0)</f>
        <v>FRANCO</v>
      </c>
      <c r="H67" s="166"/>
      <c r="I67" s="165"/>
    </row>
    <row r="68" spans="1:13" ht="23.4" x14ac:dyDescent="0.3">
      <c r="A68" s="176">
        <f>IF(LEN(D68)&gt;2,22,0)</f>
        <v>0</v>
      </c>
      <c r="B68" s="42"/>
      <c r="C68" s="330" t="s">
        <v>1250</v>
      </c>
      <c r="D68" s="376" t="str">
        <f t="shared" si="17"/>
        <v>-</v>
      </c>
      <c r="E68" s="334" t="str">
        <f t="shared" si="18"/>
        <v>-</v>
      </c>
      <c r="F68" s="334" t="str">
        <f t="shared" si="19"/>
        <v/>
      </c>
      <c r="G68" s="334" t="str">
        <f t="shared" si="20"/>
        <v/>
      </c>
      <c r="H68" s="166"/>
      <c r="I68" s="165"/>
      <c r="M68"/>
    </row>
    <row r="69" spans="1:13" ht="23.4" x14ac:dyDescent="0.3">
      <c r="A69" s="378">
        <v>22</v>
      </c>
      <c r="B69" s="42"/>
      <c r="C69" s="329" t="s">
        <v>717</v>
      </c>
      <c r="D69" s="377" t="str">
        <f t="shared" si="17"/>
        <v>SUBOFICIAL BAHAMONDE SEPULVEDA LUIS GONZALO        (L - P-T)</v>
      </c>
      <c r="E69" s="336" t="str">
        <f t="shared" si="18"/>
        <v>-</v>
      </c>
      <c r="F69" s="336" t="str">
        <f t="shared" si="19"/>
        <v>F</v>
      </c>
      <c r="G69" s="336" t="str">
        <f t="shared" si="20"/>
        <v>FRANCO</v>
      </c>
      <c r="H69" s="166"/>
      <c r="I69" s="165"/>
    </row>
    <row r="70" spans="1:13" ht="23.4" x14ac:dyDescent="0.3">
      <c r="A70" s="176">
        <f>IF(LEN(D70)&gt;2,22,0)</f>
        <v>0</v>
      </c>
      <c r="B70" s="42"/>
      <c r="C70" s="329" t="s">
        <v>1251</v>
      </c>
      <c r="D70" s="377" t="str">
        <f t="shared" si="17"/>
        <v>-</v>
      </c>
      <c r="E70" s="336" t="str">
        <f t="shared" si="18"/>
        <v>-</v>
      </c>
      <c r="F70" s="336" t="str">
        <f t="shared" si="19"/>
        <v/>
      </c>
      <c r="G70" s="336" t="str">
        <f t="shared" si="20"/>
        <v/>
      </c>
      <c r="H70" s="166"/>
      <c r="I70" s="165"/>
      <c r="M70"/>
    </row>
    <row r="71" spans="1:13" ht="23.4" x14ac:dyDescent="0.3">
      <c r="A71" s="378">
        <v>22</v>
      </c>
      <c r="B71" s="42"/>
      <c r="C71" s="330" t="s">
        <v>703</v>
      </c>
      <c r="D71" s="376" t="str">
        <f t="shared" si="17"/>
        <v>SUBOFICIAL BARROS SOLAR FELIX                                (L -T -S)</v>
      </c>
      <c r="E71" s="334" t="str">
        <f t="shared" si="18"/>
        <v>-</v>
      </c>
      <c r="F71" s="334" t="str">
        <f t="shared" si="19"/>
        <v>F</v>
      </c>
      <c r="G71" s="334" t="str">
        <f t="shared" si="20"/>
        <v>FRANCO</v>
      </c>
      <c r="H71" s="166"/>
      <c r="I71" s="165"/>
    </row>
    <row r="72" spans="1:13" ht="23.4" x14ac:dyDescent="0.3">
      <c r="A72" s="176">
        <f>IF(LEN(D72)&gt;2,22,0)</f>
        <v>0</v>
      </c>
      <c r="B72" s="42"/>
      <c r="C72" s="330" t="s">
        <v>1252</v>
      </c>
      <c r="D72" s="376" t="str">
        <f t="shared" si="17"/>
        <v>-</v>
      </c>
      <c r="E72" s="334" t="str">
        <f t="shared" si="18"/>
        <v>-</v>
      </c>
      <c r="F72" s="334" t="str">
        <f t="shared" si="19"/>
        <v/>
      </c>
      <c r="G72" s="334" t="str">
        <f t="shared" si="20"/>
        <v/>
      </c>
      <c r="H72" s="166"/>
      <c r="I72" s="165"/>
      <c r="M72"/>
    </row>
    <row r="73" spans="1:13" ht="23.4" x14ac:dyDescent="0.3">
      <c r="A73" s="162">
        <v>22</v>
      </c>
      <c r="B73" s="333"/>
      <c r="C73" s="1173" t="s">
        <v>1979</v>
      </c>
      <c r="D73" s="1174"/>
      <c r="E73" s="1174"/>
      <c r="F73" s="1174"/>
      <c r="G73" s="1175"/>
      <c r="H73" s="166"/>
      <c r="I73" s="165"/>
    </row>
    <row r="74" spans="1:13" ht="23.4" x14ac:dyDescent="0.3">
      <c r="A74" s="378">
        <v>22</v>
      </c>
      <c r="B74" s="42"/>
      <c r="C74" s="330" t="s">
        <v>730</v>
      </c>
      <c r="D74" s="376" t="str">
        <f t="shared" si="9"/>
        <v xml:space="preserve">SGTO 2DO. MILLAR SOLIS AQUILINO JUAN ANDRES   </v>
      </c>
      <c r="E74" s="334" t="str">
        <f t="shared" ref="E74:E79" si="21">IFERROR(IF(VLOOKUP(C74,TURNOS_SERVICIOS,3,FALSE)=0,"-",VLOOKUP(C74,TURNOS_SERVICIOS,3,FALSE)),"-")</f>
        <v>-</v>
      </c>
      <c r="F74" s="334" t="str">
        <f t="shared" si="11"/>
        <v>F</v>
      </c>
      <c r="G74" s="334" t="str">
        <f t="shared" si="12"/>
        <v>FRANCO</v>
      </c>
      <c r="H74" s="166"/>
      <c r="I74" s="165"/>
    </row>
    <row r="75" spans="1:13" ht="23.4" x14ac:dyDescent="0.3">
      <c r="A75" s="176">
        <f t="shared" si="0"/>
        <v>0</v>
      </c>
      <c r="B75" s="42"/>
      <c r="C75" s="330" t="s">
        <v>1253</v>
      </c>
      <c r="D75" s="376" t="str">
        <f t="shared" si="9"/>
        <v>-</v>
      </c>
      <c r="E75" s="334" t="str">
        <f t="shared" si="21"/>
        <v>-</v>
      </c>
      <c r="F75" s="334" t="str">
        <f t="shared" si="11"/>
        <v/>
      </c>
      <c r="G75" s="334" t="str">
        <f t="shared" si="12"/>
        <v/>
      </c>
      <c r="H75" s="166"/>
      <c r="I75" s="165"/>
      <c r="M75"/>
    </row>
    <row r="76" spans="1:13" ht="23.4" x14ac:dyDescent="0.3">
      <c r="A76" s="378">
        <v>22</v>
      </c>
      <c r="B76" s="42"/>
      <c r="C76" s="329" t="s">
        <v>757</v>
      </c>
      <c r="D76" s="377" t="str">
        <f t="shared" si="9"/>
        <v>SGTO 1RO. PORTILLA ARAYA LEONARDO MANUEL</v>
      </c>
      <c r="E76" s="336" t="str">
        <f t="shared" si="21"/>
        <v>-</v>
      </c>
      <c r="F76" s="336" t="str">
        <f t="shared" si="11"/>
        <v>F</v>
      </c>
      <c r="G76" s="336" t="str">
        <f t="shared" si="12"/>
        <v>FRANCO</v>
      </c>
      <c r="H76" s="166"/>
      <c r="I76" s="165"/>
    </row>
    <row r="77" spans="1:13" ht="23.4" x14ac:dyDescent="0.3">
      <c r="A77" s="176">
        <f t="shared" si="0"/>
        <v>0</v>
      </c>
      <c r="B77" s="42"/>
      <c r="C77" s="329" t="s">
        <v>1254</v>
      </c>
      <c r="D77" s="377" t="str">
        <f t="shared" si="9"/>
        <v>-</v>
      </c>
      <c r="E77" s="336" t="str">
        <f t="shared" si="21"/>
        <v>-</v>
      </c>
      <c r="F77" s="336" t="str">
        <f t="shared" si="11"/>
        <v/>
      </c>
      <c r="G77" s="336" t="str">
        <f t="shared" si="12"/>
        <v/>
      </c>
      <c r="H77" s="166"/>
      <c r="I77" s="165"/>
      <c r="M77"/>
    </row>
    <row r="78" spans="1:13" ht="23.4" x14ac:dyDescent="0.3">
      <c r="A78" s="378">
        <v>22</v>
      </c>
      <c r="B78" s="42"/>
      <c r="C78" s="330" t="s">
        <v>1832</v>
      </c>
      <c r="D78" s="376" t="str">
        <f>IFERROR(IF(VLOOKUP(C78,TURNOS_SERVICIOS,2,FALSE)=0,"NO DESIGNADO",VLOOKUP(C78,TURNOS_SERVICIOS,2,FALSE)),"NO DESIGNADO")</f>
        <v>-</v>
      </c>
      <c r="E78" s="334" t="str">
        <f t="shared" si="21"/>
        <v>-</v>
      </c>
      <c r="F78" s="334" t="str">
        <f>IFERROR(IF(VLOOKUP(C78,TURNOS_SERVICIOS,4,FALSE)=0,"-",VLOOKUP(C78,TURNOS_SERVICIOS,4,FALSE)),0)</f>
        <v/>
      </c>
      <c r="G78" s="334" t="str">
        <f>IFERROR(IF(VLOOKUP(C78,TURNOS_SERVICIOS,5,FALSE)=0,"-",VLOOKUP(C78,TURNOS_SERVICIOS,5,FALSE)),0)</f>
        <v/>
      </c>
      <c r="H78" s="166"/>
      <c r="I78" s="165"/>
    </row>
    <row r="79" spans="1:13" ht="23.4" x14ac:dyDescent="0.3">
      <c r="A79" s="176">
        <f>IF(LEN(D79)&gt;2,22,0)</f>
        <v>0</v>
      </c>
      <c r="B79" s="42"/>
      <c r="C79" s="330" t="s">
        <v>1833</v>
      </c>
      <c r="D79" s="376" t="str">
        <f>IFERROR(IF(VLOOKUP(C79,TURNOS_SERVICIOS,2,FALSE)=0,"NO DESIGNADO",VLOOKUP(C79,TURNOS_SERVICIOS,2,FALSE)),"NO DESIGNADO")</f>
        <v>-</v>
      </c>
      <c r="E79" s="334" t="str">
        <f t="shared" si="21"/>
        <v>-</v>
      </c>
      <c r="F79" s="334" t="str">
        <f>IFERROR(IF(VLOOKUP(C79,TURNOS_SERVICIOS,4,FALSE)=0,"-",VLOOKUP(C79,TURNOS_SERVICIOS,4,FALSE)),0)</f>
        <v/>
      </c>
      <c r="G79" s="334" t="str">
        <f>IFERROR(IF(VLOOKUP(C79,TURNOS_SERVICIOS,5,FALSE)=0,"-",VLOOKUP(C79,TURNOS_SERVICIOS,5,FALSE)),0)</f>
        <v/>
      </c>
      <c r="H79" s="166"/>
      <c r="I79" s="165"/>
      <c r="M79"/>
    </row>
    <row r="80" spans="1:13" ht="23.4" x14ac:dyDescent="0.3">
      <c r="A80" s="162">
        <f>IF(SUM(A81:A84)&gt;=1,22,0)</f>
        <v>22</v>
      </c>
      <c r="B80" s="333"/>
      <c r="C80" s="1173" t="s">
        <v>1690</v>
      </c>
      <c r="D80" s="1174"/>
      <c r="E80" s="1174"/>
      <c r="F80" s="1174"/>
      <c r="G80" s="1175"/>
      <c r="H80" s="166"/>
      <c r="I80" s="165"/>
    </row>
    <row r="81" spans="1:13" ht="23.4" x14ac:dyDescent="0.3">
      <c r="A81" s="176">
        <f>IF(LEN(D81)&gt;2,22,0)</f>
        <v>0</v>
      </c>
      <c r="B81" s="176"/>
      <c r="C81" s="329" t="s">
        <v>772</v>
      </c>
      <c r="D81" s="377" t="str">
        <f t="shared" si="9"/>
        <v>-</v>
      </c>
      <c r="E81" s="336" t="str">
        <f>IFERROR(IF(VLOOKUP(C81,TURNOS_SERVICIOS,3,FALSE)=0,"-",VLOOKUP(C81,TURNOS_SERVICIOS,3,FALSE)),"-")</f>
        <v>-</v>
      </c>
      <c r="F81" s="336" t="str">
        <f t="shared" si="11"/>
        <v/>
      </c>
      <c r="G81" s="336" t="str">
        <f t="shared" si="12"/>
        <v/>
      </c>
      <c r="H81" s="166"/>
      <c r="I81" s="165"/>
    </row>
    <row r="82" spans="1:13" ht="23.4" x14ac:dyDescent="0.3">
      <c r="A82" s="176">
        <f>IF(LEN(D82)&gt;2,22,0)</f>
        <v>0</v>
      </c>
      <c r="B82" s="176"/>
      <c r="C82" s="329" t="s">
        <v>856</v>
      </c>
      <c r="D82" s="377" t="str">
        <f t="shared" si="9"/>
        <v>-</v>
      </c>
      <c r="E82" s="336" t="str">
        <f>IFERROR(IF(VLOOKUP(C82,TURNOS_SERVICIOS,3,FALSE)=0,"-",VLOOKUP(C82,TURNOS_SERVICIOS,3,FALSE)),"-")</f>
        <v>-</v>
      </c>
      <c r="F82" s="336" t="str">
        <f t="shared" si="11"/>
        <v/>
      </c>
      <c r="G82" s="336" t="str">
        <f t="shared" si="12"/>
        <v/>
      </c>
      <c r="H82" s="166"/>
      <c r="I82" s="165"/>
    </row>
    <row r="83" spans="1:13" ht="23.4" x14ac:dyDescent="0.3">
      <c r="A83" s="176">
        <f>IF(LEN(D83)&gt;2,22,0)</f>
        <v>0</v>
      </c>
      <c r="B83" s="176"/>
      <c r="C83" s="329" t="s">
        <v>1675</v>
      </c>
      <c r="D83" s="377" t="str">
        <f>IFERROR(IF(VLOOKUP(C83,TURNOS_SERVICIOS,2,FALSE)=0,"NO DESIGNADO",VLOOKUP(C83,TURNOS_SERVICIOS,2,FALSE)),"NO DESIGNADO")</f>
        <v>-</v>
      </c>
      <c r="E83" s="336" t="str">
        <f>IFERROR(IF(VLOOKUP(C83,TURNOS_SERVICIOS,3,FALSE)=0,"-",VLOOKUP(C83,TURNOS_SERVICIOS,3,FALSE)),"-")</f>
        <v>-</v>
      </c>
      <c r="F83" s="336" t="str">
        <f>IFERROR(IF(VLOOKUP(C83,TURNOS_SERVICIOS,4,FALSE)=0,"-",VLOOKUP(C83,TURNOS_SERVICIOS,4,FALSE)),0)</f>
        <v/>
      </c>
      <c r="G83" s="336" t="str">
        <f>IFERROR(IF(VLOOKUP(C83,TURNOS_SERVICIOS,5,FALSE)=0,"-",VLOOKUP(C83,TURNOS_SERVICIOS,5,FALSE)),0)</f>
        <v/>
      </c>
      <c r="H83" s="166"/>
      <c r="I83" s="165"/>
    </row>
    <row r="84" spans="1:13" ht="23.4" x14ac:dyDescent="0.3">
      <c r="A84" s="176">
        <f>IF(LEN(D84)&gt;2,22,0)</f>
        <v>22</v>
      </c>
      <c r="B84" s="176"/>
      <c r="C84" s="329" t="s">
        <v>1676</v>
      </c>
      <c r="D84" s="377" t="str">
        <f t="shared" si="9"/>
        <v>SGTO 2DO. NUÑEZ NAHUELHUAL FRANCISCO JAVIER</v>
      </c>
      <c r="E84" s="336" t="str">
        <f>IFERROR(IF(VLOOKUP(C84,TURNOS_SERVICIOS,3,FALSE)=0,"-",VLOOKUP(C84,TURNOS_SERVICIOS,3,FALSE)),"-")</f>
        <v>J-020</v>
      </c>
      <c r="F84" s="336" t="str">
        <f t="shared" si="11"/>
        <v>2T</v>
      </c>
      <c r="G84" s="336" t="str">
        <f t="shared" si="12"/>
        <v>PLAN 2 HOMICIDIOS</v>
      </c>
      <c r="H84" s="166"/>
      <c r="I84" s="165"/>
    </row>
    <row r="85" spans="1:13" ht="23.4" x14ac:dyDescent="0.3">
      <c r="A85" s="162">
        <v>22</v>
      </c>
      <c r="B85" s="333"/>
      <c r="C85" s="1173" t="s">
        <v>859</v>
      </c>
      <c r="D85" s="1174"/>
      <c r="E85" s="1174"/>
      <c r="F85" s="1174"/>
      <c r="G85" s="1175"/>
      <c r="H85" s="166"/>
      <c r="I85" s="165"/>
    </row>
    <row r="86" spans="1:13" ht="23.4" x14ac:dyDescent="0.3">
      <c r="A86" s="176">
        <f t="shared" ref="A86:A102" si="22">IF(LEN(D86)&gt;2,22,0)</f>
        <v>0</v>
      </c>
      <c r="B86" s="176"/>
      <c r="C86" s="329" t="s">
        <v>67</v>
      </c>
      <c r="D86" s="584" t="str">
        <f t="shared" ref="D86:D102" si="23">IFERROR(IF(VLOOKUP(C86,TURNOS_SERVICIOS,2,FALSE)=0,"-",VLOOKUP(C86,TURNOS_SERVICIOS,2,FALSE)),"-")</f>
        <v>-</v>
      </c>
      <c r="E86" s="336" t="str">
        <f t="shared" ref="E86:E102" si="24">IFERROR(IF(VLOOKUP(C86,TURNOS_SERVICIOS,3,FALSE)=0,"-",VLOOKUP(C86,TURNOS_SERVICIOS,3,FALSE)),"-")</f>
        <v>-</v>
      </c>
      <c r="F86" s="336" t="str">
        <f t="shared" ref="F86:F98" si="25">IFERROR(IF(VLOOKUP(C86,TURNOS_SERVICIOS,4,FALSE)=0,"-",VLOOKUP(C86,TURNOS_SERVICIOS,4,FALSE)),0)</f>
        <v/>
      </c>
      <c r="G86" s="336" t="str">
        <f t="shared" ref="G86:G98" si="26">IFERROR(IF(VLOOKUP(C86,TURNOS_SERVICIOS,5,FALSE)=0,"-",VLOOKUP(C86,TURNOS_SERVICIOS,5,FALSE)),0)</f>
        <v/>
      </c>
      <c r="H86" s="166"/>
      <c r="I86" s="166"/>
    </row>
    <row r="87" spans="1:13" ht="23.4" x14ac:dyDescent="0.3">
      <c r="A87" s="176">
        <f t="shared" si="22"/>
        <v>22</v>
      </c>
      <c r="B87" s="176"/>
      <c r="C87" s="330" t="s">
        <v>66</v>
      </c>
      <c r="D87" s="585" t="str">
        <f t="shared" si="23"/>
        <v>SGTO 1RO. ZUÑIGA NARVAEZ GUSTAVO FERNANDO (L - P - T)</v>
      </c>
      <c r="E87" s="334" t="str">
        <f t="shared" si="24"/>
        <v xml:space="preserve"> </v>
      </c>
      <c r="F87" s="334" t="str">
        <f t="shared" si="25"/>
        <v>F</v>
      </c>
      <c r="G87" s="334" t="str">
        <f t="shared" si="26"/>
        <v>FRANCO</v>
      </c>
      <c r="H87" s="166"/>
      <c r="I87" s="166"/>
    </row>
    <row r="88" spans="1:13" ht="23.4" x14ac:dyDescent="0.3">
      <c r="A88" s="176">
        <f t="shared" si="22"/>
        <v>22</v>
      </c>
      <c r="B88" s="176"/>
      <c r="C88" s="329" t="s">
        <v>194</v>
      </c>
      <c r="D88" s="584" t="str">
        <f t="shared" si="23"/>
        <v>CABO 1RO. HERRERA RIVAS JUVENAL AGUSTIN</v>
      </c>
      <c r="E88" s="336" t="str">
        <f t="shared" si="24"/>
        <v>LA-060</v>
      </c>
      <c r="F88" s="336" t="str">
        <f t="shared" si="25"/>
        <v>1P</v>
      </c>
      <c r="G88" s="336" t="str">
        <f t="shared" si="26"/>
        <v>BAQUEDANO</v>
      </c>
      <c r="H88" s="166"/>
      <c r="I88" s="166"/>
    </row>
    <row r="89" spans="1:13" ht="23.4" x14ac:dyDescent="0.3">
      <c r="A89" s="176">
        <f t="shared" si="22"/>
        <v>22</v>
      </c>
      <c r="B89" s="176"/>
      <c r="C89" s="330" t="s">
        <v>113</v>
      </c>
      <c r="D89" s="585" t="str">
        <f t="shared" si="23"/>
        <v>SGTO 2DO. MELLA MORALES MARCO ALEXIS</v>
      </c>
      <c r="E89" s="334" t="str">
        <f t="shared" si="24"/>
        <v>LA-062</v>
      </c>
      <c r="F89" s="334" t="str">
        <f t="shared" si="25"/>
        <v>2P</v>
      </c>
      <c r="G89" s="334" t="str">
        <f t="shared" si="26"/>
        <v>ARIETE NOCTURNO</v>
      </c>
      <c r="H89" s="166"/>
      <c r="I89" s="166"/>
    </row>
    <row r="90" spans="1:13" ht="23.4" x14ac:dyDescent="0.3">
      <c r="A90" s="176">
        <f t="shared" si="22"/>
        <v>22</v>
      </c>
      <c r="B90" s="176"/>
      <c r="C90" s="329" t="s">
        <v>195</v>
      </c>
      <c r="D90" s="584" t="str">
        <f t="shared" si="23"/>
        <v>SGTO 1RO. RODRIGUEZ GAETE JOSE DIONISIO</v>
      </c>
      <c r="E90" s="336" t="str">
        <f t="shared" si="24"/>
        <v xml:space="preserve"> </v>
      </c>
      <c r="F90" s="336" t="str">
        <f t="shared" si="25"/>
        <v>SN</v>
      </c>
      <c r="G90" s="336" t="str">
        <f t="shared" si="26"/>
        <v>SALIENTE SERVICIO</v>
      </c>
      <c r="H90" s="166"/>
      <c r="I90" s="166"/>
    </row>
    <row r="91" spans="1:13" ht="23.4" x14ac:dyDescent="0.3">
      <c r="A91" s="176">
        <f t="shared" si="22"/>
        <v>22</v>
      </c>
      <c r="B91" s="176"/>
      <c r="C91" s="330" t="s">
        <v>196</v>
      </c>
      <c r="D91" s="585" t="str">
        <f t="shared" si="23"/>
        <v>SGTO 2DO. SAN MARTIN FIGUEROA OMAR ALEJANDRO (L - P-LA - T)</v>
      </c>
      <c r="E91" s="334" t="str">
        <f t="shared" si="24"/>
        <v>LA-061</v>
      </c>
      <c r="F91" s="334" t="str">
        <f t="shared" si="25"/>
        <v>1P</v>
      </c>
      <c r="G91" s="334" t="str">
        <f t="shared" si="26"/>
        <v>ARIETE 22</v>
      </c>
      <c r="H91" s="166"/>
      <c r="I91" s="166"/>
    </row>
    <row r="92" spans="1:13" ht="23.4" x14ac:dyDescent="0.3">
      <c r="A92" s="176">
        <f t="shared" si="22"/>
        <v>22</v>
      </c>
      <c r="B92" s="176"/>
      <c r="C92" s="329" t="s">
        <v>197</v>
      </c>
      <c r="D92" s="584" t="str">
        <f t="shared" si="23"/>
        <v>SGTO 1RO. CAAMAÑO JARA RODRIGO ALEJANDRO  ( P-LA)</v>
      </c>
      <c r="E92" s="336" t="str">
        <f t="shared" si="24"/>
        <v>LA-064</v>
      </c>
      <c r="F92" s="336" t="str">
        <f t="shared" si="25"/>
        <v>1T</v>
      </c>
      <c r="G92" s="336" t="str">
        <f t="shared" si="26"/>
        <v>APRESTO</v>
      </c>
      <c r="H92" s="166"/>
      <c r="I92" s="166"/>
    </row>
    <row r="93" spans="1:13" ht="23.4" x14ac:dyDescent="0.3">
      <c r="A93" s="176">
        <f t="shared" si="22"/>
        <v>22</v>
      </c>
      <c r="B93" s="176"/>
      <c r="C93" s="330" t="s">
        <v>198</v>
      </c>
      <c r="D93" s="585" t="str">
        <f t="shared" si="23"/>
        <v>SGTO 1RO. PULIDO PASMINO OSCAR GONZALO (L - P - LA - T)</v>
      </c>
      <c r="E93" s="334" t="str">
        <f t="shared" si="24"/>
        <v xml:space="preserve"> </v>
      </c>
      <c r="F93" s="334" t="str">
        <f t="shared" si="25"/>
        <v>F</v>
      </c>
      <c r="G93" s="334" t="str">
        <f t="shared" si="26"/>
        <v>FRANCO</v>
      </c>
      <c r="H93" s="166"/>
      <c r="I93" s="166"/>
    </row>
    <row r="94" spans="1:13" ht="23.4" x14ac:dyDescent="0.3">
      <c r="A94" s="176">
        <f t="shared" si="22"/>
        <v>0</v>
      </c>
      <c r="B94" s="176"/>
      <c r="C94" s="329" t="s">
        <v>769</v>
      </c>
      <c r="D94" s="584" t="str">
        <f t="shared" si="23"/>
        <v>-</v>
      </c>
      <c r="E94" s="336" t="str">
        <f t="shared" si="24"/>
        <v>-</v>
      </c>
      <c r="F94" s="336" t="str">
        <f t="shared" si="25"/>
        <v/>
      </c>
      <c r="G94" s="336" t="str">
        <f t="shared" si="26"/>
        <v/>
      </c>
      <c r="H94" s="166"/>
      <c r="I94" s="166"/>
    </row>
    <row r="95" spans="1:13" ht="23.4" x14ac:dyDescent="0.3">
      <c r="A95" s="176">
        <f t="shared" si="22"/>
        <v>0</v>
      </c>
      <c r="B95" s="176"/>
      <c r="C95" s="330" t="s">
        <v>767</v>
      </c>
      <c r="D95" s="585" t="str">
        <f t="shared" si="23"/>
        <v>-</v>
      </c>
      <c r="E95" s="334" t="str">
        <f t="shared" si="24"/>
        <v>-</v>
      </c>
      <c r="F95" s="334" t="str">
        <f t="shared" si="25"/>
        <v/>
      </c>
      <c r="G95" s="334" t="str">
        <f t="shared" si="26"/>
        <v/>
      </c>
      <c r="H95" s="166"/>
      <c r="I95" s="166"/>
    </row>
    <row r="96" spans="1:13" ht="23.4" x14ac:dyDescent="0.3">
      <c r="A96" s="176">
        <f t="shared" si="22"/>
        <v>22</v>
      </c>
      <c r="B96" s="176"/>
      <c r="C96" s="329" t="s">
        <v>680</v>
      </c>
      <c r="D96" s="584" t="str">
        <f t="shared" si="23"/>
        <v>SUBOFICIAL MUÑOZ BRAVO MARCELO ALEXIS</v>
      </c>
      <c r="E96" s="336" t="str">
        <f t="shared" si="24"/>
        <v xml:space="preserve"> </v>
      </c>
      <c r="F96" s="336" t="str">
        <f t="shared" si="25"/>
        <v>F</v>
      </c>
      <c r="G96" s="336" t="str">
        <f t="shared" si="26"/>
        <v>FRANCO</v>
      </c>
      <c r="H96" s="166"/>
      <c r="I96" s="166"/>
      <c r="M96"/>
    </row>
    <row r="97" spans="1:13" ht="23.4" x14ac:dyDescent="0.3">
      <c r="A97" s="176">
        <f>IF(LEN(D97)&gt;2,22,0)</f>
        <v>22</v>
      </c>
      <c r="B97" s="176"/>
      <c r="C97" s="330" t="s">
        <v>754</v>
      </c>
      <c r="D97" s="585" t="str">
        <f>IFERROR(IF(VLOOKUP(C97,TURNOS_SERVICIOS,2,FALSE)=0,"-",VLOOKUP(C97,TURNOS_SERVICIOS,2,FALSE)),"-")</f>
        <v>SUBOFICIAL SABANDO VERGARA CLAUDIO  (T-LA)</v>
      </c>
      <c r="E97" s="334" t="str">
        <f>IFERROR(IF(VLOOKUP(C97,TURNOS_SERVICIOS,3,FALSE)=0,"-",VLOOKUP(C97,TURNOS_SERVICIOS,3,FALSE)),"-")</f>
        <v xml:space="preserve"> </v>
      </c>
      <c r="F97" s="334" t="str">
        <f>IFERROR(IF(VLOOKUP(C97,TURNOS_SERVICIOS,4,FALSE)=0,"-",VLOOKUP(C97,TURNOS_SERVICIOS,4,FALSE)),0)</f>
        <v>F</v>
      </c>
      <c r="G97" s="334" t="str">
        <f>IFERROR(IF(VLOOKUP(C97,TURNOS_SERVICIOS,5,FALSE)=0,"-",VLOOKUP(C97,TURNOS_SERVICIOS,5,FALSE)),0)</f>
        <v>FRANCO</v>
      </c>
      <c r="H97" s="166"/>
      <c r="I97" s="166"/>
      <c r="M97"/>
    </row>
    <row r="98" spans="1:13" ht="23.4" x14ac:dyDescent="0.3">
      <c r="A98" s="176">
        <f t="shared" si="22"/>
        <v>22</v>
      </c>
      <c r="B98" s="176"/>
      <c r="C98" s="329" t="s">
        <v>2015</v>
      </c>
      <c r="D98" s="584" t="str">
        <f t="shared" si="23"/>
        <v>SUBOFICIAL VALLEJOS ELGUETA CRISTIAN</v>
      </c>
      <c r="E98" s="336" t="str">
        <f t="shared" si="24"/>
        <v>LA-044</v>
      </c>
      <c r="F98" s="336" t="str">
        <f t="shared" si="25"/>
        <v>1P</v>
      </c>
      <c r="G98" s="336" t="str">
        <f t="shared" si="26"/>
        <v>ARIETE 23</v>
      </c>
      <c r="H98" s="166"/>
      <c r="I98" s="166"/>
      <c r="M98"/>
    </row>
    <row r="99" spans="1:13" ht="23.4" x14ac:dyDescent="0.3">
      <c r="A99" s="176">
        <f>IF(LEN(D99)&gt;2,22,0)</f>
        <v>0</v>
      </c>
      <c r="B99" s="176"/>
      <c r="C99" s="330" t="s">
        <v>857</v>
      </c>
      <c r="D99" s="585" t="str">
        <f t="shared" si="23"/>
        <v>-</v>
      </c>
      <c r="E99" s="334" t="str">
        <f>IFERROR(IF(VLOOKUP(C99,TURNOS_SERVICIOS,3,FALSE)=0,"-",VLOOKUP(C99,TURNOS_SERVICIOS,3,FALSE)),"-")</f>
        <v>-</v>
      </c>
      <c r="F99" s="334" t="str">
        <f>IFERROR(IF(VLOOKUP(C99,TURNOS_SERVICIOS,4,FALSE)=0,"-",VLOOKUP(C99,TURNOS_SERVICIOS,4,FALSE)),0)</f>
        <v/>
      </c>
      <c r="G99" s="334" t="str">
        <f>IFERROR(IF(VLOOKUP(C99,TURNOS_SERVICIOS,5,FALSE)=0,"-",VLOOKUP(C99,TURNOS_SERVICIOS,5,FALSE)),0)</f>
        <v/>
      </c>
      <c r="H99" s="166"/>
      <c r="I99" s="166"/>
    </row>
    <row r="100" spans="1:13" ht="23.4" x14ac:dyDescent="0.3">
      <c r="A100" s="176">
        <f>IF(LEN(D100)&gt;2,22,0)</f>
        <v>0</v>
      </c>
      <c r="B100" s="176"/>
      <c r="C100" s="329" t="s">
        <v>858</v>
      </c>
      <c r="D100" s="584" t="str">
        <f t="shared" si="23"/>
        <v>-</v>
      </c>
      <c r="E100" s="336" t="str">
        <f>IFERROR(IF(VLOOKUP(C100,TURNOS_SERVICIOS,3,FALSE)=0,"-",VLOOKUP(C100,TURNOS_SERVICIOS,3,FALSE)),"-")</f>
        <v>-</v>
      </c>
      <c r="F100" s="336" t="str">
        <f>IFERROR(IF(VLOOKUP(C100,TURNOS_SERVICIOS,4,FALSE)=0,"-",VLOOKUP(C100,TURNOS_SERVICIOS,4,FALSE)),0)</f>
        <v/>
      </c>
      <c r="G100" s="336" t="str">
        <f>IFERROR(IF(VLOOKUP(C100,TURNOS_SERVICIOS,5,FALSE)=0,"-",VLOOKUP(C100,TURNOS_SERVICIOS,5,FALSE)),0)</f>
        <v/>
      </c>
      <c r="H100" s="166"/>
      <c r="I100" s="166"/>
      <c r="M100"/>
    </row>
    <row r="101" spans="1:13" ht="23.4" x14ac:dyDescent="0.3">
      <c r="A101" s="176">
        <f t="shared" si="22"/>
        <v>0</v>
      </c>
      <c r="B101" s="176"/>
      <c r="C101" s="330" t="s">
        <v>1980</v>
      </c>
      <c r="D101" s="585" t="str">
        <f t="shared" si="23"/>
        <v>-</v>
      </c>
      <c r="E101" s="334" t="str">
        <f t="shared" si="24"/>
        <v>-</v>
      </c>
      <c r="F101" s="334" t="str">
        <f>IFERROR(IF(VLOOKUP(C101,TURNOS_SERVICIOS,4,FALSE)=0,"-",VLOOKUP(C101,TURNOS_SERVICIOS,4,FALSE)),"-")</f>
        <v/>
      </c>
      <c r="G101" s="334" t="str">
        <f>IFERROR(IF(VLOOKUP(C101,TURNOS_SERVICIOS,5,FALSE)=0,"-",VLOOKUP(C101,TURNOS_SERVICIOS,5,FALSE)),"-")</f>
        <v/>
      </c>
      <c r="H101" s="166"/>
      <c r="I101" s="166"/>
    </row>
    <row r="102" spans="1:13" ht="23.4" x14ac:dyDescent="0.3">
      <c r="A102" s="176">
        <f t="shared" si="22"/>
        <v>0</v>
      </c>
      <c r="B102" s="176"/>
      <c r="C102" s="329" t="s">
        <v>1981</v>
      </c>
      <c r="D102" s="584" t="str">
        <f t="shared" si="23"/>
        <v>-</v>
      </c>
      <c r="E102" s="336" t="str">
        <f t="shared" si="24"/>
        <v>-</v>
      </c>
      <c r="F102" s="336" t="str">
        <f>IFERROR(IF(VLOOKUP(C102,TURNOS_SERVICIOS,4,FALSE)=0,"-",VLOOKUP(C102,TURNOS_SERVICIOS,4,FALSE)),"-")</f>
        <v/>
      </c>
      <c r="G102" s="336" t="str">
        <f>IFERROR(IF(VLOOKUP(C102,TURNOS_SERVICIOS,5,FALSE)=0,"-",VLOOKUP(C102,TURNOS_SERVICIOS,5,FALSE)),"-")</f>
        <v/>
      </c>
      <c r="H102" s="166"/>
      <c r="I102" s="166"/>
      <c r="M102"/>
    </row>
    <row r="103" spans="1:13" ht="23.4" x14ac:dyDescent="0.3">
      <c r="A103" s="162">
        <v>22</v>
      </c>
      <c r="B103" s="333"/>
      <c r="C103" s="1173" t="s">
        <v>1679</v>
      </c>
      <c r="D103" s="1174"/>
      <c r="E103" s="1174"/>
      <c r="F103" s="1174"/>
      <c r="G103" s="1175"/>
      <c r="H103" s="166"/>
      <c r="I103" s="165"/>
    </row>
    <row r="104" spans="1:13" ht="46.8" x14ac:dyDescent="0.3">
      <c r="A104" s="176">
        <f>IF(LEN(F104)&lt;&gt;"-",22,0)</f>
        <v>22</v>
      </c>
      <c r="B104" s="176"/>
      <c r="C104" s="329" t="s">
        <v>793</v>
      </c>
      <c r="D104" s="377" t="str">
        <f t="shared" ref="D104:D115" si="27">IFERROR(IF(VLOOKUP(C104,TURNOS_SERVICIOS,2,FALSE)=0,"NO DESIGNADO",VLOOKUP(C104,TURNOS_SERVICIOS,2,FALSE)),"NO DESIGNADO")</f>
        <v>SGTO 1RO. REYES MUÑOZ OSCAR</v>
      </c>
      <c r="E104" s="336" t="str">
        <f t="shared" ref="E104:E115" si="28">IFERROR(IF(VLOOKUP(C104,TURNOS_SERVICIOS,3,FALSE)=0,"-",VLOOKUP(C104,TURNOS_SERVICIOS,3,FALSE)),"-")</f>
        <v>-</v>
      </c>
      <c r="F104" s="336" t="str">
        <f t="shared" ref="F104:F115" si="29">IFERROR(IF(VLOOKUP(C104,TURNOS_SERVICIOS,4,FALSE)=0,"-",VLOOKUP(C104,TURNOS_SERVICIOS,4,FALSE)),0)</f>
        <v>F</v>
      </c>
      <c r="G104" s="336" t="str">
        <f t="shared" ref="G104:G115" si="30">IFERROR(IF(VLOOKUP(C104,TURNOS_SERVICIOS,5,FALSE)=0,"-",VLOOKUP(C104,TURNOS_SERVICIOS,5,FALSE)),0)</f>
        <v>GUARDIA</v>
      </c>
      <c r="H104" s="166"/>
      <c r="I104" s="166"/>
    </row>
    <row r="105" spans="1:13" ht="46.8" x14ac:dyDescent="0.3">
      <c r="A105" s="176">
        <f t="shared" ref="A105:A115" si="31">IF(LEN(F105)&lt;&gt;"-",22,0)</f>
        <v>22</v>
      </c>
      <c r="B105" s="176"/>
      <c r="C105" s="329" t="s">
        <v>794</v>
      </c>
      <c r="D105" s="377" t="str">
        <f t="shared" si="27"/>
        <v>SGTO 1RO. VERGARA BARRERA ROBINSON EDGARDO</v>
      </c>
      <c r="E105" s="336" t="str">
        <f t="shared" si="28"/>
        <v>-</v>
      </c>
      <c r="F105" s="336" t="str">
        <f t="shared" si="29"/>
        <v>SN</v>
      </c>
      <c r="G105" s="336" t="str">
        <f t="shared" si="30"/>
        <v>GUARDIA</v>
      </c>
      <c r="H105" s="166"/>
      <c r="I105" s="166"/>
    </row>
    <row r="106" spans="1:13" ht="46.8" x14ac:dyDescent="0.3">
      <c r="A106" s="176">
        <f t="shared" si="31"/>
        <v>22</v>
      </c>
      <c r="B106" s="176"/>
      <c r="C106" s="329" t="s">
        <v>795</v>
      </c>
      <c r="D106" s="377" t="str">
        <f t="shared" si="27"/>
        <v>SGTO 1RO. CAYUPAN ANTIPIL CESAR ABRAHAM</v>
      </c>
      <c r="E106" s="336" t="str">
        <f t="shared" si="28"/>
        <v>-</v>
      </c>
      <c r="F106" s="336" t="str">
        <f t="shared" si="29"/>
        <v>1G</v>
      </c>
      <c r="G106" s="336" t="str">
        <f t="shared" si="30"/>
        <v>GUARDIA</v>
      </c>
      <c r="H106" s="166"/>
      <c r="I106" s="166"/>
    </row>
    <row r="107" spans="1:13" ht="46.8" x14ac:dyDescent="0.3">
      <c r="A107" s="176">
        <f t="shared" si="31"/>
        <v>22</v>
      </c>
      <c r="B107" s="176"/>
      <c r="C107" s="329" t="s">
        <v>820</v>
      </c>
      <c r="D107" s="377" t="str">
        <f t="shared" si="27"/>
        <v>SGTO 2DO. NEUMANN VIDAL CRISTIAN ALEJANDRO</v>
      </c>
      <c r="E107" s="336" t="str">
        <f t="shared" si="28"/>
        <v>-</v>
      </c>
      <c r="F107" s="336" t="str">
        <f t="shared" si="29"/>
        <v>2G</v>
      </c>
      <c r="G107" s="336" t="str">
        <f t="shared" si="30"/>
        <v/>
      </c>
      <c r="H107" s="166"/>
      <c r="I107" s="166"/>
    </row>
    <row r="108" spans="1:13" ht="23.4" x14ac:dyDescent="0.3">
      <c r="A108" s="176">
        <f t="shared" si="31"/>
        <v>22</v>
      </c>
      <c r="B108" s="176"/>
      <c r="C108" s="330" t="s">
        <v>708</v>
      </c>
      <c r="D108" s="376" t="str">
        <f t="shared" si="27"/>
        <v>SGTO 1RO. ROMERO VENEGAS SERGIO HERNAN</v>
      </c>
      <c r="E108" s="334" t="str">
        <f t="shared" si="28"/>
        <v>-</v>
      </c>
      <c r="F108" s="334" t="str">
        <f t="shared" si="29"/>
        <v>F</v>
      </c>
      <c r="G108" s="334" t="str">
        <f t="shared" si="30"/>
        <v>INTERNO</v>
      </c>
      <c r="H108" s="166"/>
      <c r="I108" s="166"/>
    </row>
    <row r="109" spans="1:13" ht="23.4" x14ac:dyDescent="0.3">
      <c r="A109" s="176">
        <f t="shared" si="31"/>
        <v>22</v>
      </c>
      <c r="B109" s="176"/>
      <c r="C109" s="330" t="s">
        <v>705</v>
      </c>
      <c r="D109" s="376" t="str">
        <f t="shared" si="27"/>
        <v>SUBOFICIAL JARAMILLO VIDAL RUBEN PATRICIO</v>
      </c>
      <c r="E109" s="334" t="str">
        <f t="shared" si="28"/>
        <v>-</v>
      </c>
      <c r="F109" s="334" t="str">
        <f t="shared" si="29"/>
        <v>1G</v>
      </c>
      <c r="G109" s="334" t="str">
        <f t="shared" si="30"/>
        <v>INTERNO</v>
      </c>
      <c r="H109" s="166"/>
      <c r="I109" s="166"/>
    </row>
    <row r="110" spans="1:13" ht="23.4" x14ac:dyDescent="0.3">
      <c r="A110" s="176">
        <f t="shared" si="31"/>
        <v>22</v>
      </c>
      <c r="B110" s="176"/>
      <c r="C110" s="330" t="s">
        <v>706</v>
      </c>
      <c r="D110" s="376" t="str">
        <f t="shared" si="27"/>
        <v>SGTO 2DO. LIRA MUÑOZ OSCAR FABIAN</v>
      </c>
      <c r="E110" s="334" t="str">
        <f t="shared" si="28"/>
        <v>-</v>
      </c>
      <c r="F110" s="334" t="str">
        <f t="shared" si="29"/>
        <v>2G</v>
      </c>
      <c r="G110" s="334" t="str">
        <f t="shared" si="30"/>
        <v>INTERNO</v>
      </c>
      <c r="H110" s="166"/>
      <c r="I110" s="166"/>
    </row>
    <row r="111" spans="1:13" ht="23.4" x14ac:dyDescent="0.3">
      <c r="A111" s="176">
        <f t="shared" si="31"/>
        <v>22</v>
      </c>
      <c r="B111" s="176"/>
      <c r="C111" s="330" t="s">
        <v>707</v>
      </c>
      <c r="D111" s="376" t="str">
        <f t="shared" si="27"/>
        <v>SGTO 2DO. PILQUIMAN MANQUI MIGUEL ANGEL</v>
      </c>
      <c r="E111" s="334" t="str">
        <f t="shared" si="28"/>
        <v>-</v>
      </c>
      <c r="F111" s="334" t="str">
        <f t="shared" si="29"/>
        <v>SN</v>
      </c>
      <c r="G111" s="334" t="str">
        <f t="shared" si="30"/>
        <v>INTERNO</v>
      </c>
      <c r="H111" s="166"/>
      <c r="I111" s="166"/>
    </row>
    <row r="112" spans="1:13" ht="46.8" x14ac:dyDescent="0.3">
      <c r="A112" s="176">
        <f t="shared" si="31"/>
        <v>22</v>
      </c>
      <c r="B112" s="176"/>
      <c r="C112" s="329" t="s">
        <v>821</v>
      </c>
      <c r="D112" s="377" t="str">
        <f t="shared" si="27"/>
        <v>CABO 1RO. GARCES ORELLANA DIEGO ANDRES</v>
      </c>
      <c r="E112" s="329" t="str">
        <f t="shared" si="28"/>
        <v>-</v>
      </c>
      <c r="F112" s="329" t="str">
        <f t="shared" si="29"/>
        <v>1P</v>
      </c>
      <c r="G112" s="329" t="str">
        <f t="shared" si="30"/>
        <v>R. RIO</v>
      </c>
      <c r="H112" s="166"/>
      <c r="I112" s="166"/>
    </row>
    <row r="113" spans="1:13" ht="46.8" x14ac:dyDescent="0.3">
      <c r="A113" s="176">
        <f t="shared" si="31"/>
        <v>22</v>
      </c>
      <c r="B113" s="176"/>
      <c r="C113" s="329" t="s">
        <v>822</v>
      </c>
      <c r="D113" s="377" t="str">
        <f t="shared" si="27"/>
        <v>SGTO 2DO. MELLA GUTIERREZ SEBASTIAN ANDRES</v>
      </c>
      <c r="E113" s="329" t="str">
        <f t="shared" si="28"/>
        <v>-</v>
      </c>
      <c r="F113" s="329" t="str">
        <f t="shared" si="29"/>
        <v>2P</v>
      </c>
      <c r="G113" s="329" t="str">
        <f t="shared" si="30"/>
        <v>R. RIO</v>
      </c>
      <c r="H113" s="166"/>
      <c r="I113" s="166"/>
    </row>
    <row r="114" spans="1:13" ht="46.8" x14ac:dyDescent="0.3">
      <c r="A114" s="176">
        <f t="shared" si="31"/>
        <v>22</v>
      </c>
      <c r="B114" s="176"/>
      <c r="C114" s="329" t="s">
        <v>823</v>
      </c>
      <c r="D114" s="377" t="str">
        <f t="shared" si="27"/>
        <v>SGTO 2DO. REYES CORDOVA CARLOS HUMBERTO</v>
      </c>
      <c r="E114" s="329" t="str">
        <f t="shared" si="28"/>
        <v>-</v>
      </c>
      <c r="F114" s="329" t="str">
        <f t="shared" si="29"/>
        <v>SN</v>
      </c>
      <c r="G114" s="329" t="str">
        <f t="shared" si="30"/>
        <v>R. RIO</v>
      </c>
      <c r="H114" s="166"/>
      <c r="I114" s="166"/>
      <c r="M114"/>
    </row>
    <row r="115" spans="1:13" ht="46.8" x14ac:dyDescent="0.3">
      <c r="A115" s="176">
        <f t="shared" si="31"/>
        <v>22</v>
      </c>
      <c r="B115" s="176"/>
      <c r="C115" s="329" t="s">
        <v>824</v>
      </c>
      <c r="D115" s="377" t="str">
        <f t="shared" si="27"/>
        <v>CABO 1RO. PACHECO CIFUENTES HUMBERTO ARIEL</v>
      </c>
      <c r="E115" s="329" t="str">
        <f t="shared" si="28"/>
        <v>-</v>
      </c>
      <c r="F115" s="329" t="str">
        <f t="shared" si="29"/>
        <v>F</v>
      </c>
      <c r="G115" s="329" t="str">
        <f t="shared" si="30"/>
        <v>R. RIO</v>
      </c>
      <c r="H115" s="166"/>
      <c r="I115" s="166"/>
      <c r="M115"/>
    </row>
    <row r="116" spans="1:13" ht="23.4" x14ac:dyDescent="0.3">
      <c r="A116" s="162">
        <v>22</v>
      </c>
      <c r="B116" s="333"/>
      <c r="C116" s="1184"/>
      <c r="D116" s="1185"/>
      <c r="E116" s="1185"/>
      <c r="F116" s="1185"/>
      <c r="G116" s="1185"/>
      <c r="H116" s="166"/>
      <c r="I116" s="165"/>
    </row>
    <row r="117" spans="1:13" ht="31.2" x14ac:dyDescent="0.45">
      <c r="A117" s="332">
        <v>22</v>
      </c>
      <c r="B117" s="163"/>
      <c r="C117" s="1176" t="s">
        <v>1634</v>
      </c>
      <c r="D117" s="1176"/>
      <c r="E117" s="1176"/>
      <c r="F117" s="1176"/>
      <c r="G117" s="1176"/>
      <c r="H117" s="167"/>
      <c r="I117" s="170"/>
    </row>
    <row r="118" spans="1:13" ht="36.6" x14ac:dyDescent="0.6">
      <c r="A118" s="332">
        <v>22</v>
      </c>
      <c r="B118" s="163"/>
      <c r="C118" s="1182" t="str">
        <f ca="1">CONCATENATE("Última actualización: ",TEXT(TODAY(),"dddd"),", ",TEXT(TODAY(),"dd")," ",TEXT(TODAY(),"mmmm")," del año ",TEXT(TODAY(),"yyyyy"),", ",TEXT(NOW(),"hh:mm")," Horas.")</f>
        <v>Última actualización: viernes, 05 abril del año 2024, 16:01 Horas.</v>
      </c>
      <c r="D118" s="1183"/>
      <c r="E118" s="1183"/>
      <c r="F118" s="1183"/>
      <c r="G118" s="1183"/>
      <c r="H118" s="167"/>
      <c r="I118" s="170"/>
    </row>
  </sheetData>
  <sheetProtection algorithmName="SHA-512" hashValue="6SKMJMJbQIpxSYhTdvONzFRzYmVtz2hCyoqGxbDyiKSoJdIt6/YR1jcWP+RYZPGJqth7KrfuxTy9foJh0AoP6g==" saltValue="Ao/rHsp6hwTaJYaWm8qYQA==" spinCount="100000" sheet="1" objects="1" scenarios="1"/>
  <autoFilter ref="A1:I118" xr:uid="{00000000-0009-0000-0000-000006000000}"/>
  <mergeCells count="18">
    <mergeCell ref="C118:G118"/>
    <mergeCell ref="C103:G103"/>
    <mergeCell ref="C116:G116"/>
    <mergeCell ref="C117:G117"/>
    <mergeCell ref="C85:G85"/>
    <mergeCell ref="C31:G31"/>
    <mergeCell ref="C38:G38"/>
    <mergeCell ref="C80:G80"/>
    <mergeCell ref="C45:G45"/>
    <mergeCell ref="C2:G2"/>
    <mergeCell ref="C3:G3"/>
    <mergeCell ref="C4:G4"/>
    <mergeCell ref="C11:G11"/>
    <mergeCell ref="C30:G30"/>
    <mergeCell ref="C52:G52"/>
    <mergeCell ref="C59:G59"/>
    <mergeCell ref="C73:G73"/>
    <mergeCell ref="C66:G66"/>
  </mergeCells>
  <phoneticPr fontId="13" type="noConversion"/>
  <pageMargins left="0.7" right="0.7" top="0.75" bottom="0.75" header="0.3" footer="0.3"/>
  <pageSetup paperSize="5" scale="28"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tabColor rgb="FFFFFF00"/>
    <pageSetUpPr fitToPage="1"/>
  </sheetPr>
  <dimension ref="A1:BN845"/>
  <sheetViews>
    <sheetView tabSelected="1" topLeftCell="D1" zoomScale="70" zoomScaleNormal="70" zoomScaleSheetLayoutView="44" workbookViewId="0">
      <pane ySplit="3" topLeftCell="A119" activePane="bottomLeft" state="frozen"/>
      <selection activeCell="A41" sqref="A41"/>
      <selection pane="bottomLeft" activeCell="AG4" sqref="AG4:AG481"/>
    </sheetView>
  </sheetViews>
  <sheetFormatPr baseColWidth="10" defaultColWidth="75.6640625" defaultRowHeight="13.2" x14ac:dyDescent="0.3"/>
  <cols>
    <col min="1" max="2" width="18" style="148" hidden="1" customWidth="1"/>
    <col min="3" max="3" width="12.6640625" style="148" hidden="1" customWidth="1"/>
    <col min="4" max="4" width="21.33203125" style="492" customWidth="1"/>
    <col min="5" max="5" width="21.33203125" style="489" customWidth="1"/>
    <col min="6" max="6" width="52.33203125" style="489" customWidth="1"/>
    <col min="7" max="7" width="13.44140625" style="148" customWidth="1"/>
    <col min="8" max="8" width="22.6640625" style="150" hidden="1" customWidth="1"/>
    <col min="9" max="9" width="31.6640625" style="151" hidden="1" customWidth="1"/>
    <col min="10" max="10" width="16.44140625" style="152" hidden="1" customWidth="1"/>
    <col min="11" max="11" width="38.6640625" style="476" hidden="1" customWidth="1"/>
    <col min="12" max="12" width="10.33203125" style="149" customWidth="1"/>
    <col min="13" max="13" width="29.6640625" style="280" customWidth="1"/>
    <col min="14" max="14" width="26" style="154" hidden="1" customWidth="1"/>
    <col min="15" max="15" width="23.109375" style="155" hidden="1" customWidth="1"/>
    <col min="16" max="16" width="25.5546875" style="153" hidden="1" customWidth="1"/>
    <col min="17" max="17" width="26.6640625" style="148" hidden="1" customWidth="1"/>
    <col min="18" max="18" width="13.5546875" style="148" hidden="1" customWidth="1"/>
    <col min="19" max="19" width="32.6640625" style="155" customWidth="1"/>
    <col min="20" max="20" width="34" style="148" customWidth="1"/>
    <col min="21" max="21" width="12.109375" style="148" customWidth="1"/>
    <col min="22" max="22" width="11.88671875" style="148" customWidth="1"/>
    <col min="23" max="23" width="19.6640625" style="148" customWidth="1"/>
    <col min="24" max="27" width="14.88671875" style="148" hidden="1" customWidth="1"/>
    <col min="28" max="56" width="12.44140625" style="148" customWidth="1"/>
    <col min="57" max="64" width="11.33203125" style="148" bestFit="1" customWidth="1"/>
    <col min="65" max="65" width="20" style="148" bestFit="1" customWidth="1"/>
    <col min="66" max="66" width="21.88671875" style="148" bestFit="1" customWidth="1"/>
    <col min="67" max="16384" width="75.6640625" style="148"/>
  </cols>
  <sheetData>
    <row r="1" spans="1:66" ht="24.75" customHeight="1" x14ac:dyDescent="0.3">
      <c r="A1" s="146"/>
      <c r="B1" s="147">
        <f>'Tabla de Servicio'!B2</f>
        <v>45388</v>
      </c>
      <c r="D1" s="490"/>
      <c r="E1" s="1186"/>
      <c r="F1" s="1186"/>
      <c r="G1" s="149"/>
      <c r="S1" s="281" t="str">
        <f>COUNTIF(BD_PRINCIPAL[TURNO],0)&amp;" Funcionarios sin servicios"</f>
        <v>0 Funcionarios sin servicios</v>
      </c>
    </row>
    <row r="2" spans="1:66" s="157" customFormat="1" ht="66.599999999999994" customHeight="1" x14ac:dyDescent="0.3">
      <c r="A2" s="148"/>
      <c r="B2" s="148"/>
      <c r="C2" s="148"/>
      <c r="D2" s="490"/>
      <c r="E2" s="1186"/>
      <c r="F2" s="1186"/>
      <c r="G2" s="148"/>
      <c r="H2" s="150"/>
      <c r="I2" s="151"/>
      <c r="J2" s="152"/>
      <c r="K2" s="476"/>
      <c r="L2" s="149"/>
      <c r="M2" s="280"/>
      <c r="N2" s="154"/>
      <c r="O2" s="155"/>
      <c r="P2" s="153"/>
      <c r="Q2" s="156"/>
      <c r="R2" s="156"/>
      <c r="S2" s="281" t="str">
        <f>COUNTIF(BD_PRINCIPAL[HASTA],B1-1)&amp;" FECHAS"</f>
        <v>2 FECHAS</v>
      </c>
      <c r="T2" s="156"/>
      <c r="U2" s="156"/>
      <c r="V2" s="156"/>
      <c r="W2" s="156"/>
      <c r="X2" s="156"/>
      <c r="Y2" s="156"/>
      <c r="Z2" s="156"/>
      <c r="AA2" s="156"/>
      <c r="AB2" s="732">
        <v>45383</v>
      </c>
      <c r="AC2" s="732">
        <f>AB2+1</f>
        <v>45384</v>
      </c>
      <c r="AD2" s="732">
        <f t="shared" ref="AD2:BL2" si="0">AC2+1</f>
        <v>45385</v>
      </c>
      <c r="AE2" s="732">
        <f t="shared" si="0"/>
        <v>45386</v>
      </c>
      <c r="AF2" s="732">
        <f t="shared" si="0"/>
        <v>45387</v>
      </c>
      <c r="AG2" s="732">
        <f t="shared" si="0"/>
        <v>45388</v>
      </c>
      <c r="AH2" s="732">
        <f t="shared" si="0"/>
        <v>45389</v>
      </c>
      <c r="AI2" s="732">
        <f t="shared" si="0"/>
        <v>45390</v>
      </c>
      <c r="AJ2" s="732">
        <f t="shared" si="0"/>
        <v>45391</v>
      </c>
      <c r="AK2" s="732">
        <f t="shared" si="0"/>
        <v>45392</v>
      </c>
      <c r="AL2" s="732">
        <f t="shared" si="0"/>
        <v>45393</v>
      </c>
      <c r="AM2" s="732">
        <f t="shared" si="0"/>
        <v>45394</v>
      </c>
      <c r="AN2" s="732">
        <f t="shared" si="0"/>
        <v>45395</v>
      </c>
      <c r="AO2" s="732">
        <f t="shared" si="0"/>
        <v>45396</v>
      </c>
      <c r="AP2" s="732">
        <f t="shared" si="0"/>
        <v>45397</v>
      </c>
      <c r="AQ2" s="732">
        <f t="shared" si="0"/>
        <v>45398</v>
      </c>
      <c r="AR2" s="732">
        <f t="shared" si="0"/>
        <v>45399</v>
      </c>
      <c r="AS2" s="732">
        <f t="shared" si="0"/>
        <v>45400</v>
      </c>
      <c r="AT2" s="732">
        <f t="shared" si="0"/>
        <v>45401</v>
      </c>
      <c r="AU2" s="732">
        <f t="shared" si="0"/>
        <v>45402</v>
      </c>
      <c r="AV2" s="732">
        <f t="shared" si="0"/>
        <v>45403</v>
      </c>
      <c r="AW2" s="732">
        <f t="shared" si="0"/>
        <v>45404</v>
      </c>
      <c r="AX2" s="732">
        <f t="shared" si="0"/>
        <v>45405</v>
      </c>
      <c r="AY2" s="732">
        <f t="shared" si="0"/>
        <v>45406</v>
      </c>
      <c r="AZ2" s="732">
        <f t="shared" si="0"/>
        <v>45407</v>
      </c>
      <c r="BA2" s="732">
        <f t="shared" si="0"/>
        <v>45408</v>
      </c>
      <c r="BB2" s="732">
        <f t="shared" si="0"/>
        <v>45409</v>
      </c>
      <c r="BC2" s="732">
        <f t="shared" si="0"/>
        <v>45410</v>
      </c>
      <c r="BD2" s="732">
        <f t="shared" si="0"/>
        <v>45411</v>
      </c>
      <c r="BE2" s="732">
        <f t="shared" si="0"/>
        <v>45412</v>
      </c>
      <c r="BF2" s="732">
        <f t="shared" si="0"/>
        <v>45413</v>
      </c>
      <c r="BG2" s="732">
        <f t="shared" si="0"/>
        <v>45414</v>
      </c>
      <c r="BH2" s="732">
        <f t="shared" si="0"/>
        <v>45415</v>
      </c>
      <c r="BI2" s="732">
        <f t="shared" si="0"/>
        <v>45416</v>
      </c>
      <c r="BJ2" s="732">
        <f t="shared" si="0"/>
        <v>45417</v>
      </c>
      <c r="BK2" s="732">
        <f t="shared" si="0"/>
        <v>45418</v>
      </c>
      <c r="BL2" s="732">
        <f t="shared" si="0"/>
        <v>45419</v>
      </c>
    </row>
    <row r="3" spans="1:66" s="158" customFormat="1" ht="26.4" x14ac:dyDescent="0.3">
      <c r="A3" s="318" t="s">
        <v>815</v>
      </c>
      <c r="B3" s="319" t="s">
        <v>1551</v>
      </c>
      <c r="C3" s="319" t="s">
        <v>777</v>
      </c>
      <c r="D3" s="491" t="s">
        <v>685</v>
      </c>
      <c r="E3" s="483" t="s">
        <v>841</v>
      </c>
      <c r="F3" s="483" t="s">
        <v>693</v>
      </c>
      <c r="G3" s="320" t="s">
        <v>0</v>
      </c>
      <c r="H3" s="319" t="s">
        <v>779</v>
      </c>
      <c r="I3" s="319" t="s">
        <v>870</v>
      </c>
      <c r="J3" s="319" t="s">
        <v>837</v>
      </c>
      <c r="K3" s="320" t="s">
        <v>90</v>
      </c>
      <c r="L3" s="319" t="s">
        <v>831</v>
      </c>
      <c r="M3" s="319" t="s">
        <v>118</v>
      </c>
      <c r="N3" s="320" t="s">
        <v>2596</v>
      </c>
      <c r="O3" s="319" t="s">
        <v>878</v>
      </c>
      <c r="P3" s="319" t="s">
        <v>879</v>
      </c>
      <c r="Q3" s="319" t="s">
        <v>1001</v>
      </c>
      <c r="R3" s="319" t="s">
        <v>1682</v>
      </c>
      <c r="S3" s="320" t="s">
        <v>1170</v>
      </c>
      <c r="T3" s="319" t="s">
        <v>842</v>
      </c>
      <c r="U3" s="319" t="s">
        <v>1171</v>
      </c>
      <c r="V3" s="319" t="s">
        <v>1172</v>
      </c>
      <c r="W3" s="319" t="s">
        <v>1176</v>
      </c>
      <c r="X3" s="319" t="s">
        <v>1209</v>
      </c>
      <c r="Y3" s="319" t="s">
        <v>1210</v>
      </c>
      <c r="Z3" s="319" t="s">
        <v>1211</v>
      </c>
      <c r="AA3" s="319" t="s">
        <v>1212</v>
      </c>
      <c r="AB3" s="319" t="s">
        <v>2210</v>
      </c>
      <c r="AC3" s="319" t="s">
        <v>2211</v>
      </c>
      <c r="AD3" s="319" t="s">
        <v>2212</v>
      </c>
      <c r="AE3" s="319" t="s">
        <v>2213</v>
      </c>
      <c r="AF3" s="319" t="s">
        <v>2214</v>
      </c>
      <c r="AG3" s="319" t="s">
        <v>2215</v>
      </c>
      <c r="AH3" s="319" t="s">
        <v>2216</v>
      </c>
      <c r="AI3" s="319" t="s">
        <v>2217</v>
      </c>
      <c r="AJ3" s="319" t="s">
        <v>2218</v>
      </c>
      <c r="AK3" s="319" t="s">
        <v>2219</v>
      </c>
      <c r="AL3" s="319" t="s">
        <v>2220</v>
      </c>
      <c r="AM3" s="319" t="s">
        <v>2221</v>
      </c>
      <c r="AN3" s="319" t="s">
        <v>2222</v>
      </c>
      <c r="AO3" s="319" t="s">
        <v>2223</v>
      </c>
      <c r="AP3" s="319" t="s">
        <v>2224</v>
      </c>
      <c r="AQ3" s="319" t="s">
        <v>2225</v>
      </c>
      <c r="AR3" s="319" t="s">
        <v>2226</v>
      </c>
      <c r="AS3" s="319" t="s">
        <v>2227</v>
      </c>
      <c r="AT3" s="319" t="s">
        <v>2228</v>
      </c>
      <c r="AU3" s="319" t="s">
        <v>2229</v>
      </c>
      <c r="AV3" s="319" t="s">
        <v>2230</v>
      </c>
      <c r="AW3" s="319" t="s">
        <v>2231</v>
      </c>
      <c r="AX3" s="319" t="s">
        <v>2232</v>
      </c>
      <c r="AY3" s="319" t="s">
        <v>2233</v>
      </c>
      <c r="AZ3" s="319" t="s">
        <v>2234</v>
      </c>
      <c r="BA3" s="319" t="s">
        <v>2235</v>
      </c>
      <c r="BB3" s="319" t="s">
        <v>2236</v>
      </c>
      <c r="BC3" s="319" t="s">
        <v>2237</v>
      </c>
      <c r="BD3" s="319" t="s">
        <v>2238</v>
      </c>
      <c r="BE3" s="319" t="s">
        <v>2239</v>
      </c>
      <c r="BF3" s="319" t="s">
        <v>2240</v>
      </c>
      <c r="BG3" s="319" t="s">
        <v>2241</v>
      </c>
      <c r="BH3" s="319" t="s">
        <v>2242</v>
      </c>
      <c r="BI3" s="319" t="s">
        <v>2243</v>
      </c>
      <c r="BJ3" s="319" t="s">
        <v>2244</v>
      </c>
      <c r="BK3" s="319" t="s">
        <v>2245</v>
      </c>
      <c r="BL3" s="319" t="s">
        <v>2246</v>
      </c>
      <c r="BM3" s="319" t="s">
        <v>916</v>
      </c>
      <c r="BN3" s="319" t="s">
        <v>2597</v>
      </c>
    </row>
    <row r="4" spans="1:66" s="221" customFormat="1" x14ac:dyDescent="0.3">
      <c r="A4" s="219" t="s">
        <v>2461</v>
      </c>
      <c r="B4" s="728" t="s">
        <v>2409</v>
      </c>
      <c r="C4" s="219" t="s">
        <v>2410</v>
      </c>
      <c r="D4" s="309" t="s">
        <v>819</v>
      </c>
      <c r="E4" s="480" t="s">
        <v>819</v>
      </c>
      <c r="F4" s="480" t="s">
        <v>2409</v>
      </c>
      <c r="G4" s="222" t="s">
        <v>120</v>
      </c>
      <c r="H4" s="215" t="s">
        <v>816</v>
      </c>
      <c r="I4" s="215" t="s">
        <v>871</v>
      </c>
      <c r="J4" s="216" t="s">
        <v>918</v>
      </c>
      <c r="K4" s="1279" t="s">
        <v>2290</v>
      </c>
      <c r="L4" s="733" t="s">
        <v>855</v>
      </c>
      <c r="M4" s="1304" t="s">
        <v>1163</v>
      </c>
      <c r="N4" s="787"/>
      <c r="O4" s="1294"/>
      <c r="P4" s="212"/>
      <c r="Q4" s="1294" t="s">
        <v>832</v>
      </c>
      <c r="R4" s="498">
        <f>$B$1</f>
        <v>45388</v>
      </c>
      <c r="S4" s="213"/>
      <c r="T4" s="213"/>
      <c r="U4" s="747"/>
      <c r="V4" s="747"/>
      <c r="W4" s="499" t="str">
        <f>IFERROR(IF(AND(BD_PRINCIPAL[[#This Row],[DESDE]]&lt;&gt;"",BD_PRINCIPAL[[#This Row],[HASTA]]&lt;&gt;""),_xlfn.DAYS(BD_PRINCIPAL[[#This Row],[HASTA]],BD_PRINCIPAL[[#This Row],[DESDE]]),"")+1,"")</f>
        <v/>
      </c>
      <c r="X4" s="499">
        <f>VLOOKUP(BD_PRINCIPAL[[#This Row],[ENCUADRE. ESC.]],ORDEN1,2,FALSE)</f>
        <v>1</v>
      </c>
      <c r="Y4" s="499">
        <f>VLOOKUP(BD_PRINCIPAL[[#This Row],[DOTACIÓN ACTUAL]],ORDEN2,4,FALSE)</f>
        <v>1</v>
      </c>
      <c r="Z4" s="499">
        <f>VLOOKUP(BD_PRINCIPAL[[#This Row],[GRADO]],ORDEN3,2,FALSE)</f>
        <v>1</v>
      </c>
      <c r="AA4" s="499">
        <f>IFERROR(VLOOKUP(BD_PRINCIPAL[[#This Row],[DOTACIÓN ACTUAL]],ORDEN2,3,FALSE),0)</f>
        <v>0</v>
      </c>
      <c r="AB4" s="820" t="s">
        <v>853</v>
      </c>
      <c r="AC4" s="820" t="s">
        <v>853</v>
      </c>
      <c r="AD4" s="820" t="s">
        <v>853</v>
      </c>
      <c r="AE4" s="820" t="s">
        <v>853</v>
      </c>
      <c r="AF4" s="820" t="s">
        <v>853</v>
      </c>
      <c r="AG4" s="820" t="s">
        <v>855</v>
      </c>
      <c r="AH4" s="220"/>
      <c r="AI4" s="220"/>
      <c r="AJ4" s="220"/>
      <c r="AK4" s="220"/>
      <c r="AL4" s="220"/>
      <c r="AM4" s="220"/>
      <c r="AN4" s="220"/>
      <c r="AO4" s="220"/>
      <c r="AP4" s="220"/>
      <c r="AQ4" s="220"/>
      <c r="AR4" s="220"/>
      <c r="AS4" s="220"/>
      <c r="AT4" s="220"/>
      <c r="AU4" s="220"/>
      <c r="AV4" s="220"/>
      <c r="AW4" s="220"/>
      <c r="AX4" s="220"/>
      <c r="AY4" s="220"/>
      <c r="AZ4" s="220"/>
      <c r="BA4" s="212"/>
      <c r="BB4" s="212"/>
      <c r="BC4" s="212"/>
      <c r="BD4" s="212"/>
      <c r="BE4" s="212"/>
      <c r="BF4" s="820"/>
      <c r="BG4" s="820"/>
      <c r="BH4" s="820"/>
      <c r="BI4" s="820"/>
      <c r="BJ4" s="820"/>
      <c r="BK4" s="820"/>
      <c r="BL4" s="820"/>
      <c r="BM4" s="772">
        <v>45237</v>
      </c>
      <c r="BN4" s="874"/>
    </row>
    <row r="5" spans="1:66" s="221" customFormat="1" x14ac:dyDescent="0.3">
      <c r="A5" s="219" t="s">
        <v>2430</v>
      </c>
      <c r="B5" s="728" t="s">
        <v>2431</v>
      </c>
      <c r="C5" s="219">
        <v>140710814</v>
      </c>
      <c r="D5" s="480" t="s">
        <v>1990</v>
      </c>
      <c r="E5" s="480" t="s">
        <v>1990</v>
      </c>
      <c r="F5" s="480" t="s">
        <v>2505</v>
      </c>
      <c r="G5" s="222" t="s">
        <v>209</v>
      </c>
      <c r="H5" s="215" t="s">
        <v>816</v>
      </c>
      <c r="I5" s="215" t="s">
        <v>872</v>
      </c>
      <c r="J5" s="216" t="s">
        <v>917</v>
      </c>
      <c r="K5" s="1279" t="s">
        <v>2506</v>
      </c>
      <c r="L5" s="733" t="s">
        <v>855</v>
      </c>
      <c r="M5" s="1304" t="s">
        <v>1990</v>
      </c>
      <c r="N5" s="787"/>
      <c r="O5" s="1294"/>
      <c r="P5" s="212"/>
      <c r="Q5" s="1294" t="s">
        <v>832</v>
      </c>
      <c r="R5" s="498">
        <v>29383</v>
      </c>
      <c r="S5" s="213"/>
      <c r="T5" s="213" t="s">
        <v>2919</v>
      </c>
      <c r="U5" s="747"/>
      <c r="V5" s="747"/>
      <c r="W5" s="499" t="str">
        <f>IFERROR(IF(AND(BD_PRINCIPAL[[#This Row],[DESDE]]&lt;&gt;"",BD_PRINCIPAL[[#This Row],[HASTA]]&lt;&gt;""),_xlfn.DAYS(BD_PRINCIPAL[[#This Row],[HASTA]],BD_PRINCIPAL[[#This Row],[DESDE]]),"")+1,"")</f>
        <v/>
      </c>
      <c r="X5" s="499">
        <f>VLOOKUP(BD_PRINCIPAL[[#This Row],[ENCUADRE. ESC.]],ORDEN1,2,FALSE)</f>
        <v>1</v>
      </c>
      <c r="Y5" s="499">
        <f>VLOOKUP(BD_PRINCIPAL[[#This Row],[DOTACIÓN ACTUAL]],ORDEN2,4,FALSE)</f>
        <v>2</v>
      </c>
      <c r="Z5" s="499">
        <f>VLOOKUP(BD_PRINCIPAL[[#This Row],[GRADO]],ORDEN3,2,FALSE)</f>
        <v>10</v>
      </c>
      <c r="AA5" s="499">
        <f>IFERROR(VLOOKUP(BD_PRINCIPAL[[#This Row],[DOTACIÓN ACTUAL]],ORDEN2,3,FALSE),0)</f>
        <v>0</v>
      </c>
      <c r="AB5" s="212" t="s">
        <v>853</v>
      </c>
      <c r="AC5" s="212" t="s">
        <v>853</v>
      </c>
      <c r="AD5" s="212" t="s">
        <v>853</v>
      </c>
      <c r="AE5" s="212" t="s">
        <v>853</v>
      </c>
      <c r="AF5" s="212" t="s">
        <v>853</v>
      </c>
      <c r="AG5" s="212" t="s">
        <v>855</v>
      </c>
      <c r="AH5" s="220"/>
      <c r="AI5" s="220"/>
      <c r="AJ5" s="220"/>
      <c r="AK5" s="220"/>
      <c r="AL5" s="220"/>
      <c r="AM5" s="220"/>
      <c r="AN5" s="220"/>
      <c r="AO5" s="220"/>
      <c r="AP5" s="220"/>
      <c r="AQ5" s="220"/>
      <c r="AR5" s="220"/>
      <c r="AS5" s="220"/>
      <c r="AT5" s="220"/>
      <c r="AU5" s="220"/>
      <c r="AV5" s="220"/>
      <c r="AW5" s="220"/>
      <c r="AX5" s="220"/>
      <c r="AY5" s="220"/>
      <c r="AZ5" s="220"/>
      <c r="BA5" s="212"/>
      <c r="BB5" s="212"/>
      <c r="BC5" s="212"/>
      <c r="BD5" s="212"/>
      <c r="BE5" s="212"/>
      <c r="BF5" s="212"/>
      <c r="BG5" s="212"/>
      <c r="BH5" s="212"/>
      <c r="BI5" s="212"/>
      <c r="BJ5" s="212"/>
      <c r="BK5" s="212"/>
      <c r="BL5" s="212"/>
      <c r="BM5" s="772">
        <v>45251</v>
      </c>
      <c r="BN5" s="789"/>
    </row>
    <row r="6" spans="1:66" s="221" customFormat="1" x14ac:dyDescent="0.3">
      <c r="A6" s="219" t="s">
        <v>2433</v>
      </c>
      <c r="B6" s="728" t="s">
        <v>2434</v>
      </c>
      <c r="C6" s="219">
        <v>155983736</v>
      </c>
      <c r="D6" s="309" t="s">
        <v>1990</v>
      </c>
      <c r="E6" s="480" t="s">
        <v>1990</v>
      </c>
      <c r="F6" s="480" t="s">
        <v>2434</v>
      </c>
      <c r="G6" s="222" t="s">
        <v>209</v>
      </c>
      <c r="H6" s="215" t="s">
        <v>816</v>
      </c>
      <c r="I6" s="215" t="s">
        <v>872</v>
      </c>
      <c r="J6" s="216" t="s">
        <v>917</v>
      </c>
      <c r="K6" s="1279" t="s">
        <v>2290</v>
      </c>
      <c r="L6" s="733" t="s">
        <v>855</v>
      </c>
      <c r="M6" s="1304" t="s">
        <v>1990</v>
      </c>
      <c r="N6" s="787"/>
      <c r="O6" s="1294"/>
      <c r="P6" s="212"/>
      <c r="Q6" s="1294" t="s">
        <v>832</v>
      </c>
      <c r="R6" s="498">
        <v>29383</v>
      </c>
      <c r="S6" s="213"/>
      <c r="T6" s="213" t="s">
        <v>2919</v>
      </c>
      <c r="U6" s="747"/>
      <c r="V6" s="747"/>
      <c r="W6" s="499" t="str">
        <f>IFERROR(IF(AND(BD_PRINCIPAL[[#This Row],[DESDE]]&lt;&gt;"",BD_PRINCIPAL[[#This Row],[HASTA]]&lt;&gt;""),_xlfn.DAYS(BD_PRINCIPAL[[#This Row],[HASTA]],BD_PRINCIPAL[[#This Row],[DESDE]]),"")+1,"")</f>
        <v/>
      </c>
      <c r="X6" s="499">
        <f>VLOOKUP(BD_PRINCIPAL[[#This Row],[ENCUADRE. ESC.]],ORDEN1,2,FALSE)</f>
        <v>1</v>
      </c>
      <c r="Y6" s="499">
        <f>VLOOKUP(BD_PRINCIPAL[[#This Row],[DOTACIÓN ACTUAL]],ORDEN2,4,FALSE)</f>
        <v>2</v>
      </c>
      <c r="Z6" s="499">
        <f>VLOOKUP(BD_PRINCIPAL[[#This Row],[GRADO]],ORDEN3,2,FALSE)</f>
        <v>10</v>
      </c>
      <c r="AA6" s="499">
        <f>IFERROR(VLOOKUP(BD_PRINCIPAL[[#This Row],[DOTACIÓN ACTUAL]],ORDEN2,3,FALSE),0)</f>
        <v>0</v>
      </c>
      <c r="AB6" s="212" t="s">
        <v>853</v>
      </c>
      <c r="AC6" s="212" t="s">
        <v>853</v>
      </c>
      <c r="AD6" s="212" t="s">
        <v>853</v>
      </c>
      <c r="AE6" s="212" t="s">
        <v>853</v>
      </c>
      <c r="AF6" s="212" t="s">
        <v>853</v>
      </c>
      <c r="AG6" s="212" t="s">
        <v>855</v>
      </c>
      <c r="AH6" s="220"/>
      <c r="AI6" s="220"/>
      <c r="AJ6" s="220"/>
      <c r="AK6" s="220"/>
      <c r="AL6" s="220"/>
      <c r="AM6" s="220"/>
      <c r="AN6" s="220"/>
      <c r="AO6" s="220"/>
      <c r="AP6" s="220"/>
      <c r="AQ6" s="220"/>
      <c r="AR6" s="220"/>
      <c r="AS6" s="220"/>
      <c r="AT6" s="220"/>
      <c r="AU6" s="220"/>
      <c r="AV6" s="220"/>
      <c r="AW6" s="220"/>
      <c r="AX6" s="220"/>
      <c r="AY6" s="220"/>
      <c r="AZ6" s="220"/>
      <c r="BA6" s="212"/>
      <c r="BB6" s="212"/>
      <c r="BC6" s="212"/>
      <c r="BD6" s="212"/>
      <c r="BE6" s="212"/>
      <c r="BF6" s="212"/>
      <c r="BG6" s="212"/>
      <c r="BH6" s="212"/>
      <c r="BI6" s="212"/>
      <c r="BJ6" s="212"/>
      <c r="BK6" s="212"/>
      <c r="BL6" s="212"/>
      <c r="BM6" s="772">
        <v>45251</v>
      </c>
      <c r="BN6" s="789"/>
    </row>
    <row r="7" spans="1:66" s="221" customFormat="1" x14ac:dyDescent="0.3">
      <c r="A7" s="219" t="s">
        <v>1697</v>
      </c>
      <c r="B7" s="212" t="s">
        <v>1698</v>
      </c>
      <c r="C7" s="219">
        <v>166051002</v>
      </c>
      <c r="D7" s="480" t="s">
        <v>1990</v>
      </c>
      <c r="E7" s="480" t="s">
        <v>1990</v>
      </c>
      <c r="F7" s="480" t="s">
        <v>1698</v>
      </c>
      <c r="G7" s="222" t="s">
        <v>209</v>
      </c>
      <c r="H7" s="215" t="s">
        <v>816</v>
      </c>
      <c r="I7" s="215" t="s">
        <v>872</v>
      </c>
      <c r="J7" s="216" t="s">
        <v>917</v>
      </c>
      <c r="K7" s="1279" t="s">
        <v>2290</v>
      </c>
      <c r="L7" s="733" t="s">
        <v>855</v>
      </c>
      <c r="M7" s="1304" t="s">
        <v>1990</v>
      </c>
      <c r="N7" s="787"/>
      <c r="O7" s="1294"/>
      <c r="P7" s="212"/>
      <c r="Q7" s="1294" t="s">
        <v>832</v>
      </c>
      <c r="R7" s="498">
        <f>$B$1</f>
        <v>45388</v>
      </c>
      <c r="S7" s="223"/>
      <c r="T7" s="213" t="s">
        <v>2919</v>
      </c>
      <c r="U7" s="218"/>
      <c r="V7" s="218"/>
      <c r="W7" s="499" t="str">
        <f>IFERROR(IF(AND(BD_PRINCIPAL[[#This Row],[DESDE]]&lt;&gt;"",BD_PRINCIPAL[[#This Row],[HASTA]]&lt;&gt;""),_xlfn.DAYS(BD_PRINCIPAL[[#This Row],[HASTA]],BD_PRINCIPAL[[#This Row],[DESDE]]),"")+1,"")</f>
        <v/>
      </c>
      <c r="X7" s="499">
        <f>VLOOKUP(BD_PRINCIPAL[[#This Row],[ENCUADRE. ESC.]],ORDEN1,2,FALSE)</f>
        <v>1</v>
      </c>
      <c r="Y7" s="499">
        <f>VLOOKUP(BD_PRINCIPAL[[#This Row],[DOTACIÓN ACTUAL]],ORDEN2,4,FALSE)</f>
        <v>2</v>
      </c>
      <c r="Z7" s="499">
        <f>VLOOKUP(BD_PRINCIPAL[[#This Row],[GRADO]],ORDEN3,2,FALSE)</f>
        <v>10</v>
      </c>
      <c r="AA7" s="499">
        <f>IFERROR(VLOOKUP(BD_PRINCIPAL[[#This Row],[DOTACIÓN ACTUAL]],ORDEN2,3,FALSE),0)</f>
        <v>0</v>
      </c>
      <c r="AB7" s="212" t="s">
        <v>853</v>
      </c>
      <c r="AC7" s="212" t="s">
        <v>853</v>
      </c>
      <c r="AD7" s="212" t="s">
        <v>853</v>
      </c>
      <c r="AE7" s="212" t="s">
        <v>853</v>
      </c>
      <c r="AF7" s="212" t="s">
        <v>853</v>
      </c>
      <c r="AG7" s="212" t="s">
        <v>855</v>
      </c>
      <c r="AH7" s="212"/>
      <c r="AI7" s="212"/>
      <c r="AJ7" s="212"/>
      <c r="AK7" s="212"/>
      <c r="AL7" s="212"/>
      <c r="AM7" s="212"/>
      <c r="AN7" s="212"/>
      <c r="AO7" s="212"/>
      <c r="AP7" s="212"/>
      <c r="AQ7" s="212"/>
      <c r="AR7" s="212"/>
      <c r="AS7" s="212"/>
      <c r="AT7" s="220"/>
      <c r="AU7" s="220"/>
      <c r="AV7" s="220"/>
      <c r="AW7" s="220"/>
      <c r="AX7" s="220"/>
      <c r="AY7" s="220"/>
      <c r="AZ7" s="220"/>
      <c r="BA7" s="212"/>
      <c r="BB7" s="212"/>
      <c r="BC7" s="212"/>
      <c r="BD7" s="212"/>
      <c r="BE7" s="212"/>
      <c r="BF7" s="212"/>
      <c r="BG7" s="212"/>
      <c r="BH7" s="212"/>
      <c r="BI7" s="212"/>
      <c r="BJ7" s="212"/>
      <c r="BK7" s="212"/>
      <c r="BL7" s="212"/>
      <c r="BM7" s="772">
        <v>45082</v>
      </c>
      <c r="BN7" s="789"/>
    </row>
    <row r="8" spans="1:66" s="233" customFormat="1" x14ac:dyDescent="0.3">
      <c r="A8" s="231" t="s">
        <v>2546</v>
      </c>
      <c r="B8" s="746" t="s">
        <v>2547</v>
      </c>
      <c r="C8" s="231">
        <v>138416100</v>
      </c>
      <c r="D8" s="310" t="s">
        <v>694</v>
      </c>
      <c r="E8" s="484" t="s">
        <v>694</v>
      </c>
      <c r="F8" s="477" t="s">
        <v>2547</v>
      </c>
      <c r="G8" s="235" t="s">
        <v>119</v>
      </c>
      <c r="H8" s="228" t="s">
        <v>816</v>
      </c>
      <c r="I8" s="228" t="s">
        <v>871</v>
      </c>
      <c r="J8" s="229" t="s">
        <v>918</v>
      </c>
      <c r="K8" s="1280" t="s">
        <v>2290</v>
      </c>
      <c r="L8" s="734" t="s">
        <v>855</v>
      </c>
      <c r="M8" s="1305" t="s">
        <v>2662</v>
      </c>
      <c r="N8" s="779"/>
      <c r="O8" s="1295"/>
      <c r="P8" s="225"/>
      <c r="Q8" s="1295" t="s">
        <v>832</v>
      </c>
      <c r="R8" s="386">
        <v>29258</v>
      </c>
      <c r="S8" s="226"/>
      <c r="T8" s="226"/>
      <c r="U8" s="794"/>
      <c r="V8" s="794"/>
      <c r="W8" s="387" t="str">
        <f>IFERROR(IF(AND(BD_PRINCIPAL[[#This Row],[DESDE]]&lt;&gt;"",BD_PRINCIPAL[[#This Row],[HASTA]]&lt;&gt;""),_xlfn.DAYS(BD_PRINCIPAL[[#This Row],[HASTA]],BD_PRINCIPAL[[#This Row],[DESDE]]),"")+1,"")</f>
        <v/>
      </c>
      <c r="X8" s="387">
        <f>VLOOKUP(BD_PRINCIPAL[[#This Row],[ENCUADRE. ESC.]],ORDEN1,2,FALSE)</f>
        <v>1</v>
      </c>
      <c r="Y8" s="387">
        <f>VLOOKUP(BD_PRINCIPAL[[#This Row],[DOTACIÓN ACTUAL]],ORDEN2,4,FALSE)</f>
        <v>3</v>
      </c>
      <c r="Z8" s="387">
        <f>VLOOKUP(BD_PRINCIPAL[[#This Row],[GRADO]],ORDEN3,2,FALSE)</f>
        <v>2</v>
      </c>
      <c r="AA8" s="387">
        <f>IFERROR(VLOOKUP(BD_PRINCIPAL[[#This Row],[DOTACIÓN ACTUAL]],ORDEN2,3,FALSE),0)</f>
        <v>0</v>
      </c>
      <c r="AB8" s="225" t="s">
        <v>853</v>
      </c>
      <c r="AC8" s="225" t="s">
        <v>853</v>
      </c>
      <c r="AD8" s="225" t="s">
        <v>853</v>
      </c>
      <c r="AE8" s="225" t="s">
        <v>853</v>
      </c>
      <c r="AF8" s="225" t="s">
        <v>853</v>
      </c>
      <c r="AG8" s="225" t="s">
        <v>855</v>
      </c>
      <c r="AH8" s="232"/>
      <c r="AI8" s="232"/>
      <c r="AJ8" s="232"/>
      <c r="AK8" s="232"/>
      <c r="AL8" s="232"/>
      <c r="AM8" s="232"/>
      <c r="AN8" s="232"/>
      <c r="AO8" s="232"/>
      <c r="AP8" s="232"/>
      <c r="AQ8" s="232"/>
      <c r="AR8" s="232"/>
      <c r="AS8" s="232"/>
      <c r="AT8" s="232"/>
      <c r="AU8" s="232"/>
      <c r="AV8" s="232"/>
      <c r="AW8" s="232"/>
      <c r="AX8" s="232"/>
      <c r="AY8" s="232"/>
      <c r="AZ8" s="232"/>
      <c r="BA8" s="225"/>
      <c r="BB8" s="225"/>
      <c r="BC8" s="225"/>
      <c r="BD8" s="225"/>
      <c r="BE8" s="225"/>
      <c r="BF8" s="225"/>
      <c r="BG8" s="225"/>
      <c r="BH8" s="225"/>
      <c r="BI8" s="225"/>
      <c r="BJ8" s="225"/>
      <c r="BK8" s="225"/>
      <c r="BL8" s="225"/>
      <c r="BM8" s="773"/>
      <c r="BN8" s="790"/>
    </row>
    <row r="9" spans="1:66" s="233" customFormat="1" x14ac:dyDescent="0.3">
      <c r="A9" s="231" t="s">
        <v>275</v>
      </c>
      <c r="B9" s="225" t="s">
        <v>1552</v>
      </c>
      <c r="C9" s="231">
        <v>153474931</v>
      </c>
      <c r="D9" s="947" t="s">
        <v>1991</v>
      </c>
      <c r="E9" s="964" t="s">
        <v>1991</v>
      </c>
      <c r="F9" s="477" t="s">
        <v>2527</v>
      </c>
      <c r="G9" s="227" t="s">
        <v>89</v>
      </c>
      <c r="H9" s="228" t="s">
        <v>816</v>
      </c>
      <c r="I9" s="228" t="s">
        <v>872</v>
      </c>
      <c r="J9" s="229" t="s">
        <v>917</v>
      </c>
      <c r="K9" s="1280" t="s">
        <v>2304</v>
      </c>
      <c r="L9" s="734" t="s">
        <v>855</v>
      </c>
      <c r="M9" s="1305" t="s">
        <v>1991</v>
      </c>
      <c r="N9" s="773"/>
      <c r="O9" s="1295"/>
      <c r="P9" s="225"/>
      <c r="Q9" s="1295" t="s">
        <v>832</v>
      </c>
      <c r="R9" s="234">
        <f>$B$1</f>
        <v>45388</v>
      </c>
      <c r="S9" s="236"/>
      <c r="T9" s="236" t="s">
        <v>2919</v>
      </c>
      <c r="U9" s="230"/>
      <c r="V9" s="230"/>
      <c r="W9" s="231" t="str">
        <f>IFERROR(IF(AND(BD_PRINCIPAL[[#This Row],[DESDE]]&lt;&gt;"",BD_PRINCIPAL[[#This Row],[HASTA]]&lt;&gt;""),_xlfn.DAYS(BD_PRINCIPAL[[#This Row],[HASTA]],BD_PRINCIPAL[[#This Row],[DESDE]]),"")+1,"")</f>
        <v/>
      </c>
      <c r="X9" s="231">
        <f>VLOOKUP(BD_PRINCIPAL[[#This Row],[ENCUADRE. ESC.]],ORDEN1,2,FALSE)</f>
        <v>1</v>
      </c>
      <c r="Y9" s="231">
        <f>VLOOKUP(BD_PRINCIPAL[[#This Row],[DOTACIÓN ACTUAL]],ORDEN2,4,FALSE)</f>
        <v>4</v>
      </c>
      <c r="Z9" s="231">
        <f>VLOOKUP(BD_PRINCIPAL[[#This Row],[GRADO]],ORDEN3,2,FALSE)</f>
        <v>9</v>
      </c>
      <c r="AA9" s="231">
        <f>IFERROR(VLOOKUP(BD_PRINCIPAL[[#This Row],[DOTACIÓN ACTUAL]],ORDEN2,3,FALSE),0)</f>
        <v>0</v>
      </c>
      <c r="AB9" s="225" t="s">
        <v>853</v>
      </c>
      <c r="AC9" s="225" t="s">
        <v>853</v>
      </c>
      <c r="AD9" s="225" t="s">
        <v>853</v>
      </c>
      <c r="AE9" s="225" t="s">
        <v>853</v>
      </c>
      <c r="AF9" s="225" t="s">
        <v>853</v>
      </c>
      <c r="AG9" s="225" t="s">
        <v>855</v>
      </c>
      <c r="AH9" s="225"/>
      <c r="AI9" s="225"/>
      <c r="AJ9" s="225"/>
      <c r="AK9" s="225"/>
      <c r="AL9" s="225"/>
      <c r="AM9" s="225"/>
      <c r="AN9" s="225"/>
      <c r="AO9" s="225"/>
      <c r="AP9" s="225"/>
      <c r="AQ9" s="225"/>
      <c r="AR9" s="225"/>
      <c r="AS9" s="225"/>
      <c r="AT9" s="232"/>
      <c r="AU9" s="232"/>
      <c r="AV9" s="232"/>
      <c r="AW9" s="232"/>
      <c r="AX9" s="232"/>
      <c r="AY9" s="232"/>
      <c r="AZ9" s="232"/>
      <c r="BA9" s="225"/>
      <c r="BB9" s="225"/>
      <c r="BC9" s="225"/>
      <c r="BD9" s="225"/>
      <c r="BE9" s="225"/>
      <c r="BF9" s="225"/>
      <c r="BG9" s="225"/>
      <c r="BH9" s="225"/>
      <c r="BI9" s="225"/>
      <c r="BJ9" s="225"/>
      <c r="BK9" s="225"/>
      <c r="BL9" s="225"/>
      <c r="BM9" s="773">
        <v>45058</v>
      </c>
      <c r="BN9" s="790"/>
    </row>
    <row r="10" spans="1:66" s="233" customFormat="1" x14ac:dyDescent="0.3">
      <c r="A10" s="231" t="s">
        <v>581</v>
      </c>
      <c r="B10" s="746" t="s">
        <v>58</v>
      </c>
      <c r="C10" s="231">
        <v>173290527</v>
      </c>
      <c r="D10" s="947" t="s">
        <v>1991</v>
      </c>
      <c r="E10" s="477" t="s">
        <v>1991</v>
      </c>
      <c r="F10" s="477" t="s">
        <v>58</v>
      </c>
      <c r="G10" s="235" t="s">
        <v>209</v>
      </c>
      <c r="H10" s="228" t="s">
        <v>816</v>
      </c>
      <c r="I10" s="228" t="s">
        <v>872</v>
      </c>
      <c r="J10" s="229" t="s">
        <v>917</v>
      </c>
      <c r="K10" s="1280" t="s">
        <v>2290</v>
      </c>
      <c r="L10" s="734" t="s">
        <v>855</v>
      </c>
      <c r="M10" s="1305" t="s">
        <v>1991</v>
      </c>
      <c r="N10" s="779"/>
      <c r="O10" s="1295"/>
      <c r="P10" s="225"/>
      <c r="Q10" s="1295" t="s">
        <v>832</v>
      </c>
      <c r="R10" s="386">
        <f>$B$1</f>
        <v>45388</v>
      </c>
      <c r="S10" s="236"/>
      <c r="T10" s="236" t="s">
        <v>2919</v>
      </c>
      <c r="U10" s="230"/>
      <c r="V10" s="230"/>
      <c r="W10" s="387" t="str">
        <f>IFERROR(IF(AND(BD_PRINCIPAL[[#This Row],[DESDE]]&lt;&gt;"",BD_PRINCIPAL[[#This Row],[HASTA]]&lt;&gt;""),_xlfn.DAYS(BD_PRINCIPAL[[#This Row],[HASTA]],BD_PRINCIPAL[[#This Row],[DESDE]]),"")+1,"")</f>
        <v/>
      </c>
      <c r="X10" s="387">
        <f>VLOOKUP(BD_PRINCIPAL[[#This Row],[ENCUADRE. ESC.]],ORDEN1,2,FALSE)</f>
        <v>1</v>
      </c>
      <c r="Y10" s="387">
        <f>VLOOKUP(BD_PRINCIPAL[[#This Row],[DOTACIÓN ACTUAL]],ORDEN2,4,FALSE)</f>
        <v>4</v>
      </c>
      <c r="Z10" s="387">
        <f>VLOOKUP(BD_PRINCIPAL[[#This Row],[GRADO]],ORDEN3,2,FALSE)</f>
        <v>10</v>
      </c>
      <c r="AA10" s="387">
        <f>IFERROR(VLOOKUP(BD_PRINCIPAL[[#This Row],[DOTACIÓN ACTUAL]],ORDEN2,3,FALSE),0)</f>
        <v>0</v>
      </c>
      <c r="AB10" s="1012" t="s">
        <v>885</v>
      </c>
      <c r="AC10" s="1012" t="s">
        <v>885</v>
      </c>
      <c r="AD10" s="1012" t="s">
        <v>885</v>
      </c>
      <c r="AE10" s="1013" t="s">
        <v>853</v>
      </c>
      <c r="AF10" s="225" t="s">
        <v>853</v>
      </c>
      <c r="AG10" s="225" t="s">
        <v>855</v>
      </c>
      <c r="AH10" s="225"/>
      <c r="AI10" s="225"/>
      <c r="AJ10" s="225"/>
      <c r="AK10" s="225"/>
      <c r="AL10" s="225"/>
      <c r="AM10" s="225"/>
      <c r="AN10" s="225"/>
      <c r="AO10" s="225"/>
      <c r="AP10" s="225"/>
      <c r="AQ10" s="225"/>
      <c r="AR10" s="225"/>
      <c r="AS10" s="225"/>
      <c r="AT10" s="232"/>
      <c r="AU10" s="232"/>
      <c r="AV10" s="232"/>
      <c r="AW10" s="232"/>
      <c r="AX10" s="232"/>
      <c r="AY10" s="232"/>
      <c r="AZ10" s="232"/>
      <c r="BA10" s="225"/>
      <c r="BB10" s="225"/>
      <c r="BC10" s="225"/>
      <c r="BD10" s="225"/>
      <c r="BE10" s="225"/>
      <c r="BF10" s="1012"/>
      <c r="BG10" s="1012"/>
      <c r="BH10" s="1012"/>
      <c r="BI10" s="1012"/>
      <c r="BJ10" s="1013"/>
      <c r="BK10" s="225"/>
      <c r="BL10" s="225"/>
      <c r="BM10" s="773">
        <v>45063</v>
      </c>
      <c r="BN10" s="1014"/>
    </row>
    <row r="11" spans="1:66" s="233" customFormat="1" x14ac:dyDescent="0.3">
      <c r="A11" s="231" t="s">
        <v>664</v>
      </c>
      <c r="B11" s="225" t="s">
        <v>1589</v>
      </c>
      <c r="C11" s="231" t="s">
        <v>462</v>
      </c>
      <c r="D11" s="716" t="s">
        <v>713</v>
      </c>
      <c r="E11" s="477" t="s">
        <v>1991</v>
      </c>
      <c r="F11" s="477" t="s">
        <v>2532</v>
      </c>
      <c r="G11" s="227" t="s">
        <v>3</v>
      </c>
      <c r="H11" s="228" t="s">
        <v>816</v>
      </c>
      <c r="I11" s="228" t="s">
        <v>872</v>
      </c>
      <c r="J11" s="229" t="s">
        <v>917</v>
      </c>
      <c r="K11" s="1280" t="s">
        <v>2533</v>
      </c>
      <c r="L11" s="734" t="s">
        <v>855</v>
      </c>
      <c r="M11" s="1305" t="s">
        <v>1991</v>
      </c>
      <c r="N11" s="773"/>
      <c r="O11" s="1295"/>
      <c r="P11" s="225"/>
      <c r="Q11" s="1295" t="s">
        <v>832</v>
      </c>
      <c r="R11" s="234">
        <f>$B$1</f>
        <v>45388</v>
      </c>
      <c r="S11" s="236"/>
      <c r="T11" s="236" t="s">
        <v>2919</v>
      </c>
      <c r="U11" s="230"/>
      <c r="V11" s="230"/>
      <c r="W11" s="231" t="str">
        <f>IFERROR(IF(AND(BD_PRINCIPAL[[#This Row],[DESDE]]&lt;&gt;"",BD_PRINCIPAL[[#This Row],[HASTA]]&lt;&gt;""),_xlfn.DAYS(BD_PRINCIPAL[[#This Row],[HASTA]],BD_PRINCIPAL[[#This Row],[DESDE]]),"")+1,"")</f>
        <v/>
      </c>
      <c r="X11" s="231">
        <f>VLOOKUP(BD_PRINCIPAL[[#This Row],[ENCUADRE. ESC.]],ORDEN1,2,FALSE)</f>
        <v>1</v>
      </c>
      <c r="Y11" s="231">
        <f>VLOOKUP(BD_PRINCIPAL[[#This Row],[DOTACIÓN ACTUAL]],ORDEN2,4,FALSE)</f>
        <v>4</v>
      </c>
      <c r="Z11" s="231">
        <f>VLOOKUP(BD_PRINCIPAL[[#This Row],[GRADO]],ORDEN3,2,FALSE)</f>
        <v>11</v>
      </c>
      <c r="AA11" s="231">
        <f>IFERROR(VLOOKUP(BD_PRINCIPAL[[#This Row],[DOTACIÓN ACTUAL]],ORDEN2,3,FALSE),0)</f>
        <v>0</v>
      </c>
      <c r="AB11" s="225" t="s">
        <v>853</v>
      </c>
      <c r="AC11" s="225" t="s">
        <v>853</v>
      </c>
      <c r="AD11" s="225" t="s">
        <v>853</v>
      </c>
      <c r="AE11" s="225" t="s">
        <v>853</v>
      </c>
      <c r="AF11" s="225" t="s">
        <v>853</v>
      </c>
      <c r="AG11" s="225" t="s">
        <v>855</v>
      </c>
      <c r="AH11" s="225"/>
      <c r="AI11" s="225"/>
      <c r="AJ11" s="225"/>
      <c r="AK11" s="225"/>
      <c r="AL11" s="225"/>
      <c r="AM11" s="225"/>
      <c r="AN11" s="225"/>
      <c r="AO11" s="225"/>
      <c r="AP11" s="225"/>
      <c r="AQ11" s="225"/>
      <c r="AR11" s="225"/>
      <c r="AS11" s="225"/>
      <c r="AT11" s="232"/>
      <c r="AU11" s="232"/>
      <c r="AV11" s="232"/>
      <c r="AW11" s="232"/>
      <c r="AX11" s="232"/>
      <c r="AY11" s="232"/>
      <c r="AZ11" s="232"/>
      <c r="BA11" s="225"/>
      <c r="BB11" s="225"/>
      <c r="BC11" s="225"/>
      <c r="BD11" s="225"/>
      <c r="BE11" s="225"/>
      <c r="BF11" s="225"/>
      <c r="BG11" s="225"/>
      <c r="BH11" s="225"/>
      <c r="BI11" s="225"/>
      <c r="BJ11" s="225"/>
      <c r="BK11" s="225"/>
      <c r="BL11" s="225"/>
      <c r="BM11" s="773">
        <v>45202</v>
      </c>
      <c r="BN11" s="790"/>
    </row>
    <row r="12" spans="1:66" s="247" customFormat="1" x14ac:dyDescent="0.3">
      <c r="A12" s="245" t="s">
        <v>2657</v>
      </c>
      <c r="B12" s="649" t="s">
        <v>2659</v>
      </c>
      <c r="C12" s="245" t="s">
        <v>2658</v>
      </c>
      <c r="D12" s="311" t="s">
        <v>695</v>
      </c>
      <c r="E12" s="478" t="s">
        <v>695</v>
      </c>
      <c r="F12" s="478" t="s">
        <v>2659</v>
      </c>
      <c r="G12" s="248" t="s">
        <v>119</v>
      </c>
      <c r="H12" s="241" t="s">
        <v>816</v>
      </c>
      <c r="I12" s="241" t="s">
        <v>871</v>
      </c>
      <c r="J12" s="242" t="s">
        <v>918</v>
      </c>
      <c r="K12" s="1281" t="s">
        <v>2290</v>
      </c>
      <c r="L12" s="735" t="s">
        <v>855</v>
      </c>
      <c r="M12" s="1306" t="s">
        <v>2661</v>
      </c>
      <c r="N12" s="774"/>
      <c r="O12" s="1296"/>
      <c r="P12" s="238"/>
      <c r="Q12" s="1296" t="s">
        <v>832</v>
      </c>
      <c r="R12" s="337">
        <v>30722</v>
      </c>
      <c r="S12" s="239"/>
      <c r="T12" s="239" t="s">
        <v>2919</v>
      </c>
      <c r="U12" s="740"/>
      <c r="V12" s="740"/>
      <c r="W12" s="338" t="str">
        <f>IFERROR(IF(AND(BD_PRINCIPAL[[#This Row],[DESDE]]&lt;&gt;"",BD_PRINCIPAL[[#This Row],[HASTA]]&lt;&gt;""),_xlfn.DAYS(BD_PRINCIPAL[[#This Row],[HASTA]],BD_PRINCIPAL[[#This Row],[DESDE]]),"")+1,"")</f>
        <v/>
      </c>
      <c r="X12" s="338">
        <f>VLOOKUP(BD_PRINCIPAL[[#This Row],[ENCUADRE. ESC.]],ORDEN1,2,FALSE)</f>
        <v>1</v>
      </c>
      <c r="Y12" s="338">
        <f>VLOOKUP(BD_PRINCIPAL[[#This Row],[DOTACIÓN ACTUAL]],ORDEN2,4,FALSE)</f>
        <v>5</v>
      </c>
      <c r="Z12" s="338">
        <f>VLOOKUP(BD_PRINCIPAL[[#This Row],[GRADO]],ORDEN3,2,FALSE)</f>
        <v>2</v>
      </c>
      <c r="AA12" s="338">
        <f>IFERROR(VLOOKUP(BD_PRINCIPAL[[#This Row],[DOTACIÓN ACTUAL]],ORDEN2,3,FALSE),0)</f>
        <v>0</v>
      </c>
      <c r="AB12" s="238" t="s">
        <v>853</v>
      </c>
      <c r="AC12" s="238" t="s">
        <v>853</v>
      </c>
      <c r="AD12" s="238" t="s">
        <v>853</v>
      </c>
      <c r="AE12" s="238" t="s">
        <v>853</v>
      </c>
      <c r="AF12" s="238" t="s">
        <v>853</v>
      </c>
      <c r="AG12" s="238" t="s">
        <v>855</v>
      </c>
      <c r="AH12" s="246"/>
      <c r="AI12" s="246"/>
      <c r="AJ12" s="246"/>
      <c r="AK12" s="246"/>
      <c r="AL12" s="246"/>
      <c r="AM12" s="246"/>
      <c r="AN12" s="246"/>
      <c r="AO12" s="246"/>
      <c r="AP12" s="246"/>
      <c r="AQ12" s="246"/>
      <c r="AR12" s="246"/>
      <c r="AS12" s="246"/>
      <c r="AT12" s="246"/>
      <c r="AU12" s="246"/>
      <c r="AV12" s="246"/>
      <c r="AW12" s="246"/>
      <c r="AX12" s="246"/>
      <c r="AY12" s="246"/>
      <c r="AZ12" s="246"/>
      <c r="BA12" s="238"/>
      <c r="BB12" s="238"/>
      <c r="BC12" s="238"/>
      <c r="BD12" s="238"/>
      <c r="BE12" s="238"/>
      <c r="BF12" s="238"/>
      <c r="BG12" s="238"/>
      <c r="BH12" s="238"/>
      <c r="BI12" s="238"/>
      <c r="BJ12" s="238"/>
      <c r="BK12" s="238"/>
      <c r="BL12" s="238"/>
      <c r="BM12" s="895"/>
      <c r="BN12" s="895"/>
    </row>
    <row r="13" spans="1:66" s="247" customFormat="1" x14ac:dyDescent="0.3">
      <c r="A13" s="245" t="s">
        <v>339</v>
      </c>
      <c r="B13" s="238" t="s">
        <v>1568</v>
      </c>
      <c r="C13" s="245">
        <v>136988352</v>
      </c>
      <c r="D13" s="757" t="s">
        <v>1992</v>
      </c>
      <c r="E13" s="478" t="s">
        <v>1992</v>
      </c>
      <c r="F13" s="478" t="s">
        <v>2543</v>
      </c>
      <c r="G13" s="248" t="s">
        <v>89</v>
      </c>
      <c r="H13" s="241" t="s">
        <v>816</v>
      </c>
      <c r="I13" s="241" t="s">
        <v>872</v>
      </c>
      <c r="J13" s="242" t="s">
        <v>917</v>
      </c>
      <c r="K13" s="1281" t="s">
        <v>2544</v>
      </c>
      <c r="L13" s="735" t="s">
        <v>855</v>
      </c>
      <c r="M13" s="1306" t="s">
        <v>1992</v>
      </c>
      <c r="N13" s="775"/>
      <c r="O13" s="1296"/>
      <c r="P13" s="238"/>
      <c r="Q13" s="1296" t="s">
        <v>832</v>
      </c>
      <c r="R13" s="243">
        <f>$B$1</f>
        <v>45388</v>
      </c>
      <c r="S13" s="249"/>
      <c r="T13" s="249" t="s">
        <v>2919</v>
      </c>
      <c r="U13" s="244"/>
      <c r="V13" s="244"/>
      <c r="W13" s="245" t="str">
        <f>IFERROR(IF(AND(BD_PRINCIPAL[[#This Row],[DESDE]]&lt;&gt;"",BD_PRINCIPAL[[#This Row],[HASTA]]&lt;&gt;""),_xlfn.DAYS(BD_PRINCIPAL[[#This Row],[HASTA]],BD_PRINCIPAL[[#This Row],[DESDE]]),"")+1,"")</f>
        <v/>
      </c>
      <c r="X13" s="245">
        <f>VLOOKUP(BD_PRINCIPAL[[#This Row],[ENCUADRE. ESC.]],ORDEN1,2,FALSE)</f>
        <v>1</v>
      </c>
      <c r="Y13" s="245">
        <f>VLOOKUP(BD_PRINCIPAL[[#This Row],[DOTACIÓN ACTUAL]],ORDEN2,4,FALSE)</f>
        <v>6</v>
      </c>
      <c r="Z13" s="245">
        <f>VLOOKUP(BD_PRINCIPAL[[#This Row],[GRADO]],ORDEN3,2,FALSE)</f>
        <v>9</v>
      </c>
      <c r="AA13" s="245">
        <f>IFERROR(VLOOKUP(BD_PRINCIPAL[[#This Row],[DOTACIÓN ACTUAL]],ORDEN2,3,FALSE),0)</f>
        <v>0</v>
      </c>
      <c r="AB13" s="238" t="s">
        <v>853</v>
      </c>
      <c r="AC13" s="238" t="s">
        <v>853</v>
      </c>
      <c r="AD13" s="238" t="s">
        <v>853</v>
      </c>
      <c r="AE13" s="238" t="s">
        <v>853</v>
      </c>
      <c r="AF13" s="238" t="s">
        <v>853</v>
      </c>
      <c r="AG13" s="238" t="s">
        <v>855</v>
      </c>
      <c r="AH13" s="238"/>
      <c r="AI13" s="238"/>
      <c r="AJ13" s="238"/>
      <c r="AK13" s="238"/>
      <c r="AL13" s="238"/>
      <c r="AM13" s="238"/>
      <c r="AN13" s="238"/>
      <c r="AO13" s="238"/>
      <c r="AP13" s="238"/>
      <c r="AQ13" s="238"/>
      <c r="AR13" s="238"/>
      <c r="AS13" s="238"/>
      <c r="AT13" s="246"/>
      <c r="AU13" s="246"/>
      <c r="AV13" s="246"/>
      <c r="AW13" s="246"/>
      <c r="AX13" s="246"/>
      <c r="AY13" s="246"/>
      <c r="AZ13" s="246"/>
      <c r="BA13" s="238"/>
      <c r="BB13" s="238"/>
      <c r="BC13" s="238"/>
      <c r="BD13" s="238"/>
      <c r="BE13" s="238"/>
      <c r="BF13" s="238"/>
      <c r="BG13" s="238"/>
      <c r="BH13" s="238"/>
      <c r="BI13" s="238"/>
      <c r="BJ13" s="238"/>
      <c r="BK13" s="238"/>
      <c r="BL13" s="238"/>
      <c r="BM13" s="775">
        <v>45084</v>
      </c>
      <c r="BN13" s="788"/>
    </row>
    <row r="14" spans="1:66" s="247" customFormat="1" x14ac:dyDescent="0.3">
      <c r="A14" s="245" t="s">
        <v>400</v>
      </c>
      <c r="B14" s="238" t="s">
        <v>1900</v>
      </c>
      <c r="C14" s="245" t="s">
        <v>401</v>
      </c>
      <c r="D14" s="757" t="s">
        <v>1992</v>
      </c>
      <c r="E14" s="757" t="s">
        <v>1992</v>
      </c>
      <c r="F14" s="478" t="s">
        <v>2376</v>
      </c>
      <c r="G14" s="240" t="s">
        <v>3</v>
      </c>
      <c r="H14" s="241" t="s">
        <v>817</v>
      </c>
      <c r="I14" s="241" t="s">
        <v>872</v>
      </c>
      <c r="J14" s="242" t="s">
        <v>917</v>
      </c>
      <c r="K14" s="1281" t="s">
        <v>2290</v>
      </c>
      <c r="L14" s="735" t="s">
        <v>855</v>
      </c>
      <c r="M14" s="1306" t="s">
        <v>1992</v>
      </c>
      <c r="N14" s="775"/>
      <c r="O14" s="1296"/>
      <c r="P14" s="238"/>
      <c r="Q14" s="1296" t="s">
        <v>832</v>
      </c>
      <c r="R14" s="243">
        <f>$B$1</f>
        <v>45388</v>
      </c>
      <c r="S14" s="249"/>
      <c r="T14" s="249" t="s">
        <v>2919</v>
      </c>
      <c r="U14" s="250"/>
      <c r="V14" s="250"/>
      <c r="W14" s="245" t="str">
        <f>IFERROR(IF(AND(BD_PRINCIPAL[[#This Row],[DESDE]]&lt;&gt;"",BD_PRINCIPAL[[#This Row],[HASTA]]&lt;&gt;""),_xlfn.DAYS(BD_PRINCIPAL[[#This Row],[HASTA]],BD_PRINCIPAL[[#This Row],[DESDE]]),"")+1,"")</f>
        <v/>
      </c>
      <c r="X14" s="245">
        <f>VLOOKUP(BD_PRINCIPAL[[#This Row],[ENCUADRE. ESC.]],ORDEN1,2,FALSE)</f>
        <v>1</v>
      </c>
      <c r="Y14" s="245">
        <f>VLOOKUP(BD_PRINCIPAL[[#This Row],[DOTACIÓN ACTUAL]],ORDEN2,4,FALSE)</f>
        <v>6</v>
      </c>
      <c r="Z14" s="245">
        <f>VLOOKUP(BD_PRINCIPAL[[#This Row],[GRADO]],ORDEN3,2,FALSE)</f>
        <v>11</v>
      </c>
      <c r="AA14" s="245">
        <f>IFERROR(VLOOKUP(BD_PRINCIPAL[[#This Row],[DOTACIÓN ACTUAL]],ORDEN2,3,FALSE),0)</f>
        <v>0</v>
      </c>
      <c r="AB14" s="238" t="s">
        <v>853</v>
      </c>
      <c r="AC14" s="238" t="s">
        <v>853</v>
      </c>
      <c r="AD14" s="238" t="s">
        <v>853</v>
      </c>
      <c r="AE14" s="238" t="s">
        <v>853</v>
      </c>
      <c r="AF14" s="238" t="s">
        <v>853</v>
      </c>
      <c r="AG14" s="238" t="s">
        <v>855</v>
      </c>
      <c r="AH14" s="238"/>
      <c r="AI14" s="238"/>
      <c r="AJ14" s="238"/>
      <c r="AK14" s="238"/>
      <c r="AL14" s="238"/>
      <c r="AM14" s="238"/>
      <c r="AN14" s="238"/>
      <c r="AO14" s="238"/>
      <c r="AP14" s="238"/>
      <c r="AQ14" s="238"/>
      <c r="AR14" s="238"/>
      <c r="AS14" s="238"/>
      <c r="AT14" s="246"/>
      <c r="AU14" s="246"/>
      <c r="AV14" s="246"/>
      <c r="AW14" s="246"/>
      <c r="AX14" s="246"/>
      <c r="AY14" s="246"/>
      <c r="AZ14" s="246"/>
      <c r="BA14" s="238"/>
      <c r="BB14" s="238"/>
      <c r="BC14" s="238"/>
      <c r="BD14" s="238"/>
      <c r="BE14" s="238"/>
      <c r="BF14" s="238"/>
      <c r="BG14" s="238"/>
      <c r="BH14" s="238"/>
      <c r="BI14" s="238"/>
      <c r="BJ14" s="238"/>
      <c r="BK14" s="238"/>
      <c r="BL14" s="238"/>
      <c r="BM14" s="775">
        <v>45083</v>
      </c>
      <c r="BN14" s="788"/>
    </row>
    <row r="15" spans="1:66" s="247" customFormat="1" x14ac:dyDescent="0.3">
      <c r="A15" s="245" t="s">
        <v>336</v>
      </c>
      <c r="B15" s="238" t="s">
        <v>146</v>
      </c>
      <c r="C15" s="245">
        <v>200774515</v>
      </c>
      <c r="D15" s="757" t="s">
        <v>1992</v>
      </c>
      <c r="E15" s="486" t="s">
        <v>1992</v>
      </c>
      <c r="F15" s="478" t="s">
        <v>2277</v>
      </c>
      <c r="G15" s="240" t="s">
        <v>4</v>
      </c>
      <c r="H15" s="241" t="s">
        <v>816</v>
      </c>
      <c r="I15" s="241" t="s">
        <v>872</v>
      </c>
      <c r="J15" s="242" t="s">
        <v>917</v>
      </c>
      <c r="K15" s="1281" t="s">
        <v>2301</v>
      </c>
      <c r="L15" s="735" t="s">
        <v>855</v>
      </c>
      <c r="M15" s="1306" t="s">
        <v>1992</v>
      </c>
      <c r="N15" s="786"/>
      <c r="O15" s="1296"/>
      <c r="P15" s="238"/>
      <c r="Q15" s="1296" t="s">
        <v>832</v>
      </c>
      <c r="R15" s="243">
        <f>$B$1</f>
        <v>45388</v>
      </c>
      <c r="S15" s="239"/>
      <c r="T15" s="249" t="s">
        <v>2919</v>
      </c>
      <c r="U15" s="244"/>
      <c r="V15" s="244"/>
      <c r="W15" s="245" t="str">
        <f>IFERROR(IF(AND(BD_PRINCIPAL[[#This Row],[DESDE]]&lt;&gt;"",BD_PRINCIPAL[[#This Row],[HASTA]]&lt;&gt;""),_xlfn.DAYS(BD_PRINCIPAL[[#This Row],[HASTA]],BD_PRINCIPAL[[#This Row],[DESDE]]),"")+1,"")</f>
        <v/>
      </c>
      <c r="X15" s="245">
        <f>VLOOKUP(BD_PRINCIPAL[[#This Row],[ENCUADRE. ESC.]],ORDEN1,2,FALSE)</f>
        <v>1</v>
      </c>
      <c r="Y15" s="245">
        <f>VLOOKUP(BD_PRINCIPAL[[#This Row],[DOTACIÓN ACTUAL]],ORDEN2,4,FALSE)</f>
        <v>6</v>
      </c>
      <c r="Z15" s="245">
        <f>VLOOKUP(BD_PRINCIPAL[[#This Row],[GRADO]],ORDEN3,2,FALSE)</f>
        <v>12</v>
      </c>
      <c r="AA15" s="245">
        <f>IFERROR(VLOOKUP(BD_PRINCIPAL[[#This Row],[DOTACIÓN ACTUAL]],ORDEN2,3,FALSE),0)</f>
        <v>0</v>
      </c>
      <c r="AB15" s="238" t="s">
        <v>853</v>
      </c>
      <c r="AC15" s="238" t="s">
        <v>853</v>
      </c>
      <c r="AD15" s="238" t="s">
        <v>853</v>
      </c>
      <c r="AE15" s="238" t="s">
        <v>853</v>
      </c>
      <c r="AF15" s="238" t="s">
        <v>853</v>
      </c>
      <c r="AG15" s="238" t="s">
        <v>855</v>
      </c>
      <c r="AH15" s="238"/>
      <c r="AI15" s="238"/>
      <c r="AJ15" s="238"/>
      <c r="AK15" s="238"/>
      <c r="AL15" s="238"/>
      <c r="AM15" s="238"/>
      <c r="AN15" s="238"/>
      <c r="AO15" s="238"/>
      <c r="AP15" s="238"/>
      <c r="AQ15" s="238"/>
      <c r="AR15" s="238"/>
      <c r="AS15" s="238"/>
      <c r="AT15" s="246"/>
      <c r="AU15" s="246"/>
      <c r="AV15" s="246"/>
      <c r="AW15" s="246"/>
      <c r="AX15" s="246"/>
      <c r="AY15" s="246"/>
      <c r="AZ15" s="246"/>
      <c r="BA15" s="238"/>
      <c r="BB15" s="238"/>
      <c r="BC15" s="238"/>
      <c r="BD15" s="238"/>
      <c r="BE15" s="238"/>
      <c r="BF15" s="238"/>
      <c r="BG15" s="238"/>
      <c r="BH15" s="238"/>
      <c r="BI15" s="238"/>
      <c r="BJ15" s="238"/>
      <c r="BK15" s="238"/>
      <c r="BL15" s="238"/>
      <c r="BM15" s="786">
        <v>45043</v>
      </c>
      <c r="BN15" s="788"/>
    </row>
    <row r="16" spans="1:66" s="260" customFormat="1" x14ac:dyDescent="0.3">
      <c r="A16" s="258" t="s">
        <v>1671</v>
      </c>
      <c r="B16" s="251" t="s">
        <v>1670</v>
      </c>
      <c r="C16" s="258">
        <v>136703277</v>
      </c>
      <c r="D16" s="312" t="s">
        <v>696</v>
      </c>
      <c r="E16" s="481" t="s">
        <v>696</v>
      </c>
      <c r="F16" s="481" t="s">
        <v>1670</v>
      </c>
      <c r="G16" s="261" t="s">
        <v>119</v>
      </c>
      <c r="H16" s="254" t="s">
        <v>816</v>
      </c>
      <c r="I16" s="254" t="s">
        <v>871</v>
      </c>
      <c r="J16" s="255" t="s">
        <v>918</v>
      </c>
      <c r="K16" s="1282" t="s">
        <v>2290</v>
      </c>
      <c r="L16" s="737" t="s">
        <v>853</v>
      </c>
      <c r="M16" s="1307" t="s">
        <v>1406</v>
      </c>
      <c r="N16" s="782"/>
      <c r="O16" s="1297"/>
      <c r="P16" s="251"/>
      <c r="Q16" s="1297" t="s">
        <v>832</v>
      </c>
      <c r="R16" s="256">
        <f>$B$1</f>
        <v>45388</v>
      </c>
      <c r="S16" s="252"/>
      <c r="T16" s="252"/>
      <c r="U16" s="257"/>
      <c r="V16" s="257"/>
      <c r="W16" s="633" t="str">
        <f>IFERROR(IF(AND(BD_PRINCIPAL[[#This Row],[DESDE]]&lt;&gt;"",BD_PRINCIPAL[[#This Row],[HASTA]]&lt;&gt;""),_xlfn.DAYS(BD_PRINCIPAL[[#This Row],[HASTA]],BD_PRINCIPAL[[#This Row],[DESDE]]),"")+1,"")</f>
        <v/>
      </c>
      <c r="X16" s="633">
        <f>VLOOKUP(BD_PRINCIPAL[[#This Row],[ENCUADRE. ESC.]],ORDEN1,2,FALSE)</f>
        <v>1</v>
      </c>
      <c r="Y16" s="633">
        <f>VLOOKUP(BD_PRINCIPAL[[#This Row],[DOTACIÓN ACTUAL]],ORDEN2,4,FALSE)</f>
        <v>7</v>
      </c>
      <c r="Z16" s="633">
        <f>VLOOKUP(BD_PRINCIPAL[[#This Row],[GRADO]],ORDEN3,2,FALSE)</f>
        <v>2</v>
      </c>
      <c r="AA16" s="633">
        <f>IFERROR(VLOOKUP(BD_PRINCIPAL[[#This Row],[DOTACIÓN ACTUAL]],ORDEN2,3,FALSE),0)</f>
        <v>0</v>
      </c>
      <c r="AB16" s="251" t="s">
        <v>853</v>
      </c>
      <c r="AC16" s="251" t="s">
        <v>853</v>
      </c>
      <c r="AD16" s="251" t="s">
        <v>853</v>
      </c>
      <c r="AE16" s="251" t="s">
        <v>853</v>
      </c>
      <c r="AF16" s="251" t="s">
        <v>853</v>
      </c>
      <c r="AG16" s="251" t="s">
        <v>853</v>
      </c>
      <c r="AH16" s="251"/>
      <c r="AI16" s="251"/>
      <c r="AJ16" s="251"/>
      <c r="AK16" s="251"/>
      <c r="AL16" s="251"/>
      <c r="AM16" s="251"/>
      <c r="AN16" s="251"/>
      <c r="AO16" s="251"/>
      <c r="AP16" s="251"/>
      <c r="AQ16" s="251"/>
      <c r="AR16" s="251"/>
      <c r="AS16" s="251"/>
      <c r="AT16" s="259"/>
      <c r="AU16" s="259"/>
      <c r="AV16" s="259"/>
      <c r="AW16" s="259"/>
      <c r="AX16" s="259"/>
      <c r="AY16" s="259"/>
      <c r="AZ16" s="259"/>
      <c r="BA16" s="251"/>
      <c r="BB16" s="251"/>
      <c r="BC16" s="251"/>
      <c r="BD16" s="251"/>
      <c r="BE16" s="251"/>
      <c r="BF16" s="251"/>
      <c r="BG16" s="251"/>
      <c r="BH16" s="251"/>
      <c r="BI16" s="251"/>
      <c r="BJ16" s="251"/>
      <c r="BK16" s="251"/>
      <c r="BL16" s="251"/>
      <c r="BM16" s="781">
        <v>45138</v>
      </c>
      <c r="BN16" s="791"/>
    </row>
    <row r="17" spans="1:66" s="260" customFormat="1" x14ac:dyDescent="0.3">
      <c r="A17" s="258" t="s">
        <v>272</v>
      </c>
      <c r="B17" s="251" t="s">
        <v>1597</v>
      </c>
      <c r="C17" s="258">
        <v>145820472</v>
      </c>
      <c r="D17" s="893" t="s">
        <v>1993</v>
      </c>
      <c r="E17" s="894" t="s">
        <v>1993</v>
      </c>
      <c r="F17" s="481" t="s">
        <v>2259</v>
      </c>
      <c r="G17" s="253" t="s">
        <v>17</v>
      </c>
      <c r="H17" s="254" t="s">
        <v>816</v>
      </c>
      <c r="I17" s="254" t="s">
        <v>872</v>
      </c>
      <c r="J17" s="255" t="s">
        <v>917</v>
      </c>
      <c r="K17" s="1282" t="s">
        <v>2291</v>
      </c>
      <c r="L17" s="737" t="s">
        <v>853</v>
      </c>
      <c r="M17" s="1307" t="s">
        <v>1993</v>
      </c>
      <c r="N17" s="781"/>
      <c r="O17" s="1297"/>
      <c r="P17" s="251"/>
      <c r="Q17" s="1297" t="s">
        <v>832</v>
      </c>
      <c r="R17" s="256">
        <f>$B$1</f>
        <v>45388</v>
      </c>
      <c r="S17" s="252"/>
      <c r="T17" s="252" t="s">
        <v>2919</v>
      </c>
      <c r="U17" s="257"/>
      <c r="V17" s="257"/>
      <c r="W17" s="258" t="str">
        <f>IFERROR(IF(AND(BD_PRINCIPAL[[#This Row],[DESDE]]&lt;&gt;"",BD_PRINCIPAL[[#This Row],[HASTA]]&lt;&gt;""),_xlfn.DAYS(BD_PRINCIPAL[[#This Row],[HASTA]],BD_PRINCIPAL[[#This Row],[DESDE]]),"")+1,"")</f>
        <v/>
      </c>
      <c r="X17" s="258">
        <f>VLOOKUP(BD_PRINCIPAL[[#This Row],[ENCUADRE. ESC.]],ORDEN1,2,FALSE)</f>
        <v>1</v>
      </c>
      <c r="Y17" s="258">
        <f>VLOOKUP(BD_PRINCIPAL[[#This Row],[DOTACIÓN ACTUAL]],ORDEN2,4,FALSE)</f>
        <v>8</v>
      </c>
      <c r="Z17" s="258">
        <f>VLOOKUP(BD_PRINCIPAL[[#This Row],[GRADO]],ORDEN3,2,FALSE)</f>
        <v>8</v>
      </c>
      <c r="AA17" s="258">
        <f>IFERROR(VLOOKUP(BD_PRINCIPAL[[#This Row],[DOTACIÓN ACTUAL]],ORDEN2,3,FALSE),0)</f>
        <v>0</v>
      </c>
      <c r="AB17" s="251" t="s">
        <v>853</v>
      </c>
      <c r="AC17" s="251" t="s">
        <v>853</v>
      </c>
      <c r="AD17" s="251" t="s">
        <v>853</v>
      </c>
      <c r="AE17" s="251" t="s">
        <v>853</v>
      </c>
      <c r="AF17" s="251" t="s">
        <v>853</v>
      </c>
      <c r="AG17" s="251" t="s">
        <v>853</v>
      </c>
      <c r="AH17" s="251"/>
      <c r="AI17" s="251"/>
      <c r="AJ17" s="251"/>
      <c r="AK17" s="251"/>
      <c r="AL17" s="251"/>
      <c r="AM17" s="251"/>
      <c r="AN17" s="251"/>
      <c r="AO17" s="251"/>
      <c r="AP17" s="251"/>
      <c r="AQ17" s="251"/>
      <c r="AR17" s="251"/>
      <c r="AS17" s="251"/>
      <c r="AT17" s="259"/>
      <c r="AU17" s="259"/>
      <c r="AV17" s="259"/>
      <c r="AW17" s="259"/>
      <c r="AX17" s="259"/>
      <c r="AY17" s="259"/>
      <c r="AZ17" s="259"/>
      <c r="BA17" s="251"/>
      <c r="BB17" s="251"/>
      <c r="BC17" s="251"/>
      <c r="BD17" s="251"/>
      <c r="BE17" s="251"/>
      <c r="BF17" s="251"/>
      <c r="BG17" s="251"/>
      <c r="BH17" s="251"/>
      <c r="BI17" s="251"/>
      <c r="BJ17" s="251"/>
      <c r="BK17" s="251"/>
      <c r="BL17" s="251"/>
      <c r="BM17" s="781">
        <v>45138</v>
      </c>
      <c r="BN17" s="791"/>
    </row>
    <row r="18" spans="1:66" s="260" customFormat="1" x14ac:dyDescent="0.3">
      <c r="A18" s="258" t="s">
        <v>1706</v>
      </c>
      <c r="B18" s="251" t="s">
        <v>1707</v>
      </c>
      <c r="C18" s="258">
        <v>187269822</v>
      </c>
      <c r="D18" s="893" t="s">
        <v>1993</v>
      </c>
      <c r="E18" s="894" t="s">
        <v>1993</v>
      </c>
      <c r="F18" s="481" t="s">
        <v>2260</v>
      </c>
      <c r="G18" s="261" t="s">
        <v>3</v>
      </c>
      <c r="H18" s="254" t="s">
        <v>816</v>
      </c>
      <c r="I18" s="254" t="s">
        <v>872</v>
      </c>
      <c r="J18" s="255" t="s">
        <v>917</v>
      </c>
      <c r="K18" s="1282" t="s">
        <v>2292</v>
      </c>
      <c r="L18" s="737" t="s">
        <v>853</v>
      </c>
      <c r="M18" s="1307" t="s">
        <v>1993</v>
      </c>
      <c r="N18" s="782"/>
      <c r="O18" s="1297"/>
      <c r="P18" s="251"/>
      <c r="Q18" s="1297" t="s">
        <v>832</v>
      </c>
      <c r="R18" s="632">
        <f>$B$1</f>
        <v>45388</v>
      </c>
      <c r="S18" s="262"/>
      <c r="T18" s="252" t="s">
        <v>2919</v>
      </c>
      <c r="U18" s="257"/>
      <c r="V18" s="257"/>
      <c r="W18" s="633" t="str">
        <f>IFERROR(IF(AND(BD_PRINCIPAL[[#This Row],[DESDE]]&lt;&gt;"",BD_PRINCIPAL[[#This Row],[HASTA]]&lt;&gt;""),_xlfn.DAYS(BD_PRINCIPAL[[#This Row],[HASTA]],BD_PRINCIPAL[[#This Row],[DESDE]]),"")+1,"")</f>
        <v/>
      </c>
      <c r="X18" s="633">
        <f>VLOOKUP(BD_PRINCIPAL[[#This Row],[ENCUADRE. ESC.]],ORDEN1,2,FALSE)</f>
        <v>1</v>
      </c>
      <c r="Y18" s="633">
        <f>VLOOKUP(BD_PRINCIPAL[[#This Row],[DOTACIÓN ACTUAL]],ORDEN2,4,FALSE)</f>
        <v>8</v>
      </c>
      <c r="Z18" s="633">
        <f>VLOOKUP(BD_PRINCIPAL[[#This Row],[GRADO]],ORDEN3,2,FALSE)</f>
        <v>11</v>
      </c>
      <c r="AA18" s="633">
        <f>IFERROR(VLOOKUP(BD_PRINCIPAL[[#This Row],[DOTACIÓN ACTUAL]],ORDEN2,3,FALSE),0)</f>
        <v>0</v>
      </c>
      <c r="AB18" s="251" t="s">
        <v>853</v>
      </c>
      <c r="AC18" s="251" t="s">
        <v>853</v>
      </c>
      <c r="AD18" s="251" t="s">
        <v>853</v>
      </c>
      <c r="AE18" s="251" t="s">
        <v>853</v>
      </c>
      <c r="AF18" s="251" t="s">
        <v>853</v>
      </c>
      <c r="AG18" s="251" t="s">
        <v>853</v>
      </c>
      <c r="AH18" s="251"/>
      <c r="AI18" s="251"/>
      <c r="AJ18" s="251"/>
      <c r="AK18" s="251"/>
      <c r="AL18" s="251"/>
      <c r="AM18" s="251"/>
      <c r="AN18" s="251"/>
      <c r="AO18" s="251"/>
      <c r="AP18" s="251"/>
      <c r="AQ18" s="251"/>
      <c r="AR18" s="251"/>
      <c r="AS18" s="251"/>
      <c r="AT18" s="259"/>
      <c r="AU18" s="259"/>
      <c r="AV18" s="259"/>
      <c r="AW18" s="259"/>
      <c r="AX18" s="259"/>
      <c r="AY18" s="259"/>
      <c r="AZ18" s="259"/>
      <c r="BA18" s="251"/>
      <c r="BB18" s="251"/>
      <c r="BC18" s="251"/>
      <c r="BD18" s="251"/>
      <c r="BE18" s="251"/>
      <c r="BF18" s="251"/>
      <c r="BG18" s="251"/>
      <c r="BH18" s="251"/>
      <c r="BI18" s="251"/>
      <c r="BJ18" s="251"/>
      <c r="BK18" s="251"/>
      <c r="BL18" s="251"/>
      <c r="BM18" s="781">
        <v>45138</v>
      </c>
      <c r="BN18" s="791"/>
    </row>
    <row r="19" spans="1:66" s="189" customFormat="1" x14ac:dyDescent="0.3">
      <c r="A19" s="188" t="s">
        <v>2664</v>
      </c>
      <c r="B19" s="864" t="s">
        <v>2666</v>
      </c>
      <c r="C19" s="188" t="s">
        <v>2665</v>
      </c>
      <c r="D19" s="313" t="s">
        <v>781</v>
      </c>
      <c r="E19" s="479" t="s">
        <v>781</v>
      </c>
      <c r="F19" s="479" t="s">
        <v>2666</v>
      </c>
      <c r="G19" s="191" t="s">
        <v>1650</v>
      </c>
      <c r="H19" s="184" t="s">
        <v>816</v>
      </c>
      <c r="I19" s="184" t="s">
        <v>872</v>
      </c>
      <c r="J19" s="185" t="s">
        <v>918</v>
      </c>
      <c r="K19" s="1283" t="s">
        <v>2290</v>
      </c>
      <c r="L19" s="736" t="s">
        <v>853</v>
      </c>
      <c r="M19" s="1308" t="s">
        <v>2668</v>
      </c>
      <c r="N19" s="776"/>
      <c r="O19" s="1298"/>
      <c r="P19" s="181"/>
      <c r="Q19" s="1298" t="s">
        <v>832</v>
      </c>
      <c r="R19" s="865" t="s">
        <v>2449</v>
      </c>
      <c r="S19" s="182"/>
      <c r="T19" s="182"/>
      <c r="U19" s="887"/>
      <c r="V19" s="887"/>
      <c r="W19" s="339" t="str">
        <f>IFERROR(IF(AND(BD_PRINCIPAL[[#This Row],[DESDE]]&lt;&gt;"",BD_PRINCIPAL[[#This Row],[HASTA]]&lt;&gt;""),_xlfn.DAYS(BD_PRINCIPAL[[#This Row],[HASTA]],BD_PRINCIPAL[[#This Row],[DESDE]]),"")+1,"")</f>
        <v/>
      </c>
      <c r="X19" s="339">
        <f>VLOOKUP(BD_PRINCIPAL[[#This Row],[ENCUADRE. ESC.]],ORDEN1,2,FALSE)</f>
        <v>1</v>
      </c>
      <c r="Y19" s="339">
        <f>VLOOKUP(BD_PRINCIPAL[[#This Row],[DOTACIÓN ACTUAL]],ORDEN2,4,FALSE)</f>
        <v>13</v>
      </c>
      <c r="Z19" s="339">
        <f>VLOOKUP(BD_PRINCIPAL[[#This Row],[GRADO]],ORDEN3,2,FALSE)</f>
        <v>3</v>
      </c>
      <c r="AA19" s="339">
        <f>IFERROR(VLOOKUP(BD_PRINCIPAL[[#This Row],[DOTACIÓN ACTUAL]],ORDEN2,3,FALSE),0)</f>
        <v>0</v>
      </c>
      <c r="AB19" s="181" t="s">
        <v>853</v>
      </c>
      <c r="AC19" s="181" t="s">
        <v>853</v>
      </c>
      <c r="AD19" s="181" t="s">
        <v>853</v>
      </c>
      <c r="AE19" s="181" t="s">
        <v>853</v>
      </c>
      <c r="AF19" s="181" t="s">
        <v>853</v>
      </c>
      <c r="AG19" s="181" t="s">
        <v>853</v>
      </c>
      <c r="AH19" s="187"/>
      <c r="AI19" s="187"/>
      <c r="AJ19" s="187"/>
      <c r="AK19" s="187"/>
      <c r="AL19" s="187"/>
      <c r="AM19" s="187"/>
      <c r="AN19" s="187"/>
      <c r="AO19" s="187"/>
      <c r="AP19" s="187"/>
      <c r="AQ19" s="187"/>
      <c r="AR19" s="187"/>
      <c r="AS19" s="187"/>
      <c r="AT19" s="187"/>
      <c r="AU19" s="187"/>
      <c r="AV19" s="187"/>
      <c r="AW19" s="187"/>
      <c r="AX19" s="187"/>
      <c r="AY19" s="187"/>
      <c r="AZ19" s="187"/>
      <c r="BA19" s="181"/>
      <c r="BB19" s="181"/>
      <c r="BC19" s="181"/>
      <c r="BD19" s="181"/>
      <c r="BE19" s="181"/>
      <c r="BF19" s="181"/>
      <c r="BG19" s="181"/>
      <c r="BH19" s="181"/>
      <c r="BI19" s="181"/>
      <c r="BJ19" s="181"/>
      <c r="BK19" s="181"/>
      <c r="BL19" s="181"/>
      <c r="BM19" s="899"/>
      <c r="BN19" s="899"/>
    </row>
    <row r="20" spans="1:66" s="189" customFormat="1" x14ac:dyDescent="0.3">
      <c r="A20" s="188" t="s">
        <v>392</v>
      </c>
      <c r="B20" s="181" t="s">
        <v>61</v>
      </c>
      <c r="C20" s="188">
        <v>127357498</v>
      </c>
      <c r="D20" s="482" t="s">
        <v>1994</v>
      </c>
      <c r="E20" s="479" t="s">
        <v>1994</v>
      </c>
      <c r="F20" s="479" t="s">
        <v>61</v>
      </c>
      <c r="G20" s="183" t="s">
        <v>17</v>
      </c>
      <c r="H20" s="184" t="s">
        <v>816</v>
      </c>
      <c r="I20" s="184" t="s">
        <v>872</v>
      </c>
      <c r="J20" s="185" t="s">
        <v>917</v>
      </c>
      <c r="K20" s="1283" t="s">
        <v>2290</v>
      </c>
      <c r="L20" s="736" t="s">
        <v>853</v>
      </c>
      <c r="M20" s="1308" t="s">
        <v>1994</v>
      </c>
      <c r="N20" s="777"/>
      <c r="O20" s="1298"/>
      <c r="P20" s="181"/>
      <c r="Q20" s="1298" t="s">
        <v>832</v>
      </c>
      <c r="R20" s="186">
        <f>$B$1</f>
        <v>45388</v>
      </c>
      <c r="S20" s="190"/>
      <c r="T20" s="190" t="s">
        <v>2919</v>
      </c>
      <c r="U20" s="196"/>
      <c r="V20" s="196"/>
      <c r="W20" s="188" t="str">
        <f>IFERROR(IF(AND(BD_PRINCIPAL[[#This Row],[DESDE]]&lt;&gt;"",BD_PRINCIPAL[[#This Row],[HASTA]]&lt;&gt;""),_xlfn.DAYS(BD_PRINCIPAL[[#This Row],[HASTA]],BD_PRINCIPAL[[#This Row],[DESDE]]),"")+1,"")</f>
        <v/>
      </c>
      <c r="X20" s="188">
        <f>VLOOKUP(BD_PRINCIPAL[[#This Row],[ENCUADRE. ESC.]],ORDEN1,2,FALSE)</f>
        <v>1</v>
      </c>
      <c r="Y20" s="188">
        <f>VLOOKUP(BD_PRINCIPAL[[#This Row],[DOTACIÓN ACTUAL]],ORDEN2,4,FALSE)</f>
        <v>14</v>
      </c>
      <c r="Z20" s="188">
        <f>VLOOKUP(BD_PRINCIPAL[[#This Row],[GRADO]],ORDEN3,2,FALSE)</f>
        <v>8</v>
      </c>
      <c r="AA20" s="188">
        <f>IFERROR(VLOOKUP(BD_PRINCIPAL[[#This Row],[DOTACIÓN ACTUAL]],ORDEN2,3,FALSE),0)</f>
        <v>0</v>
      </c>
      <c r="AB20" s="181" t="s">
        <v>853</v>
      </c>
      <c r="AC20" s="181" t="s">
        <v>853</v>
      </c>
      <c r="AD20" s="181" t="s">
        <v>853</v>
      </c>
      <c r="AE20" s="181" t="s">
        <v>853</v>
      </c>
      <c r="AF20" s="181" t="s">
        <v>853</v>
      </c>
      <c r="AG20" s="181" t="s">
        <v>853</v>
      </c>
      <c r="AH20" s="181"/>
      <c r="AI20" s="181"/>
      <c r="AJ20" s="181"/>
      <c r="AK20" s="181"/>
      <c r="AL20" s="181"/>
      <c r="AM20" s="181"/>
      <c r="AN20" s="181"/>
      <c r="AO20" s="181"/>
      <c r="AP20" s="181"/>
      <c r="AQ20" s="181"/>
      <c r="AR20" s="181"/>
      <c r="AS20" s="181"/>
      <c r="AT20" s="187"/>
      <c r="AU20" s="187"/>
      <c r="AV20" s="187"/>
      <c r="AW20" s="187"/>
      <c r="AX20" s="187"/>
      <c r="AY20" s="187"/>
      <c r="AZ20" s="187"/>
      <c r="BA20" s="181"/>
      <c r="BB20" s="181"/>
      <c r="BC20" s="181"/>
      <c r="BD20" s="181"/>
      <c r="BE20" s="181"/>
      <c r="BF20" s="181"/>
      <c r="BG20" s="181"/>
      <c r="BH20" s="181"/>
      <c r="BI20" s="181"/>
      <c r="BJ20" s="181"/>
      <c r="BK20" s="181"/>
      <c r="BL20" s="181"/>
      <c r="BM20" s="777">
        <v>45117</v>
      </c>
      <c r="BN20" s="792"/>
    </row>
    <row r="21" spans="1:66" s="189" customFormat="1" x14ac:dyDescent="0.3">
      <c r="A21" s="188" t="s">
        <v>473</v>
      </c>
      <c r="B21" s="181" t="s">
        <v>1594</v>
      </c>
      <c r="C21" s="188">
        <v>139081935</v>
      </c>
      <c r="D21" s="482" t="s">
        <v>1994</v>
      </c>
      <c r="E21" s="482" t="s">
        <v>1994</v>
      </c>
      <c r="F21" s="479" t="s">
        <v>2977</v>
      </c>
      <c r="G21" s="191" t="s">
        <v>209</v>
      </c>
      <c r="H21" s="184" t="s">
        <v>816</v>
      </c>
      <c r="I21" s="184" t="s">
        <v>872</v>
      </c>
      <c r="J21" s="185" t="s">
        <v>917</v>
      </c>
      <c r="K21" s="1283" t="s">
        <v>2305</v>
      </c>
      <c r="L21" s="736" t="s">
        <v>853</v>
      </c>
      <c r="M21" s="1308" t="s">
        <v>1994</v>
      </c>
      <c r="N21" s="777"/>
      <c r="O21" s="1298"/>
      <c r="P21" s="181"/>
      <c r="Q21" s="1298" t="s">
        <v>832</v>
      </c>
      <c r="R21" s="186">
        <f>$B$1</f>
        <v>45388</v>
      </c>
      <c r="S21" s="190"/>
      <c r="T21" s="182" t="s">
        <v>2919</v>
      </c>
      <c r="U21" s="192"/>
      <c r="V21" s="192"/>
      <c r="W21" s="188" t="str">
        <f>IFERROR(IF(AND(BD_PRINCIPAL[[#This Row],[DESDE]]&lt;&gt;"",BD_PRINCIPAL[[#This Row],[HASTA]]&lt;&gt;""),_xlfn.DAYS(BD_PRINCIPAL[[#This Row],[HASTA]],BD_PRINCIPAL[[#This Row],[DESDE]]),"")+1,"")</f>
        <v/>
      </c>
      <c r="X21" s="188">
        <f>VLOOKUP(BD_PRINCIPAL[[#This Row],[ENCUADRE. ESC.]],ORDEN1,2,FALSE)</f>
        <v>1</v>
      </c>
      <c r="Y21" s="188">
        <f>VLOOKUP(BD_PRINCIPAL[[#This Row],[DOTACIÓN ACTUAL]],ORDEN2,4,FALSE)</f>
        <v>14</v>
      </c>
      <c r="Z21" s="188">
        <f>VLOOKUP(BD_PRINCIPAL[[#This Row],[GRADO]],ORDEN3,2,FALSE)</f>
        <v>10</v>
      </c>
      <c r="AA21" s="188">
        <f>IFERROR(VLOOKUP(BD_PRINCIPAL[[#This Row],[DOTACIÓN ACTUAL]],ORDEN2,3,FALSE),0)</f>
        <v>0</v>
      </c>
      <c r="AB21" s="181" t="s">
        <v>853</v>
      </c>
      <c r="AC21" s="181" t="s">
        <v>853</v>
      </c>
      <c r="AD21" s="181" t="s">
        <v>853</v>
      </c>
      <c r="AE21" s="181" t="s">
        <v>853</v>
      </c>
      <c r="AF21" s="181" t="s">
        <v>853</v>
      </c>
      <c r="AG21" s="181" t="s">
        <v>853</v>
      </c>
      <c r="AH21" s="181"/>
      <c r="AI21" s="181"/>
      <c r="AJ21" s="181"/>
      <c r="AK21" s="181"/>
      <c r="AL21" s="181"/>
      <c r="AM21" s="181"/>
      <c r="AN21" s="181"/>
      <c r="AO21" s="181"/>
      <c r="AP21" s="181"/>
      <c r="AQ21" s="181"/>
      <c r="AR21" s="181"/>
      <c r="AS21" s="181"/>
      <c r="AT21" s="187"/>
      <c r="AU21" s="187"/>
      <c r="AV21" s="187"/>
      <c r="AW21" s="187"/>
      <c r="AX21" s="187"/>
      <c r="AY21" s="187"/>
      <c r="AZ21" s="187"/>
      <c r="BA21" s="181"/>
      <c r="BB21" s="181"/>
      <c r="BC21" s="181"/>
      <c r="BD21" s="181"/>
      <c r="BE21" s="181"/>
      <c r="BF21" s="181"/>
      <c r="BG21" s="181"/>
      <c r="BH21" s="181"/>
      <c r="BI21" s="181"/>
      <c r="BJ21" s="181"/>
      <c r="BK21" s="181"/>
      <c r="BL21" s="181"/>
      <c r="BM21" s="777">
        <v>45189</v>
      </c>
      <c r="BN21" s="792"/>
    </row>
    <row r="22" spans="1:66" s="189" customFormat="1" x14ac:dyDescent="0.3">
      <c r="A22" s="188" t="s">
        <v>370</v>
      </c>
      <c r="B22" s="181" t="s">
        <v>148</v>
      </c>
      <c r="C22" s="188">
        <v>202259502</v>
      </c>
      <c r="D22" s="479" t="s">
        <v>1994</v>
      </c>
      <c r="E22" s="479" t="s">
        <v>1994</v>
      </c>
      <c r="F22" s="479" t="s">
        <v>2269</v>
      </c>
      <c r="G22" s="183" t="s">
        <v>4</v>
      </c>
      <c r="H22" s="184" t="s">
        <v>816</v>
      </c>
      <c r="I22" s="184" t="s">
        <v>872</v>
      </c>
      <c r="J22" s="185" t="s">
        <v>917</v>
      </c>
      <c r="K22" s="1283" t="s">
        <v>2301</v>
      </c>
      <c r="L22" s="736" t="s">
        <v>853</v>
      </c>
      <c r="M22" s="1308" t="s">
        <v>1994</v>
      </c>
      <c r="N22" s="778"/>
      <c r="O22" s="1298"/>
      <c r="P22" s="181"/>
      <c r="Q22" s="1298" t="s">
        <v>832</v>
      </c>
      <c r="R22" s="186">
        <f>$B$1</f>
        <v>45388</v>
      </c>
      <c r="S22" s="190"/>
      <c r="T22" s="182" t="s">
        <v>2919</v>
      </c>
      <c r="U22" s="192"/>
      <c r="V22" s="192"/>
      <c r="W22" s="188" t="str">
        <f>IFERROR(IF(AND(BD_PRINCIPAL[[#This Row],[DESDE]]&lt;&gt;"",BD_PRINCIPAL[[#This Row],[HASTA]]&lt;&gt;""),_xlfn.DAYS(BD_PRINCIPAL[[#This Row],[HASTA]],BD_PRINCIPAL[[#This Row],[DESDE]]),"")+1,"")</f>
        <v/>
      </c>
      <c r="X22" s="188">
        <f>VLOOKUP(BD_PRINCIPAL[[#This Row],[ENCUADRE. ESC.]],ORDEN1,2,FALSE)</f>
        <v>1</v>
      </c>
      <c r="Y22" s="188">
        <f>VLOOKUP(BD_PRINCIPAL[[#This Row],[DOTACIÓN ACTUAL]],ORDEN2,4,FALSE)</f>
        <v>14</v>
      </c>
      <c r="Z22" s="188">
        <f>VLOOKUP(BD_PRINCIPAL[[#This Row],[GRADO]],ORDEN3,2,FALSE)</f>
        <v>12</v>
      </c>
      <c r="AA22" s="188">
        <f>IFERROR(VLOOKUP(BD_PRINCIPAL[[#This Row],[DOTACIÓN ACTUAL]],ORDEN2,3,FALSE),0)</f>
        <v>0</v>
      </c>
      <c r="AB22" s="181" t="s">
        <v>853</v>
      </c>
      <c r="AC22" s="181" t="s">
        <v>853</v>
      </c>
      <c r="AD22" s="181" t="s">
        <v>853</v>
      </c>
      <c r="AE22" s="181" t="s">
        <v>853</v>
      </c>
      <c r="AF22" s="181" t="s">
        <v>853</v>
      </c>
      <c r="AG22" s="181" t="s">
        <v>853</v>
      </c>
      <c r="AH22" s="181"/>
      <c r="AI22" s="181"/>
      <c r="AJ22" s="181"/>
      <c r="AK22" s="181"/>
      <c r="AL22" s="181"/>
      <c r="AM22" s="181"/>
      <c r="AN22" s="181"/>
      <c r="AO22" s="181"/>
      <c r="AP22" s="181"/>
      <c r="AQ22" s="181"/>
      <c r="AR22" s="181"/>
      <c r="AS22" s="181"/>
      <c r="AT22" s="187"/>
      <c r="AU22" s="187"/>
      <c r="AV22" s="187"/>
      <c r="AW22" s="187"/>
      <c r="AX22" s="187"/>
      <c r="AY22" s="187"/>
      <c r="AZ22" s="187"/>
      <c r="BA22" s="181"/>
      <c r="BB22" s="181"/>
      <c r="BC22" s="181"/>
      <c r="BD22" s="181"/>
      <c r="BE22" s="181"/>
      <c r="BF22" s="181"/>
      <c r="BG22" s="181"/>
      <c r="BH22" s="181"/>
      <c r="BI22" s="181"/>
      <c r="BJ22" s="181"/>
      <c r="BK22" s="181"/>
      <c r="BL22" s="181"/>
      <c r="BM22" s="778">
        <v>45092</v>
      </c>
      <c r="BN22" s="792"/>
    </row>
    <row r="23" spans="1:66" s="233" customFormat="1" x14ac:dyDescent="0.3">
      <c r="A23" s="231" t="s">
        <v>673</v>
      </c>
      <c r="B23" s="225" t="s">
        <v>688</v>
      </c>
      <c r="C23" s="231">
        <v>152509936</v>
      </c>
      <c r="D23" s="317" t="s">
        <v>710</v>
      </c>
      <c r="E23" s="477" t="s">
        <v>710</v>
      </c>
      <c r="F23" s="477" t="s">
        <v>688</v>
      </c>
      <c r="G23" s="227" t="s">
        <v>672</v>
      </c>
      <c r="H23" s="228" t="s">
        <v>816</v>
      </c>
      <c r="I23" s="228" t="s">
        <v>872</v>
      </c>
      <c r="J23" s="229" t="s">
        <v>918</v>
      </c>
      <c r="K23" s="1280" t="s">
        <v>2290</v>
      </c>
      <c r="L23" s="734" t="s">
        <v>855</v>
      </c>
      <c r="M23" s="1305" t="s">
        <v>2890</v>
      </c>
      <c r="N23" s="773"/>
      <c r="O23" s="1295"/>
      <c r="P23" s="225"/>
      <c r="Q23" s="1295" t="s">
        <v>832</v>
      </c>
      <c r="R23" s="234">
        <f>$B$1</f>
        <v>45388</v>
      </c>
      <c r="S23" s="236"/>
      <c r="T23" s="236"/>
      <c r="U23" s="230"/>
      <c r="V23" s="230"/>
      <c r="W23" s="231" t="str">
        <f>IFERROR(IF(AND(BD_PRINCIPAL[[#This Row],[DESDE]]&lt;&gt;"",BD_PRINCIPAL[[#This Row],[HASTA]]&lt;&gt;""),_xlfn.DAYS(BD_PRINCIPAL[[#This Row],[HASTA]],BD_PRINCIPAL[[#This Row],[DESDE]]),"")+1,"")</f>
        <v/>
      </c>
      <c r="X23" s="231">
        <f>VLOOKUP(BD_PRINCIPAL[[#This Row],[ENCUADRE. ESC.]],ORDEN1,2,FALSE)</f>
        <v>1</v>
      </c>
      <c r="Y23" s="231">
        <f>VLOOKUP(BD_PRINCIPAL[[#This Row],[DOTACIÓN ACTUAL]],ORDEN2,4,FALSE)</f>
        <v>17</v>
      </c>
      <c r="Z23" s="231">
        <f>VLOOKUP(BD_PRINCIPAL[[#This Row],[GRADO]],ORDEN3,2,FALSE)</f>
        <v>4</v>
      </c>
      <c r="AA23" s="231">
        <f>IFERROR(VLOOKUP(BD_PRINCIPAL[[#This Row],[DOTACIÓN ACTUAL]],ORDEN2,3,FALSE),0)</f>
        <v>0</v>
      </c>
      <c r="AB23" s="225" t="s">
        <v>853</v>
      </c>
      <c r="AC23" s="225" t="s">
        <v>853</v>
      </c>
      <c r="AD23" s="225" t="s">
        <v>853</v>
      </c>
      <c r="AE23" s="225" t="s">
        <v>853</v>
      </c>
      <c r="AF23" s="225" t="s">
        <v>853</v>
      </c>
      <c r="AG23" s="225" t="s">
        <v>855</v>
      </c>
      <c r="AH23" s="225"/>
      <c r="AI23" s="225"/>
      <c r="AJ23" s="225"/>
      <c r="AK23" s="225"/>
      <c r="AL23" s="225"/>
      <c r="AM23" s="225"/>
      <c r="AN23" s="225"/>
      <c r="AO23" s="225"/>
      <c r="AP23" s="225"/>
      <c r="AQ23" s="225"/>
      <c r="AR23" s="225"/>
      <c r="AS23" s="225"/>
      <c r="AT23" s="232"/>
      <c r="AU23" s="232"/>
      <c r="AV23" s="232"/>
      <c r="AW23" s="232"/>
      <c r="AX23" s="232"/>
      <c r="AY23" s="232"/>
      <c r="AZ23" s="232"/>
      <c r="BA23" s="225"/>
      <c r="BB23" s="225"/>
      <c r="BC23" s="225"/>
      <c r="BD23" s="225"/>
      <c r="BE23" s="225"/>
      <c r="BF23" s="225"/>
      <c r="BG23" s="225"/>
      <c r="BH23" s="225"/>
      <c r="BI23" s="225"/>
      <c r="BJ23" s="225"/>
      <c r="BK23" s="225"/>
      <c r="BL23" s="225"/>
      <c r="BM23" s="773">
        <v>45167</v>
      </c>
      <c r="BN23" s="790"/>
    </row>
    <row r="24" spans="1:66" s="233" customFormat="1" x14ac:dyDescent="0.3">
      <c r="A24" s="231" t="s">
        <v>647</v>
      </c>
      <c r="B24" s="225" t="s">
        <v>1554</v>
      </c>
      <c r="C24" s="231" t="s">
        <v>648</v>
      </c>
      <c r="D24" s="484" t="s">
        <v>1996</v>
      </c>
      <c r="E24" s="477" t="s">
        <v>1996</v>
      </c>
      <c r="F24" s="477" t="s">
        <v>1910</v>
      </c>
      <c r="G24" s="227" t="s">
        <v>209</v>
      </c>
      <c r="H24" s="228" t="s">
        <v>816</v>
      </c>
      <c r="I24" s="228" t="s">
        <v>872</v>
      </c>
      <c r="J24" s="229" t="s">
        <v>917</v>
      </c>
      <c r="K24" s="1280" t="s">
        <v>2295</v>
      </c>
      <c r="L24" s="734" t="s">
        <v>855</v>
      </c>
      <c r="M24" s="1305" t="s">
        <v>1996</v>
      </c>
      <c r="N24" s="773"/>
      <c r="O24" s="1295"/>
      <c r="P24" s="225"/>
      <c r="Q24" s="1295" t="s">
        <v>832</v>
      </c>
      <c r="R24" s="234">
        <f>$B$1</f>
        <v>45388</v>
      </c>
      <c r="S24" s="236"/>
      <c r="T24" s="236" t="s">
        <v>2919</v>
      </c>
      <c r="U24" s="230"/>
      <c r="V24" s="230"/>
      <c r="W24" s="231" t="str">
        <f>IFERROR(IF(AND(BD_PRINCIPAL[[#This Row],[DESDE]]&lt;&gt;"",BD_PRINCIPAL[[#This Row],[HASTA]]&lt;&gt;""),_xlfn.DAYS(BD_PRINCIPAL[[#This Row],[HASTA]],BD_PRINCIPAL[[#This Row],[DESDE]]),"")+1,"")</f>
        <v/>
      </c>
      <c r="X24" s="231">
        <f>VLOOKUP(BD_PRINCIPAL[[#This Row],[ENCUADRE. ESC.]],ORDEN1,2,FALSE)</f>
        <v>1</v>
      </c>
      <c r="Y24" s="231">
        <f>VLOOKUP(BD_PRINCIPAL[[#This Row],[DOTACIÓN ACTUAL]],ORDEN2,4,FALSE)</f>
        <v>18</v>
      </c>
      <c r="Z24" s="231">
        <f>VLOOKUP(BD_PRINCIPAL[[#This Row],[GRADO]],ORDEN3,2,FALSE)</f>
        <v>10</v>
      </c>
      <c r="AA24" s="231">
        <f>IFERROR(VLOOKUP(BD_PRINCIPAL[[#This Row],[DOTACIÓN ACTUAL]],ORDEN2,3,FALSE),0)</f>
        <v>0</v>
      </c>
      <c r="AB24" s="225" t="s">
        <v>853</v>
      </c>
      <c r="AC24" s="225" t="s">
        <v>853</v>
      </c>
      <c r="AD24" s="225" t="s">
        <v>853</v>
      </c>
      <c r="AE24" s="225" t="s">
        <v>853</v>
      </c>
      <c r="AF24" s="225" t="s">
        <v>853</v>
      </c>
      <c r="AG24" s="225" t="s">
        <v>855</v>
      </c>
      <c r="AH24" s="225"/>
      <c r="AI24" s="225"/>
      <c r="AJ24" s="225"/>
      <c r="AK24" s="225"/>
      <c r="AL24" s="225"/>
      <c r="AM24" s="225"/>
      <c r="AN24" s="225"/>
      <c r="AO24" s="225"/>
      <c r="AP24" s="225"/>
      <c r="AQ24" s="225"/>
      <c r="AR24" s="225"/>
      <c r="AS24" s="225"/>
      <c r="AT24" s="232"/>
      <c r="AU24" s="232"/>
      <c r="AV24" s="232"/>
      <c r="AW24" s="232"/>
      <c r="AX24" s="232"/>
      <c r="AY24" s="232"/>
      <c r="AZ24" s="232"/>
      <c r="BA24" s="225"/>
      <c r="BB24" s="225"/>
      <c r="BC24" s="225"/>
      <c r="BD24" s="225"/>
      <c r="BE24" s="225"/>
      <c r="BF24" s="225"/>
      <c r="BG24" s="225"/>
      <c r="BH24" s="225"/>
      <c r="BI24" s="225"/>
      <c r="BJ24" s="225"/>
      <c r="BK24" s="225"/>
      <c r="BL24" s="225"/>
      <c r="BM24" s="773">
        <v>45177</v>
      </c>
      <c r="BN24" s="790"/>
    </row>
    <row r="25" spans="1:66" s="233" customFormat="1" x14ac:dyDescent="0.3">
      <c r="A25" s="231" t="s">
        <v>276</v>
      </c>
      <c r="B25" s="225" t="s">
        <v>42</v>
      </c>
      <c r="C25" s="231">
        <v>178972790</v>
      </c>
      <c r="D25" s="484" t="s">
        <v>1996</v>
      </c>
      <c r="E25" s="484" t="s">
        <v>1996</v>
      </c>
      <c r="F25" s="477" t="s">
        <v>42</v>
      </c>
      <c r="G25" s="227" t="s">
        <v>3</v>
      </c>
      <c r="H25" s="228" t="s">
        <v>816</v>
      </c>
      <c r="I25" s="228" t="s">
        <v>872</v>
      </c>
      <c r="J25" s="229" t="s">
        <v>917</v>
      </c>
      <c r="K25" s="1280" t="s">
        <v>2290</v>
      </c>
      <c r="L25" s="734" t="s">
        <v>855</v>
      </c>
      <c r="M25" s="1305" t="s">
        <v>1996</v>
      </c>
      <c r="N25" s="773"/>
      <c r="O25" s="1295"/>
      <c r="P25" s="225"/>
      <c r="Q25" s="1295" t="s">
        <v>832</v>
      </c>
      <c r="R25" s="234">
        <f>$B$1</f>
        <v>45388</v>
      </c>
      <c r="S25" s="236"/>
      <c r="T25" s="236"/>
      <c r="U25" s="230"/>
      <c r="V25" s="230"/>
      <c r="W25" s="231" t="str">
        <f>IFERROR(IF(AND(BD_PRINCIPAL[[#This Row],[DESDE]]&lt;&gt;"",BD_PRINCIPAL[[#This Row],[HASTA]]&lt;&gt;""),_xlfn.DAYS(BD_PRINCIPAL[[#This Row],[HASTA]],BD_PRINCIPAL[[#This Row],[DESDE]]),"")+1,"")</f>
        <v/>
      </c>
      <c r="X25" s="231">
        <f>VLOOKUP(BD_PRINCIPAL[[#This Row],[ENCUADRE. ESC.]],ORDEN1,2,FALSE)</f>
        <v>1</v>
      </c>
      <c r="Y25" s="231">
        <f>VLOOKUP(BD_PRINCIPAL[[#This Row],[DOTACIÓN ACTUAL]],ORDEN2,4,FALSE)</f>
        <v>18</v>
      </c>
      <c r="Z25" s="231">
        <f>VLOOKUP(BD_PRINCIPAL[[#This Row],[GRADO]],ORDEN3,2,FALSE)</f>
        <v>11</v>
      </c>
      <c r="AA25" s="231">
        <f>IFERROR(VLOOKUP(BD_PRINCIPAL[[#This Row],[DOTACIÓN ACTUAL]],ORDEN2,3,FALSE),0)</f>
        <v>0</v>
      </c>
      <c r="AB25" s="225" t="s">
        <v>884</v>
      </c>
      <c r="AC25" s="225" t="s">
        <v>853</v>
      </c>
      <c r="AD25" s="225" t="s">
        <v>853</v>
      </c>
      <c r="AE25" s="225" t="s">
        <v>853</v>
      </c>
      <c r="AF25" s="225" t="s">
        <v>853</v>
      </c>
      <c r="AG25" s="225" t="s">
        <v>855</v>
      </c>
      <c r="AH25" s="225"/>
      <c r="AI25" s="225"/>
      <c r="AJ25" s="225"/>
      <c r="AK25" s="225"/>
      <c r="AL25" s="225"/>
      <c r="AM25" s="225"/>
      <c r="AN25" s="225"/>
      <c r="AO25" s="225"/>
      <c r="AP25" s="225"/>
      <c r="AQ25" s="225"/>
      <c r="AR25" s="225"/>
      <c r="AS25" s="225"/>
      <c r="AT25" s="232"/>
      <c r="AU25" s="232"/>
      <c r="AV25" s="232"/>
      <c r="AW25" s="232"/>
      <c r="AX25" s="232"/>
      <c r="AY25" s="232"/>
      <c r="AZ25" s="232"/>
      <c r="BA25" s="225"/>
      <c r="BB25" s="225"/>
      <c r="BC25" s="225"/>
      <c r="BD25" s="225"/>
      <c r="BE25" s="225"/>
      <c r="BF25" s="225"/>
      <c r="BG25" s="225"/>
      <c r="BH25" s="225"/>
      <c r="BI25" s="225"/>
      <c r="BJ25" s="225"/>
      <c r="BK25" s="225"/>
      <c r="BL25" s="225"/>
      <c r="BM25" s="773">
        <v>45027</v>
      </c>
      <c r="BN25" s="790"/>
    </row>
    <row r="26" spans="1:66" s="247" customFormat="1" x14ac:dyDescent="0.3">
      <c r="A26" s="245" t="s">
        <v>2620</v>
      </c>
      <c r="B26" s="649" t="s">
        <v>2622</v>
      </c>
      <c r="C26" s="245" t="s">
        <v>2621</v>
      </c>
      <c r="D26" s="478" t="s">
        <v>698</v>
      </c>
      <c r="E26" s="478" t="s">
        <v>698</v>
      </c>
      <c r="F26" s="478" t="s">
        <v>2622</v>
      </c>
      <c r="G26" s="248" t="s">
        <v>672</v>
      </c>
      <c r="H26" s="241" t="s">
        <v>816</v>
      </c>
      <c r="I26" s="241" t="s">
        <v>872</v>
      </c>
      <c r="J26" s="242" t="s">
        <v>918</v>
      </c>
      <c r="K26" s="1281" t="s">
        <v>2290</v>
      </c>
      <c r="L26" s="735" t="s">
        <v>855</v>
      </c>
      <c r="M26" s="1306" t="s">
        <v>2055</v>
      </c>
      <c r="N26" s="774"/>
      <c r="O26" s="1296"/>
      <c r="P26" s="238"/>
      <c r="Q26" s="1296" t="s">
        <v>832</v>
      </c>
      <c r="R26" s="337" t="s">
        <v>2623</v>
      </c>
      <c r="S26" s="249"/>
      <c r="T26" s="239"/>
      <c r="U26" s="740"/>
      <c r="V26" s="740"/>
      <c r="W26" s="338" t="str">
        <f>IFERROR(IF(AND(BD_PRINCIPAL[[#This Row],[DESDE]]&lt;&gt;"",BD_PRINCIPAL[[#This Row],[HASTA]]&lt;&gt;""),_xlfn.DAYS(BD_PRINCIPAL[[#This Row],[HASTA]],BD_PRINCIPAL[[#This Row],[DESDE]]),"")+1,"")</f>
        <v/>
      </c>
      <c r="X26" s="338">
        <f>VLOOKUP(BD_PRINCIPAL[[#This Row],[ENCUADRE. ESC.]],ORDEN1,2,FALSE)</f>
        <v>1</v>
      </c>
      <c r="Y26" s="338">
        <f>VLOOKUP(BD_PRINCIPAL[[#This Row],[DOTACIÓN ACTUAL]],ORDEN2,4,FALSE)</f>
        <v>19</v>
      </c>
      <c r="Z26" s="338">
        <f>VLOOKUP(BD_PRINCIPAL[[#This Row],[GRADO]],ORDEN3,2,FALSE)</f>
        <v>4</v>
      </c>
      <c r="AA26" s="338">
        <f>IFERROR(VLOOKUP(BD_PRINCIPAL[[#This Row],[DOTACIÓN ACTUAL]],ORDEN2,3,FALSE),0)</f>
        <v>0</v>
      </c>
      <c r="AB26" s="238" t="s">
        <v>853</v>
      </c>
      <c r="AC26" s="238" t="s">
        <v>853</v>
      </c>
      <c r="AD26" s="238" t="s">
        <v>853</v>
      </c>
      <c r="AE26" s="238" t="s">
        <v>853</v>
      </c>
      <c r="AF26" s="238" t="s">
        <v>853</v>
      </c>
      <c r="AG26" s="238" t="s">
        <v>855</v>
      </c>
      <c r="AH26" s="246"/>
      <c r="AI26" s="246"/>
      <c r="AJ26" s="246"/>
      <c r="AK26" s="246"/>
      <c r="AL26" s="246"/>
      <c r="AM26" s="246"/>
      <c r="AN26" s="246"/>
      <c r="AO26" s="246"/>
      <c r="AP26" s="246"/>
      <c r="AQ26" s="246"/>
      <c r="AR26" s="246"/>
      <c r="AS26" s="246"/>
      <c r="AT26" s="246"/>
      <c r="AU26" s="246"/>
      <c r="AV26" s="246"/>
      <c r="AW26" s="246"/>
      <c r="AX26" s="246"/>
      <c r="AY26" s="246"/>
      <c r="AZ26" s="246"/>
      <c r="BA26" s="238"/>
      <c r="BB26" s="238"/>
      <c r="BC26" s="238"/>
      <c r="BD26" s="238"/>
      <c r="BE26" s="238"/>
      <c r="BF26" s="238"/>
      <c r="BG26" s="238"/>
      <c r="BH26" s="238"/>
      <c r="BI26" s="238"/>
      <c r="BJ26" s="238"/>
      <c r="BK26" s="238"/>
      <c r="BL26" s="238"/>
      <c r="BM26" s="895"/>
      <c r="BN26" s="895"/>
    </row>
    <row r="27" spans="1:66" s="247" customFormat="1" x14ac:dyDescent="0.3">
      <c r="A27" s="245" t="s">
        <v>689</v>
      </c>
      <c r="B27" s="238" t="s">
        <v>1587</v>
      </c>
      <c r="C27" s="245">
        <v>170657586</v>
      </c>
      <c r="D27" s="478" t="s">
        <v>1997</v>
      </c>
      <c r="E27" s="478" t="s">
        <v>1997</v>
      </c>
      <c r="F27" s="478" t="s">
        <v>3036</v>
      </c>
      <c r="G27" s="240" t="s">
        <v>209</v>
      </c>
      <c r="H27" s="241" t="s">
        <v>816</v>
      </c>
      <c r="I27" s="241" t="s">
        <v>872</v>
      </c>
      <c r="J27" s="242" t="s">
        <v>917</v>
      </c>
      <c r="K27" s="1281" t="s">
        <v>2297</v>
      </c>
      <c r="L27" s="735" t="s">
        <v>855</v>
      </c>
      <c r="M27" s="1306" t="s">
        <v>1997</v>
      </c>
      <c r="N27" s="786"/>
      <c r="O27" s="1296"/>
      <c r="P27" s="238"/>
      <c r="Q27" s="1296" t="s">
        <v>832</v>
      </c>
      <c r="R27" s="243">
        <f>$B$1</f>
        <v>45388</v>
      </c>
      <c r="S27" s="249"/>
      <c r="T27" s="239" t="s">
        <v>2920</v>
      </c>
      <c r="U27" s="244"/>
      <c r="V27" s="244"/>
      <c r="W27" s="245" t="str">
        <f>IFERROR(IF(AND(BD_PRINCIPAL[[#This Row],[DESDE]]&lt;&gt;"",BD_PRINCIPAL[[#This Row],[HASTA]]&lt;&gt;""),_xlfn.DAYS(BD_PRINCIPAL[[#This Row],[HASTA]],BD_PRINCIPAL[[#This Row],[DESDE]]),"")+1,"")</f>
        <v/>
      </c>
      <c r="X27" s="245">
        <f>VLOOKUP(BD_PRINCIPAL[[#This Row],[ENCUADRE. ESC.]],ORDEN1,2,FALSE)</f>
        <v>1</v>
      </c>
      <c r="Y27" s="245">
        <f>VLOOKUP(BD_PRINCIPAL[[#This Row],[DOTACIÓN ACTUAL]],ORDEN2,4,FALSE)</f>
        <v>20</v>
      </c>
      <c r="Z27" s="245">
        <f>VLOOKUP(BD_PRINCIPAL[[#This Row],[GRADO]],ORDEN3,2,FALSE)</f>
        <v>10</v>
      </c>
      <c r="AA27" s="245">
        <f>IFERROR(VLOOKUP(BD_PRINCIPAL[[#This Row],[DOTACIÓN ACTUAL]],ORDEN2,3,FALSE),0)</f>
        <v>0</v>
      </c>
      <c r="AB27" s="238" t="s">
        <v>853</v>
      </c>
      <c r="AC27" s="238" t="s">
        <v>853</v>
      </c>
      <c r="AD27" s="238" t="s">
        <v>853</v>
      </c>
      <c r="AE27" s="238" t="s">
        <v>853</v>
      </c>
      <c r="AF27" s="238" t="s">
        <v>853</v>
      </c>
      <c r="AG27" s="238" t="s">
        <v>855</v>
      </c>
      <c r="AH27" s="238"/>
      <c r="AI27" s="238"/>
      <c r="AJ27" s="238"/>
      <c r="AK27" s="238"/>
      <c r="AL27" s="238"/>
      <c r="AM27" s="238"/>
      <c r="AN27" s="238"/>
      <c r="AO27" s="238"/>
      <c r="AP27" s="238"/>
      <c r="AQ27" s="238"/>
      <c r="AR27" s="238"/>
      <c r="AS27" s="238"/>
      <c r="AT27" s="246"/>
      <c r="AU27" s="246"/>
      <c r="AV27" s="246"/>
      <c r="AW27" s="246"/>
      <c r="AX27" s="246"/>
      <c r="AY27" s="246"/>
      <c r="AZ27" s="246"/>
      <c r="BA27" s="238"/>
      <c r="BB27" s="238"/>
      <c r="BC27" s="238"/>
      <c r="BD27" s="238"/>
      <c r="BE27" s="238"/>
      <c r="BF27" s="238"/>
      <c r="BG27" s="238"/>
      <c r="BH27" s="238"/>
      <c r="BI27" s="238"/>
      <c r="BJ27" s="238"/>
      <c r="BK27" s="238"/>
      <c r="BL27" s="238"/>
      <c r="BM27" s="786">
        <v>45176</v>
      </c>
      <c r="BN27" s="788"/>
    </row>
    <row r="28" spans="1:66" s="247" customFormat="1" x14ac:dyDescent="0.3">
      <c r="A28" s="245" t="s">
        <v>2897</v>
      </c>
      <c r="B28" s="649" t="s">
        <v>2898</v>
      </c>
      <c r="C28" s="245">
        <v>185225544</v>
      </c>
      <c r="D28" s="311" t="s">
        <v>1997</v>
      </c>
      <c r="E28" s="478" t="s">
        <v>1997</v>
      </c>
      <c r="F28" s="478" t="s">
        <v>2898</v>
      </c>
      <c r="G28" s="248" t="s">
        <v>3</v>
      </c>
      <c r="H28" s="241" t="s">
        <v>816</v>
      </c>
      <c r="I28" s="241" t="s">
        <v>872</v>
      </c>
      <c r="J28" s="242" t="s">
        <v>917</v>
      </c>
      <c r="K28" s="1281" t="s">
        <v>2290</v>
      </c>
      <c r="L28" s="735" t="s">
        <v>855</v>
      </c>
      <c r="M28" s="1306" t="s">
        <v>1997</v>
      </c>
      <c r="N28" s="774"/>
      <c r="O28" s="1296"/>
      <c r="P28" s="238"/>
      <c r="Q28" s="1296" t="s">
        <v>832</v>
      </c>
      <c r="R28" s="337">
        <v>32668</v>
      </c>
      <c r="S28" s="249"/>
      <c r="T28" s="239" t="s">
        <v>2919</v>
      </c>
      <c r="U28" s="740"/>
      <c r="V28" s="740"/>
      <c r="W28" s="338" t="str">
        <f>IFERROR(IF(AND(BD_PRINCIPAL[[#This Row],[DESDE]]&lt;&gt;"",BD_PRINCIPAL[[#This Row],[HASTA]]&lt;&gt;""),_xlfn.DAYS(BD_PRINCIPAL[[#This Row],[HASTA]],BD_PRINCIPAL[[#This Row],[DESDE]]),"")+1,"")</f>
        <v/>
      </c>
      <c r="X28" s="338">
        <f>VLOOKUP(BD_PRINCIPAL[[#This Row],[ENCUADRE. ESC.]],ORDEN1,2,FALSE)</f>
        <v>1</v>
      </c>
      <c r="Y28" s="338">
        <f>VLOOKUP(BD_PRINCIPAL[[#This Row],[DOTACIÓN ACTUAL]],ORDEN2,4,FALSE)</f>
        <v>20</v>
      </c>
      <c r="Z28" s="338">
        <f>VLOOKUP(BD_PRINCIPAL[[#This Row],[GRADO]],ORDEN3,2,FALSE)</f>
        <v>11</v>
      </c>
      <c r="AA28" s="338">
        <f>IFERROR(VLOOKUP(BD_PRINCIPAL[[#This Row],[DOTACIÓN ACTUAL]],ORDEN2,3,FALSE),0)</f>
        <v>0</v>
      </c>
      <c r="AB28" s="246" t="s">
        <v>853</v>
      </c>
      <c r="AC28" s="246" t="s">
        <v>853</v>
      </c>
      <c r="AD28" s="246" t="s">
        <v>853</v>
      </c>
      <c r="AE28" s="246" t="s">
        <v>853</v>
      </c>
      <c r="AF28" s="246" t="s">
        <v>853</v>
      </c>
      <c r="AG28" s="246" t="s">
        <v>855</v>
      </c>
      <c r="AH28" s="246"/>
      <c r="AI28" s="246"/>
      <c r="AJ28" s="246"/>
      <c r="AK28" s="246"/>
      <c r="AL28" s="246"/>
      <c r="AM28" s="246"/>
      <c r="AN28" s="246"/>
      <c r="AO28" s="246"/>
      <c r="AP28" s="246"/>
      <c r="AQ28" s="246"/>
      <c r="AR28" s="246"/>
      <c r="AS28" s="246"/>
      <c r="AT28" s="246"/>
      <c r="AU28" s="246"/>
      <c r="AV28" s="246"/>
      <c r="AW28" s="246"/>
      <c r="AX28" s="246"/>
      <c r="AY28" s="246"/>
      <c r="AZ28" s="246"/>
      <c r="BA28" s="238"/>
      <c r="BB28" s="238"/>
      <c r="BC28" s="238"/>
      <c r="BD28" s="238"/>
      <c r="BE28" s="238"/>
      <c r="BF28" s="238"/>
      <c r="BG28" s="238"/>
      <c r="BH28" s="238"/>
      <c r="BI28" s="238"/>
      <c r="BJ28" s="238"/>
      <c r="BK28" s="238"/>
      <c r="BL28" s="238"/>
      <c r="BM28" s="895">
        <v>45371</v>
      </c>
      <c r="BN28" s="895"/>
    </row>
    <row r="29" spans="1:66" s="189" customFormat="1" x14ac:dyDescent="0.3">
      <c r="A29" s="188" t="s">
        <v>303</v>
      </c>
      <c r="B29" s="181" t="s">
        <v>1842</v>
      </c>
      <c r="C29" s="188">
        <v>118932137</v>
      </c>
      <c r="D29" s="313" t="s">
        <v>793</v>
      </c>
      <c r="E29" s="479" t="s">
        <v>793</v>
      </c>
      <c r="F29" s="479" t="s">
        <v>1842</v>
      </c>
      <c r="G29" s="183" t="s">
        <v>89</v>
      </c>
      <c r="H29" s="184" t="s">
        <v>816</v>
      </c>
      <c r="I29" s="184" t="s">
        <v>872</v>
      </c>
      <c r="J29" s="185" t="s">
        <v>917</v>
      </c>
      <c r="K29" s="1283" t="s">
        <v>2290</v>
      </c>
      <c r="L29" s="736" t="s">
        <v>855</v>
      </c>
      <c r="M29" s="1308" t="s">
        <v>2762</v>
      </c>
      <c r="N29" s="777"/>
      <c r="O29" s="1298"/>
      <c r="P29" s="181"/>
      <c r="Q29" s="1298" t="s">
        <v>832</v>
      </c>
      <c r="R29" s="186">
        <f>$B$1</f>
        <v>45388</v>
      </c>
      <c r="S29" s="190"/>
      <c r="T29" s="190" t="s">
        <v>2919</v>
      </c>
      <c r="U29" s="192"/>
      <c r="V29" s="192"/>
      <c r="W29" s="188" t="str">
        <f>IFERROR(IF(AND(BD_PRINCIPAL[[#This Row],[DESDE]]&lt;&gt;"",BD_PRINCIPAL[[#This Row],[HASTA]]&lt;&gt;""),_xlfn.DAYS(BD_PRINCIPAL[[#This Row],[HASTA]],BD_PRINCIPAL[[#This Row],[DESDE]]),"")+1,"")</f>
        <v/>
      </c>
      <c r="X29" s="188">
        <f>VLOOKUP(BD_PRINCIPAL[[#This Row],[ENCUADRE. ESC.]],ORDEN1,2,FALSE)</f>
        <v>1</v>
      </c>
      <c r="Y29" s="188">
        <f>VLOOKUP(BD_PRINCIPAL[[#This Row],[DOTACIÓN ACTUAL]],ORDEN2,4,FALSE)</f>
        <v>23</v>
      </c>
      <c r="Z29" s="188">
        <f>VLOOKUP(BD_PRINCIPAL[[#This Row],[GRADO]],ORDEN3,2,FALSE)</f>
        <v>9</v>
      </c>
      <c r="AA29" s="188">
        <f>IFERROR(VLOOKUP(BD_PRINCIPAL[[#This Row],[DOTACIÓN ACTUAL]],ORDEN2,3,FALSE),0)</f>
        <v>0</v>
      </c>
      <c r="AB29" s="181" t="s">
        <v>2125</v>
      </c>
      <c r="AC29" s="181" t="s">
        <v>944</v>
      </c>
      <c r="AD29" s="181" t="s">
        <v>945</v>
      </c>
      <c r="AE29" s="181" t="s">
        <v>2125</v>
      </c>
      <c r="AF29" s="181" t="s">
        <v>944</v>
      </c>
      <c r="AG29" s="181" t="s">
        <v>855</v>
      </c>
      <c r="AH29" s="181"/>
      <c r="AI29" s="181"/>
      <c r="AJ29" s="181"/>
      <c r="AK29" s="181"/>
      <c r="AL29" s="181"/>
      <c r="AM29" s="181"/>
      <c r="AN29" s="181"/>
      <c r="AO29" s="181"/>
      <c r="AP29" s="181"/>
      <c r="AQ29" s="181"/>
      <c r="AR29" s="181"/>
      <c r="AS29" s="181"/>
      <c r="AT29" s="187"/>
      <c r="AU29" s="187"/>
      <c r="AV29" s="187"/>
      <c r="AW29" s="187"/>
      <c r="AX29" s="187"/>
      <c r="AY29" s="187"/>
      <c r="AZ29" s="187"/>
      <c r="BA29" s="181"/>
      <c r="BB29" s="181"/>
      <c r="BC29" s="181"/>
      <c r="BD29" s="181"/>
      <c r="BE29" s="181"/>
      <c r="BF29" s="181"/>
      <c r="BG29" s="181"/>
      <c r="BH29" s="181"/>
      <c r="BI29" s="181"/>
      <c r="BJ29" s="181"/>
      <c r="BK29" s="181"/>
      <c r="BL29" s="181"/>
      <c r="BM29" s="777">
        <v>45120</v>
      </c>
      <c r="BN29" s="792"/>
    </row>
    <row r="30" spans="1:66" s="189" customFormat="1" x14ac:dyDescent="0.3">
      <c r="A30" s="188" t="s">
        <v>340</v>
      </c>
      <c r="B30" s="181" t="s">
        <v>137</v>
      </c>
      <c r="C30" s="188">
        <v>186912942</v>
      </c>
      <c r="D30" s="715" t="s">
        <v>2001</v>
      </c>
      <c r="E30" s="479" t="s">
        <v>793</v>
      </c>
      <c r="F30" s="479" t="s">
        <v>137</v>
      </c>
      <c r="G30" s="183" t="s">
        <v>4</v>
      </c>
      <c r="H30" s="184" t="s">
        <v>816</v>
      </c>
      <c r="I30" s="184" t="s">
        <v>872</v>
      </c>
      <c r="J30" s="185" t="s">
        <v>917</v>
      </c>
      <c r="K30" s="1283" t="s">
        <v>2290</v>
      </c>
      <c r="L30" s="736" t="s">
        <v>855</v>
      </c>
      <c r="M30" s="1309" t="s">
        <v>2762</v>
      </c>
      <c r="N30" s="778"/>
      <c r="O30" s="1298"/>
      <c r="P30" s="181"/>
      <c r="Q30" s="1298" t="s">
        <v>832</v>
      </c>
      <c r="R30" s="186">
        <f>$B$1</f>
        <v>45388</v>
      </c>
      <c r="S30" s="190"/>
      <c r="T30" s="182" t="s">
        <v>3300</v>
      </c>
      <c r="U30" s="192"/>
      <c r="V30" s="192"/>
      <c r="W30" s="188" t="str">
        <f>IFERROR(IF(AND(BD_PRINCIPAL[[#This Row],[DESDE]]&lt;&gt;"",BD_PRINCIPAL[[#This Row],[HASTA]]&lt;&gt;""),_xlfn.DAYS(BD_PRINCIPAL[[#This Row],[HASTA]],BD_PRINCIPAL[[#This Row],[DESDE]]),"")+1,"")</f>
        <v/>
      </c>
      <c r="X30" s="188">
        <f>VLOOKUP(BD_PRINCIPAL[[#This Row],[ENCUADRE. ESC.]],ORDEN1,2,FALSE)</f>
        <v>1</v>
      </c>
      <c r="Y30" s="188">
        <f>VLOOKUP(BD_PRINCIPAL[[#This Row],[DOTACIÓN ACTUAL]],ORDEN2,4,FALSE)</f>
        <v>23</v>
      </c>
      <c r="Z30" s="188">
        <f>VLOOKUP(BD_PRINCIPAL[[#This Row],[GRADO]],ORDEN3,2,FALSE)</f>
        <v>12</v>
      </c>
      <c r="AA30" s="188">
        <f>IFERROR(VLOOKUP(BD_PRINCIPAL[[#This Row],[DOTACIÓN ACTUAL]],ORDEN2,3,FALSE),0)</f>
        <v>0</v>
      </c>
      <c r="AB30" s="181" t="s">
        <v>2125</v>
      </c>
      <c r="AC30" s="181" t="s">
        <v>944</v>
      </c>
      <c r="AD30" s="181" t="s">
        <v>945</v>
      </c>
      <c r="AE30" s="181" t="s">
        <v>2125</v>
      </c>
      <c r="AF30" s="181" t="s">
        <v>944</v>
      </c>
      <c r="AG30" s="181" t="s">
        <v>855</v>
      </c>
      <c r="AH30" s="181"/>
      <c r="AI30" s="181"/>
      <c r="AJ30" s="181"/>
      <c r="AK30" s="181"/>
      <c r="AL30" s="181"/>
      <c r="AM30" s="181"/>
      <c r="AN30" s="181"/>
      <c r="AO30" s="181"/>
      <c r="AP30" s="181"/>
      <c r="AQ30" s="181"/>
      <c r="AR30" s="181"/>
      <c r="AS30" s="181"/>
      <c r="AT30" s="187"/>
      <c r="AU30" s="187"/>
      <c r="AV30" s="187"/>
      <c r="AW30" s="187"/>
      <c r="AX30" s="187"/>
      <c r="AY30" s="187"/>
      <c r="AZ30" s="187"/>
      <c r="BA30" s="181"/>
      <c r="BB30" s="181"/>
      <c r="BC30" s="181"/>
      <c r="BD30" s="181"/>
      <c r="BE30" s="181"/>
      <c r="BF30" s="181"/>
      <c r="BG30" s="181"/>
      <c r="BH30" s="181"/>
      <c r="BI30" s="181"/>
      <c r="BJ30" s="181"/>
      <c r="BK30" s="181"/>
      <c r="BL30" s="181"/>
      <c r="BM30" s="778">
        <v>44511</v>
      </c>
      <c r="BN30" s="792"/>
    </row>
    <row r="31" spans="1:66" s="189" customFormat="1" x14ac:dyDescent="0.3">
      <c r="A31" s="188" t="s">
        <v>281</v>
      </c>
      <c r="B31" s="181" t="s">
        <v>33</v>
      </c>
      <c r="C31" s="188">
        <v>174820937</v>
      </c>
      <c r="D31" s="313" t="s">
        <v>793</v>
      </c>
      <c r="E31" s="488" t="s">
        <v>793</v>
      </c>
      <c r="F31" s="479" t="s">
        <v>33</v>
      </c>
      <c r="G31" s="183" t="s">
        <v>4</v>
      </c>
      <c r="H31" s="184" t="s">
        <v>816</v>
      </c>
      <c r="I31" s="184" t="s">
        <v>872</v>
      </c>
      <c r="J31" s="185" t="s">
        <v>917</v>
      </c>
      <c r="K31" s="1283" t="s">
        <v>2290</v>
      </c>
      <c r="L31" s="736" t="s">
        <v>855</v>
      </c>
      <c r="M31" s="1308" t="s">
        <v>2762</v>
      </c>
      <c r="N31" s="777"/>
      <c r="O31" s="1298"/>
      <c r="P31" s="181"/>
      <c r="Q31" s="1298" t="s">
        <v>832</v>
      </c>
      <c r="R31" s="186">
        <f>$B$1</f>
        <v>45388</v>
      </c>
      <c r="S31" s="182"/>
      <c r="T31" s="182" t="s">
        <v>2919</v>
      </c>
      <c r="U31" s="192"/>
      <c r="V31" s="192"/>
      <c r="W31" s="188" t="str">
        <f>IFERROR(IF(AND(BD_PRINCIPAL[[#This Row],[DESDE]]&lt;&gt;"",BD_PRINCIPAL[[#This Row],[HASTA]]&lt;&gt;""),_xlfn.DAYS(BD_PRINCIPAL[[#This Row],[HASTA]],BD_PRINCIPAL[[#This Row],[DESDE]]),"")+1,"")</f>
        <v/>
      </c>
      <c r="X31" s="188">
        <f>VLOOKUP(BD_PRINCIPAL[[#This Row],[ENCUADRE. ESC.]],ORDEN1,2,FALSE)</f>
        <v>1</v>
      </c>
      <c r="Y31" s="188">
        <f>VLOOKUP(BD_PRINCIPAL[[#This Row],[DOTACIÓN ACTUAL]],ORDEN2,4,FALSE)</f>
        <v>23</v>
      </c>
      <c r="Z31" s="188">
        <f>VLOOKUP(BD_PRINCIPAL[[#This Row],[GRADO]],ORDEN3,2,FALSE)</f>
        <v>12</v>
      </c>
      <c r="AA31" s="188">
        <f>IFERROR(VLOOKUP(BD_PRINCIPAL[[#This Row],[DOTACIÓN ACTUAL]],ORDEN2,3,FALSE),0)</f>
        <v>0</v>
      </c>
      <c r="AB31" s="181" t="s">
        <v>2125</v>
      </c>
      <c r="AC31" s="181" t="s">
        <v>944</v>
      </c>
      <c r="AD31" s="181" t="s">
        <v>945</v>
      </c>
      <c r="AE31" s="181" t="s">
        <v>2125</v>
      </c>
      <c r="AF31" s="181" t="s">
        <v>944</v>
      </c>
      <c r="AG31" s="181" t="s">
        <v>855</v>
      </c>
      <c r="AH31" s="181"/>
      <c r="AI31" s="181"/>
      <c r="AJ31" s="181"/>
      <c r="AK31" s="181"/>
      <c r="AL31" s="181"/>
      <c r="AM31" s="181"/>
      <c r="AN31" s="181"/>
      <c r="AO31" s="181"/>
      <c r="AP31" s="181"/>
      <c r="AQ31" s="181"/>
      <c r="AR31" s="181"/>
      <c r="AS31" s="181"/>
      <c r="AT31" s="187"/>
      <c r="AU31" s="187"/>
      <c r="AV31" s="187"/>
      <c r="AW31" s="187"/>
      <c r="AX31" s="187"/>
      <c r="AY31" s="187"/>
      <c r="AZ31" s="187"/>
      <c r="BA31" s="181"/>
      <c r="BB31" s="181"/>
      <c r="BC31" s="181"/>
      <c r="BD31" s="181"/>
      <c r="BE31" s="181"/>
      <c r="BF31" s="181"/>
      <c r="BG31" s="181"/>
      <c r="BH31" s="181"/>
      <c r="BI31" s="181"/>
      <c r="BJ31" s="181"/>
      <c r="BK31" s="181"/>
      <c r="BL31" s="181"/>
      <c r="BM31" s="777">
        <v>45128</v>
      </c>
      <c r="BN31" s="792"/>
    </row>
    <row r="32" spans="1:66" s="189" customFormat="1" x14ac:dyDescent="0.3">
      <c r="A32" s="188" t="s">
        <v>347</v>
      </c>
      <c r="B32" s="181" t="s">
        <v>50</v>
      </c>
      <c r="C32" s="188">
        <v>159277585</v>
      </c>
      <c r="D32" s="313" t="s">
        <v>793</v>
      </c>
      <c r="E32" s="488" t="s">
        <v>793</v>
      </c>
      <c r="F32" s="479" t="s">
        <v>50</v>
      </c>
      <c r="G32" s="183" t="s">
        <v>14</v>
      </c>
      <c r="H32" s="184" t="s">
        <v>816</v>
      </c>
      <c r="I32" s="184" t="s">
        <v>872</v>
      </c>
      <c r="J32" s="185" t="s">
        <v>917</v>
      </c>
      <c r="K32" s="1283" t="s">
        <v>2290</v>
      </c>
      <c r="L32" s="736" t="s">
        <v>855</v>
      </c>
      <c r="M32" s="1308" t="s">
        <v>2762</v>
      </c>
      <c r="N32" s="777"/>
      <c r="O32" s="1298"/>
      <c r="P32" s="181"/>
      <c r="Q32" s="1298" t="s">
        <v>832</v>
      </c>
      <c r="R32" s="186">
        <f>$B$1</f>
        <v>45388</v>
      </c>
      <c r="S32" s="190"/>
      <c r="T32" s="190"/>
      <c r="U32" s="192"/>
      <c r="V32" s="192"/>
      <c r="W32" s="188" t="str">
        <f>IFERROR(IF(AND(BD_PRINCIPAL[[#This Row],[DESDE]]&lt;&gt;"",BD_PRINCIPAL[[#This Row],[HASTA]]&lt;&gt;""),_xlfn.DAYS(BD_PRINCIPAL[[#This Row],[HASTA]],BD_PRINCIPAL[[#This Row],[DESDE]]),"")+1,"")</f>
        <v/>
      </c>
      <c r="X32" s="188">
        <f>VLOOKUP(BD_PRINCIPAL[[#This Row],[ENCUADRE. ESC.]],ORDEN1,2,FALSE)</f>
        <v>1</v>
      </c>
      <c r="Y32" s="188">
        <f>VLOOKUP(BD_PRINCIPAL[[#This Row],[DOTACIÓN ACTUAL]],ORDEN2,4,FALSE)</f>
        <v>23</v>
      </c>
      <c r="Z32" s="188">
        <f>VLOOKUP(BD_PRINCIPAL[[#This Row],[GRADO]],ORDEN3,2,FALSE)</f>
        <v>13</v>
      </c>
      <c r="AA32" s="188">
        <f>IFERROR(VLOOKUP(BD_PRINCIPAL[[#This Row],[DOTACIÓN ACTUAL]],ORDEN2,3,FALSE),0)</f>
        <v>0</v>
      </c>
      <c r="AB32" s="181" t="s">
        <v>884</v>
      </c>
      <c r="AC32" s="181" t="s">
        <v>944</v>
      </c>
      <c r="AD32" s="181" t="s">
        <v>945</v>
      </c>
      <c r="AE32" s="181" t="s">
        <v>2125</v>
      </c>
      <c r="AF32" s="181" t="s">
        <v>944</v>
      </c>
      <c r="AG32" s="181" t="s">
        <v>855</v>
      </c>
      <c r="AH32" s="181"/>
      <c r="AI32" s="181"/>
      <c r="AJ32" s="181"/>
      <c r="AK32" s="181"/>
      <c r="AL32" s="181"/>
      <c r="AM32" s="181"/>
      <c r="AN32" s="181"/>
      <c r="AO32" s="181"/>
      <c r="AP32" s="181"/>
      <c r="AQ32" s="181"/>
      <c r="AR32" s="181"/>
      <c r="AS32" s="181"/>
      <c r="AT32" s="187"/>
      <c r="AU32" s="187"/>
      <c r="AV32" s="187"/>
      <c r="AW32" s="187"/>
      <c r="AX32" s="187"/>
      <c r="AY32" s="187"/>
      <c r="AZ32" s="187"/>
      <c r="BA32" s="181"/>
      <c r="BB32" s="181"/>
      <c r="BC32" s="181"/>
      <c r="BD32" s="181"/>
      <c r="BE32" s="181"/>
      <c r="BF32" s="181"/>
      <c r="BG32" s="181"/>
      <c r="BH32" s="181"/>
      <c r="BI32" s="181"/>
      <c r="BJ32" s="181"/>
      <c r="BK32" s="181"/>
      <c r="BL32" s="181"/>
      <c r="BM32" s="777">
        <v>45155</v>
      </c>
      <c r="BN32" s="792"/>
    </row>
    <row r="33" spans="1:66" s="221" customFormat="1" x14ac:dyDescent="0.3">
      <c r="A33" s="219" t="s">
        <v>427</v>
      </c>
      <c r="B33" s="212" t="s">
        <v>60</v>
      </c>
      <c r="C33" s="219">
        <v>152547706</v>
      </c>
      <c r="D33" s="715" t="s">
        <v>704</v>
      </c>
      <c r="E33" s="485" t="s">
        <v>794</v>
      </c>
      <c r="F33" s="480" t="s">
        <v>60</v>
      </c>
      <c r="G33" s="222" t="s">
        <v>89</v>
      </c>
      <c r="H33" s="215" t="s">
        <v>816</v>
      </c>
      <c r="I33" s="215" t="s">
        <v>872</v>
      </c>
      <c r="J33" s="216" t="s">
        <v>917</v>
      </c>
      <c r="K33" s="1279" t="s">
        <v>2290</v>
      </c>
      <c r="L33" s="733" t="s">
        <v>2125</v>
      </c>
      <c r="M33" s="1304" t="s">
        <v>2762</v>
      </c>
      <c r="N33" s="772"/>
      <c r="O33" s="1294"/>
      <c r="P33" s="212"/>
      <c r="Q33" s="1294" t="s">
        <v>832</v>
      </c>
      <c r="R33" s="217">
        <f>$B$1</f>
        <v>45388</v>
      </c>
      <c r="S33" s="223"/>
      <c r="T33" s="223" t="s">
        <v>2919</v>
      </c>
      <c r="U33" s="218"/>
      <c r="V33" s="218"/>
      <c r="W33" s="219" t="str">
        <f>IFERROR(IF(AND(BD_PRINCIPAL[[#This Row],[DESDE]]&lt;&gt;"",BD_PRINCIPAL[[#This Row],[HASTA]]&lt;&gt;""),_xlfn.DAYS(BD_PRINCIPAL[[#This Row],[HASTA]],BD_PRINCIPAL[[#This Row],[DESDE]]),"")+1,"")</f>
        <v/>
      </c>
      <c r="X33" s="219">
        <f>VLOOKUP(BD_PRINCIPAL[[#This Row],[ENCUADRE. ESC.]],ORDEN1,2,FALSE)</f>
        <v>1</v>
      </c>
      <c r="Y33" s="219">
        <f>VLOOKUP(BD_PRINCIPAL[[#This Row],[DOTACIÓN ACTUAL]],ORDEN2,4,FALSE)</f>
        <v>24</v>
      </c>
      <c r="Z33" s="219">
        <f>VLOOKUP(BD_PRINCIPAL[[#This Row],[GRADO]],ORDEN3,2,FALSE)</f>
        <v>9</v>
      </c>
      <c r="AA33" s="219">
        <f>IFERROR(VLOOKUP(BD_PRINCIPAL[[#This Row],[DOTACIÓN ACTUAL]],ORDEN2,3,FALSE),0)</f>
        <v>0</v>
      </c>
      <c r="AB33" s="212" t="s">
        <v>1</v>
      </c>
      <c r="AC33" s="212" t="s">
        <v>1</v>
      </c>
      <c r="AD33" s="212" t="s">
        <v>1</v>
      </c>
      <c r="AE33" s="212" t="s">
        <v>853</v>
      </c>
      <c r="AF33" s="212" t="s">
        <v>945</v>
      </c>
      <c r="AG33" s="212" t="s">
        <v>2125</v>
      </c>
      <c r="AH33" s="212"/>
      <c r="AI33" s="212"/>
      <c r="AJ33" s="212"/>
      <c r="AK33" s="212"/>
      <c r="AL33" s="212"/>
      <c r="AM33" s="212"/>
      <c r="AN33" s="212"/>
      <c r="AO33" s="212"/>
      <c r="AP33" s="212"/>
      <c r="AQ33" s="212"/>
      <c r="AR33" s="212"/>
      <c r="AS33" s="212"/>
      <c r="AT33" s="220"/>
      <c r="AU33" s="220"/>
      <c r="AV33" s="220"/>
      <c r="AW33" s="220"/>
      <c r="AX33" s="220"/>
      <c r="AY33" s="220"/>
      <c r="AZ33" s="220"/>
      <c r="BA33" s="212"/>
      <c r="BB33" s="212"/>
      <c r="BC33" s="212"/>
      <c r="BD33" s="212"/>
      <c r="BE33" s="212"/>
      <c r="BF33" s="212"/>
      <c r="BG33" s="212"/>
      <c r="BH33" s="212"/>
      <c r="BI33" s="212"/>
      <c r="BJ33" s="212"/>
      <c r="BK33" s="212"/>
      <c r="BL33" s="212"/>
      <c r="BM33" s="772">
        <v>45099</v>
      </c>
      <c r="BN33" s="789"/>
    </row>
    <row r="34" spans="1:66" s="221" customFormat="1" ht="52.8" x14ac:dyDescent="0.3">
      <c r="A34" s="219" t="s">
        <v>467</v>
      </c>
      <c r="B34" s="212" t="s">
        <v>163</v>
      </c>
      <c r="C34" s="219">
        <v>193187080</v>
      </c>
      <c r="D34" s="485" t="s">
        <v>794</v>
      </c>
      <c r="E34" s="485" t="s">
        <v>794</v>
      </c>
      <c r="F34" s="480" t="s">
        <v>163</v>
      </c>
      <c r="G34" s="214" t="s">
        <v>4</v>
      </c>
      <c r="H34" s="215" t="s">
        <v>816</v>
      </c>
      <c r="I34" s="215" t="s">
        <v>872</v>
      </c>
      <c r="J34" s="216" t="s">
        <v>917</v>
      </c>
      <c r="K34" s="1279" t="s">
        <v>2290</v>
      </c>
      <c r="L34" s="733" t="s">
        <v>2125</v>
      </c>
      <c r="M34" s="1304" t="s">
        <v>2762</v>
      </c>
      <c r="N34" s="772"/>
      <c r="O34" s="1294"/>
      <c r="P34" s="212"/>
      <c r="Q34" s="1294" t="s">
        <v>832</v>
      </c>
      <c r="R34" s="217">
        <f>$B$1</f>
        <v>45388</v>
      </c>
      <c r="S34" s="213"/>
      <c r="T34" s="223" t="s">
        <v>3594</v>
      </c>
      <c r="U34" s="224"/>
      <c r="V34" s="224"/>
      <c r="W34" s="219" t="str">
        <f>IFERROR(IF(AND(BD_PRINCIPAL[[#This Row],[DESDE]]&lt;&gt;"",BD_PRINCIPAL[[#This Row],[HASTA]]&lt;&gt;""),_xlfn.DAYS(BD_PRINCIPAL[[#This Row],[HASTA]],BD_PRINCIPAL[[#This Row],[DESDE]]),"")+1,"")</f>
        <v/>
      </c>
      <c r="X34" s="219">
        <f>VLOOKUP(BD_PRINCIPAL[[#This Row],[ENCUADRE. ESC.]],ORDEN1,2,FALSE)</f>
        <v>1</v>
      </c>
      <c r="Y34" s="219">
        <f>VLOOKUP(BD_PRINCIPAL[[#This Row],[DOTACIÓN ACTUAL]],ORDEN2,4,FALSE)</f>
        <v>24</v>
      </c>
      <c r="Z34" s="219">
        <f>VLOOKUP(BD_PRINCIPAL[[#This Row],[GRADO]],ORDEN3,2,FALSE)</f>
        <v>12</v>
      </c>
      <c r="AA34" s="219">
        <f>IFERROR(VLOOKUP(BD_PRINCIPAL[[#This Row],[DOTACIÓN ACTUAL]],ORDEN2,3,FALSE),0)</f>
        <v>0</v>
      </c>
      <c r="AB34" s="212" t="s">
        <v>2</v>
      </c>
      <c r="AC34" s="212" t="s">
        <v>945</v>
      </c>
      <c r="AD34" s="212" t="s">
        <v>2125</v>
      </c>
      <c r="AE34" s="212" t="s">
        <v>944</v>
      </c>
      <c r="AF34" s="212" t="s">
        <v>945</v>
      </c>
      <c r="AG34" s="212" t="s">
        <v>2125</v>
      </c>
      <c r="AH34" s="212"/>
      <c r="AI34" s="212"/>
      <c r="AJ34" s="212"/>
      <c r="AK34" s="212"/>
      <c r="AL34" s="212"/>
      <c r="AM34" s="212"/>
      <c r="AN34" s="212"/>
      <c r="AO34" s="212"/>
      <c r="AP34" s="212"/>
      <c r="AQ34" s="212"/>
      <c r="AR34" s="212"/>
      <c r="AS34" s="212"/>
      <c r="AT34" s="220"/>
      <c r="AU34" s="220"/>
      <c r="AV34" s="220"/>
      <c r="AW34" s="220"/>
      <c r="AX34" s="220"/>
      <c r="AY34" s="220"/>
      <c r="AZ34" s="220"/>
      <c r="BA34" s="212"/>
      <c r="BB34" s="212"/>
      <c r="BC34" s="212"/>
      <c r="BD34" s="212"/>
      <c r="BE34" s="212"/>
      <c r="BF34" s="212"/>
      <c r="BG34" s="212"/>
      <c r="BH34" s="212"/>
      <c r="BI34" s="212"/>
      <c r="BJ34" s="212"/>
      <c r="BK34" s="212"/>
      <c r="BL34" s="212"/>
      <c r="BM34" s="772">
        <v>45168</v>
      </c>
      <c r="BN34" s="789"/>
    </row>
    <row r="35" spans="1:66" s="221" customFormat="1" x14ac:dyDescent="0.3">
      <c r="A35" s="219" t="s">
        <v>302</v>
      </c>
      <c r="B35" s="212" t="s">
        <v>141</v>
      </c>
      <c r="C35" s="219">
        <v>190728064</v>
      </c>
      <c r="D35" s="485" t="s">
        <v>794</v>
      </c>
      <c r="E35" s="485" t="s">
        <v>794</v>
      </c>
      <c r="F35" s="480" t="s">
        <v>141</v>
      </c>
      <c r="G35" s="214" t="s">
        <v>4</v>
      </c>
      <c r="H35" s="215" t="s">
        <v>816</v>
      </c>
      <c r="I35" s="215" t="s">
        <v>872</v>
      </c>
      <c r="J35" s="216" t="s">
        <v>917</v>
      </c>
      <c r="K35" s="1279" t="s">
        <v>2290</v>
      </c>
      <c r="L35" s="733" t="s">
        <v>2125</v>
      </c>
      <c r="M35" s="1304" t="s">
        <v>2762</v>
      </c>
      <c r="N35" s="771"/>
      <c r="O35" s="1294"/>
      <c r="P35" s="212"/>
      <c r="Q35" s="1294" t="s">
        <v>832</v>
      </c>
      <c r="R35" s="217">
        <f>$B$1</f>
        <v>45388</v>
      </c>
      <c r="S35" s="223"/>
      <c r="T35" s="213" t="s">
        <v>2919</v>
      </c>
      <c r="U35" s="218"/>
      <c r="V35" s="218"/>
      <c r="W35" s="219" t="str">
        <f>IFERROR(IF(AND(BD_PRINCIPAL[[#This Row],[DESDE]]&lt;&gt;"",BD_PRINCIPAL[[#This Row],[HASTA]]&lt;&gt;""),_xlfn.DAYS(BD_PRINCIPAL[[#This Row],[HASTA]],BD_PRINCIPAL[[#This Row],[DESDE]]),"")+1,"")</f>
        <v/>
      </c>
      <c r="X35" s="219">
        <f>VLOOKUP(BD_PRINCIPAL[[#This Row],[ENCUADRE. ESC.]],ORDEN1,2,FALSE)</f>
        <v>1</v>
      </c>
      <c r="Y35" s="219">
        <f>VLOOKUP(BD_PRINCIPAL[[#This Row],[DOTACIÓN ACTUAL]],ORDEN2,4,FALSE)</f>
        <v>24</v>
      </c>
      <c r="Z35" s="219">
        <f>VLOOKUP(BD_PRINCIPAL[[#This Row],[GRADO]],ORDEN3,2,FALSE)</f>
        <v>12</v>
      </c>
      <c r="AA35" s="219">
        <f>IFERROR(VLOOKUP(BD_PRINCIPAL[[#This Row],[DOTACIÓN ACTUAL]],ORDEN2,3,FALSE),0)</f>
        <v>0</v>
      </c>
      <c r="AB35" s="212" t="s">
        <v>944</v>
      </c>
      <c r="AC35" s="212" t="s">
        <v>945</v>
      </c>
      <c r="AD35" s="212" t="s">
        <v>2125</v>
      </c>
      <c r="AE35" s="212" t="s">
        <v>944</v>
      </c>
      <c r="AF35" s="212" t="s">
        <v>945</v>
      </c>
      <c r="AG35" s="212" t="s">
        <v>2125</v>
      </c>
      <c r="AH35" s="212"/>
      <c r="AI35" s="212"/>
      <c r="AJ35" s="212"/>
      <c r="AK35" s="212"/>
      <c r="AL35" s="212"/>
      <c r="AM35" s="212"/>
      <c r="AN35" s="212"/>
      <c r="AO35" s="212"/>
      <c r="AP35" s="212"/>
      <c r="AQ35" s="212"/>
      <c r="AR35" s="212"/>
      <c r="AS35" s="212"/>
      <c r="AT35" s="220"/>
      <c r="AU35" s="220"/>
      <c r="AV35" s="220"/>
      <c r="AW35" s="220"/>
      <c r="AX35" s="220"/>
      <c r="AY35" s="220"/>
      <c r="AZ35" s="220"/>
      <c r="BA35" s="212"/>
      <c r="BB35" s="212"/>
      <c r="BC35" s="212"/>
      <c r="BD35" s="212"/>
      <c r="BE35" s="212"/>
      <c r="BF35" s="212"/>
      <c r="BG35" s="212"/>
      <c r="BH35" s="212"/>
      <c r="BI35" s="212"/>
      <c r="BJ35" s="212"/>
      <c r="BK35" s="212"/>
      <c r="BL35" s="212"/>
      <c r="BM35" s="771">
        <v>45194</v>
      </c>
      <c r="BN35" s="789"/>
    </row>
    <row r="36" spans="1:66" s="221" customFormat="1" x14ac:dyDescent="0.3">
      <c r="A36" s="219" t="s">
        <v>587</v>
      </c>
      <c r="B36" s="212" t="s">
        <v>108</v>
      </c>
      <c r="C36" s="219">
        <v>201400953</v>
      </c>
      <c r="D36" s="867" t="s">
        <v>714</v>
      </c>
      <c r="E36" s="485" t="s">
        <v>794</v>
      </c>
      <c r="F36" s="480" t="s">
        <v>108</v>
      </c>
      <c r="G36" s="214" t="s">
        <v>14</v>
      </c>
      <c r="H36" s="215" t="s">
        <v>816</v>
      </c>
      <c r="I36" s="215" t="s">
        <v>872</v>
      </c>
      <c r="J36" s="216" t="s">
        <v>917</v>
      </c>
      <c r="K36" s="1279" t="s">
        <v>2290</v>
      </c>
      <c r="L36" s="733" t="s">
        <v>2125</v>
      </c>
      <c r="M36" s="1304" t="s">
        <v>2762</v>
      </c>
      <c r="N36" s="771"/>
      <c r="O36" s="1294"/>
      <c r="P36" s="212"/>
      <c r="Q36" s="1294" t="s">
        <v>832</v>
      </c>
      <c r="R36" s="217">
        <f>$B$1</f>
        <v>45388</v>
      </c>
      <c r="S36" s="223" t="s">
        <v>1483</v>
      </c>
      <c r="T36" s="223"/>
      <c r="U36" s="218"/>
      <c r="V36" s="218"/>
      <c r="W36" s="219" t="str">
        <f>IFERROR(IF(AND(BD_PRINCIPAL[[#This Row],[DESDE]]&lt;&gt;"",BD_PRINCIPAL[[#This Row],[HASTA]]&lt;&gt;""),_xlfn.DAYS(BD_PRINCIPAL[[#This Row],[HASTA]],BD_PRINCIPAL[[#This Row],[DESDE]]),"")+1,"")</f>
        <v/>
      </c>
      <c r="X36" s="219">
        <f>VLOOKUP(BD_PRINCIPAL[[#This Row],[ENCUADRE. ESC.]],ORDEN1,2,FALSE)</f>
        <v>1</v>
      </c>
      <c r="Y36" s="219">
        <f>VLOOKUP(BD_PRINCIPAL[[#This Row],[DOTACIÓN ACTUAL]],ORDEN2,4,FALSE)</f>
        <v>24</v>
      </c>
      <c r="Z36" s="219">
        <f>VLOOKUP(BD_PRINCIPAL[[#This Row],[GRADO]],ORDEN3,2,FALSE)</f>
        <v>13</v>
      </c>
      <c r="AA36" s="219">
        <f>IFERROR(VLOOKUP(BD_PRINCIPAL[[#This Row],[DOTACIÓN ACTUAL]],ORDEN2,3,FALSE),0)</f>
        <v>0</v>
      </c>
      <c r="AB36" s="212" t="s">
        <v>944</v>
      </c>
      <c r="AC36" s="212" t="s">
        <v>853</v>
      </c>
      <c r="AD36" s="212" t="s">
        <v>854</v>
      </c>
      <c r="AE36" s="212" t="s">
        <v>944</v>
      </c>
      <c r="AF36" s="212" t="s">
        <v>945</v>
      </c>
      <c r="AG36" s="212" t="s">
        <v>2125</v>
      </c>
      <c r="AH36" s="212"/>
      <c r="AI36" s="212"/>
      <c r="AJ36" s="212"/>
      <c r="AK36" s="212"/>
      <c r="AL36" s="212"/>
      <c r="AM36" s="212"/>
      <c r="AN36" s="212"/>
      <c r="AO36" s="212"/>
      <c r="AP36" s="212"/>
      <c r="AQ36" s="212"/>
      <c r="AR36" s="212"/>
      <c r="AS36" s="212"/>
      <c r="AT36" s="220"/>
      <c r="AU36" s="220"/>
      <c r="AV36" s="220"/>
      <c r="AW36" s="220"/>
      <c r="AX36" s="220"/>
      <c r="AY36" s="220"/>
      <c r="AZ36" s="220"/>
      <c r="BA36" s="212"/>
      <c r="BB36" s="212"/>
      <c r="BC36" s="212"/>
      <c r="BD36" s="212"/>
      <c r="BE36" s="212"/>
      <c r="BF36" s="212"/>
      <c r="BG36" s="212"/>
      <c r="BH36" s="212"/>
      <c r="BI36" s="212"/>
      <c r="BJ36" s="212"/>
      <c r="BK36" s="212"/>
      <c r="BL36" s="212"/>
      <c r="BM36" s="771">
        <v>45041</v>
      </c>
      <c r="BN36" s="789"/>
    </row>
    <row r="37" spans="1:66" s="233" customFormat="1" x14ac:dyDescent="0.3">
      <c r="A37" s="231" t="s">
        <v>284</v>
      </c>
      <c r="B37" s="225" t="s">
        <v>232</v>
      </c>
      <c r="C37" s="231">
        <v>133932798</v>
      </c>
      <c r="D37" s="484" t="s">
        <v>795</v>
      </c>
      <c r="E37" s="477" t="s">
        <v>795</v>
      </c>
      <c r="F37" s="477" t="s">
        <v>232</v>
      </c>
      <c r="G37" s="235" t="s">
        <v>89</v>
      </c>
      <c r="H37" s="228" t="s">
        <v>816</v>
      </c>
      <c r="I37" s="228" t="s">
        <v>872</v>
      </c>
      <c r="J37" s="229" t="s">
        <v>917</v>
      </c>
      <c r="K37" s="1280" t="s">
        <v>2290</v>
      </c>
      <c r="L37" s="734" t="s">
        <v>944</v>
      </c>
      <c r="M37" s="1305" t="s">
        <v>2762</v>
      </c>
      <c r="N37" s="780"/>
      <c r="O37" s="1295"/>
      <c r="P37" s="225"/>
      <c r="Q37" s="1295" t="s">
        <v>832</v>
      </c>
      <c r="R37" s="234">
        <f>$B$1</f>
        <v>45388</v>
      </c>
      <c r="S37" s="226"/>
      <c r="T37" s="226" t="s">
        <v>2919</v>
      </c>
      <c r="U37" s="230"/>
      <c r="V37" s="230"/>
      <c r="W37" s="231" t="str">
        <f>IFERROR(IF(AND(BD_PRINCIPAL[[#This Row],[DESDE]]&lt;&gt;"",BD_PRINCIPAL[[#This Row],[HASTA]]&lt;&gt;""),_xlfn.DAYS(BD_PRINCIPAL[[#This Row],[HASTA]],BD_PRINCIPAL[[#This Row],[DESDE]]),"")+1,"")</f>
        <v/>
      </c>
      <c r="X37" s="231">
        <f>VLOOKUP(BD_PRINCIPAL[[#This Row],[ENCUADRE. ESC.]],ORDEN1,2,FALSE)</f>
        <v>1</v>
      </c>
      <c r="Y37" s="231">
        <f>VLOOKUP(BD_PRINCIPAL[[#This Row],[DOTACIÓN ACTUAL]],ORDEN2,4,FALSE)</f>
        <v>25</v>
      </c>
      <c r="Z37" s="231">
        <f>VLOOKUP(BD_PRINCIPAL[[#This Row],[GRADO]],ORDEN3,2,FALSE)</f>
        <v>9</v>
      </c>
      <c r="AA37" s="231">
        <f>IFERROR(VLOOKUP(BD_PRINCIPAL[[#This Row],[DOTACIÓN ACTUAL]],ORDEN2,3,FALSE),0)</f>
        <v>0</v>
      </c>
      <c r="AB37" s="225" t="s">
        <v>945</v>
      </c>
      <c r="AC37" s="225" t="s">
        <v>2125</v>
      </c>
      <c r="AD37" s="225" t="s">
        <v>944</v>
      </c>
      <c r="AE37" s="225" t="s">
        <v>945</v>
      </c>
      <c r="AF37" s="225" t="s">
        <v>2125</v>
      </c>
      <c r="AG37" s="225" t="s">
        <v>944</v>
      </c>
      <c r="AH37" s="225"/>
      <c r="AI37" s="225"/>
      <c r="AJ37" s="225"/>
      <c r="AK37" s="225"/>
      <c r="AL37" s="225"/>
      <c r="AM37" s="225"/>
      <c r="AN37" s="225"/>
      <c r="AO37" s="225"/>
      <c r="AP37" s="225"/>
      <c r="AQ37" s="225"/>
      <c r="AR37" s="225"/>
      <c r="AS37" s="225"/>
      <c r="AT37" s="232"/>
      <c r="AU37" s="232"/>
      <c r="AV37" s="232"/>
      <c r="AW37" s="232"/>
      <c r="AX37" s="232"/>
      <c r="AY37" s="232"/>
      <c r="AZ37" s="232"/>
      <c r="BA37" s="225"/>
      <c r="BB37" s="225"/>
      <c r="BC37" s="225"/>
      <c r="BD37" s="225"/>
      <c r="BE37" s="225"/>
      <c r="BF37" s="225"/>
      <c r="BG37" s="225"/>
      <c r="BH37" s="225"/>
      <c r="BI37" s="225"/>
      <c r="BJ37" s="225"/>
      <c r="BK37" s="225"/>
      <c r="BL37" s="225"/>
      <c r="BM37" s="780">
        <v>45082</v>
      </c>
      <c r="BN37" s="790"/>
    </row>
    <row r="38" spans="1:66" s="233" customFormat="1" x14ac:dyDescent="0.3">
      <c r="A38" s="231" t="s">
        <v>2019</v>
      </c>
      <c r="B38" s="746" t="s">
        <v>2021</v>
      </c>
      <c r="C38" s="231" t="s">
        <v>2020</v>
      </c>
      <c r="D38" s="477" t="s">
        <v>795</v>
      </c>
      <c r="E38" s="477" t="s">
        <v>795</v>
      </c>
      <c r="F38" s="477" t="s">
        <v>2021</v>
      </c>
      <c r="G38" s="235" t="s">
        <v>4</v>
      </c>
      <c r="H38" s="228" t="s">
        <v>817</v>
      </c>
      <c r="I38" s="228" t="s">
        <v>872</v>
      </c>
      <c r="J38" s="229" t="s">
        <v>917</v>
      </c>
      <c r="K38" s="1280" t="s">
        <v>2290</v>
      </c>
      <c r="L38" s="734" t="s">
        <v>944</v>
      </c>
      <c r="M38" s="1305" t="s">
        <v>2762</v>
      </c>
      <c r="N38" s="779"/>
      <c r="O38" s="1295"/>
      <c r="P38" s="225"/>
      <c r="Q38" s="1295" t="s">
        <v>832</v>
      </c>
      <c r="R38" s="386">
        <f>$B$1</f>
        <v>45388</v>
      </c>
      <c r="S38" s="236"/>
      <c r="T38" s="236" t="s">
        <v>3357</v>
      </c>
      <c r="U38" s="230"/>
      <c r="V38" s="230"/>
      <c r="W38" s="387" t="str">
        <f>IFERROR(IF(AND(BD_PRINCIPAL[[#This Row],[DESDE]]&lt;&gt;"",BD_PRINCIPAL[[#This Row],[HASTA]]&lt;&gt;""),_xlfn.DAYS(BD_PRINCIPAL[[#This Row],[HASTA]],BD_PRINCIPAL[[#This Row],[DESDE]]),"")+1,"")</f>
        <v/>
      </c>
      <c r="X38" s="387">
        <f>VLOOKUP(BD_PRINCIPAL[[#This Row],[ENCUADRE. ESC.]],ORDEN1,2,FALSE)</f>
        <v>1</v>
      </c>
      <c r="Y38" s="387">
        <f>VLOOKUP(BD_PRINCIPAL[[#This Row],[DOTACIÓN ACTUAL]],ORDEN2,4,FALSE)</f>
        <v>25</v>
      </c>
      <c r="Z38" s="387">
        <f>VLOOKUP(BD_PRINCIPAL[[#This Row],[GRADO]],ORDEN3,2,FALSE)</f>
        <v>12</v>
      </c>
      <c r="AA38" s="387">
        <f>IFERROR(VLOOKUP(BD_PRINCIPAL[[#This Row],[DOTACIÓN ACTUAL]],ORDEN2,3,FALSE),0)</f>
        <v>0</v>
      </c>
      <c r="AB38" s="225" t="s">
        <v>945</v>
      </c>
      <c r="AC38" s="225" t="s">
        <v>2125</v>
      </c>
      <c r="AD38" s="225" t="s">
        <v>944</v>
      </c>
      <c r="AE38" s="225" t="s">
        <v>945</v>
      </c>
      <c r="AF38" s="225" t="s">
        <v>2125</v>
      </c>
      <c r="AG38" s="225" t="s">
        <v>944</v>
      </c>
      <c r="AH38" s="225"/>
      <c r="AI38" s="225"/>
      <c r="AJ38" s="225"/>
      <c r="AK38" s="225"/>
      <c r="AL38" s="225"/>
      <c r="AM38" s="225"/>
      <c r="AN38" s="225"/>
      <c r="AO38" s="225"/>
      <c r="AP38" s="225"/>
      <c r="AQ38" s="225"/>
      <c r="AR38" s="225"/>
      <c r="AS38" s="225"/>
      <c r="AT38" s="232"/>
      <c r="AU38" s="232"/>
      <c r="AV38" s="232"/>
      <c r="AW38" s="232"/>
      <c r="AX38" s="232"/>
      <c r="AY38" s="232"/>
      <c r="AZ38" s="232"/>
      <c r="BA38" s="225"/>
      <c r="BB38" s="225"/>
      <c r="BC38" s="225"/>
      <c r="BD38" s="225"/>
      <c r="BE38" s="225"/>
      <c r="BF38" s="225"/>
      <c r="BG38" s="225"/>
      <c r="BH38" s="225"/>
      <c r="BI38" s="225"/>
      <c r="BJ38" s="225"/>
      <c r="BK38" s="225"/>
      <c r="BL38" s="225"/>
      <c r="BM38" s="773">
        <v>45065</v>
      </c>
      <c r="BN38" s="790"/>
    </row>
    <row r="39" spans="1:66" s="233" customFormat="1" x14ac:dyDescent="0.3">
      <c r="A39" s="231" t="s">
        <v>537</v>
      </c>
      <c r="B39" s="225" t="s">
        <v>176</v>
      </c>
      <c r="C39" s="231">
        <v>203549784</v>
      </c>
      <c r="D39" s="310" t="s">
        <v>795</v>
      </c>
      <c r="E39" s="477" t="s">
        <v>795</v>
      </c>
      <c r="F39" s="477" t="s">
        <v>176</v>
      </c>
      <c r="G39" s="227" t="s">
        <v>4</v>
      </c>
      <c r="H39" s="228" t="s">
        <v>817</v>
      </c>
      <c r="I39" s="228" t="s">
        <v>872</v>
      </c>
      <c r="J39" s="229" t="s">
        <v>917</v>
      </c>
      <c r="K39" s="1280" t="s">
        <v>2290</v>
      </c>
      <c r="L39" s="734" t="s">
        <v>944</v>
      </c>
      <c r="M39" s="1305" t="s">
        <v>2762</v>
      </c>
      <c r="N39" s="780"/>
      <c r="O39" s="1295"/>
      <c r="P39" s="225"/>
      <c r="Q39" s="1295" t="s">
        <v>832</v>
      </c>
      <c r="R39" s="234">
        <f>$B$1</f>
        <v>45388</v>
      </c>
      <c r="S39" s="226"/>
      <c r="T39" s="236" t="s">
        <v>2919</v>
      </c>
      <c r="U39" s="230"/>
      <c r="V39" s="230"/>
      <c r="W39" s="231" t="str">
        <f>IFERROR(IF(AND(BD_PRINCIPAL[[#This Row],[DESDE]]&lt;&gt;"",BD_PRINCIPAL[[#This Row],[HASTA]]&lt;&gt;""),_xlfn.DAYS(BD_PRINCIPAL[[#This Row],[HASTA]],BD_PRINCIPAL[[#This Row],[DESDE]]),"")+1,"")</f>
        <v/>
      </c>
      <c r="X39" s="231">
        <f>VLOOKUP(BD_PRINCIPAL[[#This Row],[ENCUADRE. ESC.]],ORDEN1,2,FALSE)</f>
        <v>1</v>
      </c>
      <c r="Y39" s="231">
        <f>VLOOKUP(BD_PRINCIPAL[[#This Row],[DOTACIÓN ACTUAL]],ORDEN2,4,FALSE)</f>
        <v>25</v>
      </c>
      <c r="Z39" s="231">
        <f>VLOOKUP(BD_PRINCIPAL[[#This Row],[GRADO]],ORDEN3,2,FALSE)</f>
        <v>12</v>
      </c>
      <c r="AA39" s="231">
        <f>IFERROR(VLOOKUP(BD_PRINCIPAL[[#This Row],[DOTACIÓN ACTUAL]],ORDEN2,3,FALSE),0)</f>
        <v>0</v>
      </c>
      <c r="AB39" s="225" t="s">
        <v>945</v>
      </c>
      <c r="AC39" s="225" t="s">
        <v>2125</v>
      </c>
      <c r="AD39" s="225" t="s">
        <v>944</v>
      </c>
      <c r="AE39" s="225" t="s">
        <v>945</v>
      </c>
      <c r="AF39" s="225" t="s">
        <v>2125</v>
      </c>
      <c r="AG39" s="225" t="s">
        <v>944</v>
      </c>
      <c r="AH39" s="225"/>
      <c r="AI39" s="225"/>
      <c r="AJ39" s="225"/>
      <c r="AK39" s="225"/>
      <c r="AL39" s="225"/>
      <c r="AM39" s="225"/>
      <c r="AN39" s="225"/>
      <c r="AO39" s="225"/>
      <c r="AP39" s="225"/>
      <c r="AQ39" s="225"/>
      <c r="AR39" s="225"/>
      <c r="AS39" s="225"/>
      <c r="AT39" s="232"/>
      <c r="AU39" s="232"/>
      <c r="AV39" s="232"/>
      <c r="AW39" s="232"/>
      <c r="AX39" s="232"/>
      <c r="AY39" s="232"/>
      <c r="AZ39" s="232"/>
      <c r="BA39" s="225"/>
      <c r="BB39" s="225"/>
      <c r="BC39" s="225"/>
      <c r="BD39" s="225"/>
      <c r="BE39" s="225"/>
      <c r="BF39" s="225"/>
      <c r="BG39" s="225"/>
      <c r="BH39" s="225"/>
      <c r="BI39" s="225"/>
      <c r="BJ39" s="225"/>
      <c r="BK39" s="225"/>
      <c r="BL39" s="225"/>
      <c r="BM39" s="780">
        <v>45051</v>
      </c>
      <c r="BN39" s="790"/>
    </row>
    <row r="40" spans="1:66" s="233" customFormat="1" x14ac:dyDescent="0.3">
      <c r="A40" s="231" t="s">
        <v>394</v>
      </c>
      <c r="B40" s="225" t="s">
        <v>244</v>
      </c>
      <c r="C40" s="231">
        <v>192379261</v>
      </c>
      <c r="D40" s="484" t="s">
        <v>795</v>
      </c>
      <c r="E40" s="484" t="s">
        <v>795</v>
      </c>
      <c r="F40" s="477" t="s">
        <v>244</v>
      </c>
      <c r="G40" s="227" t="s">
        <v>4</v>
      </c>
      <c r="H40" s="228" t="s">
        <v>816</v>
      </c>
      <c r="I40" s="228" t="s">
        <v>872</v>
      </c>
      <c r="J40" s="229" t="s">
        <v>917</v>
      </c>
      <c r="K40" s="1280" t="s">
        <v>2290</v>
      </c>
      <c r="L40" s="734" t="s">
        <v>944</v>
      </c>
      <c r="M40" s="1305" t="s">
        <v>2762</v>
      </c>
      <c r="N40" s="773"/>
      <c r="O40" s="1295"/>
      <c r="P40" s="225"/>
      <c r="Q40" s="1295" t="s">
        <v>832</v>
      </c>
      <c r="R40" s="234">
        <f>$B$1</f>
        <v>45388</v>
      </c>
      <c r="S40" s="236"/>
      <c r="T40" s="226" t="s">
        <v>3067</v>
      </c>
      <c r="U40" s="230"/>
      <c r="V40" s="230"/>
      <c r="W40" s="231" t="str">
        <f>IFERROR(IF(AND(BD_PRINCIPAL[[#This Row],[DESDE]]&lt;&gt;"",BD_PRINCIPAL[[#This Row],[HASTA]]&lt;&gt;""),_xlfn.DAYS(BD_PRINCIPAL[[#This Row],[HASTA]],BD_PRINCIPAL[[#This Row],[DESDE]]),"")+1,"")</f>
        <v/>
      </c>
      <c r="X40" s="231">
        <f>VLOOKUP(BD_PRINCIPAL[[#This Row],[ENCUADRE. ESC.]],ORDEN1,2,FALSE)</f>
        <v>1</v>
      </c>
      <c r="Y40" s="231">
        <f>VLOOKUP(BD_PRINCIPAL[[#This Row],[DOTACIÓN ACTUAL]],ORDEN2,4,FALSE)</f>
        <v>25</v>
      </c>
      <c r="Z40" s="231">
        <f>VLOOKUP(BD_PRINCIPAL[[#This Row],[GRADO]],ORDEN3,2,FALSE)</f>
        <v>12</v>
      </c>
      <c r="AA40" s="231">
        <f>IFERROR(VLOOKUP(BD_PRINCIPAL[[#This Row],[DOTACIÓN ACTUAL]],ORDEN2,3,FALSE),0)</f>
        <v>0</v>
      </c>
      <c r="AB40" s="225" t="s">
        <v>945</v>
      </c>
      <c r="AC40" s="225" t="s">
        <v>2125</v>
      </c>
      <c r="AD40" s="225" t="s">
        <v>944</v>
      </c>
      <c r="AE40" s="225" t="s">
        <v>945</v>
      </c>
      <c r="AF40" s="225" t="s">
        <v>2125</v>
      </c>
      <c r="AG40" s="225" t="s">
        <v>944</v>
      </c>
      <c r="AH40" s="225"/>
      <c r="AI40" s="225"/>
      <c r="AJ40" s="225"/>
      <c r="AK40" s="225"/>
      <c r="AL40" s="225"/>
      <c r="AM40" s="225"/>
      <c r="AN40" s="225"/>
      <c r="AO40" s="225"/>
      <c r="AP40" s="225"/>
      <c r="AQ40" s="225"/>
      <c r="AR40" s="225"/>
      <c r="AS40" s="225"/>
      <c r="AT40" s="232"/>
      <c r="AU40" s="232"/>
      <c r="AV40" s="232"/>
      <c r="AW40" s="232"/>
      <c r="AX40" s="232"/>
      <c r="AY40" s="232"/>
      <c r="AZ40" s="232"/>
      <c r="BA40" s="225"/>
      <c r="BB40" s="225"/>
      <c r="BC40" s="225"/>
      <c r="BD40" s="225"/>
      <c r="BE40" s="225"/>
      <c r="BF40" s="225"/>
      <c r="BG40" s="225"/>
      <c r="BH40" s="225"/>
      <c r="BI40" s="225"/>
      <c r="BJ40" s="225"/>
      <c r="BK40" s="225"/>
      <c r="BL40" s="225"/>
      <c r="BM40" s="773">
        <v>45362</v>
      </c>
      <c r="BN40" s="790"/>
    </row>
    <row r="41" spans="1:66" s="247" customFormat="1" x14ac:dyDescent="0.3">
      <c r="A41" s="1326" t="s">
        <v>571</v>
      </c>
      <c r="B41" s="238" t="s">
        <v>217</v>
      </c>
      <c r="C41" s="245">
        <v>153015651</v>
      </c>
      <c r="D41" s="715" t="s">
        <v>793</v>
      </c>
      <c r="E41" s="486" t="s">
        <v>820</v>
      </c>
      <c r="F41" s="478" t="s">
        <v>217</v>
      </c>
      <c r="G41" s="248" t="s">
        <v>209</v>
      </c>
      <c r="H41" s="241" t="s">
        <v>816</v>
      </c>
      <c r="I41" s="241" t="s">
        <v>872</v>
      </c>
      <c r="J41" s="242" t="s">
        <v>917</v>
      </c>
      <c r="K41" s="1281" t="s">
        <v>2290</v>
      </c>
      <c r="L41" s="735" t="s">
        <v>945</v>
      </c>
      <c r="M41" s="1306" t="s">
        <v>2290</v>
      </c>
      <c r="N41" s="775"/>
      <c r="O41" s="1296"/>
      <c r="P41" s="238"/>
      <c r="Q41" s="1296" t="s">
        <v>832</v>
      </c>
      <c r="R41" s="243">
        <f>$B$1</f>
        <v>45388</v>
      </c>
      <c r="S41" s="249"/>
      <c r="T41" s="239" t="s">
        <v>2919</v>
      </c>
      <c r="U41" s="244">
        <v>45385</v>
      </c>
      <c r="V41" s="244">
        <v>45387</v>
      </c>
      <c r="W41" s="245">
        <f>IFERROR(IF(AND(BD_PRINCIPAL[[#This Row],[DESDE]]&lt;&gt;"",BD_PRINCIPAL[[#This Row],[HASTA]]&lt;&gt;""),_xlfn.DAYS(BD_PRINCIPAL[[#This Row],[HASTA]],BD_PRINCIPAL[[#This Row],[DESDE]]),"")+1,"")</f>
        <v>3</v>
      </c>
      <c r="X41" s="245">
        <f>VLOOKUP(BD_PRINCIPAL[[#This Row],[ENCUADRE. ESC.]],ORDEN1,2,FALSE)</f>
        <v>1</v>
      </c>
      <c r="Y41" s="245">
        <f>VLOOKUP(BD_PRINCIPAL[[#This Row],[DOTACIÓN ACTUAL]],ORDEN2,4,FALSE)</f>
        <v>26</v>
      </c>
      <c r="Z41" s="245">
        <f>VLOOKUP(BD_PRINCIPAL[[#This Row],[GRADO]],ORDEN3,2,FALSE)</f>
        <v>10</v>
      </c>
      <c r="AA41" s="245">
        <f>IFERROR(VLOOKUP(BD_PRINCIPAL[[#This Row],[DOTACIÓN ACTUAL]],ORDEN2,3,FALSE),0)</f>
        <v>0</v>
      </c>
      <c r="AB41" s="238" t="s">
        <v>2125</v>
      </c>
      <c r="AC41" s="238" t="s">
        <v>944</v>
      </c>
      <c r="AD41" s="238" t="s">
        <v>945</v>
      </c>
      <c r="AE41" s="238" t="s">
        <v>909</v>
      </c>
      <c r="AF41" s="238" t="s">
        <v>909</v>
      </c>
      <c r="AG41" s="238" t="s">
        <v>945</v>
      </c>
      <c r="AH41" s="238"/>
      <c r="AI41" s="238"/>
      <c r="AJ41" s="238"/>
      <c r="AK41" s="238"/>
      <c r="AL41" s="238"/>
      <c r="AM41" s="238"/>
      <c r="AN41" s="238"/>
      <c r="AO41" s="238"/>
      <c r="AP41" s="238"/>
      <c r="AQ41" s="238"/>
      <c r="AR41" s="238"/>
      <c r="AS41" s="238"/>
      <c r="AT41" s="246"/>
      <c r="AU41" s="246"/>
      <c r="AV41" s="246"/>
      <c r="AW41" s="246"/>
      <c r="AX41" s="246"/>
      <c r="AY41" s="246"/>
      <c r="AZ41" s="246"/>
      <c r="BA41" s="238"/>
      <c r="BB41" s="238"/>
      <c r="BC41" s="238"/>
      <c r="BD41" s="238"/>
      <c r="BE41" s="238"/>
      <c r="BF41" s="238"/>
      <c r="BG41" s="238"/>
      <c r="BH41" s="238"/>
      <c r="BI41" s="238"/>
      <c r="BJ41" s="238"/>
      <c r="BK41" s="238"/>
      <c r="BL41" s="238"/>
      <c r="BM41" s="775">
        <v>45174</v>
      </c>
      <c r="BN41" s="788"/>
    </row>
    <row r="42" spans="1:66" s="260" customFormat="1" x14ac:dyDescent="0.3">
      <c r="A42" s="258" t="s">
        <v>297</v>
      </c>
      <c r="B42" s="251" t="s">
        <v>1843</v>
      </c>
      <c r="C42" s="258">
        <v>117799999</v>
      </c>
      <c r="D42" s="312" t="s">
        <v>708</v>
      </c>
      <c r="E42" s="481" t="s">
        <v>708</v>
      </c>
      <c r="F42" s="481" t="s">
        <v>1843</v>
      </c>
      <c r="G42" s="253" t="s">
        <v>89</v>
      </c>
      <c r="H42" s="254" t="s">
        <v>816</v>
      </c>
      <c r="I42" s="254" t="s">
        <v>872</v>
      </c>
      <c r="J42" s="255" t="s">
        <v>917</v>
      </c>
      <c r="K42" s="1282" t="s">
        <v>2290</v>
      </c>
      <c r="L42" s="737" t="s">
        <v>855</v>
      </c>
      <c r="M42" s="1307" t="s">
        <v>2807</v>
      </c>
      <c r="N42" s="781"/>
      <c r="O42" s="1297"/>
      <c r="P42" s="251"/>
      <c r="Q42" s="1297" t="s">
        <v>832</v>
      </c>
      <c r="R42" s="256">
        <f>$B$1</f>
        <v>45388</v>
      </c>
      <c r="S42" s="262"/>
      <c r="T42" s="262" t="s">
        <v>2919</v>
      </c>
      <c r="U42" s="257"/>
      <c r="V42" s="257"/>
      <c r="W42" s="258" t="str">
        <f>IFERROR(IF(AND(BD_PRINCIPAL[[#This Row],[DESDE]]&lt;&gt;"",BD_PRINCIPAL[[#This Row],[HASTA]]&lt;&gt;""),_xlfn.DAYS(BD_PRINCIPAL[[#This Row],[HASTA]],BD_PRINCIPAL[[#This Row],[DESDE]]),"")+1,"")</f>
        <v/>
      </c>
      <c r="X42" s="258">
        <f>VLOOKUP(BD_PRINCIPAL[[#This Row],[ENCUADRE. ESC.]],ORDEN1,2,FALSE)</f>
        <v>1</v>
      </c>
      <c r="Y42" s="258">
        <f>VLOOKUP(BD_PRINCIPAL[[#This Row],[DOTACIÓN ACTUAL]],ORDEN2,4,FALSE)</f>
        <v>27</v>
      </c>
      <c r="Z42" s="258">
        <f>VLOOKUP(BD_PRINCIPAL[[#This Row],[GRADO]],ORDEN3,2,FALSE)</f>
        <v>9</v>
      </c>
      <c r="AA42" s="258">
        <f>IFERROR(VLOOKUP(BD_PRINCIPAL[[#This Row],[DOTACIÓN ACTUAL]],ORDEN2,3,FALSE),0)</f>
        <v>0</v>
      </c>
      <c r="AB42" s="251" t="s">
        <v>2125</v>
      </c>
      <c r="AC42" s="251" t="s">
        <v>855</v>
      </c>
      <c r="AD42" s="251" t="s">
        <v>944</v>
      </c>
      <c r="AE42" s="251" t="s">
        <v>945</v>
      </c>
      <c r="AF42" s="251" t="s">
        <v>2125</v>
      </c>
      <c r="AG42" s="251" t="s">
        <v>855</v>
      </c>
      <c r="AH42" s="251"/>
      <c r="AI42" s="251"/>
      <c r="AJ42" s="251"/>
      <c r="AK42" s="251"/>
      <c r="AL42" s="251"/>
      <c r="AM42" s="251"/>
      <c r="AN42" s="251"/>
      <c r="AO42" s="251"/>
      <c r="AP42" s="251"/>
      <c r="AQ42" s="251"/>
      <c r="AR42" s="251"/>
      <c r="AS42" s="251"/>
      <c r="AT42" s="259"/>
      <c r="AU42" s="259"/>
      <c r="AV42" s="259"/>
      <c r="AW42" s="259"/>
      <c r="AX42" s="259"/>
      <c r="AY42" s="259"/>
      <c r="AZ42" s="259"/>
      <c r="BA42" s="251"/>
      <c r="BB42" s="251"/>
      <c r="BC42" s="251"/>
      <c r="BD42" s="251"/>
      <c r="BE42" s="251"/>
      <c r="BF42" s="251"/>
      <c r="BG42" s="251"/>
      <c r="BH42" s="251"/>
      <c r="BI42" s="251"/>
      <c r="BJ42" s="251"/>
      <c r="BK42" s="251"/>
      <c r="BL42" s="251"/>
      <c r="BM42" s="781">
        <v>45170</v>
      </c>
      <c r="BN42" s="791"/>
    </row>
    <row r="43" spans="1:66" s="260" customFormat="1" x14ac:dyDescent="0.3">
      <c r="A43" s="258" t="s">
        <v>452</v>
      </c>
      <c r="B43" s="251" t="s">
        <v>228</v>
      </c>
      <c r="C43" s="258">
        <v>151333508</v>
      </c>
      <c r="D43" s="312" t="s">
        <v>708</v>
      </c>
      <c r="E43" s="487" t="s">
        <v>708</v>
      </c>
      <c r="F43" s="481" t="s">
        <v>228</v>
      </c>
      <c r="G43" s="253" t="s">
        <v>4</v>
      </c>
      <c r="H43" s="254" t="s">
        <v>817</v>
      </c>
      <c r="I43" s="254" t="s">
        <v>872</v>
      </c>
      <c r="J43" s="255" t="s">
        <v>917</v>
      </c>
      <c r="K43" s="1282" t="s">
        <v>2290</v>
      </c>
      <c r="L43" s="737" t="s">
        <v>855</v>
      </c>
      <c r="M43" s="1307" t="s">
        <v>2807</v>
      </c>
      <c r="N43" s="783"/>
      <c r="O43" s="1297"/>
      <c r="P43" s="251"/>
      <c r="Q43" s="1297" t="s">
        <v>832</v>
      </c>
      <c r="R43" s="256">
        <f>$B$1</f>
        <v>45388</v>
      </c>
      <c r="S43" s="262"/>
      <c r="T43" s="262" t="s">
        <v>2919</v>
      </c>
      <c r="U43" s="257"/>
      <c r="V43" s="257"/>
      <c r="W43" s="258" t="str">
        <f>IFERROR(IF(AND(BD_PRINCIPAL[[#This Row],[DESDE]]&lt;&gt;"",BD_PRINCIPAL[[#This Row],[HASTA]]&lt;&gt;""),_xlfn.DAYS(BD_PRINCIPAL[[#This Row],[HASTA]],BD_PRINCIPAL[[#This Row],[DESDE]]),"")+1,"")</f>
        <v/>
      </c>
      <c r="X43" s="258">
        <f>VLOOKUP(BD_PRINCIPAL[[#This Row],[ENCUADRE. ESC.]],ORDEN1,2,FALSE)</f>
        <v>1</v>
      </c>
      <c r="Y43" s="258">
        <f>VLOOKUP(BD_PRINCIPAL[[#This Row],[DOTACIÓN ACTUAL]],ORDEN2,4,FALSE)</f>
        <v>27</v>
      </c>
      <c r="Z43" s="258">
        <f>VLOOKUP(BD_PRINCIPAL[[#This Row],[GRADO]],ORDEN3,2,FALSE)</f>
        <v>12</v>
      </c>
      <c r="AA43" s="258">
        <f>IFERROR(VLOOKUP(BD_PRINCIPAL[[#This Row],[DOTACIÓN ACTUAL]],ORDEN2,3,FALSE),0)</f>
        <v>0</v>
      </c>
      <c r="AB43" s="251" t="s">
        <v>2125</v>
      </c>
      <c r="AC43" s="251" t="s">
        <v>855</v>
      </c>
      <c r="AD43" s="251" t="s">
        <v>944</v>
      </c>
      <c r="AE43" s="251" t="s">
        <v>945</v>
      </c>
      <c r="AF43" s="251" t="s">
        <v>2125</v>
      </c>
      <c r="AG43" s="251" t="s">
        <v>855</v>
      </c>
      <c r="AH43" s="251"/>
      <c r="AI43" s="251"/>
      <c r="AJ43" s="251"/>
      <c r="AK43" s="251"/>
      <c r="AL43" s="251"/>
      <c r="AM43" s="251"/>
      <c r="AN43" s="251"/>
      <c r="AO43" s="251"/>
      <c r="AP43" s="251"/>
      <c r="AQ43" s="251"/>
      <c r="AR43" s="251"/>
      <c r="AS43" s="251"/>
      <c r="AT43" s="259"/>
      <c r="AU43" s="259"/>
      <c r="AV43" s="259"/>
      <c r="AW43" s="259"/>
      <c r="AX43" s="259"/>
      <c r="AY43" s="259"/>
      <c r="AZ43" s="259"/>
      <c r="BA43" s="251"/>
      <c r="BB43" s="251"/>
      <c r="BC43" s="251"/>
      <c r="BD43" s="251"/>
      <c r="BE43" s="251"/>
      <c r="BF43" s="251"/>
      <c r="BG43" s="251"/>
      <c r="BH43" s="251"/>
      <c r="BI43" s="251"/>
      <c r="BJ43" s="251"/>
      <c r="BK43" s="251"/>
      <c r="BL43" s="251"/>
      <c r="BM43" s="783">
        <v>45170</v>
      </c>
      <c r="BN43" s="791"/>
    </row>
    <row r="44" spans="1:66" s="189" customFormat="1" x14ac:dyDescent="0.3">
      <c r="A44" s="188" t="s">
        <v>295</v>
      </c>
      <c r="B44" s="181" t="s">
        <v>21</v>
      </c>
      <c r="C44" s="188">
        <v>135236128</v>
      </c>
      <c r="D44" s="313" t="s">
        <v>705</v>
      </c>
      <c r="E44" s="479" t="s">
        <v>705</v>
      </c>
      <c r="F44" s="479" t="s">
        <v>21</v>
      </c>
      <c r="G44" s="183" t="s">
        <v>17</v>
      </c>
      <c r="H44" s="184" t="s">
        <v>816</v>
      </c>
      <c r="I44" s="184" t="s">
        <v>872</v>
      </c>
      <c r="J44" s="185" t="s">
        <v>917</v>
      </c>
      <c r="K44" s="1283" t="s">
        <v>2290</v>
      </c>
      <c r="L44" s="736" t="s">
        <v>944</v>
      </c>
      <c r="M44" s="1308" t="s">
        <v>2807</v>
      </c>
      <c r="N44" s="777"/>
      <c r="O44" s="1298"/>
      <c r="P44" s="181"/>
      <c r="Q44" s="1298" t="s">
        <v>832</v>
      </c>
      <c r="R44" s="186">
        <f>$B$1</f>
        <v>45388</v>
      </c>
      <c r="S44" s="182"/>
      <c r="T44" s="182" t="s">
        <v>2919</v>
      </c>
      <c r="U44" s="192"/>
      <c r="V44" s="192"/>
      <c r="W44" s="188" t="str">
        <f>IFERROR(IF(AND(BD_PRINCIPAL[[#This Row],[DESDE]]&lt;&gt;"",BD_PRINCIPAL[[#This Row],[HASTA]]&lt;&gt;""),_xlfn.DAYS(BD_PRINCIPAL[[#This Row],[HASTA]],BD_PRINCIPAL[[#This Row],[DESDE]]),"")+1,"")</f>
        <v/>
      </c>
      <c r="X44" s="188">
        <f>VLOOKUP(BD_PRINCIPAL[[#This Row],[ENCUADRE. ESC.]],ORDEN1,2,FALSE)</f>
        <v>1</v>
      </c>
      <c r="Y44" s="188">
        <f>VLOOKUP(BD_PRINCIPAL[[#This Row],[DOTACIÓN ACTUAL]],ORDEN2,4,FALSE)</f>
        <v>28</v>
      </c>
      <c r="Z44" s="188">
        <f>VLOOKUP(BD_PRINCIPAL[[#This Row],[GRADO]],ORDEN3,2,FALSE)</f>
        <v>8</v>
      </c>
      <c r="AA44" s="188">
        <f>IFERROR(VLOOKUP(BD_PRINCIPAL[[#This Row],[DOTACIÓN ACTUAL]],ORDEN2,3,FALSE),0)</f>
        <v>0</v>
      </c>
      <c r="AB44" s="181" t="s">
        <v>855</v>
      </c>
      <c r="AC44" s="181" t="s">
        <v>944</v>
      </c>
      <c r="AD44" s="181" t="s">
        <v>945</v>
      </c>
      <c r="AE44" s="181" t="s">
        <v>2125</v>
      </c>
      <c r="AF44" s="181" t="s">
        <v>855</v>
      </c>
      <c r="AG44" s="181" t="s">
        <v>944</v>
      </c>
      <c r="AH44" s="181"/>
      <c r="AI44" s="181"/>
      <c r="AJ44" s="181"/>
      <c r="AK44" s="181"/>
      <c r="AL44" s="181"/>
      <c r="AM44" s="181"/>
      <c r="AN44" s="181"/>
      <c r="AO44" s="181"/>
      <c r="AP44" s="181"/>
      <c r="AQ44" s="181"/>
      <c r="AR44" s="181"/>
      <c r="AS44" s="181"/>
      <c r="AT44" s="187"/>
      <c r="AU44" s="187"/>
      <c r="AV44" s="187"/>
      <c r="AW44" s="187"/>
      <c r="AX44" s="187"/>
      <c r="AY44" s="187"/>
      <c r="AZ44" s="187"/>
      <c r="BA44" s="181"/>
      <c r="BB44" s="181"/>
      <c r="BC44" s="181"/>
      <c r="BD44" s="181"/>
      <c r="BE44" s="181"/>
      <c r="BF44" s="181"/>
      <c r="BG44" s="181"/>
      <c r="BH44" s="181"/>
      <c r="BI44" s="181"/>
      <c r="BJ44" s="181"/>
      <c r="BK44" s="181"/>
      <c r="BL44" s="181"/>
      <c r="BM44" s="777">
        <v>45093</v>
      </c>
      <c r="BN44" s="792"/>
    </row>
    <row r="45" spans="1:66" s="189" customFormat="1" x14ac:dyDescent="0.3">
      <c r="A45" s="188" t="s">
        <v>294</v>
      </c>
      <c r="B45" s="181" t="s">
        <v>1859</v>
      </c>
      <c r="C45" s="188">
        <v>173330219</v>
      </c>
      <c r="D45" s="479" t="s">
        <v>705</v>
      </c>
      <c r="E45" s="479" t="s">
        <v>705</v>
      </c>
      <c r="F45" s="479" t="s">
        <v>1859</v>
      </c>
      <c r="G45" s="183" t="s">
        <v>3</v>
      </c>
      <c r="H45" s="184" t="s">
        <v>816</v>
      </c>
      <c r="I45" s="184" t="s">
        <v>872</v>
      </c>
      <c r="J45" s="185" t="s">
        <v>917</v>
      </c>
      <c r="K45" s="1283" t="s">
        <v>2290</v>
      </c>
      <c r="L45" s="736" t="s">
        <v>944</v>
      </c>
      <c r="M45" s="1308" t="s">
        <v>2807</v>
      </c>
      <c r="N45" s="777"/>
      <c r="O45" s="1298"/>
      <c r="P45" s="181"/>
      <c r="Q45" s="1298" t="s">
        <v>832</v>
      </c>
      <c r="R45" s="186">
        <f>$B$1</f>
        <v>45388</v>
      </c>
      <c r="S45" s="182"/>
      <c r="T45" s="182" t="s">
        <v>2919</v>
      </c>
      <c r="U45" s="192"/>
      <c r="V45" s="192"/>
      <c r="W45" s="188" t="str">
        <f>IFERROR(IF(AND(BD_PRINCIPAL[[#This Row],[DESDE]]&lt;&gt;"",BD_PRINCIPAL[[#This Row],[HASTA]]&lt;&gt;""),_xlfn.DAYS(BD_PRINCIPAL[[#This Row],[HASTA]],BD_PRINCIPAL[[#This Row],[DESDE]]),"")+1,"")</f>
        <v/>
      </c>
      <c r="X45" s="188">
        <f>VLOOKUP(BD_PRINCIPAL[[#This Row],[ENCUADRE. ESC.]],ORDEN1,2,FALSE)</f>
        <v>1</v>
      </c>
      <c r="Y45" s="188">
        <f>VLOOKUP(BD_PRINCIPAL[[#This Row],[DOTACIÓN ACTUAL]],ORDEN2,4,FALSE)</f>
        <v>28</v>
      </c>
      <c r="Z45" s="188">
        <f>VLOOKUP(BD_PRINCIPAL[[#This Row],[GRADO]],ORDEN3,2,FALSE)</f>
        <v>11</v>
      </c>
      <c r="AA45" s="188">
        <f>IFERROR(VLOOKUP(BD_PRINCIPAL[[#This Row],[DOTACIÓN ACTUAL]],ORDEN2,3,FALSE),0)</f>
        <v>0</v>
      </c>
      <c r="AB45" s="181" t="s">
        <v>855</v>
      </c>
      <c r="AC45" s="181" t="s">
        <v>944</v>
      </c>
      <c r="AD45" s="181" t="s">
        <v>945</v>
      </c>
      <c r="AE45" s="181" t="s">
        <v>2125</v>
      </c>
      <c r="AF45" s="181" t="s">
        <v>855</v>
      </c>
      <c r="AG45" s="181" t="s">
        <v>944</v>
      </c>
      <c r="AH45" s="181"/>
      <c r="AI45" s="181"/>
      <c r="AJ45" s="181"/>
      <c r="AK45" s="181"/>
      <c r="AL45" s="181"/>
      <c r="AM45" s="181"/>
      <c r="AN45" s="181"/>
      <c r="AO45" s="181"/>
      <c r="AP45" s="181"/>
      <c r="AQ45" s="181"/>
      <c r="AR45" s="181"/>
      <c r="AS45" s="181"/>
      <c r="AT45" s="187"/>
      <c r="AU45" s="187"/>
      <c r="AV45" s="187"/>
      <c r="AW45" s="187"/>
      <c r="AX45" s="187"/>
      <c r="AY45" s="187"/>
      <c r="AZ45" s="187"/>
      <c r="BA45" s="181"/>
      <c r="BB45" s="181"/>
      <c r="BC45" s="181"/>
      <c r="BD45" s="181"/>
      <c r="BE45" s="181"/>
      <c r="BF45" s="181"/>
      <c r="BG45" s="181"/>
      <c r="BH45" s="181"/>
      <c r="BI45" s="181"/>
      <c r="BJ45" s="181"/>
      <c r="BK45" s="181"/>
      <c r="BL45" s="181"/>
      <c r="BM45" s="777">
        <v>45086</v>
      </c>
      <c r="BN45" s="792"/>
    </row>
    <row r="46" spans="1:66" s="221" customFormat="1" x14ac:dyDescent="0.3">
      <c r="A46" s="219" t="s">
        <v>296</v>
      </c>
      <c r="B46" s="212" t="s">
        <v>30</v>
      </c>
      <c r="C46" s="219">
        <v>171662435</v>
      </c>
      <c r="D46" s="480" t="s">
        <v>706</v>
      </c>
      <c r="E46" s="480" t="s">
        <v>706</v>
      </c>
      <c r="F46" s="480" t="s">
        <v>30</v>
      </c>
      <c r="G46" s="214" t="s">
        <v>209</v>
      </c>
      <c r="H46" s="215" t="s">
        <v>816</v>
      </c>
      <c r="I46" s="215" t="s">
        <v>872</v>
      </c>
      <c r="J46" s="216" t="s">
        <v>917</v>
      </c>
      <c r="K46" s="1279" t="s">
        <v>2290</v>
      </c>
      <c r="L46" s="733" t="s">
        <v>945</v>
      </c>
      <c r="M46" s="1304" t="s">
        <v>2807</v>
      </c>
      <c r="N46" s="772"/>
      <c r="O46" s="1294"/>
      <c r="P46" s="212"/>
      <c r="Q46" s="1294" t="s">
        <v>832</v>
      </c>
      <c r="R46" s="217">
        <f>$B$1</f>
        <v>45388</v>
      </c>
      <c r="S46" s="223"/>
      <c r="T46" s="213" t="s">
        <v>2919</v>
      </c>
      <c r="U46" s="218"/>
      <c r="V46" s="218"/>
      <c r="W46" s="219" t="str">
        <f>IFERROR(IF(AND(BD_PRINCIPAL[[#This Row],[DESDE]]&lt;&gt;"",BD_PRINCIPAL[[#This Row],[HASTA]]&lt;&gt;""),_xlfn.DAYS(BD_PRINCIPAL[[#This Row],[HASTA]],BD_PRINCIPAL[[#This Row],[DESDE]]),"")+1,"")</f>
        <v/>
      </c>
      <c r="X46" s="219">
        <f>VLOOKUP(BD_PRINCIPAL[[#This Row],[ENCUADRE. ESC.]],ORDEN1,2,FALSE)</f>
        <v>1</v>
      </c>
      <c r="Y46" s="219">
        <f>VLOOKUP(BD_PRINCIPAL[[#This Row],[DOTACIÓN ACTUAL]],ORDEN2,4,FALSE)</f>
        <v>29</v>
      </c>
      <c r="Z46" s="219">
        <f>VLOOKUP(BD_PRINCIPAL[[#This Row],[GRADO]],ORDEN3,2,FALSE)</f>
        <v>10</v>
      </c>
      <c r="AA46" s="219">
        <f>IFERROR(VLOOKUP(BD_PRINCIPAL[[#This Row],[DOTACIÓN ACTUAL]],ORDEN2,3,FALSE),0)</f>
        <v>0</v>
      </c>
      <c r="AB46" s="212" t="s">
        <v>944</v>
      </c>
      <c r="AC46" s="212" t="s">
        <v>945</v>
      </c>
      <c r="AD46" s="212" t="s">
        <v>2125</v>
      </c>
      <c r="AE46" s="212" t="s">
        <v>855</v>
      </c>
      <c r="AF46" s="212" t="s">
        <v>944</v>
      </c>
      <c r="AG46" s="212" t="s">
        <v>945</v>
      </c>
      <c r="AH46" s="212"/>
      <c r="AI46" s="212"/>
      <c r="AJ46" s="212"/>
      <c r="AK46" s="212"/>
      <c r="AL46" s="212"/>
      <c r="AM46" s="212"/>
      <c r="AN46" s="212"/>
      <c r="AO46" s="212"/>
      <c r="AP46" s="212"/>
      <c r="AQ46" s="212"/>
      <c r="AR46" s="212"/>
      <c r="AS46" s="212"/>
      <c r="AT46" s="220"/>
      <c r="AU46" s="220"/>
      <c r="AV46" s="220"/>
      <c r="AW46" s="220"/>
      <c r="AX46" s="220"/>
      <c r="AY46" s="220"/>
      <c r="AZ46" s="220"/>
      <c r="BA46" s="212"/>
      <c r="BB46" s="212"/>
      <c r="BC46" s="212"/>
      <c r="BD46" s="212"/>
      <c r="BE46" s="212"/>
      <c r="BF46" s="212"/>
      <c r="BG46" s="212"/>
      <c r="BH46" s="212"/>
      <c r="BI46" s="212"/>
      <c r="BJ46" s="212"/>
      <c r="BK46" s="212"/>
      <c r="BL46" s="212"/>
      <c r="BM46" s="772">
        <v>45177</v>
      </c>
      <c r="BN46" s="789"/>
    </row>
    <row r="47" spans="1:66" s="221" customFormat="1" ht="39.6" x14ac:dyDescent="0.3">
      <c r="A47" s="219" t="s">
        <v>298</v>
      </c>
      <c r="B47" s="212" t="s">
        <v>31</v>
      </c>
      <c r="C47" s="219">
        <v>169758999</v>
      </c>
      <c r="D47" s="309" t="s">
        <v>706</v>
      </c>
      <c r="E47" s="480" t="s">
        <v>706</v>
      </c>
      <c r="F47" s="480" t="s">
        <v>31</v>
      </c>
      <c r="G47" s="214" t="s">
        <v>3</v>
      </c>
      <c r="H47" s="215" t="s">
        <v>816</v>
      </c>
      <c r="I47" s="215" t="s">
        <v>872</v>
      </c>
      <c r="J47" s="216" t="s">
        <v>917</v>
      </c>
      <c r="K47" s="1279" t="s">
        <v>2290</v>
      </c>
      <c r="L47" s="733" t="s">
        <v>945</v>
      </c>
      <c r="M47" s="1304" t="s">
        <v>2807</v>
      </c>
      <c r="N47" s="772"/>
      <c r="O47" s="1294"/>
      <c r="P47" s="212"/>
      <c r="Q47" s="1294" t="s">
        <v>832</v>
      </c>
      <c r="R47" s="217">
        <f>$B$1</f>
        <v>45388</v>
      </c>
      <c r="S47" s="223"/>
      <c r="T47" s="223" t="s">
        <v>2940</v>
      </c>
      <c r="U47" s="218"/>
      <c r="V47" s="218"/>
      <c r="W47" s="219" t="str">
        <f>IFERROR(IF(AND(BD_PRINCIPAL[[#This Row],[DESDE]]&lt;&gt;"",BD_PRINCIPAL[[#This Row],[HASTA]]&lt;&gt;""),_xlfn.DAYS(BD_PRINCIPAL[[#This Row],[HASTA]],BD_PRINCIPAL[[#This Row],[DESDE]]),"")+1,"")</f>
        <v/>
      </c>
      <c r="X47" s="219">
        <f>VLOOKUP(BD_PRINCIPAL[[#This Row],[ENCUADRE. ESC.]],ORDEN1,2,FALSE)</f>
        <v>1</v>
      </c>
      <c r="Y47" s="219">
        <f>VLOOKUP(BD_PRINCIPAL[[#This Row],[DOTACIÓN ACTUAL]],ORDEN2,4,FALSE)</f>
        <v>29</v>
      </c>
      <c r="Z47" s="219">
        <f>VLOOKUP(BD_PRINCIPAL[[#This Row],[GRADO]],ORDEN3,2,FALSE)</f>
        <v>11</v>
      </c>
      <c r="AA47" s="219">
        <f>IFERROR(VLOOKUP(BD_PRINCIPAL[[#This Row],[DOTACIÓN ACTUAL]],ORDEN2,3,FALSE),0)</f>
        <v>0</v>
      </c>
      <c r="AB47" s="212" t="s">
        <v>944</v>
      </c>
      <c r="AC47" s="212" t="s">
        <v>945</v>
      </c>
      <c r="AD47" s="212" t="s">
        <v>2125</v>
      </c>
      <c r="AE47" s="212" t="s">
        <v>855</v>
      </c>
      <c r="AF47" s="212" t="s">
        <v>944</v>
      </c>
      <c r="AG47" s="212" t="s">
        <v>945</v>
      </c>
      <c r="AH47" s="212"/>
      <c r="AI47" s="212"/>
      <c r="AJ47" s="212"/>
      <c r="AK47" s="212"/>
      <c r="AL47" s="212"/>
      <c r="AM47" s="212"/>
      <c r="AN47" s="212"/>
      <c r="AO47" s="212"/>
      <c r="AP47" s="212"/>
      <c r="AQ47" s="212"/>
      <c r="AR47" s="212"/>
      <c r="AS47" s="212"/>
      <c r="AT47" s="220"/>
      <c r="AU47" s="220"/>
      <c r="AV47" s="220"/>
      <c r="AW47" s="220"/>
      <c r="AX47" s="220"/>
      <c r="AY47" s="220"/>
      <c r="AZ47" s="220"/>
      <c r="BA47" s="212"/>
      <c r="BB47" s="212"/>
      <c r="BC47" s="212"/>
      <c r="BD47" s="212"/>
      <c r="BE47" s="212"/>
      <c r="BF47" s="212"/>
      <c r="BG47" s="212"/>
      <c r="BH47" s="212"/>
      <c r="BI47" s="212"/>
      <c r="BJ47" s="212"/>
      <c r="BK47" s="212"/>
      <c r="BL47" s="212"/>
      <c r="BM47" s="772">
        <v>45177</v>
      </c>
      <c r="BN47" s="789"/>
    </row>
    <row r="48" spans="1:66" s="233" customFormat="1" x14ac:dyDescent="0.3">
      <c r="A48" s="231" t="s">
        <v>293</v>
      </c>
      <c r="B48" s="225" t="s">
        <v>20</v>
      </c>
      <c r="C48" s="231">
        <v>161870625</v>
      </c>
      <c r="D48" s="310" t="s">
        <v>707</v>
      </c>
      <c r="E48" s="484" t="s">
        <v>707</v>
      </c>
      <c r="F48" s="477" t="s">
        <v>20</v>
      </c>
      <c r="G48" s="235" t="s">
        <v>209</v>
      </c>
      <c r="H48" s="228" t="s">
        <v>816</v>
      </c>
      <c r="I48" s="228" t="s">
        <v>872</v>
      </c>
      <c r="J48" s="229" t="s">
        <v>917</v>
      </c>
      <c r="K48" s="1284" t="s">
        <v>2290</v>
      </c>
      <c r="L48" s="734" t="s">
        <v>2125</v>
      </c>
      <c r="M48" s="1305" t="s">
        <v>2807</v>
      </c>
      <c r="N48" s="773"/>
      <c r="O48" s="1295"/>
      <c r="P48" s="225"/>
      <c r="Q48" s="1295" t="s">
        <v>832</v>
      </c>
      <c r="R48" s="234">
        <f>$B$1</f>
        <v>45388</v>
      </c>
      <c r="S48" s="236"/>
      <c r="T48" s="226"/>
      <c r="U48" s="230"/>
      <c r="V48" s="230"/>
      <c r="W48" s="231" t="str">
        <f>IFERROR(IF(AND(BD_PRINCIPAL[[#This Row],[DESDE]]&lt;&gt;"",BD_PRINCIPAL[[#This Row],[HASTA]]&lt;&gt;""),_xlfn.DAYS(BD_PRINCIPAL[[#This Row],[HASTA]],BD_PRINCIPAL[[#This Row],[DESDE]]),"")+1,"")</f>
        <v/>
      </c>
      <c r="X48" s="231">
        <f>VLOOKUP(BD_PRINCIPAL[[#This Row],[ENCUADRE. ESC.]],ORDEN1,2,FALSE)</f>
        <v>1</v>
      </c>
      <c r="Y48" s="231">
        <f>VLOOKUP(BD_PRINCIPAL[[#This Row],[DOTACIÓN ACTUAL]],ORDEN2,4,FALSE)</f>
        <v>30</v>
      </c>
      <c r="Z48" s="231">
        <f>VLOOKUP(BD_PRINCIPAL[[#This Row],[GRADO]],ORDEN3,2,FALSE)</f>
        <v>10</v>
      </c>
      <c r="AA48" s="231">
        <f>IFERROR(VLOOKUP(BD_PRINCIPAL[[#This Row],[DOTACIÓN ACTUAL]],ORDEN2,3,FALSE),0)</f>
        <v>0</v>
      </c>
      <c r="AB48" s="225" t="s">
        <v>945</v>
      </c>
      <c r="AC48" s="225" t="s">
        <v>2125</v>
      </c>
      <c r="AD48" s="225" t="s">
        <v>855</v>
      </c>
      <c r="AE48" s="225" t="s">
        <v>944</v>
      </c>
      <c r="AF48" s="225" t="s">
        <v>945</v>
      </c>
      <c r="AG48" s="225" t="s">
        <v>2125</v>
      </c>
      <c r="AH48" s="225"/>
      <c r="AI48" s="225"/>
      <c r="AJ48" s="225"/>
      <c r="AK48" s="225"/>
      <c r="AL48" s="225"/>
      <c r="AM48" s="225"/>
      <c r="AN48" s="225"/>
      <c r="AO48" s="225"/>
      <c r="AP48" s="225"/>
      <c r="AQ48" s="225"/>
      <c r="AR48" s="225"/>
      <c r="AS48" s="225"/>
      <c r="AT48" s="232"/>
      <c r="AU48" s="232"/>
      <c r="AV48" s="232"/>
      <c r="AW48" s="232"/>
      <c r="AX48" s="232"/>
      <c r="AY48" s="232"/>
      <c r="AZ48" s="232"/>
      <c r="BA48" s="225"/>
      <c r="BB48" s="225"/>
      <c r="BC48" s="225"/>
      <c r="BD48" s="225"/>
      <c r="BE48" s="225"/>
      <c r="BF48" s="225"/>
      <c r="BG48" s="225"/>
      <c r="BH48" s="225"/>
      <c r="BI48" s="225"/>
      <c r="BJ48" s="225"/>
      <c r="BK48" s="225"/>
      <c r="BL48" s="225"/>
      <c r="BM48" s="773">
        <v>45174</v>
      </c>
      <c r="BN48" s="790"/>
    </row>
    <row r="49" spans="1:66" s="233" customFormat="1" x14ac:dyDescent="0.3">
      <c r="A49" s="231" t="s">
        <v>475</v>
      </c>
      <c r="B49" s="225" t="s">
        <v>183</v>
      </c>
      <c r="C49" s="231">
        <v>197236264</v>
      </c>
      <c r="D49" s="484" t="s">
        <v>707</v>
      </c>
      <c r="E49" s="484" t="s">
        <v>707</v>
      </c>
      <c r="F49" s="477" t="s">
        <v>2268</v>
      </c>
      <c r="G49" s="227" t="s">
        <v>4</v>
      </c>
      <c r="H49" s="228" t="s">
        <v>816</v>
      </c>
      <c r="I49" s="228" t="s">
        <v>872</v>
      </c>
      <c r="J49" s="229" t="s">
        <v>917</v>
      </c>
      <c r="K49" s="1280" t="s">
        <v>2301</v>
      </c>
      <c r="L49" s="734" t="s">
        <v>2125</v>
      </c>
      <c r="M49" s="1305" t="s">
        <v>2807</v>
      </c>
      <c r="N49" s="773"/>
      <c r="O49" s="1295"/>
      <c r="P49" s="225"/>
      <c r="Q49" s="1295" t="s">
        <v>832</v>
      </c>
      <c r="R49" s="234">
        <f>$B$1</f>
        <v>45388</v>
      </c>
      <c r="S49" s="226"/>
      <c r="T49" s="226"/>
      <c r="U49" s="230"/>
      <c r="V49" s="230"/>
      <c r="W49" s="231" t="str">
        <f>IFERROR(IF(AND(BD_PRINCIPAL[[#This Row],[DESDE]]&lt;&gt;"",BD_PRINCIPAL[[#This Row],[HASTA]]&lt;&gt;""),_xlfn.DAYS(BD_PRINCIPAL[[#This Row],[HASTA]],BD_PRINCIPAL[[#This Row],[DESDE]]),"")+1,"")</f>
        <v/>
      </c>
      <c r="X49" s="231">
        <f>VLOOKUP(BD_PRINCIPAL[[#This Row],[ENCUADRE. ESC.]],ORDEN1,2,FALSE)</f>
        <v>1</v>
      </c>
      <c r="Y49" s="231">
        <f>VLOOKUP(BD_PRINCIPAL[[#This Row],[DOTACIÓN ACTUAL]],ORDEN2,4,FALSE)</f>
        <v>30</v>
      </c>
      <c r="Z49" s="231">
        <f>VLOOKUP(BD_PRINCIPAL[[#This Row],[GRADO]],ORDEN3,2,FALSE)</f>
        <v>12</v>
      </c>
      <c r="AA49" s="231">
        <f>IFERROR(VLOOKUP(BD_PRINCIPAL[[#This Row],[DOTACIÓN ACTUAL]],ORDEN2,3,FALSE),0)</f>
        <v>0</v>
      </c>
      <c r="AB49" s="225" t="s">
        <v>945</v>
      </c>
      <c r="AC49" s="225" t="s">
        <v>2125</v>
      </c>
      <c r="AD49" s="225" t="s">
        <v>855</v>
      </c>
      <c r="AE49" s="225" t="s">
        <v>944</v>
      </c>
      <c r="AF49" s="225" t="s">
        <v>945</v>
      </c>
      <c r="AG49" s="225" t="s">
        <v>2125</v>
      </c>
      <c r="AH49" s="225"/>
      <c r="AI49" s="225"/>
      <c r="AJ49" s="225"/>
      <c r="AK49" s="225"/>
      <c r="AL49" s="225"/>
      <c r="AM49" s="225"/>
      <c r="AN49" s="225"/>
      <c r="AO49" s="225"/>
      <c r="AP49" s="225"/>
      <c r="AQ49" s="225"/>
      <c r="AR49" s="225"/>
      <c r="AS49" s="225"/>
      <c r="AT49" s="232"/>
      <c r="AU49" s="232"/>
      <c r="AV49" s="232"/>
      <c r="AW49" s="232"/>
      <c r="AX49" s="232"/>
      <c r="AY49" s="232"/>
      <c r="AZ49" s="232"/>
      <c r="BA49" s="225"/>
      <c r="BB49" s="225"/>
      <c r="BC49" s="225"/>
      <c r="BD49" s="225"/>
      <c r="BE49" s="225"/>
      <c r="BF49" s="225"/>
      <c r="BG49" s="225"/>
      <c r="BH49" s="225"/>
      <c r="BI49" s="225"/>
      <c r="BJ49" s="225"/>
      <c r="BK49" s="225"/>
      <c r="BL49" s="225"/>
      <c r="BM49" s="773">
        <v>45093</v>
      </c>
      <c r="BN49" s="790"/>
    </row>
    <row r="50" spans="1:66" s="247" customFormat="1" ht="26.4" x14ac:dyDescent="0.3">
      <c r="A50" s="245" t="s">
        <v>301</v>
      </c>
      <c r="B50" s="238" t="s">
        <v>1844</v>
      </c>
      <c r="C50" s="245">
        <v>155131810</v>
      </c>
      <c r="D50" s="478" t="s">
        <v>821</v>
      </c>
      <c r="E50" s="478" t="s">
        <v>821</v>
      </c>
      <c r="F50" s="478" t="s">
        <v>1844</v>
      </c>
      <c r="G50" s="240" t="s">
        <v>3</v>
      </c>
      <c r="H50" s="241" t="s">
        <v>816</v>
      </c>
      <c r="I50" s="241" t="s">
        <v>872</v>
      </c>
      <c r="J50" s="242" t="s">
        <v>917</v>
      </c>
      <c r="K50" s="1281" t="s">
        <v>2290</v>
      </c>
      <c r="L50" s="735" t="s">
        <v>853</v>
      </c>
      <c r="M50" s="1306" t="s">
        <v>2701</v>
      </c>
      <c r="N50" s="784"/>
      <c r="O50" s="1296"/>
      <c r="P50" s="238"/>
      <c r="Q50" s="1296" t="s">
        <v>832</v>
      </c>
      <c r="R50" s="243">
        <f>$B$1</f>
        <v>45388</v>
      </c>
      <c r="S50" s="249"/>
      <c r="T50" s="239" t="s">
        <v>2919</v>
      </c>
      <c r="U50" s="244"/>
      <c r="V50" s="244"/>
      <c r="W50" s="245" t="str">
        <f>IFERROR(IF(AND(BD_PRINCIPAL[[#This Row],[DESDE]]&lt;&gt;"",BD_PRINCIPAL[[#This Row],[HASTA]]&lt;&gt;""),_xlfn.DAYS(BD_PRINCIPAL[[#This Row],[HASTA]],BD_PRINCIPAL[[#This Row],[DESDE]]),"")+1,"")</f>
        <v/>
      </c>
      <c r="X50" s="245">
        <f>VLOOKUP(BD_PRINCIPAL[[#This Row],[ENCUADRE. ESC.]],ORDEN1,2,FALSE)</f>
        <v>1</v>
      </c>
      <c r="Y50" s="245">
        <f>VLOOKUP(BD_PRINCIPAL[[#This Row],[DOTACIÓN ACTUAL]],ORDEN2,4,FALSE)</f>
        <v>31</v>
      </c>
      <c r="Z50" s="245">
        <f>VLOOKUP(BD_PRINCIPAL[[#This Row],[GRADO]],ORDEN3,2,FALSE)</f>
        <v>11</v>
      </c>
      <c r="AA50" s="245">
        <f>IFERROR(VLOOKUP(BD_PRINCIPAL[[#This Row],[DOTACIÓN ACTUAL]],ORDEN2,3,FALSE),0)</f>
        <v>0</v>
      </c>
      <c r="AB50" s="238" t="s">
        <v>1</v>
      </c>
      <c r="AC50" s="238" t="s">
        <v>2</v>
      </c>
      <c r="AD50" s="238" t="s">
        <v>854</v>
      </c>
      <c r="AE50" s="238" t="s">
        <v>2125</v>
      </c>
      <c r="AF50" s="238" t="s">
        <v>1</v>
      </c>
      <c r="AG50" s="238" t="s">
        <v>853</v>
      </c>
      <c r="AH50" s="238"/>
      <c r="AI50" s="238"/>
      <c r="AJ50" s="238"/>
      <c r="AK50" s="238"/>
      <c r="AL50" s="238"/>
      <c r="AM50" s="238"/>
      <c r="AN50" s="238"/>
      <c r="AO50" s="238"/>
      <c r="AP50" s="238"/>
      <c r="AQ50" s="238"/>
      <c r="AR50" s="238"/>
      <c r="AS50" s="238"/>
      <c r="AT50" s="246"/>
      <c r="AU50" s="246"/>
      <c r="AV50" s="246"/>
      <c r="AW50" s="246"/>
      <c r="AX50" s="246"/>
      <c r="AY50" s="246"/>
      <c r="AZ50" s="246"/>
      <c r="BA50" s="238"/>
      <c r="BB50" s="238"/>
      <c r="BC50" s="238"/>
      <c r="BD50" s="238"/>
      <c r="BE50" s="238"/>
      <c r="BF50" s="238"/>
      <c r="BG50" s="238"/>
      <c r="BH50" s="238"/>
      <c r="BI50" s="238"/>
      <c r="BJ50" s="238"/>
      <c r="BK50" s="238"/>
      <c r="BL50" s="238"/>
      <c r="BM50" s="784">
        <v>45036</v>
      </c>
      <c r="BN50" s="788"/>
    </row>
    <row r="51" spans="1:66" s="247" customFormat="1" ht="26.4" x14ac:dyDescent="0.3">
      <c r="A51" s="245" t="s">
        <v>300</v>
      </c>
      <c r="B51" s="238" t="s">
        <v>109</v>
      </c>
      <c r="C51" s="245">
        <v>197687878</v>
      </c>
      <c r="D51" s="478" t="s">
        <v>821</v>
      </c>
      <c r="E51" s="478" t="s">
        <v>821</v>
      </c>
      <c r="F51" s="478" t="s">
        <v>109</v>
      </c>
      <c r="G51" s="240" t="s">
        <v>4</v>
      </c>
      <c r="H51" s="241" t="s">
        <v>816</v>
      </c>
      <c r="I51" s="241" t="s">
        <v>872</v>
      </c>
      <c r="J51" s="242" t="s">
        <v>917</v>
      </c>
      <c r="K51" s="1281" t="s">
        <v>2290</v>
      </c>
      <c r="L51" s="735" t="s">
        <v>853</v>
      </c>
      <c r="M51" s="1306" t="s">
        <v>2701</v>
      </c>
      <c r="N51" s="775"/>
      <c r="O51" s="1296"/>
      <c r="P51" s="238"/>
      <c r="Q51" s="1296" t="s">
        <v>832</v>
      </c>
      <c r="R51" s="243">
        <f>$B$1</f>
        <v>45388</v>
      </c>
      <c r="S51" s="249"/>
      <c r="T51" s="249" t="s">
        <v>2919</v>
      </c>
      <c r="U51" s="244"/>
      <c r="V51" s="244"/>
      <c r="W51" s="245" t="str">
        <f>IFERROR(IF(AND(BD_PRINCIPAL[[#This Row],[DESDE]]&lt;&gt;"",BD_PRINCIPAL[[#This Row],[HASTA]]&lt;&gt;""),_xlfn.DAYS(BD_PRINCIPAL[[#This Row],[HASTA]],BD_PRINCIPAL[[#This Row],[DESDE]]),"")+1,"")</f>
        <v/>
      </c>
      <c r="X51" s="245">
        <f>VLOOKUP(BD_PRINCIPAL[[#This Row],[ENCUADRE. ESC.]],ORDEN1,2,FALSE)</f>
        <v>1</v>
      </c>
      <c r="Y51" s="245">
        <f>VLOOKUP(BD_PRINCIPAL[[#This Row],[DOTACIÓN ACTUAL]],ORDEN2,4,FALSE)</f>
        <v>31</v>
      </c>
      <c r="Z51" s="245">
        <f>VLOOKUP(BD_PRINCIPAL[[#This Row],[GRADO]],ORDEN3,2,FALSE)</f>
        <v>12</v>
      </c>
      <c r="AA51" s="245">
        <f>IFERROR(VLOOKUP(BD_PRINCIPAL[[#This Row],[DOTACIÓN ACTUAL]],ORDEN2,3,FALSE),0)</f>
        <v>0</v>
      </c>
      <c r="AB51" s="238" t="s">
        <v>1</v>
      </c>
      <c r="AC51" s="238" t="s">
        <v>2</v>
      </c>
      <c r="AD51" s="238" t="s">
        <v>854</v>
      </c>
      <c r="AE51" s="238" t="s">
        <v>2125</v>
      </c>
      <c r="AF51" s="238" t="s">
        <v>1</v>
      </c>
      <c r="AG51" s="238" t="s">
        <v>853</v>
      </c>
      <c r="AH51" s="238"/>
      <c r="AI51" s="238"/>
      <c r="AJ51" s="238"/>
      <c r="AK51" s="238"/>
      <c r="AL51" s="238"/>
      <c r="AM51" s="238"/>
      <c r="AN51" s="238"/>
      <c r="AO51" s="238"/>
      <c r="AP51" s="238"/>
      <c r="AQ51" s="238"/>
      <c r="AR51" s="238"/>
      <c r="AS51" s="238"/>
      <c r="AT51" s="246"/>
      <c r="AU51" s="246"/>
      <c r="AV51" s="246"/>
      <c r="AW51" s="246"/>
      <c r="AX51" s="246"/>
      <c r="AY51" s="246"/>
      <c r="AZ51" s="246"/>
      <c r="BA51" s="238"/>
      <c r="BB51" s="238"/>
      <c r="BC51" s="238"/>
      <c r="BD51" s="238"/>
      <c r="BE51" s="238"/>
      <c r="BF51" s="238"/>
      <c r="BG51" s="238"/>
      <c r="BH51" s="238"/>
      <c r="BI51" s="238"/>
      <c r="BJ51" s="238"/>
      <c r="BK51" s="238"/>
      <c r="BL51" s="238"/>
      <c r="BM51" s="775">
        <v>45036</v>
      </c>
      <c r="BN51" s="788"/>
    </row>
    <row r="52" spans="1:66" s="260" customFormat="1" ht="26.4" x14ac:dyDescent="0.3">
      <c r="A52" s="258" t="s">
        <v>321</v>
      </c>
      <c r="B52" s="251" t="s">
        <v>151</v>
      </c>
      <c r="C52" s="258" t="s">
        <v>322</v>
      </c>
      <c r="D52" s="715" t="s">
        <v>824</v>
      </c>
      <c r="E52" s="487" t="s">
        <v>822</v>
      </c>
      <c r="F52" s="481" t="s">
        <v>151</v>
      </c>
      <c r="G52" s="253" t="s">
        <v>209</v>
      </c>
      <c r="H52" s="254" t="s">
        <v>816</v>
      </c>
      <c r="I52" s="254" t="s">
        <v>872</v>
      </c>
      <c r="J52" s="255" t="s">
        <v>917</v>
      </c>
      <c r="K52" s="1282" t="s">
        <v>2290</v>
      </c>
      <c r="L52" s="737" t="s">
        <v>854</v>
      </c>
      <c r="M52" s="1307" t="s">
        <v>2701</v>
      </c>
      <c r="N52" s="783"/>
      <c r="O52" s="1297"/>
      <c r="P52" s="251"/>
      <c r="Q52" s="1297" t="s">
        <v>832</v>
      </c>
      <c r="R52" s="256">
        <f>$B$1</f>
        <v>45388</v>
      </c>
      <c r="S52" s="262"/>
      <c r="T52" s="262"/>
      <c r="U52" s="257"/>
      <c r="V52" s="257"/>
      <c r="W52" s="258" t="str">
        <f>IFERROR(IF(AND(BD_PRINCIPAL[[#This Row],[DESDE]]&lt;&gt;"",BD_PRINCIPAL[[#This Row],[HASTA]]&lt;&gt;""),_xlfn.DAYS(BD_PRINCIPAL[[#This Row],[HASTA]],BD_PRINCIPAL[[#This Row],[DESDE]]),"")+1,"")</f>
        <v/>
      </c>
      <c r="X52" s="258">
        <f>VLOOKUP(BD_PRINCIPAL[[#This Row],[ENCUADRE. ESC.]],ORDEN1,2,FALSE)</f>
        <v>1</v>
      </c>
      <c r="Y52" s="258">
        <f>VLOOKUP(BD_PRINCIPAL[[#This Row],[DOTACIÓN ACTUAL]],ORDEN2,4,FALSE)</f>
        <v>32</v>
      </c>
      <c r="Z52" s="258">
        <f>VLOOKUP(BD_PRINCIPAL[[#This Row],[GRADO]],ORDEN3,2,FALSE)</f>
        <v>10</v>
      </c>
      <c r="AA52" s="258">
        <f>IFERROR(VLOOKUP(BD_PRINCIPAL[[#This Row],[DOTACIÓN ACTUAL]],ORDEN2,3,FALSE),0)</f>
        <v>0</v>
      </c>
      <c r="AB52" s="251" t="s">
        <v>2</v>
      </c>
      <c r="AC52" s="251" t="s">
        <v>854</v>
      </c>
      <c r="AD52" s="251" t="s">
        <v>2125</v>
      </c>
      <c r="AE52" s="251" t="s">
        <v>1</v>
      </c>
      <c r="AF52" s="251" t="s">
        <v>2</v>
      </c>
      <c r="AG52" s="251" t="s">
        <v>854</v>
      </c>
      <c r="AH52" s="251"/>
      <c r="AI52" s="251"/>
      <c r="AJ52" s="251"/>
      <c r="AK52" s="251"/>
      <c r="AL52" s="251"/>
      <c r="AM52" s="251"/>
      <c r="AN52" s="251"/>
      <c r="AO52" s="251"/>
      <c r="AP52" s="251"/>
      <c r="AQ52" s="251"/>
      <c r="AR52" s="251"/>
      <c r="AS52" s="251"/>
      <c r="AT52" s="259"/>
      <c r="AU52" s="259"/>
      <c r="AV52" s="259"/>
      <c r="AW52" s="259"/>
      <c r="AX52" s="259"/>
      <c r="AY52" s="259"/>
      <c r="AZ52" s="259"/>
      <c r="BA52" s="251"/>
      <c r="BB52" s="251"/>
      <c r="BC52" s="251"/>
      <c r="BD52" s="251"/>
      <c r="BE52" s="251"/>
      <c r="BF52" s="251"/>
      <c r="BG52" s="251"/>
      <c r="BH52" s="251"/>
      <c r="BI52" s="251"/>
      <c r="BJ52" s="251"/>
      <c r="BK52" s="251"/>
      <c r="BL52" s="251"/>
      <c r="BM52" s="783">
        <v>45041</v>
      </c>
      <c r="BN52" s="791"/>
    </row>
    <row r="53" spans="1:66" s="260" customFormat="1" ht="26.4" x14ac:dyDescent="0.3">
      <c r="A53" s="258" t="s">
        <v>391</v>
      </c>
      <c r="B53" s="251" t="s">
        <v>1854</v>
      </c>
      <c r="C53" s="258">
        <v>202305873</v>
      </c>
      <c r="D53" s="867" t="s">
        <v>824</v>
      </c>
      <c r="E53" s="487" t="s">
        <v>822</v>
      </c>
      <c r="F53" s="481" t="s">
        <v>1854</v>
      </c>
      <c r="G53" s="253" t="s">
        <v>4</v>
      </c>
      <c r="H53" s="254" t="s">
        <v>816</v>
      </c>
      <c r="I53" s="254" t="s">
        <v>872</v>
      </c>
      <c r="J53" s="255" t="s">
        <v>917</v>
      </c>
      <c r="K53" s="1282" t="s">
        <v>2290</v>
      </c>
      <c r="L53" s="737" t="s">
        <v>854</v>
      </c>
      <c r="M53" s="1307" t="s">
        <v>2701</v>
      </c>
      <c r="N53" s="783"/>
      <c r="O53" s="1297"/>
      <c r="P53" s="251"/>
      <c r="Q53" s="1297" t="s">
        <v>832</v>
      </c>
      <c r="R53" s="256">
        <f>$B$1</f>
        <v>45388</v>
      </c>
      <c r="S53" s="262"/>
      <c r="T53" s="262" t="s">
        <v>2919</v>
      </c>
      <c r="U53" s="257"/>
      <c r="V53" s="257"/>
      <c r="W53" s="258" t="str">
        <f>IFERROR(IF(AND(BD_PRINCIPAL[[#This Row],[DESDE]]&lt;&gt;"",BD_PRINCIPAL[[#This Row],[HASTA]]&lt;&gt;""),_xlfn.DAYS(BD_PRINCIPAL[[#This Row],[HASTA]],BD_PRINCIPAL[[#This Row],[DESDE]]),"")+1,"")</f>
        <v/>
      </c>
      <c r="X53" s="258">
        <f>VLOOKUP(BD_PRINCIPAL[[#This Row],[ENCUADRE. ESC.]],ORDEN1,2,FALSE)</f>
        <v>1</v>
      </c>
      <c r="Y53" s="258">
        <f>VLOOKUP(BD_PRINCIPAL[[#This Row],[DOTACIÓN ACTUAL]],ORDEN2,4,FALSE)</f>
        <v>32</v>
      </c>
      <c r="Z53" s="258">
        <f>VLOOKUP(BD_PRINCIPAL[[#This Row],[GRADO]],ORDEN3,2,FALSE)</f>
        <v>12</v>
      </c>
      <c r="AA53" s="258">
        <f>IFERROR(VLOOKUP(BD_PRINCIPAL[[#This Row],[DOTACIÓN ACTUAL]],ORDEN2,3,FALSE),0)</f>
        <v>0</v>
      </c>
      <c r="AB53" s="251" t="s">
        <v>909</v>
      </c>
      <c r="AC53" s="251" t="s">
        <v>854</v>
      </c>
      <c r="AD53" s="251" t="s">
        <v>2125</v>
      </c>
      <c r="AE53" s="251" t="s">
        <v>1</v>
      </c>
      <c r="AF53" s="251" t="s">
        <v>2</v>
      </c>
      <c r="AG53" s="251" t="s">
        <v>854</v>
      </c>
      <c r="AH53" s="251"/>
      <c r="AI53" s="251"/>
      <c r="AJ53" s="251"/>
      <c r="AK53" s="251"/>
      <c r="AL53" s="251"/>
      <c r="AM53" s="251"/>
      <c r="AN53" s="251"/>
      <c r="AO53" s="251"/>
      <c r="AP53" s="251"/>
      <c r="AQ53" s="251"/>
      <c r="AR53" s="251"/>
      <c r="AS53" s="251"/>
      <c r="AT53" s="259"/>
      <c r="AU53" s="259"/>
      <c r="AV53" s="259"/>
      <c r="AW53" s="259"/>
      <c r="AX53" s="259"/>
      <c r="AY53" s="259"/>
      <c r="AZ53" s="259"/>
      <c r="BA53" s="251"/>
      <c r="BB53" s="251"/>
      <c r="BC53" s="251"/>
      <c r="BD53" s="251"/>
      <c r="BE53" s="251"/>
      <c r="BF53" s="251"/>
      <c r="BG53" s="251"/>
      <c r="BH53" s="251"/>
      <c r="BI53" s="251"/>
      <c r="BJ53" s="251"/>
      <c r="BK53" s="251"/>
      <c r="BL53" s="251"/>
      <c r="BM53" s="783">
        <v>45152</v>
      </c>
      <c r="BN53" s="791"/>
    </row>
    <row r="54" spans="1:66" s="189" customFormat="1" ht="26.4" x14ac:dyDescent="0.3">
      <c r="A54" s="188" t="s">
        <v>403</v>
      </c>
      <c r="B54" s="181" t="s">
        <v>234</v>
      </c>
      <c r="C54" s="188">
        <v>158085941</v>
      </c>
      <c r="D54" s="313" t="s">
        <v>823</v>
      </c>
      <c r="E54" s="488" t="s">
        <v>823</v>
      </c>
      <c r="F54" s="479" t="s">
        <v>234</v>
      </c>
      <c r="G54" s="191" t="s">
        <v>209</v>
      </c>
      <c r="H54" s="184" t="s">
        <v>816</v>
      </c>
      <c r="I54" s="184" t="s">
        <v>872</v>
      </c>
      <c r="J54" s="185" t="s">
        <v>917</v>
      </c>
      <c r="K54" s="1283" t="s">
        <v>2290</v>
      </c>
      <c r="L54" s="736" t="s">
        <v>2125</v>
      </c>
      <c r="M54" s="1308" t="s">
        <v>2701</v>
      </c>
      <c r="N54" s="777"/>
      <c r="O54" s="1298"/>
      <c r="P54" s="181"/>
      <c r="Q54" s="1298" t="s">
        <v>832</v>
      </c>
      <c r="R54" s="186">
        <f>$B$1</f>
        <v>45388</v>
      </c>
      <c r="S54" s="190"/>
      <c r="T54" s="190" t="s">
        <v>2919</v>
      </c>
      <c r="U54" s="192"/>
      <c r="V54" s="192"/>
      <c r="W54" s="188" t="str">
        <f>IFERROR(IF(AND(BD_PRINCIPAL[[#This Row],[DESDE]]&lt;&gt;"",BD_PRINCIPAL[[#This Row],[HASTA]]&lt;&gt;""),_xlfn.DAYS(BD_PRINCIPAL[[#This Row],[HASTA]],BD_PRINCIPAL[[#This Row],[DESDE]]),"")+1,"")</f>
        <v/>
      </c>
      <c r="X54" s="188">
        <f>VLOOKUP(BD_PRINCIPAL[[#This Row],[ENCUADRE. ESC.]],ORDEN1,2,FALSE)</f>
        <v>1</v>
      </c>
      <c r="Y54" s="188">
        <f>VLOOKUP(BD_PRINCIPAL[[#This Row],[DOTACIÓN ACTUAL]],ORDEN2,4,FALSE)</f>
        <v>33</v>
      </c>
      <c r="Z54" s="188">
        <f>VLOOKUP(BD_PRINCIPAL[[#This Row],[GRADO]],ORDEN3,2,FALSE)</f>
        <v>10</v>
      </c>
      <c r="AA54" s="188">
        <f>IFERROR(VLOOKUP(BD_PRINCIPAL[[#This Row],[DOTACIÓN ACTUAL]],ORDEN2,3,FALSE),0)</f>
        <v>0</v>
      </c>
      <c r="AB54" s="181" t="s">
        <v>854</v>
      </c>
      <c r="AC54" s="181" t="s">
        <v>2125</v>
      </c>
      <c r="AD54" s="181" t="s">
        <v>1</v>
      </c>
      <c r="AE54" s="181" t="s">
        <v>2</v>
      </c>
      <c r="AF54" s="181" t="s">
        <v>854</v>
      </c>
      <c r="AG54" s="181" t="s">
        <v>2125</v>
      </c>
      <c r="AH54" s="181"/>
      <c r="AI54" s="181"/>
      <c r="AJ54" s="181"/>
      <c r="AK54" s="181"/>
      <c r="AL54" s="181"/>
      <c r="AM54" s="181"/>
      <c r="AN54" s="181"/>
      <c r="AO54" s="181"/>
      <c r="AP54" s="181"/>
      <c r="AQ54" s="181"/>
      <c r="AR54" s="181"/>
      <c r="AS54" s="181"/>
      <c r="AT54" s="187"/>
      <c r="AU54" s="187"/>
      <c r="AV54" s="187"/>
      <c r="AW54" s="187"/>
      <c r="AX54" s="187"/>
      <c r="AY54" s="187"/>
      <c r="AZ54" s="187"/>
      <c r="BA54" s="181"/>
      <c r="BB54" s="181"/>
      <c r="BC54" s="181"/>
      <c r="BD54" s="181"/>
      <c r="BE54" s="181"/>
      <c r="BF54" s="181"/>
      <c r="BG54" s="181"/>
      <c r="BH54" s="181"/>
      <c r="BI54" s="181"/>
      <c r="BJ54" s="181"/>
      <c r="BK54" s="181"/>
      <c r="BL54" s="181"/>
      <c r="BM54" s="777">
        <v>45029</v>
      </c>
      <c r="BN54" s="792"/>
    </row>
    <row r="55" spans="1:66" s="189" customFormat="1" ht="26.4" x14ac:dyDescent="0.3">
      <c r="A55" s="188" t="s">
        <v>463</v>
      </c>
      <c r="B55" s="181" t="s">
        <v>1887</v>
      </c>
      <c r="C55" s="188">
        <v>203640811</v>
      </c>
      <c r="D55" s="479" t="s">
        <v>823</v>
      </c>
      <c r="E55" s="479" t="s">
        <v>823</v>
      </c>
      <c r="F55" s="479" t="s">
        <v>1887</v>
      </c>
      <c r="G55" s="183" t="s">
        <v>4</v>
      </c>
      <c r="H55" s="184" t="s">
        <v>816</v>
      </c>
      <c r="I55" s="184" t="s">
        <v>872</v>
      </c>
      <c r="J55" s="185" t="s">
        <v>917</v>
      </c>
      <c r="K55" s="1283" t="s">
        <v>2290</v>
      </c>
      <c r="L55" s="736" t="s">
        <v>2125</v>
      </c>
      <c r="M55" s="1308" t="s">
        <v>2701</v>
      </c>
      <c r="N55" s="778"/>
      <c r="O55" s="1298"/>
      <c r="P55" s="181"/>
      <c r="Q55" s="1298" t="s">
        <v>832</v>
      </c>
      <c r="R55" s="186">
        <f>$B$1</f>
        <v>45388</v>
      </c>
      <c r="S55" s="190"/>
      <c r="T55" s="190" t="s">
        <v>2919</v>
      </c>
      <c r="U55" s="192"/>
      <c r="V55" s="192"/>
      <c r="W55" s="188" t="str">
        <f>IFERROR(IF(AND(BD_PRINCIPAL[[#This Row],[DESDE]]&lt;&gt;"",BD_PRINCIPAL[[#This Row],[HASTA]]&lt;&gt;""),_xlfn.DAYS(BD_PRINCIPAL[[#This Row],[HASTA]],BD_PRINCIPAL[[#This Row],[DESDE]]),"")+1,"")</f>
        <v/>
      </c>
      <c r="X55" s="188">
        <f>VLOOKUP(BD_PRINCIPAL[[#This Row],[ENCUADRE. ESC.]],ORDEN1,2,FALSE)</f>
        <v>1</v>
      </c>
      <c r="Y55" s="188">
        <f>VLOOKUP(BD_PRINCIPAL[[#This Row],[DOTACIÓN ACTUAL]],ORDEN2,4,FALSE)</f>
        <v>33</v>
      </c>
      <c r="Z55" s="188">
        <f>VLOOKUP(BD_PRINCIPAL[[#This Row],[GRADO]],ORDEN3,2,FALSE)</f>
        <v>12</v>
      </c>
      <c r="AA55" s="188">
        <f>IFERROR(VLOOKUP(BD_PRINCIPAL[[#This Row],[DOTACIÓN ACTUAL]],ORDEN2,3,FALSE),0)</f>
        <v>0</v>
      </c>
      <c r="AB55" s="181" t="s">
        <v>854</v>
      </c>
      <c r="AC55" s="181" t="s">
        <v>2125</v>
      </c>
      <c r="AD55" s="181" t="s">
        <v>1</v>
      </c>
      <c r="AE55" s="181" t="s">
        <v>2</v>
      </c>
      <c r="AF55" s="181" t="s">
        <v>854</v>
      </c>
      <c r="AG55" s="181" t="s">
        <v>2125</v>
      </c>
      <c r="AH55" s="181"/>
      <c r="AI55" s="181"/>
      <c r="AJ55" s="181"/>
      <c r="AK55" s="181"/>
      <c r="AL55" s="181"/>
      <c r="AM55" s="181"/>
      <c r="AN55" s="181"/>
      <c r="AO55" s="181"/>
      <c r="AP55" s="181"/>
      <c r="AQ55" s="181"/>
      <c r="AR55" s="181"/>
      <c r="AS55" s="181"/>
      <c r="AT55" s="187"/>
      <c r="AU55" s="187"/>
      <c r="AV55" s="187"/>
      <c r="AW55" s="187"/>
      <c r="AX55" s="187"/>
      <c r="AY55" s="187"/>
      <c r="AZ55" s="187"/>
      <c r="BA55" s="181"/>
      <c r="BB55" s="181"/>
      <c r="BC55" s="181"/>
      <c r="BD55" s="181"/>
      <c r="BE55" s="181"/>
      <c r="BF55" s="181"/>
      <c r="BG55" s="181"/>
      <c r="BH55" s="181"/>
      <c r="BI55" s="181"/>
      <c r="BJ55" s="181"/>
      <c r="BK55" s="181"/>
      <c r="BL55" s="181"/>
      <c r="BM55" s="778">
        <v>45154</v>
      </c>
      <c r="BN55" s="792"/>
    </row>
    <row r="56" spans="1:66" s="221" customFormat="1" ht="26.4" x14ac:dyDescent="0.3">
      <c r="A56" s="219" t="s">
        <v>2687</v>
      </c>
      <c r="B56" s="728" t="s">
        <v>2689</v>
      </c>
      <c r="C56" s="219" t="s">
        <v>2688</v>
      </c>
      <c r="D56" s="873" t="s">
        <v>822</v>
      </c>
      <c r="E56" s="480" t="s">
        <v>824</v>
      </c>
      <c r="F56" s="480" t="s">
        <v>2689</v>
      </c>
      <c r="G56" s="222" t="s">
        <v>3</v>
      </c>
      <c r="H56" s="215" t="s">
        <v>816</v>
      </c>
      <c r="I56" s="215" t="s">
        <v>872</v>
      </c>
      <c r="J56" s="216" t="s">
        <v>917</v>
      </c>
      <c r="K56" s="1279" t="s">
        <v>2290</v>
      </c>
      <c r="L56" s="733" t="s">
        <v>855</v>
      </c>
      <c r="M56" s="1304" t="s">
        <v>2701</v>
      </c>
      <c r="N56" s="787"/>
      <c r="O56" s="1294"/>
      <c r="P56" s="212"/>
      <c r="Q56" s="1294" t="s">
        <v>832</v>
      </c>
      <c r="R56" s="498">
        <v>33321</v>
      </c>
      <c r="S56" s="223"/>
      <c r="T56" s="213"/>
      <c r="U56" s="747"/>
      <c r="V56" s="747"/>
      <c r="W56" s="499" t="str">
        <f>IFERROR(IF(AND(BD_PRINCIPAL[[#This Row],[DESDE]]&lt;&gt;"",BD_PRINCIPAL[[#This Row],[HASTA]]&lt;&gt;""),_xlfn.DAYS(BD_PRINCIPAL[[#This Row],[HASTA]],BD_PRINCIPAL[[#This Row],[DESDE]]),"")+1,"")</f>
        <v/>
      </c>
      <c r="X56" s="499">
        <f>VLOOKUP(BD_PRINCIPAL[[#This Row],[ENCUADRE. ESC.]],ORDEN1,2,FALSE)</f>
        <v>1</v>
      </c>
      <c r="Y56" s="499">
        <f>VLOOKUP(BD_PRINCIPAL[[#This Row],[DOTACIÓN ACTUAL]],ORDEN2,4,FALSE)</f>
        <v>34</v>
      </c>
      <c r="Z56" s="499">
        <f>VLOOKUP(BD_PRINCIPAL[[#This Row],[GRADO]],ORDEN3,2,FALSE)</f>
        <v>11</v>
      </c>
      <c r="AA56" s="499">
        <f>IFERROR(VLOOKUP(BD_PRINCIPAL[[#This Row],[DOTACIÓN ACTUAL]],ORDEN2,3,FALSE),0)</f>
        <v>0</v>
      </c>
      <c r="AB56" s="212" t="s">
        <v>2125</v>
      </c>
      <c r="AC56" s="212" t="s">
        <v>1</v>
      </c>
      <c r="AD56" s="212" t="s">
        <v>2</v>
      </c>
      <c r="AE56" s="212" t="s">
        <v>854</v>
      </c>
      <c r="AF56" s="212" t="s">
        <v>2125</v>
      </c>
      <c r="AG56" s="212" t="s">
        <v>855</v>
      </c>
      <c r="AH56" s="220"/>
      <c r="AI56" s="220"/>
      <c r="AJ56" s="220"/>
      <c r="AK56" s="220"/>
      <c r="AL56" s="220"/>
      <c r="AM56" s="220"/>
      <c r="AN56" s="220"/>
      <c r="AO56" s="220"/>
      <c r="AP56" s="220"/>
      <c r="AQ56" s="220"/>
      <c r="AR56" s="220"/>
      <c r="AS56" s="220"/>
      <c r="AT56" s="220"/>
      <c r="AU56" s="220"/>
      <c r="AV56" s="220"/>
      <c r="AW56" s="220"/>
      <c r="AX56" s="220"/>
      <c r="AY56" s="220"/>
      <c r="AZ56" s="220"/>
      <c r="BA56" s="212"/>
      <c r="BB56" s="212"/>
      <c r="BC56" s="212"/>
      <c r="BD56" s="212"/>
      <c r="BE56" s="212"/>
      <c r="BF56" s="212"/>
      <c r="BG56" s="212"/>
      <c r="BH56" s="212"/>
      <c r="BI56" s="212"/>
      <c r="BJ56" s="212"/>
      <c r="BK56" s="212"/>
      <c r="BL56" s="212"/>
      <c r="BM56" s="890">
        <v>45362</v>
      </c>
      <c r="BN56" s="890"/>
    </row>
    <row r="57" spans="1:66" s="221" customFormat="1" ht="26.4" x14ac:dyDescent="0.3">
      <c r="A57" s="219" t="s">
        <v>306</v>
      </c>
      <c r="B57" s="212" t="s">
        <v>37</v>
      </c>
      <c r="C57" s="219">
        <v>167082599</v>
      </c>
      <c r="D57" s="715" t="s">
        <v>822</v>
      </c>
      <c r="E57" s="485" t="s">
        <v>824</v>
      </c>
      <c r="F57" s="480" t="s">
        <v>37</v>
      </c>
      <c r="G57" s="214" t="s">
        <v>4</v>
      </c>
      <c r="H57" s="215" t="s">
        <v>816</v>
      </c>
      <c r="I57" s="215" t="s">
        <v>872</v>
      </c>
      <c r="J57" s="216" t="s">
        <v>917</v>
      </c>
      <c r="K57" s="1279" t="s">
        <v>2290</v>
      </c>
      <c r="L57" s="733" t="s">
        <v>855</v>
      </c>
      <c r="M57" s="1304" t="s">
        <v>2701</v>
      </c>
      <c r="N57" s="772"/>
      <c r="O57" s="1294"/>
      <c r="P57" s="212"/>
      <c r="Q57" s="1294" t="s">
        <v>832</v>
      </c>
      <c r="R57" s="217">
        <f>$B$1</f>
        <v>45388</v>
      </c>
      <c r="S57" s="223"/>
      <c r="T57" s="223"/>
      <c r="U57" s="218"/>
      <c r="V57" s="218"/>
      <c r="W57" s="219" t="str">
        <f>IFERROR(IF(AND(BD_PRINCIPAL[[#This Row],[DESDE]]&lt;&gt;"",BD_PRINCIPAL[[#This Row],[HASTA]]&lt;&gt;""),_xlfn.DAYS(BD_PRINCIPAL[[#This Row],[HASTA]],BD_PRINCIPAL[[#This Row],[DESDE]]),"")+1,"")</f>
        <v/>
      </c>
      <c r="X57" s="219">
        <f>VLOOKUP(BD_PRINCIPAL[[#This Row],[ENCUADRE. ESC.]],ORDEN1,2,FALSE)</f>
        <v>1</v>
      </c>
      <c r="Y57" s="219">
        <f>VLOOKUP(BD_PRINCIPAL[[#This Row],[DOTACIÓN ACTUAL]],ORDEN2,4,FALSE)</f>
        <v>34</v>
      </c>
      <c r="Z57" s="219">
        <f>VLOOKUP(BD_PRINCIPAL[[#This Row],[GRADO]],ORDEN3,2,FALSE)</f>
        <v>12</v>
      </c>
      <c r="AA57" s="219">
        <f>IFERROR(VLOOKUP(BD_PRINCIPAL[[#This Row],[DOTACIÓN ACTUAL]],ORDEN2,3,FALSE),0)</f>
        <v>0</v>
      </c>
      <c r="AB57" s="212" t="s">
        <v>2125</v>
      </c>
      <c r="AC57" s="212" t="s">
        <v>1</v>
      </c>
      <c r="AD57" s="212" t="s">
        <v>2</v>
      </c>
      <c r="AE57" s="212" t="s">
        <v>854</v>
      </c>
      <c r="AF57" s="212" t="s">
        <v>2125</v>
      </c>
      <c r="AG57" s="212" t="s">
        <v>855</v>
      </c>
      <c r="AH57" s="212"/>
      <c r="AI57" s="212"/>
      <c r="AJ57" s="212"/>
      <c r="AK57" s="212"/>
      <c r="AL57" s="212"/>
      <c r="AM57" s="212"/>
      <c r="AN57" s="212"/>
      <c r="AO57" s="212"/>
      <c r="AP57" s="212"/>
      <c r="AQ57" s="212"/>
      <c r="AR57" s="212"/>
      <c r="AS57" s="212"/>
      <c r="AT57" s="220"/>
      <c r="AU57" s="220"/>
      <c r="AV57" s="220"/>
      <c r="AW57" s="220"/>
      <c r="AX57" s="220"/>
      <c r="AY57" s="220"/>
      <c r="AZ57" s="220"/>
      <c r="BA57" s="212"/>
      <c r="BB57" s="212"/>
      <c r="BC57" s="212"/>
      <c r="BD57" s="212"/>
      <c r="BE57" s="212"/>
      <c r="BF57" s="212"/>
      <c r="BG57" s="212"/>
      <c r="BH57" s="212"/>
      <c r="BI57" s="212"/>
      <c r="BJ57" s="212"/>
      <c r="BK57" s="212"/>
      <c r="BL57" s="212"/>
      <c r="BM57" s="772">
        <v>45054</v>
      </c>
      <c r="BN57" s="789"/>
    </row>
    <row r="58" spans="1:66" s="233" customFormat="1" ht="26.4" x14ac:dyDescent="0.3">
      <c r="A58" s="231" t="s">
        <v>561</v>
      </c>
      <c r="B58" s="225" t="s">
        <v>69</v>
      </c>
      <c r="C58" s="231">
        <v>116952726</v>
      </c>
      <c r="D58" s="716" t="s">
        <v>1081</v>
      </c>
      <c r="E58" s="477" t="s">
        <v>825</v>
      </c>
      <c r="F58" s="477" t="s">
        <v>69</v>
      </c>
      <c r="G58" s="227" t="s">
        <v>89</v>
      </c>
      <c r="H58" s="228" t="s">
        <v>816</v>
      </c>
      <c r="I58" s="228" t="s">
        <v>872</v>
      </c>
      <c r="J58" s="229" t="s">
        <v>917</v>
      </c>
      <c r="K58" s="1280" t="s">
        <v>2290</v>
      </c>
      <c r="L58" s="734" t="s">
        <v>1075</v>
      </c>
      <c r="M58" s="1305" t="s">
        <v>825</v>
      </c>
      <c r="N58" s="773"/>
      <c r="O58" s="1295"/>
      <c r="P58" s="225"/>
      <c r="Q58" s="1295" t="s">
        <v>832</v>
      </c>
      <c r="R58" s="234">
        <f>$B$1</f>
        <v>45388</v>
      </c>
      <c r="S58" s="236" t="s">
        <v>3409</v>
      </c>
      <c r="T58" s="226"/>
      <c r="U58" s="230"/>
      <c r="V58" s="230"/>
      <c r="W58" s="231" t="str">
        <f>IFERROR(IF(AND(BD_PRINCIPAL[[#This Row],[DESDE]]&lt;&gt;"",BD_PRINCIPAL[[#This Row],[HASTA]]&lt;&gt;""),_xlfn.DAYS(BD_PRINCIPAL[[#This Row],[HASTA]],BD_PRINCIPAL[[#This Row],[DESDE]]),"")+1,"")</f>
        <v/>
      </c>
      <c r="X58" s="231">
        <f>VLOOKUP(BD_PRINCIPAL[[#This Row],[ENCUADRE. ESC.]],ORDEN1,2,FALSE)</f>
        <v>1</v>
      </c>
      <c r="Y58" s="231">
        <f>VLOOKUP(BD_PRINCIPAL[[#This Row],[DOTACIÓN ACTUAL]],ORDEN2,4,FALSE)</f>
        <v>35</v>
      </c>
      <c r="Z58" s="231">
        <f>VLOOKUP(BD_PRINCIPAL[[#This Row],[GRADO]],ORDEN3,2,FALSE)</f>
        <v>9</v>
      </c>
      <c r="AA58" s="231">
        <f>IFERROR(VLOOKUP(BD_PRINCIPAL[[#This Row],[DOTACIÓN ACTUAL]],ORDEN2,3,FALSE),0)</f>
        <v>0</v>
      </c>
      <c r="AB58" s="225" t="s">
        <v>1075</v>
      </c>
      <c r="AC58" s="225" t="s">
        <v>1075</v>
      </c>
      <c r="AD58" s="225" t="s">
        <v>1075</v>
      </c>
      <c r="AE58" s="225" t="s">
        <v>1075</v>
      </c>
      <c r="AF58" s="225" t="s">
        <v>1075</v>
      </c>
      <c r="AG58" s="225" t="s">
        <v>1075</v>
      </c>
      <c r="AH58" s="225"/>
      <c r="AI58" s="225"/>
      <c r="AJ58" s="225"/>
      <c r="AK58" s="225"/>
      <c r="AL58" s="225"/>
      <c r="AM58" s="225"/>
      <c r="AN58" s="225"/>
      <c r="AO58" s="225"/>
      <c r="AP58" s="225"/>
      <c r="AQ58" s="225"/>
      <c r="AR58" s="225"/>
      <c r="AS58" s="225"/>
      <c r="AT58" s="232"/>
      <c r="AU58" s="232"/>
      <c r="AV58" s="232"/>
      <c r="AW58" s="232"/>
      <c r="AX58" s="232"/>
      <c r="AY58" s="232"/>
      <c r="AZ58" s="232"/>
      <c r="BA58" s="225"/>
      <c r="BB58" s="225"/>
      <c r="BC58" s="225"/>
      <c r="BD58" s="225"/>
      <c r="BE58" s="225"/>
      <c r="BF58" s="225"/>
      <c r="BG58" s="225"/>
      <c r="BH58" s="225"/>
      <c r="BI58" s="225"/>
      <c r="BJ58" s="225"/>
      <c r="BK58" s="225"/>
      <c r="BL58" s="225"/>
      <c r="BM58" s="773">
        <v>45387</v>
      </c>
      <c r="BN58" s="790"/>
    </row>
    <row r="59" spans="1:66" s="233" customFormat="1" ht="39.6" x14ac:dyDescent="0.3">
      <c r="A59" s="231" t="s">
        <v>501</v>
      </c>
      <c r="B59" s="225" t="s">
        <v>1894</v>
      </c>
      <c r="C59" s="231">
        <v>197179724</v>
      </c>
      <c r="D59" s="715" t="s">
        <v>785</v>
      </c>
      <c r="E59" s="1036" t="s">
        <v>825</v>
      </c>
      <c r="F59" s="477" t="s">
        <v>1894</v>
      </c>
      <c r="G59" s="227" t="s">
        <v>4</v>
      </c>
      <c r="H59" s="228" t="s">
        <v>816</v>
      </c>
      <c r="I59" s="228" t="s">
        <v>872</v>
      </c>
      <c r="J59" s="229" t="s">
        <v>917</v>
      </c>
      <c r="K59" s="1280" t="s">
        <v>2290</v>
      </c>
      <c r="L59" s="734" t="s">
        <v>1075</v>
      </c>
      <c r="M59" s="1305" t="s">
        <v>825</v>
      </c>
      <c r="N59" s="780"/>
      <c r="O59" s="1295"/>
      <c r="P59" s="225"/>
      <c r="Q59" s="1295" t="s">
        <v>832</v>
      </c>
      <c r="R59" s="234">
        <f>$B$1</f>
        <v>45388</v>
      </c>
      <c r="S59" s="236" t="s">
        <v>3407</v>
      </c>
      <c r="T59" s="226"/>
      <c r="U59" s="230"/>
      <c r="V59" s="230"/>
      <c r="W59" s="231" t="str">
        <f>IFERROR(IF(AND(BD_PRINCIPAL[[#This Row],[DESDE]]&lt;&gt;"",BD_PRINCIPAL[[#This Row],[HASTA]]&lt;&gt;""),_xlfn.DAYS(BD_PRINCIPAL[[#This Row],[HASTA]],BD_PRINCIPAL[[#This Row],[DESDE]]),"")+1,"")</f>
        <v/>
      </c>
      <c r="X59" s="231">
        <f>VLOOKUP(BD_PRINCIPAL[[#This Row],[ENCUADRE. ESC.]],ORDEN1,2,FALSE)</f>
        <v>1</v>
      </c>
      <c r="Y59" s="231">
        <f>VLOOKUP(BD_PRINCIPAL[[#This Row],[DOTACIÓN ACTUAL]],ORDEN2,4,FALSE)</f>
        <v>35</v>
      </c>
      <c r="Z59" s="231">
        <f>VLOOKUP(BD_PRINCIPAL[[#This Row],[GRADO]],ORDEN3,2,FALSE)</f>
        <v>12</v>
      </c>
      <c r="AA59" s="231">
        <f>IFERROR(VLOOKUP(BD_PRINCIPAL[[#This Row],[DOTACIÓN ACTUAL]],ORDEN2,3,FALSE),0)</f>
        <v>0</v>
      </c>
      <c r="AB59" s="225" t="s">
        <v>1075</v>
      </c>
      <c r="AC59" s="225" t="s">
        <v>1075</v>
      </c>
      <c r="AD59" s="225" t="s">
        <v>1075</v>
      </c>
      <c r="AE59" s="225" t="s">
        <v>1075</v>
      </c>
      <c r="AF59" s="225" t="s">
        <v>1075</v>
      </c>
      <c r="AG59" s="225" t="s">
        <v>1075</v>
      </c>
      <c r="AH59" s="225"/>
      <c r="AI59" s="225"/>
      <c r="AJ59" s="225"/>
      <c r="AK59" s="225"/>
      <c r="AL59" s="225"/>
      <c r="AM59" s="225"/>
      <c r="AN59" s="225"/>
      <c r="AO59" s="225"/>
      <c r="AP59" s="225"/>
      <c r="AQ59" s="225"/>
      <c r="AR59" s="225"/>
      <c r="AS59" s="225"/>
      <c r="AT59" s="232"/>
      <c r="AU59" s="232"/>
      <c r="AV59" s="232"/>
      <c r="AW59" s="232"/>
      <c r="AX59" s="232"/>
      <c r="AY59" s="232"/>
      <c r="AZ59" s="232"/>
      <c r="BA59" s="225"/>
      <c r="BB59" s="225"/>
      <c r="BC59" s="225"/>
      <c r="BD59" s="225"/>
      <c r="BE59" s="225"/>
      <c r="BF59" s="225"/>
      <c r="BG59" s="225"/>
      <c r="BH59" s="225"/>
      <c r="BI59" s="225"/>
      <c r="BJ59" s="225"/>
      <c r="BK59" s="225"/>
      <c r="BL59" s="225"/>
      <c r="BM59" s="780">
        <v>45387</v>
      </c>
      <c r="BN59" s="790"/>
    </row>
    <row r="60" spans="1:66" s="233" customFormat="1" ht="39.6" x14ac:dyDescent="0.3">
      <c r="A60" s="231" t="s">
        <v>504</v>
      </c>
      <c r="B60" s="225" t="s">
        <v>1851</v>
      </c>
      <c r="C60" s="231">
        <v>188120318</v>
      </c>
      <c r="D60" s="715" t="s">
        <v>785</v>
      </c>
      <c r="E60" s="484" t="s">
        <v>825</v>
      </c>
      <c r="F60" s="477" t="s">
        <v>1851</v>
      </c>
      <c r="G60" s="227" t="s">
        <v>4</v>
      </c>
      <c r="H60" s="228" t="s">
        <v>816</v>
      </c>
      <c r="I60" s="228" t="s">
        <v>872</v>
      </c>
      <c r="J60" s="229" t="s">
        <v>917</v>
      </c>
      <c r="K60" s="1280" t="s">
        <v>2290</v>
      </c>
      <c r="L60" s="734" t="s">
        <v>1075</v>
      </c>
      <c r="M60" s="1305" t="s">
        <v>825</v>
      </c>
      <c r="N60" s="780"/>
      <c r="O60" s="1295"/>
      <c r="P60" s="225"/>
      <c r="Q60" s="1295" t="s">
        <v>832</v>
      </c>
      <c r="R60" s="234">
        <f>$B$1</f>
        <v>45388</v>
      </c>
      <c r="S60" s="236" t="s">
        <v>3408</v>
      </c>
      <c r="T60" s="236"/>
      <c r="U60" s="230"/>
      <c r="V60" s="230"/>
      <c r="W60" s="231" t="str">
        <f>IFERROR(IF(AND(BD_PRINCIPAL[[#This Row],[DESDE]]&lt;&gt;"",BD_PRINCIPAL[[#This Row],[HASTA]]&lt;&gt;""),_xlfn.DAYS(BD_PRINCIPAL[[#This Row],[HASTA]],BD_PRINCIPAL[[#This Row],[DESDE]]),"")+1,"")</f>
        <v/>
      </c>
      <c r="X60" s="231">
        <f>VLOOKUP(BD_PRINCIPAL[[#This Row],[ENCUADRE. ESC.]],ORDEN1,2,FALSE)</f>
        <v>1</v>
      </c>
      <c r="Y60" s="231">
        <f>VLOOKUP(BD_PRINCIPAL[[#This Row],[DOTACIÓN ACTUAL]],ORDEN2,4,FALSE)</f>
        <v>35</v>
      </c>
      <c r="Z60" s="231">
        <f>VLOOKUP(BD_PRINCIPAL[[#This Row],[GRADO]],ORDEN3,2,FALSE)</f>
        <v>12</v>
      </c>
      <c r="AA60" s="231">
        <f>IFERROR(VLOOKUP(BD_PRINCIPAL[[#This Row],[DOTACIÓN ACTUAL]],ORDEN2,3,FALSE),0)</f>
        <v>0</v>
      </c>
      <c r="AB60" s="225" t="s">
        <v>1075</v>
      </c>
      <c r="AC60" s="225" t="s">
        <v>1075</v>
      </c>
      <c r="AD60" s="225" t="s">
        <v>1075</v>
      </c>
      <c r="AE60" s="225" t="s">
        <v>1075</v>
      </c>
      <c r="AF60" s="225" t="s">
        <v>1075</v>
      </c>
      <c r="AG60" s="225" t="s">
        <v>1075</v>
      </c>
      <c r="AH60" s="225"/>
      <c r="AI60" s="225"/>
      <c r="AJ60" s="225"/>
      <c r="AK60" s="225"/>
      <c r="AL60" s="225"/>
      <c r="AM60" s="225"/>
      <c r="AN60" s="225"/>
      <c r="AO60" s="225"/>
      <c r="AP60" s="225"/>
      <c r="AQ60" s="225"/>
      <c r="AR60" s="225"/>
      <c r="AS60" s="225"/>
      <c r="AT60" s="232"/>
      <c r="AU60" s="232"/>
      <c r="AV60" s="232"/>
      <c r="AW60" s="232"/>
      <c r="AX60" s="232"/>
      <c r="AY60" s="232"/>
      <c r="AZ60" s="232"/>
      <c r="BA60" s="225"/>
      <c r="BB60" s="225"/>
      <c r="BC60" s="225"/>
      <c r="BD60" s="225"/>
      <c r="BE60" s="225"/>
      <c r="BF60" s="225"/>
      <c r="BG60" s="225"/>
      <c r="BH60" s="225"/>
      <c r="BI60" s="225"/>
      <c r="BJ60" s="225"/>
      <c r="BK60" s="225"/>
      <c r="BL60" s="225"/>
      <c r="BM60" s="780">
        <v>45387</v>
      </c>
      <c r="BN60" s="790"/>
    </row>
    <row r="61" spans="1:66" s="189" customFormat="1" ht="26.4" x14ac:dyDescent="0.3">
      <c r="A61" s="188" t="s">
        <v>311</v>
      </c>
      <c r="B61" s="181" t="s">
        <v>1880</v>
      </c>
      <c r="C61" s="188">
        <v>127355010</v>
      </c>
      <c r="D61" s="866" t="s">
        <v>2001</v>
      </c>
      <c r="E61" s="482" t="s">
        <v>826</v>
      </c>
      <c r="F61" s="479" t="s">
        <v>1989</v>
      </c>
      <c r="G61" s="191" t="s">
        <v>209</v>
      </c>
      <c r="H61" s="184" t="s">
        <v>816</v>
      </c>
      <c r="I61" s="184" t="s">
        <v>872</v>
      </c>
      <c r="J61" s="185" t="s">
        <v>917</v>
      </c>
      <c r="K61" s="1283" t="s">
        <v>2296</v>
      </c>
      <c r="L61" s="736" t="s">
        <v>855</v>
      </c>
      <c r="M61" s="1308" t="s">
        <v>826</v>
      </c>
      <c r="N61" s="777"/>
      <c r="O61" s="1298"/>
      <c r="P61" s="181"/>
      <c r="Q61" s="1298" t="s">
        <v>832</v>
      </c>
      <c r="R61" s="186">
        <f>$B$1</f>
        <v>45388</v>
      </c>
      <c r="S61" s="190"/>
      <c r="T61" s="182" t="s">
        <v>3583</v>
      </c>
      <c r="U61" s="192"/>
      <c r="V61" s="192"/>
      <c r="W61" s="188" t="str">
        <f>IFERROR(IF(AND(BD_PRINCIPAL[[#This Row],[DESDE]]&lt;&gt;"",BD_PRINCIPAL[[#This Row],[HASTA]]&lt;&gt;""),_xlfn.DAYS(BD_PRINCIPAL[[#This Row],[HASTA]],BD_PRINCIPAL[[#This Row],[DESDE]]),"")+1,"")</f>
        <v/>
      </c>
      <c r="X61" s="188">
        <f>VLOOKUP(BD_PRINCIPAL[[#This Row],[ENCUADRE. ESC.]],ORDEN1,2,FALSE)</f>
        <v>1</v>
      </c>
      <c r="Y61" s="188">
        <f>VLOOKUP(BD_PRINCIPAL[[#This Row],[DOTACIÓN ACTUAL]],ORDEN2,4,FALSE)</f>
        <v>38</v>
      </c>
      <c r="Z61" s="188">
        <f>VLOOKUP(BD_PRINCIPAL[[#This Row],[GRADO]],ORDEN3,2,FALSE)</f>
        <v>10</v>
      </c>
      <c r="AA61" s="188">
        <f>IFERROR(VLOOKUP(BD_PRINCIPAL[[#This Row],[DOTACIÓN ACTUAL]],ORDEN2,3,FALSE),0)</f>
        <v>0</v>
      </c>
      <c r="AB61" s="181" t="s">
        <v>885</v>
      </c>
      <c r="AC61" s="181" t="s">
        <v>853</v>
      </c>
      <c r="AD61" s="181" t="s">
        <v>853</v>
      </c>
      <c r="AE61" s="181" t="s">
        <v>853</v>
      </c>
      <c r="AF61" s="181" t="s">
        <v>853</v>
      </c>
      <c r="AG61" s="181" t="s">
        <v>855</v>
      </c>
      <c r="AH61" s="181"/>
      <c r="AI61" s="181"/>
      <c r="AJ61" s="181"/>
      <c r="AK61" s="181"/>
      <c r="AL61" s="181"/>
      <c r="AM61" s="181"/>
      <c r="AN61" s="181"/>
      <c r="AO61" s="181"/>
      <c r="AP61" s="181"/>
      <c r="AQ61" s="181"/>
      <c r="AR61" s="181"/>
      <c r="AS61" s="181"/>
      <c r="AT61" s="187"/>
      <c r="AU61" s="187"/>
      <c r="AV61" s="187"/>
      <c r="AW61" s="187"/>
      <c r="AX61" s="187"/>
      <c r="AY61" s="187"/>
      <c r="AZ61" s="187"/>
      <c r="BA61" s="181"/>
      <c r="BB61" s="181"/>
      <c r="BC61" s="181"/>
      <c r="BD61" s="181"/>
      <c r="BE61" s="181"/>
      <c r="BF61" s="181"/>
      <c r="BG61" s="181"/>
      <c r="BH61" s="181"/>
      <c r="BI61" s="181"/>
      <c r="BJ61" s="181"/>
      <c r="BK61" s="181"/>
      <c r="BL61" s="181"/>
      <c r="BM61" s="777">
        <v>45026</v>
      </c>
      <c r="BN61" s="792"/>
    </row>
    <row r="62" spans="1:66" s="189" customFormat="1" ht="26.4" x14ac:dyDescent="0.3">
      <c r="A62" s="188" t="s">
        <v>2832</v>
      </c>
      <c r="B62" s="864" t="s">
        <v>2833</v>
      </c>
      <c r="C62" s="188">
        <v>183356852</v>
      </c>
      <c r="D62" s="715" t="s">
        <v>726</v>
      </c>
      <c r="E62" s="479" t="s">
        <v>826</v>
      </c>
      <c r="F62" s="479" t="s">
        <v>2977</v>
      </c>
      <c r="G62" s="191" t="s">
        <v>3</v>
      </c>
      <c r="H62" s="184" t="s">
        <v>816</v>
      </c>
      <c r="I62" s="184" t="s">
        <v>872</v>
      </c>
      <c r="J62" s="185" t="s">
        <v>917</v>
      </c>
      <c r="K62" s="1283" t="s">
        <v>2305</v>
      </c>
      <c r="L62" s="736" t="s">
        <v>853</v>
      </c>
      <c r="M62" s="1308" t="s">
        <v>826</v>
      </c>
      <c r="N62" s="776"/>
      <c r="O62" s="1298"/>
      <c r="P62" s="181"/>
      <c r="Q62" s="1298" t="s">
        <v>832</v>
      </c>
      <c r="R62" s="865">
        <v>34237</v>
      </c>
      <c r="S62" s="190" t="s">
        <v>1483</v>
      </c>
      <c r="T62" s="182" t="s">
        <v>2919</v>
      </c>
      <c r="U62" s="887"/>
      <c r="V62" s="887"/>
      <c r="W62" s="339" t="str">
        <f>IFERROR(IF(AND(BD_PRINCIPAL[[#This Row],[DESDE]]&lt;&gt;"",BD_PRINCIPAL[[#This Row],[HASTA]]&lt;&gt;""),_xlfn.DAYS(BD_PRINCIPAL[[#This Row],[HASTA]],BD_PRINCIPAL[[#This Row],[DESDE]]),"")+1,"")</f>
        <v/>
      </c>
      <c r="X62" s="339">
        <f>VLOOKUP(BD_PRINCIPAL[[#This Row],[ENCUADRE. ESC.]],ORDEN1,2,FALSE)</f>
        <v>1</v>
      </c>
      <c r="Y62" s="339">
        <f>VLOOKUP(BD_PRINCIPAL[[#This Row],[DOTACIÓN ACTUAL]],ORDEN2,4,FALSE)</f>
        <v>38</v>
      </c>
      <c r="Z62" s="339">
        <f>VLOOKUP(BD_PRINCIPAL[[#This Row],[GRADO]],ORDEN3,2,FALSE)</f>
        <v>11</v>
      </c>
      <c r="AA62" s="339">
        <f>IFERROR(VLOOKUP(BD_PRINCIPAL[[#This Row],[DOTACIÓN ACTUAL]],ORDEN2,3,FALSE),0)</f>
        <v>0</v>
      </c>
      <c r="AB62" s="187" t="s">
        <v>2</v>
      </c>
      <c r="AC62" s="187" t="s">
        <v>2</v>
      </c>
      <c r="AD62" s="187" t="s">
        <v>854</v>
      </c>
      <c r="AE62" s="187" t="s">
        <v>2125</v>
      </c>
      <c r="AF62" s="187" t="s">
        <v>2</v>
      </c>
      <c r="AG62" s="187" t="s">
        <v>853</v>
      </c>
      <c r="AH62" s="187"/>
      <c r="AI62" s="187"/>
      <c r="AJ62" s="187"/>
      <c r="AK62" s="187"/>
      <c r="AL62" s="187"/>
      <c r="AM62" s="187"/>
      <c r="AN62" s="187"/>
      <c r="AO62" s="187"/>
      <c r="AP62" s="187"/>
      <c r="AQ62" s="187"/>
      <c r="AR62" s="187"/>
      <c r="AS62" s="187"/>
      <c r="AT62" s="187"/>
      <c r="AU62" s="187"/>
      <c r="AV62" s="187"/>
      <c r="AW62" s="187"/>
      <c r="AX62" s="187"/>
      <c r="AY62" s="187"/>
      <c r="AZ62" s="187"/>
      <c r="BA62" s="181"/>
      <c r="BB62" s="181"/>
      <c r="BC62" s="181"/>
      <c r="BD62" s="181"/>
      <c r="BE62" s="181"/>
      <c r="BF62" s="181"/>
      <c r="BG62" s="181"/>
      <c r="BH62" s="181"/>
      <c r="BI62" s="181"/>
      <c r="BJ62" s="181"/>
      <c r="BK62" s="181"/>
      <c r="BL62" s="181"/>
      <c r="BM62" s="899">
        <v>45364</v>
      </c>
      <c r="BN62" s="899"/>
    </row>
    <row r="63" spans="1:66" s="221" customFormat="1" x14ac:dyDescent="0.3">
      <c r="A63" s="219" t="s">
        <v>2778</v>
      </c>
      <c r="B63" s="728" t="s">
        <v>2777</v>
      </c>
      <c r="C63" s="219" t="s">
        <v>2776</v>
      </c>
      <c r="D63" s="309" t="s">
        <v>224</v>
      </c>
      <c r="E63" s="480" t="s">
        <v>224</v>
      </c>
      <c r="F63" s="480" t="s">
        <v>2777</v>
      </c>
      <c r="G63" s="222" t="s">
        <v>672</v>
      </c>
      <c r="H63" s="215" t="s">
        <v>816</v>
      </c>
      <c r="I63" s="215" t="s">
        <v>872</v>
      </c>
      <c r="J63" s="216" t="s">
        <v>918</v>
      </c>
      <c r="K63" s="1279" t="s">
        <v>2290</v>
      </c>
      <c r="L63" s="733" t="s">
        <v>853</v>
      </c>
      <c r="M63" s="1304" t="s">
        <v>2984</v>
      </c>
      <c r="N63" s="787"/>
      <c r="O63" s="1294"/>
      <c r="P63" s="212"/>
      <c r="Q63" s="1294" t="s">
        <v>832</v>
      </c>
      <c r="R63" s="498" t="s">
        <v>2623</v>
      </c>
      <c r="S63" s="213"/>
      <c r="T63" s="213"/>
      <c r="U63" s="747"/>
      <c r="V63" s="747"/>
      <c r="W63" s="499" t="str">
        <f>IFERROR(IF(AND(BD_PRINCIPAL[[#This Row],[DESDE]]&lt;&gt;"",BD_PRINCIPAL[[#This Row],[HASTA]]&lt;&gt;""),_xlfn.DAYS(BD_PRINCIPAL[[#This Row],[HASTA]],BD_PRINCIPAL[[#This Row],[DESDE]]),"")+1,"")</f>
        <v/>
      </c>
      <c r="X63" s="499">
        <f>VLOOKUP(BD_PRINCIPAL[[#This Row],[ENCUADRE. ESC.]],ORDEN1,2,FALSE)</f>
        <v>1</v>
      </c>
      <c r="Y63" s="499">
        <f>VLOOKUP(BD_PRINCIPAL[[#This Row],[DOTACIÓN ACTUAL]],ORDEN2,4,FALSE)</f>
        <v>39</v>
      </c>
      <c r="Z63" s="499">
        <f>VLOOKUP(BD_PRINCIPAL[[#This Row],[GRADO]],ORDEN3,2,FALSE)</f>
        <v>4</v>
      </c>
      <c r="AA63" s="499">
        <f>IFERROR(VLOOKUP(BD_PRINCIPAL[[#This Row],[DOTACIÓN ACTUAL]],ORDEN2,3,FALSE),0)</f>
        <v>0</v>
      </c>
      <c r="AB63" s="220" t="s">
        <v>855</v>
      </c>
      <c r="AC63" s="220" t="s">
        <v>853</v>
      </c>
      <c r="AD63" s="220" t="s">
        <v>853</v>
      </c>
      <c r="AE63" s="220" t="s">
        <v>853</v>
      </c>
      <c r="AF63" s="220" t="s">
        <v>853</v>
      </c>
      <c r="AG63" s="220" t="s">
        <v>853</v>
      </c>
      <c r="AH63" s="220"/>
      <c r="AI63" s="220"/>
      <c r="AJ63" s="220"/>
      <c r="AK63" s="220"/>
      <c r="AL63" s="220"/>
      <c r="AM63" s="220"/>
      <c r="AN63" s="220"/>
      <c r="AO63" s="220"/>
      <c r="AP63" s="220"/>
      <c r="AQ63" s="220"/>
      <c r="AR63" s="220"/>
      <c r="AS63" s="220"/>
      <c r="AT63" s="220"/>
      <c r="AU63" s="220"/>
      <c r="AV63" s="220"/>
      <c r="AW63" s="220"/>
      <c r="AX63" s="220"/>
      <c r="AY63" s="220"/>
      <c r="AZ63" s="220"/>
      <c r="BA63" s="212"/>
      <c r="BB63" s="212"/>
      <c r="BC63" s="212"/>
      <c r="BD63" s="212"/>
      <c r="BE63" s="212"/>
      <c r="BF63" s="212"/>
      <c r="BG63" s="212"/>
      <c r="BH63" s="212"/>
      <c r="BI63" s="212"/>
      <c r="BJ63" s="212"/>
      <c r="BK63" s="212"/>
      <c r="BL63" s="212"/>
      <c r="BM63" s="890"/>
      <c r="BN63" s="890"/>
    </row>
    <row r="64" spans="1:66" s="1056" customFormat="1" x14ac:dyDescent="0.3">
      <c r="A64" s="219" t="s">
        <v>330</v>
      </c>
      <c r="B64" s="212" t="s">
        <v>28</v>
      </c>
      <c r="C64" s="219">
        <v>181110511</v>
      </c>
      <c r="D64" s="485" t="s">
        <v>719</v>
      </c>
      <c r="E64" s="485" t="s">
        <v>719</v>
      </c>
      <c r="F64" s="480" t="s">
        <v>2275</v>
      </c>
      <c r="G64" s="214" t="s">
        <v>3</v>
      </c>
      <c r="H64" s="215" t="s">
        <v>816</v>
      </c>
      <c r="I64" s="215" t="s">
        <v>872</v>
      </c>
      <c r="J64" s="216" t="s">
        <v>917</v>
      </c>
      <c r="K64" s="1279" t="s">
        <v>2301</v>
      </c>
      <c r="L64" s="733" t="s">
        <v>853</v>
      </c>
      <c r="M64" s="1304" t="s">
        <v>719</v>
      </c>
      <c r="N64" s="772"/>
      <c r="O64" s="1294"/>
      <c r="P64" s="212"/>
      <c r="Q64" s="1294" t="s">
        <v>832</v>
      </c>
      <c r="R64" s="217">
        <f>$B$1</f>
        <v>45388</v>
      </c>
      <c r="S64" s="223"/>
      <c r="T64" s="223" t="s">
        <v>2919</v>
      </c>
      <c r="U64" s="224"/>
      <c r="V64" s="224"/>
      <c r="W64" s="219" t="str">
        <f>IFERROR(IF(AND(BD_PRINCIPAL[[#This Row],[DESDE]]&lt;&gt;"",BD_PRINCIPAL[[#This Row],[HASTA]]&lt;&gt;""),_xlfn.DAYS(BD_PRINCIPAL[[#This Row],[HASTA]],BD_PRINCIPAL[[#This Row],[DESDE]]),"")+1,"")</f>
        <v/>
      </c>
      <c r="X64" s="219">
        <f>VLOOKUP(BD_PRINCIPAL[[#This Row],[ENCUADRE. ESC.]],ORDEN1,2,FALSE)</f>
        <v>1</v>
      </c>
      <c r="Y64" s="219">
        <f>VLOOKUP(BD_PRINCIPAL[[#This Row],[DOTACIÓN ACTUAL]],ORDEN2,4,FALSE)</f>
        <v>40</v>
      </c>
      <c r="Z64" s="219">
        <f>VLOOKUP(BD_PRINCIPAL[[#This Row],[GRADO]],ORDEN3,2,FALSE)</f>
        <v>11</v>
      </c>
      <c r="AA64" s="219">
        <f>IFERROR(VLOOKUP(BD_PRINCIPAL[[#This Row],[DOTACIÓN ACTUAL]],ORDEN2,3,FALSE),0)</f>
        <v>0</v>
      </c>
      <c r="AB64" s="212" t="s">
        <v>855</v>
      </c>
      <c r="AC64" s="212" t="s">
        <v>853</v>
      </c>
      <c r="AD64" s="212" t="s">
        <v>853</v>
      </c>
      <c r="AE64" s="212" t="s">
        <v>853</v>
      </c>
      <c r="AF64" s="212" t="s">
        <v>853</v>
      </c>
      <c r="AG64" s="212" t="s">
        <v>853</v>
      </c>
      <c r="AH64" s="212"/>
      <c r="AI64" s="212"/>
      <c r="AJ64" s="212"/>
      <c r="AK64" s="212"/>
      <c r="AL64" s="212"/>
      <c r="AM64" s="212"/>
      <c r="AN64" s="212"/>
      <c r="AO64" s="212"/>
      <c r="AP64" s="212"/>
      <c r="AQ64" s="212"/>
      <c r="AR64" s="212"/>
      <c r="AS64" s="212"/>
      <c r="AT64" s="220"/>
      <c r="AU64" s="220"/>
      <c r="AV64" s="220"/>
      <c r="AW64" s="220"/>
      <c r="AX64" s="220"/>
      <c r="AY64" s="220"/>
      <c r="AZ64" s="220"/>
      <c r="BA64" s="212"/>
      <c r="BB64" s="212"/>
      <c r="BC64" s="212"/>
      <c r="BD64" s="212"/>
      <c r="BE64" s="212"/>
      <c r="BF64" s="212"/>
      <c r="BG64" s="212"/>
      <c r="BH64" s="212"/>
      <c r="BI64" s="212"/>
      <c r="BJ64" s="212"/>
      <c r="BK64" s="212"/>
      <c r="BL64" s="212"/>
      <c r="BM64" s="772">
        <v>45068</v>
      </c>
      <c r="BN64" s="789"/>
    </row>
    <row r="65" spans="1:66" s="221" customFormat="1" x14ac:dyDescent="0.3">
      <c r="A65" s="219" t="s">
        <v>277</v>
      </c>
      <c r="B65" s="212" t="s">
        <v>1593</v>
      </c>
      <c r="C65" s="219" t="s">
        <v>1971</v>
      </c>
      <c r="D65" s="867" t="s">
        <v>1995</v>
      </c>
      <c r="E65" s="480" t="s">
        <v>719</v>
      </c>
      <c r="F65" s="480" t="s">
        <v>3034</v>
      </c>
      <c r="G65" s="214" t="s">
        <v>3</v>
      </c>
      <c r="H65" s="215" t="s">
        <v>816</v>
      </c>
      <c r="I65" s="215" t="s">
        <v>872</v>
      </c>
      <c r="J65" s="216" t="s">
        <v>917</v>
      </c>
      <c r="K65" s="1279" t="s">
        <v>2296</v>
      </c>
      <c r="L65" s="733" t="s">
        <v>853</v>
      </c>
      <c r="M65" s="1304" t="s">
        <v>719</v>
      </c>
      <c r="N65" s="772"/>
      <c r="O65" s="1294"/>
      <c r="P65" s="212"/>
      <c r="Q65" s="1294" t="s">
        <v>832</v>
      </c>
      <c r="R65" s="217">
        <f>$B$1</f>
        <v>45388</v>
      </c>
      <c r="S65" s="223"/>
      <c r="T65" s="213" t="s">
        <v>2919</v>
      </c>
      <c r="U65" s="218"/>
      <c r="V65" s="218"/>
      <c r="W65" s="219" t="str">
        <f>IFERROR(IF(AND(BD_PRINCIPAL[[#This Row],[DESDE]]&lt;&gt;"",BD_PRINCIPAL[[#This Row],[HASTA]]&lt;&gt;""),_xlfn.DAYS(BD_PRINCIPAL[[#This Row],[HASTA]],BD_PRINCIPAL[[#This Row],[DESDE]]),"")+1,"")</f>
        <v/>
      </c>
      <c r="X65" s="219">
        <f>VLOOKUP(BD_PRINCIPAL[[#This Row],[ENCUADRE. ESC.]],ORDEN1,2,FALSE)</f>
        <v>1</v>
      </c>
      <c r="Y65" s="219">
        <f>VLOOKUP(BD_PRINCIPAL[[#This Row],[DOTACIÓN ACTUAL]],ORDEN2,4,FALSE)</f>
        <v>40</v>
      </c>
      <c r="Z65" s="219">
        <f>VLOOKUP(BD_PRINCIPAL[[#This Row],[GRADO]],ORDEN3,2,FALSE)</f>
        <v>11</v>
      </c>
      <c r="AA65" s="219">
        <f>IFERROR(VLOOKUP(BD_PRINCIPAL[[#This Row],[DOTACIÓN ACTUAL]],ORDEN2,3,FALSE),0)</f>
        <v>0</v>
      </c>
      <c r="AB65" s="212" t="s">
        <v>853</v>
      </c>
      <c r="AC65" s="212" t="s">
        <v>853</v>
      </c>
      <c r="AD65" s="212" t="s">
        <v>853</v>
      </c>
      <c r="AE65" s="212" t="s">
        <v>853</v>
      </c>
      <c r="AF65" s="212" t="s">
        <v>853</v>
      </c>
      <c r="AG65" s="212" t="s">
        <v>853</v>
      </c>
      <c r="AH65" s="212"/>
      <c r="AI65" s="212"/>
      <c r="AJ65" s="212"/>
      <c r="AK65" s="212"/>
      <c r="AL65" s="212"/>
      <c r="AM65" s="212"/>
      <c r="AN65" s="212"/>
      <c r="AO65" s="212"/>
      <c r="AP65" s="212"/>
      <c r="AQ65" s="212"/>
      <c r="AR65" s="212"/>
      <c r="AS65" s="212"/>
      <c r="AT65" s="220"/>
      <c r="AU65" s="220"/>
      <c r="AV65" s="220"/>
      <c r="AW65" s="220"/>
      <c r="AX65" s="220"/>
      <c r="AY65" s="220"/>
      <c r="AZ65" s="220"/>
      <c r="BA65" s="212"/>
      <c r="BB65" s="212"/>
      <c r="BC65" s="212"/>
      <c r="BD65" s="212"/>
      <c r="BE65" s="212"/>
      <c r="BF65" s="212"/>
      <c r="BG65" s="212"/>
      <c r="BH65" s="212"/>
      <c r="BI65" s="212"/>
      <c r="BJ65" s="212"/>
      <c r="BK65" s="212"/>
      <c r="BL65" s="212"/>
      <c r="BM65" s="772">
        <v>45061</v>
      </c>
      <c r="BN65" s="789"/>
    </row>
    <row r="66" spans="1:66" s="233" customFormat="1" ht="26.4" x14ac:dyDescent="0.3">
      <c r="A66" s="231" t="s">
        <v>2374</v>
      </c>
      <c r="B66" s="477" t="s">
        <v>2378</v>
      </c>
      <c r="C66" s="231" t="s">
        <v>2373</v>
      </c>
      <c r="D66" s="310" t="s">
        <v>241</v>
      </c>
      <c r="E66" s="477" t="s">
        <v>241</v>
      </c>
      <c r="F66" s="477" t="s">
        <v>2378</v>
      </c>
      <c r="G66" s="235" t="s">
        <v>672</v>
      </c>
      <c r="H66" s="228" t="s">
        <v>816</v>
      </c>
      <c r="I66" s="228" t="s">
        <v>872</v>
      </c>
      <c r="J66" s="229" t="s">
        <v>918</v>
      </c>
      <c r="K66" s="1280" t="s">
        <v>2290</v>
      </c>
      <c r="L66" s="734" t="s">
        <v>855</v>
      </c>
      <c r="M66" s="1305" t="s">
        <v>1220</v>
      </c>
      <c r="N66" s="779"/>
      <c r="O66" s="1295"/>
      <c r="P66" s="225"/>
      <c r="Q66" s="1295" t="s">
        <v>832</v>
      </c>
      <c r="R66" s="386">
        <f>$B$1</f>
        <v>45388</v>
      </c>
      <c r="S66" s="236"/>
      <c r="T66" s="226" t="s">
        <v>2919</v>
      </c>
      <c r="U66" s="794"/>
      <c r="V66" s="794"/>
      <c r="W66" s="387" t="str">
        <f>IFERROR(IF(AND(BD_PRINCIPAL[[#This Row],[DESDE]]&lt;&gt;"",BD_PRINCIPAL[[#This Row],[HASTA]]&lt;&gt;""),_xlfn.DAYS(BD_PRINCIPAL[[#This Row],[HASTA]],BD_PRINCIPAL[[#This Row],[DESDE]]),"")+1,"")</f>
        <v/>
      </c>
      <c r="X66" s="387">
        <f>VLOOKUP(BD_PRINCIPAL[[#This Row],[ENCUADRE. ESC.]],ORDEN1,2,FALSE)</f>
        <v>1</v>
      </c>
      <c r="Y66" s="387">
        <f>VLOOKUP(BD_PRINCIPAL[[#This Row],[DOTACIÓN ACTUAL]],ORDEN2,4,FALSE)</f>
        <v>41</v>
      </c>
      <c r="Z66" s="387">
        <f>VLOOKUP(BD_PRINCIPAL[[#This Row],[GRADO]],ORDEN3,2,FALSE)</f>
        <v>4</v>
      </c>
      <c r="AA66" s="387">
        <f>IFERROR(VLOOKUP(BD_PRINCIPAL[[#This Row],[DOTACIÓN ACTUAL]],ORDEN2,3,FALSE),0)</f>
        <v>0</v>
      </c>
      <c r="AB66" s="225" t="s">
        <v>853</v>
      </c>
      <c r="AC66" s="225" t="s">
        <v>853</v>
      </c>
      <c r="AD66" s="225" t="s">
        <v>853</v>
      </c>
      <c r="AE66" s="225" t="s">
        <v>853</v>
      </c>
      <c r="AF66" s="225" t="s">
        <v>853</v>
      </c>
      <c r="AG66" s="225" t="s">
        <v>855</v>
      </c>
      <c r="AH66" s="225"/>
      <c r="AI66" s="225"/>
      <c r="AJ66" s="225"/>
      <c r="AK66" s="225"/>
      <c r="AL66" s="225"/>
      <c r="AM66" s="225"/>
      <c r="AN66" s="225"/>
      <c r="AO66" s="225"/>
      <c r="AP66" s="225"/>
      <c r="AQ66" s="225"/>
      <c r="AR66" s="225"/>
      <c r="AS66" s="225"/>
      <c r="AT66" s="232"/>
      <c r="AU66" s="232"/>
      <c r="AV66" s="232"/>
      <c r="AW66" s="232"/>
      <c r="AX66" s="232"/>
      <c r="AY66" s="232"/>
      <c r="AZ66" s="232"/>
      <c r="BA66" s="225"/>
      <c r="BB66" s="225"/>
      <c r="BC66" s="225"/>
      <c r="BD66" s="225"/>
      <c r="BE66" s="225"/>
      <c r="BF66" s="225"/>
      <c r="BG66" s="225"/>
      <c r="BH66" s="225"/>
      <c r="BI66" s="225"/>
      <c r="BJ66" s="225"/>
      <c r="BK66" s="225"/>
      <c r="BL66" s="225"/>
      <c r="BM66" s="773">
        <v>45071</v>
      </c>
      <c r="BN66" s="790"/>
    </row>
    <row r="67" spans="1:66" s="233" customFormat="1" x14ac:dyDescent="0.3">
      <c r="A67" s="231" t="s">
        <v>425</v>
      </c>
      <c r="B67" s="225" t="s">
        <v>1556</v>
      </c>
      <c r="C67" s="231" t="s">
        <v>426</v>
      </c>
      <c r="D67" s="310" t="s">
        <v>720</v>
      </c>
      <c r="E67" s="477" t="s">
        <v>720</v>
      </c>
      <c r="F67" s="477" t="s">
        <v>2262</v>
      </c>
      <c r="G67" s="227" t="s">
        <v>209</v>
      </c>
      <c r="H67" s="228" t="s">
        <v>816</v>
      </c>
      <c r="I67" s="228" t="s">
        <v>872</v>
      </c>
      <c r="J67" s="229" t="s">
        <v>917</v>
      </c>
      <c r="K67" s="1280" t="s">
        <v>2297</v>
      </c>
      <c r="L67" s="734" t="s">
        <v>855</v>
      </c>
      <c r="M67" s="1305" t="s">
        <v>720</v>
      </c>
      <c r="N67" s="773"/>
      <c r="O67" s="1295"/>
      <c r="P67" s="225"/>
      <c r="Q67" s="1295" t="s">
        <v>832</v>
      </c>
      <c r="R67" s="234">
        <f>$B$1</f>
        <v>45388</v>
      </c>
      <c r="S67" s="236"/>
      <c r="T67" s="236" t="s">
        <v>2919</v>
      </c>
      <c r="U67" s="230"/>
      <c r="V67" s="230"/>
      <c r="W67" s="231" t="str">
        <f>IFERROR(IF(AND(BD_PRINCIPAL[[#This Row],[DESDE]]&lt;&gt;"",BD_PRINCIPAL[[#This Row],[HASTA]]&lt;&gt;""),_xlfn.DAYS(BD_PRINCIPAL[[#This Row],[HASTA]],BD_PRINCIPAL[[#This Row],[DESDE]]),"")+1,"")</f>
        <v/>
      </c>
      <c r="X67" s="231">
        <f>VLOOKUP(BD_PRINCIPAL[[#This Row],[ENCUADRE. ESC.]],ORDEN1,2,FALSE)</f>
        <v>1</v>
      </c>
      <c r="Y67" s="231">
        <f>VLOOKUP(BD_PRINCIPAL[[#This Row],[DOTACIÓN ACTUAL]],ORDEN2,4,FALSE)</f>
        <v>42</v>
      </c>
      <c r="Z67" s="231">
        <f>VLOOKUP(BD_PRINCIPAL[[#This Row],[GRADO]],ORDEN3,2,FALSE)</f>
        <v>10</v>
      </c>
      <c r="AA67" s="231">
        <f>IFERROR(VLOOKUP(BD_PRINCIPAL[[#This Row],[DOTACIÓN ACTUAL]],ORDEN2,3,FALSE),0)</f>
        <v>0</v>
      </c>
      <c r="AB67" s="225" t="s">
        <v>853</v>
      </c>
      <c r="AC67" s="225" t="s">
        <v>853</v>
      </c>
      <c r="AD67" s="225" t="s">
        <v>853</v>
      </c>
      <c r="AE67" s="225" t="s">
        <v>853</v>
      </c>
      <c r="AF67" s="225" t="s">
        <v>853</v>
      </c>
      <c r="AG67" s="225" t="s">
        <v>855</v>
      </c>
      <c r="AH67" s="225"/>
      <c r="AI67" s="225"/>
      <c r="AJ67" s="225"/>
      <c r="AK67" s="225"/>
      <c r="AL67" s="225"/>
      <c r="AM67" s="225"/>
      <c r="AN67" s="225"/>
      <c r="AO67" s="225"/>
      <c r="AP67" s="225"/>
      <c r="AQ67" s="225"/>
      <c r="AR67" s="225"/>
      <c r="AS67" s="225"/>
      <c r="AT67" s="232"/>
      <c r="AU67" s="232"/>
      <c r="AV67" s="232"/>
      <c r="AW67" s="232"/>
      <c r="AX67" s="232"/>
      <c r="AY67" s="232"/>
      <c r="AZ67" s="232"/>
      <c r="BA67" s="225"/>
      <c r="BB67" s="225"/>
      <c r="BC67" s="225"/>
      <c r="BD67" s="225"/>
      <c r="BE67" s="225"/>
      <c r="BF67" s="225"/>
      <c r="BG67" s="225"/>
      <c r="BH67" s="225"/>
      <c r="BI67" s="225"/>
      <c r="BJ67" s="225"/>
      <c r="BK67" s="225"/>
      <c r="BL67" s="225"/>
      <c r="BM67" s="773">
        <v>45233</v>
      </c>
      <c r="BN67" s="790"/>
    </row>
    <row r="68" spans="1:66" s="233" customFormat="1" x14ac:dyDescent="0.3">
      <c r="A68" s="231" t="s">
        <v>359</v>
      </c>
      <c r="B68" s="225" t="s">
        <v>235</v>
      </c>
      <c r="C68" s="231">
        <v>157419250</v>
      </c>
      <c r="D68" s="310" t="s">
        <v>720</v>
      </c>
      <c r="E68" s="477" t="s">
        <v>720</v>
      </c>
      <c r="F68" s="477" t="s">
        <v>235</v>
      </c>
      <c r="G68" s="235" t="s">
        <v>209</v>
      </c>
      <c r="H68" s="228" t="s">
        <v>817</v>
      </c>
      <c r="I68" s="228" t="s">
        <v>872</v>
      </c>
      <c r="J68" s="229" t="s">
        <v>917</v>
      </c>
      <c r="K68" s="1280" t="s">
        <v>2290</v>
      </c>
      <c r="L68" s="734" t="s">
        <v>855</v>
      </c>
      <c r="M68" s="1305" t="s">
        <v>720</v>
      </c>
      <c r="N68" s="773"/>
      <c r="O68" s="1295"/>
      <c r="P68" s="225"/>
      <c r="Q68" s="1295" t="s">
        <v>832</v>
      </c>
      <c r="R68" s="234">
        <f>$B$1</f>
        <v>45388</v>
      </c>
      <c r="S68" s="226"/>
      <c r="T68" s="236" t="s">
        <v>2919</v>
      </c>
      <c r="U68" s="230"/>
      <c r="V68" s="230"/>
      <c r="W68" s="231" t="str">
        <f>IFERROR(IF(AND(BD_PRINCIPAL[[#This Row],[DESDE]]&lt;&gt;"",BD_PRINCIPAL[[#This Row],[HASTA]]&lt;&gt;""),_xlfn.DAYS(BD_PRINCIPAL[[#This Row],[HASTA]],BD_PRINCIPAL[[#This Row],[DESDE]]),"")+1,"")</f>
        <v/>
      </c>
      <c r="X68" s="231">
        <f>VLOOKUP(BD_PRINCIPAL[[#This Row],[ENCUADRE. ESC.]],ORDEN1,2,FALSE)</f>
        <v>1</v>
      </c>
      <c r="Y68" s="231">
        <f>VLOOKUP(BD_PRINCIPAL[[#This Row],[DOTACIÓN ACTUAL]],ORDEN2,4,FALSE)</f>
        <v>42</v>
      </c>
      <c r="Z68" s="231">
        <f>VLOOKUP(BD_PRINCIPAL[[#This Row],[GRADO]],ORDEN3,2,FALSE)</f>
        <v>10</v>
      </c>
      <c r="AA68" s="231">
        <f>IFERROR(VLOOKUP(BD_PRINCIPAL[[#This Row],[DOTACIÓN ACTUAL]],ORDEN2,3,FALSE),0)</f>
        <v>0</v>
      </c>
      <c r="AB68" s="225" t="s">
        <v>853</v>
      </c>
      <c r="AC68" s="225" t="s">
        <v>853</v>
      </c>
      <c r="AD68" s="225" t="s">
        <v>853</v>
      </c>
      <c r="AE68" s="225" t="s">
        <v>853</v>
      </c>
      <c r="AF68" s="225" t="s">
        <v>853</v>
      </c>
      <c r="AG68" s="225" t="s">
        <v>855</v>
      </c>
      <c r="AH68" s="225"/>
      <c r="AI68" s="225"/>
      <c r="AJ68" s="225"/>
      <c r="AK68" s="225"/>
      <c r="AL68" s="225"/>
      <c r="AM68" s="225"/>
      <c r="AN68" s="225"/>
      <c r="AO68" s="225"/>
      <c r="AP68" s="225"/>
      <c r="AQ68" s="225"/>
      <c r="AR68" s="225"/>
      <c r="AS68" s="225"/>
      <c r="AT68" s="232"/>
      <c r="AU68" s="232"/>
      <c r="AV68" s="232"/>
      <c r="AW68" s="232"/>
      <c r="AX68" s="232"/>
      <c r="AY68" s="232"/>
      <c r="AZ68" s="232"/>
      <c r="BA68" s="225"/>
      <c r="BB68" s="225"/>
      <c r="BC68" s="225"/>
      <c r="BD68" s="225"/>
      <c r="BE68" s="225"/>
      <c r="BF68" s="225"/>
      <c r="BG68" s="225"/>
      <c r="BH68" s="225"/>
      <c r="BI68" s="225"/>
      <c r="BJ68" s="225"/>
      <c r="BK68" s="225"/>
      <c r="BL68" s="225"/>
      <c r="BM68" s="773">
        <v>45168</v>
      </c>
      <c r="BN68" s="790"/>
    </row>
    <row r="69" spans="1:66" s="247" customFormat="1" ht="24" x14ac:dyDescent="0.3">
      <c r="A69" s="245" t="s">
        <v>356</v>
      </c>
      <c r="B69" s="238" t="s">
        <v>223</v>
      </c>
      <c r="C69" s="245">
        <v>164491331</v>
      </c>
      <c r="D69" s="315" t="s">
        <v>251</v>
      </c>
      <c r="E69" s="478" t="s">
        <v>251</v>
      </c>
      <c r="F69" s="478" t="s">
        <v>223</v>
      </c>
      <c r="G69" s="240" t="s">
        <v>10</v>
      </c>
      <c r="H69" s="241" t="s">
        <v>816</v>
      </c>
      <c r="I69" s="241" t="s">
        <v>872</v>
      </c>
      <c r="J69" s="242" t="s">
        <v>918</v>
      </c>
      <c r="K69" s="1281" t="s">
        <v>2290</v>
      </c>
      <c r="L69" s="735" t="s">
        <v>853</v>
      </c>
      <c r="M69" s="1306" t="s">
        <v>1472</v>
      </c>
      <c r="N69" s="775"/>
      <c r="O69" s="1296"/>
      <c r="P69" s="238"/>
      <c r="Q69" s="1296" t="s">
        <v>832</v>
      </c>
      <c r="R69" s="243">
        <f>$B$1</f>
        <v>45388</v>
      </c>
      <c r="S69" s="249"/>
      <c r="T69" s="1015" t="s">
        <v>3606</v>
      </c>
      <c r="U69" s="244"/>
      <c r="V69" s="244"/>
      <c r="W69" s="245" t="str">
        <f>IFERROR(IF(AND(BD_PRINCIPAL[[#This Row],[DESDE]]&lt;&gt;"",BD_PRINCIPAL[[#This Row],[HASTA]]&lt;&gt;""),_xlfn.DAYS(BD_PRINCIPAL[[#This Row],[HASTA]],BD_PRINCIPAL[[#This Row],[DESDE]]),"")+1,"")</f>
        <v/>
      </c>
      <c r="X69" s="245">
        <f>VLOOKUP(BD_PRINCIPAL[[#This Row],[ENCUADRE. ESC.]],ORDEN1,2,FALSE)</f>
        <v>1</v>
      </c>
      <c r="Y69" s="245">
        <f>VLOOKUP(BD_PRINCIPAL[[#This Row],[DOTACIÓN ACTUAL]],ORDEN2,4,FALSE)</f>
        <v>43</v>
      </c>
      <c r="Z69" s="245">
        <f>VLOOKUP(BD_PRINCIPAL[[#This Row],[GRADO]],ORDEN3,2,FALSE)</f>
        <v>5</v>
      </c>
      <c r="AA69" s="245">
        <f>IFERROR(VLOOKUP(BD_PRINCIPAL[[#This Row],[DOTACIÓN ACTUAL]],ORDEN2,3,FALSE),0)</f>
        <v>0</v>
      </c>
      <c r="AB69" s="238" t="s">
        <v>2</v>
      </c>
      <c r="AC69" s="238" t="s">
        <v>853</v>
      </c>
      <c r="AD69" s="238" t="s">
        <v>854</v>
      </c>
      <c r="AE69" s="238" t="s">
        <v>2125</v>
      </c>
      <c r="AF69" s="238" t="s">
        <v>1</v>
      </c>
      <c r="AG69" s="238" t="s">
        <v>853</v>
      </c>
      <c r="AH69" s="238"/>
      <c r="AI69" s="238"/>
      <c r="AJ69" s="238"/>
      <c r="AK69" s="238"/>
      <c r="AL69" s="238"/>
      <c r="AM69" s="238"/>
      <c r="AN69" s="238"/>
      <c r="AO69" s="238"/>
      <c r="AP69" s="238"/>
      <c r="AQ69" s="238"/>
      <c r="AR69" s="238"/>
      <c r="AS69" s="238"/>
      <c r="AT69" s="246"/>
      <c r="AU69" s="246"/>
      <c r="AV69" s="246"/>
      <c r="AW69" s="246"/>
      <c r="AX69" s="246"/>
      <c r="AY69" s="246"/>
      <c r="AZ69" s="246"/>
      <c r="BA69" s="238"/>
      <c r="BB69" s="238"/>
      <c r="BC69" s="238"/>
      <c r="BD69" s="238"/>
      <c r="BE69" s="238"/>
      <c r="BF69" s="238"/>
      <c r="BG69" s="238"/>
      <c r="BH69" s="238"/>
      <c r="BI69" s="238"/>
      <c r="BJ69" s="238"/>
      <c r="BK69" s="238"/>
      <c r="BL69" s="238"/>
      <c r="BM69" s="775">
        <v>45133</v>
      </c>
      <c r="BN69" s="788"/>
    </row>
    <row r="70" spans="1:66" s="247" customFormat="1" x14ac:dyDescent="0.3">
      <c r="A70" s="245" t="s">
        <v>373</v>
      </c>
      <c r="B70" s="238" t="s">
        <v>1557</v>
      </c>
      <c r="C70" s="245">
        <v>132821194</v>
      </c>
      <c r="D70" s="311" t="s">
        <v>721</v>
      </c>
      <c r="E70" s="478" t="s">
        <v>721</v>
      </c>
      <c r="F70" s="478" t="s">
        <v>3037</v>
      </c>
      <c r="G70" s="248" t="s">
        <v>209</v>
      </c>
      <c r="H70" s="241" t="s">
        <v>816</v>
      </c>
      <c r="I70" s="241" t="s">
        <v>872</v>
      </c>
      <c r="J70" s="242" t="s">
        <v>917</v>
      </c>
      <c r="K70" s="1281" t="s">
        <v>2291</v>
      </c>
      <c r="L70" s="735" t="s">
        <v>853</v>
      </c>
      <c r="M70" s="1306" t="s">
        <v>721</v>
      </c>
      <c r="N70" s="775"/>
      <c r="O70" s="1296"/>
      <c r="P70" s="238"/>
      <c r="Q70" s="1296" t="s">
        <v>832</v>
      </c>
      <c r="R70" s="243">
        <f>$B$1</f>
        <v>45388</v>
      </c>
      <c r="S70" s="249"/>
      <c r="T70" s="239" t="s">
        <v>2919</v>
      </c>
      <c r="U70" s="244"/>
      <c r="V70" s="244"/>
      <c r="W70" s="245" t="str">
        <f>IFERROR(IF(AND(BD_PRINCIPAL[[#This Row],[DESDE]]&lt;&gt;"",BD_PRINCIPAL[[#This Row],[HASTA]]&lt;&gt;""),_xlfn.DAYS(BD_PRINCIPAL[[#This Row],[HASTA]],BD_PRINCIPAL[[#This Row],[DESDE]]),"")+1,"")</f>
        <v/>
      </c>
      <c r="X70" s="245">
        <f>VLOOKUP(BD_PRINCIPAL[[#This Row],[ENCUADRE. ESC.]],ORDEN1,2,FALSE)</f>
        <v>1</v>
      </c>
      <c r="Y70" s="245">
        <f>VLOOKUP(BD_PRINCIPAL[[#This Row],[DOTACIÓN ACTUAL]],ORDEN2,4,FALSE)</f>
        <v>44</v>
      </c>
      <c r="Z70" s="245">
        <f>VLOOKUP(BD_PRINCIPAL[[#This Row],[GRADO]],ORDEN3,2,FALSE)</f>
        <v>10</v>
      </c>
      <c r="AA70" s="245">
        <f>IFERROR(VLOOKUP(BD_PRINCIPAL[[#This Row],[DOTACIÓN ACTUAL]],ORDEN2,3,FALSE),0)</f>
        <v>0</v>
      </c>
      <c r="AB70" s="238" t="s">
        <v>2</v>
      </c>
      <c r="AC70" s="238" t="s">
        <v>853</v>
      </c>
      <c r="AD70" s="238" t="s">
        <v>854</v>
      </c>
      <c r="AE70" s="238" t="s">
        <v>2125</v>
      </c>
      <c r="AF70" s="238" t="s">
        <v>1</v>
      </c>
      <c r="AG70" s="238" t="s">
        <v>853</v>
      </c>
      <c r="AH70" s="238"/>
      <c r="AI70" s="238"/>
      <c r="AJ70" s="238"/>
      <c r="AK70" s="238"/>
      <c r="AL70" s="238"/>
      <c r="AM70" s="238"/>
      <c r="AN70" s="238"/>
      <c r="AO70" s="238"/>
      <c r="AP70" s="238"/>
      <c r="AQ70" s="238"/>
      <c r="AR70" s="238"/>
      <c r="AS70" s="238"/>
      <c r="AT70" s="246"/>
      <c r="AU70" s="246"/>
      <c r="AV70" s="246"/>
      <c r="AW70" s="246"/>
      <c r="AX70" s="246"/>
      <c r="AY70" s="246"/>
      <c r="AZ70" s="246"/>
      <c r="BA70" s="238"/>
      <c r="BB70" s="238"/>
      <c r="BC70" s="238"/>
      <c r="BD70" s="238"/>
      <c r="BE70" s="238"/>
      <c r="BF70" s="238"/>
      <c r="BG70" s="238"/>
      <c r="BH70" s="238"/>
      <c r="BI70" s="238"/>
      <c r="BJ70" s="238"/>
      <c r="BK70" s="238"/>
      <c r="BL70" s="238"/>
      <c r="BM70" s="775">
        <v>45190</v>
      </c>
      <c r="BN70" s="788"/>
    </row>
    <row r="71" spans="1:66" s="247" customFormat="1" x14ac:dyDescent="0.3">
      <c r="A71" s="245" t="s">
        <v>596</v>
      </c>
      <c r="B71" s="238" t="s">
        <v>96</v>
      </c>
      <c r="C71" s="245">
        <v>188184200</v>
      </c>
      <c r="D71" s="249" t="s">
        <v>721</v>
      </c>
      <c r="E71" s="478" t="s">
        <v>721</v>
      </c>
      <c r="F71" s="478" t="s">
        <v>96</v>
      </c>
      <c r="G71" s="240" t="s">
        <v>4</v>
      </c>
      <c r="H71" s="241" t="s">
        <v>817</v>
      </c>
      <c r="I71" s="241" t="s">
        <v>872</v>
      </c>
      <c r="J71" s="242" t="s">
        <v>917</v>
      </c>
      <c r="K71" s="1281" t="s">
        <v>2290</v>
      </c>
      <c r="L71" s="735" t="s">
        <v>853</v>
      </c>
      <c r="M71" s="1306" t="s">
        <v>721</v>
      </c>
      <c r="N71" s="775"/>
      <c r="O71" s="1296"/>
      <c r="P71" s="238"/>
      <c r="Q71" s="1296" t="s">
        <v>832</v>
      </c>
      <c r="R71" s="243">
        <f>$B$1</f>
        <v>45388</v>
      </c>
      <c r="S71" s="249"/>
      <c r="T71" s="249" t="s">
        <v>2919</v>
      </c>
      <c r="U71" s="244"/>
      <c r="V71" s="244"/>
      <c r="W71" s="245" t="str">
        <f>IFERROR(IF(AND(BD_PRINCIPAL[[#This Row],[DESDE]]&lt;&gt;"",BD_PRINCIPAL[[#This Row],[HASTA]]&lt;&gt;""),_xlfn.DAYS(BD_PRINCIPAL[[#This Row],[HASTA]],BD_PRINCIPAL[[#This Row],[DESDE]]),"")+1,"")</f>
        <v/>
      </c>
      <c r="X71" s="245">
        <f>VLOOKUP(BD_PRINCIPAL[[#This Row],[ENCUADRE. ESC.]],ORDEN1,2,FALSE)</f>
        <v>1</v>
      </c>
      <c r="Y71" s="245">
        <f>VLOOKUP(BD_PRINCIPAL[[#This Row],[DOTACIÓN ACTUAL]],ORDEN2,4,FALSE)</f>
        <v>44</v>
      </c>
      <c r="Z71" s="245">
        <f>VLOOKUP(BD_PRINCIPAL[[#This Row],[GRADO]],ORDEN3,2,FALSE)</f>
        <v>12</v>
      </c>
      <c r="AA71" s="245">
        <f>IFERROR(VLOOKUP(BD_PRINCIPAL[[#This Row],[DOTACIÓN ACTUAL]],ORDEN2,3,FALSE),0)</f>
        <v>0</v>
      </c>
      <c r="AB71" s="238" t="s">
        <v>2</v>
      </c>
      <c r="AC71" s="238" t="s">
        <v>853</v>
      </c>
      <c r="AD71" s="238" t="s">
        <v>854</v>
      </c>
      <c r="AE71" s="238" t="s">
        <v>2125</v>
      </c>
      <c r="AF71" s="238" t="s">
        <v>1</v>
      </c>
      <c r="AG71" s="238" t="s">
        <v>853</v>
      </c>
      <c r="AH71" s="238"/>
      <c r="AI71" s="238"/>
      <c r="AJ71" s="238"/>
      <c r="AK71" s="238"/>
      <c r="AL71" s="238"/>
      <c r="AM71" s="238"/>
      <c r="AN71" s="238"/>
      <c r="AO71" s="238"/>
      <c r="AP71" s="238"/>
      <c r="AQ71" s="238"/>
      <c r="AR71" s="238"/>
      <c r="AS71" s="238"/>
      <c r="AT71" s="246"/>
      <c r="AU71" s="246"/>
      <c r="AV71" s="246"/>
      <c r="AW71" s="246"/>
      <c r="AX71" s="246"/>
      <c r="AY71" s="246"/>
      <c r="AZ71" s="246"/>
      <c r="BA71" s="238"/>
      <c r="BB71" s="238"/>
      <c r="BC71" s="238"/>
      <c r="BD71" s="238"/>
      <c r="BE71" s="238"/>
      <c r="BF71" s="238"/>
      <c r="BG71" s="238"/>
      <c r="BH71" s="238"/>
      <c r="BI71" s="238"/>
      <c r="BJ71" s="238"/>
      <c r="BK71" s="238"/>
      <c r="BL71" s="238"/>
      <c r="BM71" s="775">
        <v>45366</v>
      </c>
      <c r="BN71" s="788"/>
    </row>
    <row r="72" spans="1:66" s="260" customFormat="1" x14ac:dyDescent="0.3">
      <c r="A72" s="258" t="s">
        <v>2824</v>
      </c>
      <c r="B72" s="634" t="s">
        <v>2825</v>
      </c>
      <c r="C72" s="258">
        <v>181085274</v>
      </c>
      <c r="D72" s="312" t="s">
        <v>252</v>
      </c>
      <c r="E72" s="481" t="s">
        <v>252</v>
      </c>
      <c r="F72" s="481" t="s">
        <v>2825</v>
      </c>
      <c r="G72" s="261" t="s">
        <v>10</v>
      </c>
      <c r="H72" s="254" t="s">
        <v>816</v>
      </c>
      <c r="I72" s="254" t="s">
        <v>872</v>
      </c>
      <c r="J72" s="255" t="s">
        <v>918</v>
      </c>
      <c r="K72" s="1282" t="s">
        <v>2290</v>
      </c>
      <c r="L72" s="737" t="s">
        <v>854</v>
      </c>
      <c r="M72" s="1307" t="s">
        <v>882</v>
      </c>
      <c r="N72" s="782"/>
      <c r="O72" s="1297"/>
      <c r="P72" s="251"/>
      <c r="Q72" s="1297" t="s">
        <v>832</v>
      </c>
      <c r="R72" s="632">
        <v>33705</v>
      </c>
      <c r="S72" s="252"/>
      <c r="T72" s="252" t="s">
        <v>2919</v>
      </c>
      <c r="U72" s="870"/>
      <c r="V72" s="870"/>
      <c r="W72" s="633" t="str">
        <f>IFERROR(IF(AND(BD_PRINCIPAL[[#This Row],[DESDE]]&lt;&gt;"",BD_PRINCIPAL[[#This Row],[HASTA]]&lt;&gt;""),_xlfn.DAYS(BD_PRINCIPAL[[#This Row],[HASTA]],BD_PRINCIPAL[[#This Row],[DESDE]]),"")+1,"")</f>
        <v/>
      </c>
      <c r="X72" s="633">
        <f>VLOOKUP(BD_PRINCIPAL[[#This Row],[ENCUADRE. ESC.]],ORDEN1,2,FALSE)</f>
        <v>1</v>
      </c>
      <c r="Y72" s="633">
        <f>VLOOKUP(BD_PRINCIPAL[[#This Row],[DOTACIÓN ACTUAL]],ORDEN2,4,FALSE)</f>
        <v>45</v>
      </c>
      <c r="Z72" s="633">
        <f>VLOOKUP(BD_PRINCIPAL[[#This Row],[GRADO]],ORDEN3,2,FALSE)</f>
        <v>5</v>
      </c>
      <c r="AA72" s="633">
        <f>IFERROR(VLOOKUP(BD_PRINCIPAL[[#This Row],[DOTACIÓN ACTUAL]],ORDEN2,3,FALSE),0)</f>
        <v>0</v>
      </c>
      <c r="AB72" s="259" t="s">
        <v>2125</v>
      </c>
      <c r="AC72" s="259" t="s">
        <v>1</v>
      </c>
      <c r="AD72" s="259" t="s">
        <v>2</v>
      </c>
      <c r="AE72" s="259" t="s">
        <v>2</v>
      </c>
      <c r="AF72" s="259" t="s">
        <v>1</v>
      </c>
      <c r="AG72" s="259" t="s">
        <v>854</v>
      </c>
      <c r="AH72" s="259"/>
      <c r="AI72" s="259"/>
      <c r="AJ72" s="259"/>
      <c r="AK72" s="259"/>
      <c r="AL72" s="259"/>
      <c r="AM72" s="259"/>
      <c r="AN72" s="259"/>
      <c r="AO72" s="259"/>
      <c r="AP72" s="259"/>
      <c r="AQ72" s="259"/>
      <c r="AR72" s="259"/>
      <c r="AS72" s="259"/>
      <c r="AT72" s="259"/>
      <c r="AU72" s="259"/>
      <c r="AV72" s="259"/>
      <c r="AW72" s="259"/>
      <c r="AX72" s="259"/>
      <c r="AY72" s="259"/>
      <c r="AZ72" s="259"/>
      <c r="BA72" s="251"/>
      <c r="BB72" s="251"/>
      <c r="BC72" s="251"/>
      <c r="BD72" s="251"/>
      <c r="BE72" s="251"/>
      <c r="BF72" s="251"/>
      <c r="BG72" s="251"/>
      <c r="BH72" s="251"/>
      <c r="BI72" s="251"/>
      <c r="BJ72" s="251"/>
      <c r="BK72" s="251"/>
      <c r="BL72" s="251"/>
      <c r="BM72" s="948"/>
      <c r="BN72" s="948"/>
    </row>
    <row r="73" spans="1:66" s="260" customFormat="1" x14ac:dyDescent="0.3">
      <c r="A73" s="258" t="s">
        <v>437</v>
      </c>
      <c r="B73" s="251" t="s">
        <v>184</v>
      </c>
      <c r="C73" s="258" t="s">
        <v>438</v>
      </c>
      <c r="D73" s="487" t="s">
        <v>722</v>
      </c>
      <c r="E73" s="487" t="s">
        <v>722</v>
      </c>
      <c r="F73" s="481" t="s">
        <v>184</v>
      </c>
      <c r="G73" s="253" t="s">
        <v>3</v>
      </c>
      <c r="H73" s="254" t="s">
        <v>816</v>
      </c>
      <c r="I73" s="254" t="s">
        <v>872</v>
      </c>
      <c r="J73" s="255" t="s">
        <v>917</v>
      </c>
      <c r="K73" s="1282" t="s">
        <v>2290</v>
      </c>
      <c r="L73" s="737" t="s">
        <v>854</v>
      </c>
      <c r="M73" s="1307" t="s">
        <v>722</v>
      </c>
      <c r="N73" s="781"/>
      <c r="O73" s="1297"/>
      <c r="P73" s="251"/>
      <c r="Q73" s="1297" t="s">
        <v>832</v>
      </c>
      <c r="R73" s="256">
        <f>$B$1</f>
        <v>45388</v>
      </c>
      <c r="S73" s="262"/>
      <c r="T73" s="252" t="s">
        <v>2919</v>
      </c>
      <c r="U73" s="257"/>
      <c r="V73" s="257"/>
      <c r="W73" s="258" t="str">
        <f>IFERROR(IF(AND(BD_PRINCIPAL[[#This Row],[DESDE]]&lt;&gt;"",BD_PRINCIPAL[[#This Row],[HASTA]]&lt;&gt;""),_xlfn.DAYS(BD_PRINCIPAL[[#This Row],[HASTA]],BD_PRINCIPAL[[#This Row],[DESDE]]),"")+1,"")</f>
        <v/>
      </c>
      <c r="X73" s="258">
        <f>VLOOKUP(BD_PRINCIPAL[[#This Row],[ENCUADRE. ESC.]],ORDEN1,2,FALSE)</f>
        <v>1</v>
      </c>
      <c r="Y73" s="258">
        <f>VLOOKUP(BD_PRINCIPAL[[#This Row],[DOTACIÓN ACTUAL]],ORDEN2,4,FALSE)</f>
        <v>46</v>
      </c>
      <c r="Z73" s="258">
        <f>VLOOKUP(BD_PRINCIPAL[[#This Row],[GRADO]],ORDEN3,2,FALSE)</f>
        <v>11</v>
      </c>
      <c r="AA73" s="258">
        <f>IFERROR(VLOOKUP(BD_PRINCIPAL[[#This Row],[DOTACIÓN ACTUAL]],ORDEN2,3,FALSE),0)</f>
        <v>0</v>
      </c>
      <c r="AB73" s="251" t="s">
        <v>2125</v>
      </c>
      <c r="AC73" s="251" t="s">
        <v>1</v>
      </c>
      <c r="AD73" s="251" t="s">
        <v>2</v>
      </c>
      <c r="AE73" s="251" t="s">
        <v>2</v>
      </c>
      <c r="AF73" s="251" t="s">
        <v>1</v>
      </c>
      <c r="AG73" s="251" t="s">
        <v>854</v>
      </c>
      <c r="AH73" s="251"/>
      <c r="AI73" s="251"/>
      <c r="AJ73" s="251"/>
      <c r="AK73" s="251"/>
      <c r="AL73" s="251"/>
      <c r="AM73" s="251"/>
      <c r="AN73" s="251"/>
      <c r="AO73" s="251"/>
      <c r="AP73" s="251"/>
      <c r="AQ73" s="251"/>
      <c r="AR73" s="251"/>
      <c r="AS73" s="251"/>
      <c r="AT73" s="259"/>
      <c r="AU73" s="259"/>
      <c r="AV73" s="259"/>
      <c r="AW73" s="259"/>
      <c r="AX73" s="259"/>
      <c r="AY73" s="259"/>
      <c r="AZ73" s="259"/>
      <c r="BA73" s="251"/>
      <c r="BB73" s="251"/>
      <c r="BC73" s="251"/>
      <c r="BD73" s="251"/>
      <c r="BE73" s="251"/>
      <c r="BF73" s="251"/>
      <c r="BG73" s="251"/>
      <c r="BH73" s="251"/>
      <c r="BI73" s="251"/>
      <c r="BJ73" s="251"/>
      <c r="BK73" s="251"/>
      <c r="BL73" s="251"/>
      <c r="BM73" s="781">
        <v>45117</v>
      </c>
      <c r="BN73" s="791"/>
    </row>
    <row r="74" spans="1:66" s="260" customFormat="1" x14ac:dyDescent="0.3">
      <c r="A74" s="258" t="s">
        <v>681</v>
      </c>
      <c r="B74" s="251" t="s">
        <v>1588</v>
      </c>
      <c r="C74" s="258">
        <v>181103523</v>
      </c>
      <c r="D74" s="715" t="s">
        <v>716</v>
      </c>
      <c r="E74" s="481" t="s">
        <v>722</v>
      </c>
      <c r="F74" s="481" t="s">
        <v>2783</v>
      </c>
      <c r="G74" s="253" t="s">
        <v>4</v>
      </c>
      <c r="H74" s="254" t="s">
        <v>816</v>
      </c>
      <c r="I74" s="254" t="s">
        <v>872</v>
      </c>
      <c r="J74" s="255" t="s">
        <v>917</v>
      </c>
      <c r="K74" s="1282" t="s">
        <v>2784</v>
      </c>
      <c r="L74" s="737" t="s">
        <v>854</v>
      </c>
      <c r="M74" s="1307" t="s">
        <v>722</v>
      </c>
      <c r="N74" s="783"/>
      <c r="O74" s="1297"/>
      <c r="P74" s="251"/>
      <c r="Q74" s="1297" t="s">
        <v>832</v>
      </c>
      <c r="R74" s="256">
        <f>$B$1</f>
        <v>45388</v>
      </c>
      <c r="S74" s="262"/>
      <c r="T74" s="262"/>
      <c r="U74" s="257"/>
      <c r="V74" s="257"/>
      <c r="W74" s="258" t="str">
        <f>IFERROR(IF(AND(BD_PRINCIPAL[[#This Row],[DESDE]]&lt;&gt;"",BD_PRINCIPAL[[#This Row],[HASTA]]&lt;&gt;""),_xlfn.DAYS(BD_PRINCIPAL[[#This Row],[HASTA]],BD_PRINCIPAL[[#This Row],[DESDE]]),"")+1,"")</f>
        <v/>
      </c>
      <c r="X74" s="258">
        <f>VLOOKUP(BD_PRINCIPAL[[#This Row],[ENCUADRE. ESC.]],ORDEN1,2,FALSE)</f>
        <v>1</v>
      </c>
      <c r="Y74" s="258">
        <f>VLOOKUP(BD_PRINCIPAL[[#This Row],[DOTACIÓN ACTUAL]],ORDEN2,4,FALSE)</f>
        <v>46</v>
      </c>
      <c r="Z74" s="258">
        <f>VLOOKUP(BD_PRINCIPAL[[#This Row],[GRADO]],ORDEN3,2,FALSE)</f>
        <v>12</v>
      </c>
      <c r="AA74" s="258">
        <f>IFERROR(VLOOKUP(BD_PRINCIPAL[[#This Row],[DOTACIÓN ACTUAL]],ORDEN2,3,FALSE),0)</f>
        <v>0</v>
      </c>
      <c r="AB74" s="251" t="s">
        <v>2</v>
      </c>
      <c r="AC74" s="251" t="s">
        <v>1</v>
      </c>
      <c r="AD74" s="251" t="s">
        <v>1</v>
      </c>
      <c r="AE74" s="251" t="s">
        <v>2</v>
      </c>
      <c r="AF74" s="251" t="s">
        <v>1</v>
      </c>
      <c r="AG74" s="251" t="s">
        <v>854</v>
      </c>
      <c r="AH74" s="251"/>
      <c r="AI74" s="251"/>
      <c r="AJ74" s="251"/>
      <c r="AK74" s="251"/>
      <c r="AL74" s="251"/>
      <c r="AM74" s="251"/>
      <c r="AN74" s="251"/>
      <c r="AO74" s="251"/>
      <c r="AP74" s="251"/>
      <c r="AQ74" s="251"/>
      <c r="AR74" s="251"/>
      <c r="AS74" s="251"/>
      <c r="AT74" s="259"/>
      <c r="AU74" s="259"/>
      <c r="AV74" s="259"/>
      <c r="AW74" s="259"/>
      <c r="AX74" s="259"/>
      <c r="AY74" s="259"/>
      <c r="AZ74" s="259"/>
      <c r="BA74" s="251"/>
      <c r="BB74" s="251"/>
      <c r="BC74" s="251"/>
      <c r="BD74" s="251"/>
      <c r="BE74" s="251"/>
      <c r="BF74" s="251"/>
      <c r="BG74" s="251"/>
      <c r="BH74" s="251"/>
      <c r="BI74" s="251"/>
      <c r="BJ74" s="251"/>
      <c r="BK74" s="251"/>
      <c r="BL74" s="251"/>
      <c r="BM74" s="783">
        <v>45132</v>
      </c>
      <c r="BN74" s="791"/>
    </row>
    <row r="75" spans="1:66" s="189" customFormat="1" x14ac:dyDescent="0.3">
      <c r="A75" s="188" t="s">
        <v>493</v>
      </c>
      <c r="B75" s="181" t="s">
        <v>1845</v>
      </c>
      <c r="C75" s="188">
        <v>167843905</v>
      </c>
      <c r="D75" s="954" t="s">
        <v>242</v>
      </c>
      <c r="E75" s="482" t="s">
        <v>242</v>
      </c>
      <c r="F75" s="479" t="s">
        <v>1845</v>
      </c>
      <c r="G75" s="183" t="s">
        <v>10</v>
      </c>
      <c r="H75" s="184" t="s">
        <v>817</v>
      </c>
      <c r="I75" s="184" t="s">
        <v>872</v>
      </c>
      <c r="J75" s="185" t="s">
        <v>918</v>
      </c>
      <c r="K75" s="1283" t="s">
        <v>2290</v>
      </c>
      <c r="L75" s="736" t="s">
        <v>2125</v>
      </c>
      <c r="M75" s="1308" t="s">
        <v>2760</v>
      </c>
      <c r="N75" s="777"/>
      <c r="O75" s="1298"/>
      <c r="P75" s="181"/>
      <c r="Q75" s="1298" t="s">
        <v>832</v>
      </c>
      <c r="R75" s="186">
        <f>$B$1</f>
        <v>45388</v>
      </c>
      <c r="S75" s="190"/>
      <c r="T75" s="955"/>
      <c r="U75" s="192"/>
      <c r="V75" s="192"/>
      <c r="W75" s="188" t="str">
        <f>IFERROR(IF(AND(BD_PRINCIPAL[[#This Row],[DESDE]]&lt;&gt;"",BD_PRINCIPAL[[#This Row],[HASTA]]&lt;&gt;""),_xlfn.DAYS(BD_PRINCIPAL[[#This Row],[HASTA]],BD_PRINCIPAL[[#This Row],[DESDE]]),"")+1,"")</f>
        <v/>
      </c>
      <c r="X75" s="188">
        <f>VLOOKUP(BD_PRINCIPAL[[#This Row],[ENCUADRE. ESC.]],ORDEN1,2,FALSE)</f>
        <v>1</v>
      </c>
      <c r="Y75" s="188">
        <f>VLOOKUP(BD_PRINCIPAL[[#This Row],[DOTACIÓN ACTUAL]],ORDEN2,4,FALSE)</f>
        <v>47</v>
      </c>
      <c r="Z75" s="188">
        <f>VLOOKUP(BD_PRINCIPAL[[#This Row],[GRADO]],ORDEN3,2,FALSE)</f>
        <v>5</v>
      </c>
      <c r="AA75" s="188">
        <f>IFERROR(VLOOKUP(BD_PRINCIPAL[[#This Row],[DOTACIÓN ACTUAL]],ORDEN2,3,FALSE),0)</f>
        <v>0</v>
      </c>
      <c r="AB75" s="181" t="s">
        <v>1</v>
      </c>
      <c r="AC75" s="181" t="s">
        <v>2</v>
      </c>
      <c r="AD75" s="181" t="s">
        <v>2</v>
      </c>
      <c r="AE75" s="181" t="s">
        <v>853</v>
      </c>
      <c r="AF75" s="181" t="s">
        <v>854</v>
      </c>
      <c r="AG75" s="181" t="s">
        <v>2125</v>
      </c>
      <c r="AH75" s="181"/>
      <c r="AI75" s="181"/>
      <c r="AJ75" s="181"/>
      <c r="AK75" s="181"/>
      <c r="AL75" s="181"/>
      <c r="AM75" s="181"/>
      <c r="AN75" s="181"/>
      <c r="AO75" s="181"/>
      <c r="AP75" s="181"/>
      <c r="AQ75" s="181"/>
      <c r="AR75" s="181"/>
      <c r="AS75" s="181"/>
      <c r="AT75" s="187"/>
      <c r="AU75" s="187"/>
      <c r="AV75" s="187"/>
      <c r="AW75" s="187"/>
      <c r="AX75" s="187"/>
      <c r="AY75" s="187"/>
      <c r="AZ75" s="187"/>
      <c r="BA75" s="181"/>
      <c r="BB75" s="181"/>
      <c r="BC75" s="181"/>
      <c r="BD75" s="181"/>
      <c r="BE75" s="181"/>
      <c r="BF75" s="181"/>
      <c r="BG75" s="181"/>
      <c r="BH75" s="181"/>
      <c r="BI75" s="181"/>
      <c r="BJ75" s="181"/>
      <c r="BK75" s="181"/>
      <c r="BL75" s="181"/>
      <c r="BM75" s="777">
        <v>45173</v>
      </c>
      <c r="BN75" s="792"/>
    </row>
    <row r="76" spans="1:66" s="189" customFormat="1" x14ac:dyDescent="0.3">
      <c r="A76" s="188" t="s">
        <v>448</v>
      </c>
      <c r="B76" s="181" t="s">
        <v>1555</v>
      </c>
      <c r="C76" s="188" t="s">
        <v>449</v>
      </c>
      <c r="D76" s="313" t="s">
        <v>723</v>
      </c>
      <c r="E76" s="488" t="s">
        <v>723</v>
      </c>
      <c r="F76" s="479" t="s">
        <v>2901</v>
      </c>
      <c r="G76" s="183" t="s">
        <v>89</v>
      </c>
      <c r="H76" s="184" t="s">
        <v>816</v>
      </c>
      <c r="I76" s="184" t="s">
        <v>872</v>
      </c>
      <c r="J76" s="185" t="s">
        <v>917</v>
      </c>
      <c r="K76" s="1283" t="s">
        <v>2352</v>
      </c>
      <c r="L76" s="736" t="s">
        <v>2125</v>
      </c>
      <c r="M76" s="1308" t="s">
        <v>723</v>
      </c>
      <c r="N76" s="777"/>
      <c r="O76" s="1298"/>
      <c r="P76" s="181"/>
      <c r="Q76" s="1298" t="s">
        <v>832</v>
      </c>
      <c r="R76" s="186">
        <f>$B$1</f>
        <v>45388</v>
      </c>
      <c r="S76" s="190"/>
      <c r="T76" s="182" t="s">
        <v>2920</v>
      </c>
      <c r="U76" s="192"/>
      <c r="V76" s="192"/>
      <c r="W76" s="188" t="str">
        <f>IFERROR(IF(AND(BD_PRINCIPAL[[#This Row],[DESDE]]&lt;&gt;"",BD_PRINCIPAL[[#This Row],[HASTA]]&lt;&gt;""),_xlfn.DAYS(BD_PRINCIPAL[[#This Row],[HASTA]],BD_PRINCIPAL[[#This Row],[DESDE]]),"")+1,"")</f>
        <v/>
      </c>
      <c r="X76" s="188">
        <f>VLOOKUP(BD_PRINCIPAL[[#This Row],[ENCUADRE. ESC.]],ORDEN1,2,FALSE)</f>
        <v>1</v>
      </c>
      <c r="Y76" s="188">
        <f>VLOOKUP(BD_PRINCIPAL[[#This Row],[DOTACIÓN ACTUAL]],ORDEN2,4,FALSE)</f>
        <v>48</v>
      </c>
      <c r="Z76" s="188">
        <f>VLOOKUP(BD_PRINCIPAL[[#This Row],[GRADO]],ORDEN3,2,FALSE)</f>
        <v>9</v>
      </c>
      <c r="AA76" s="188">
        <f>IFERROR(VLOOKUP(BD_PRINCIPAL[[#This Row],[DOTACIÓN ACTUAL]],ORDEN2,3,FALSE),0)</f>
        <v>0</v>
      </c>
      <c r="AB76" s="181" t="s">
        <v>1</v>
      </c>
      <c r="AC76" s="181" t="s">
        <v>2</v>
      </c>
      <c r="AD76" s="181" t="s">
        <v>2</v>
      </c>
      <c r="AE76" s="181" t="s">
        <v>853</v>
      </c>
      <c r="AF76" s="181" t="s">
        <v>854</v>
      </c>
      <c r="AG76" s="181" t="s">
        <v>2125</v>
      </c>
      <c r="AH76" s="181"/>
      <c r="AI76" s="181"/>
      <c r="AJ76" s="181"/>
      <c r="AK76" s="181"/>
      <c r="AL76" s="181"/>
      <c r="AM76" s="181"/>
      <c r="AN76" s="181"/>
      <c r="AO76" s="181"/>
      <c r="AP76" s="181"/>
      <c r="AQ76" s="181"/>
      <c r="AR76" s="181"/>
      <c r="AS76" s="181"/>
      <c r="AT76" s="187"/>
      <c r="AU76" s="187"/>
      <c r="AV76" s="187"/>
      <c r="AW76" s="187"/>
      <c r="AX76" s="187"/>
      <c r="AY76" s="187"/>
      <c r="AZ76" s="187"/>
      <c r="BA76" s="181"/>
      <c r="BB76" s="181"/>
      <c r="BC76" s="181"/>
      <c r="BD76" s="181"/>
      <c r="BE76" s="181"/>
      <c r="BF76" s="181"/>
      <c r="BG76" s="181"/>
      <c r="BH76" s="181"/>
      <c r="BI76" s="181"/>
      <c r="BJ76" s="181"/>
      <c r="BK76" s="181"/>
      <c r="BL76" s="181"/>
      <c r="BM76" s="777">
        <v>45131</v>
      </c>
      <c r="BN76" s="792"/>
    </row>
    <row r="77" spans="1:66" s="189" customFormat="1" x14ac:dyDescent="0.3">
      <c r="A77" s="188" t="s">
        <v>529</v>
      </c>
      <c r="B77" s="181" t="s">
        <v>1884</v>
      </c>
      <c r="C77" s="188">
        <v>182123269</v>
      </c>
      <c r="D77" s="313" t="s">
        <v>723</v>
      </c>
      <c r="E77" s="488" t="s">
        <v>723</v>
      </c>
      <c r="F77" s="479" t="s">
        <v>2343</v>
      </c>
      <c r="G77" s="183" t="s">
        <v>3</v>
      </c>
      <c r="H77" s="184" t="s">
        <v>816</v>
      </c>
      <c r="I77" s="184" t="s">
        <v>872</v>
      </c>
      <c r="J77" s="185" t="s">
        <v>917</v>
      </c>
      <c r="K77" s="1283" t="s">
        <v>2290</v>
      </c>
      <c r="L77" s="736" t="s">
        <v>2125</v>
      </c>
      <c r="M77" s="1308" t="s">
        <v>723</v>
      </c>
      <c r="N77" s="778"/>
      <c r="O77" s="1298"/>
      <c r="P77" s="181"/>
      <c r="Q77" s="1298" t="s">
        <v>832</v>
      </c>
      <c r="R77" s="186">
        <f>$B$1</f>
        <v>45388</v>
      </c>
      <c r="S77" s="182"/>
      <c r="T77" s="182" t="s">
        <v>2919</v>
      </c>
      <c r="U77" s="192"/>
      <c r="V77" s="192"/>
      <c r="W77" s="188" t="str">
        <f>IFERROR(IF(AND(BD_PRINCIPAL[[#This Row],[DESDE]]&lt;&gt;"",BD_PRINCIPAL[[#This Row],[HASTA]]&lt;&gt;""),_xlfn.DAYS(BD_PRINCIPAL[[#This Row],[HASTA]],BD_PRINCIPAL[[#This Row],[DESDE]]),"")+1,"")</f>
        <v/>
      </c>
      <c r="X77" s="188">
        <f>VLOOKUP(BD_PRINCIPAL[[#This Row],[ENCUADRE. ESC.]],ORDEN1,2,FALSE)</f>
        <v>1</v>
      </c>
      <c r="Y77" s="188">
        <f>VLOOKUP(BD_PRINCIPAL[[#This Row],[DOTACIÓN ACTUAL]],ORDEN2,4,FALSE)</f>
        <v>48</v>
      </c>
      <c r="Z77" s="188">
        <f>VLOOKUP(BD_PRINCIPAL[[#This Row],[GRADO]],ORDEN3,2,FALSE)</f>
        <v>11</v>
      </c>
      <c r="AA77" s="188">
        <f>IFERROR(VLOOKUP(BD_PRINCIPAL[[#This Row],[DOTACIÓN ACTUAL]],ORDEN2,3,FALSE),0)</f>
        <v>0</v>
      </c>
      <c r="AB77" s="181" t="s">
        <v>1</v>
      </c>
      <c r="AC77" s="181" t="s">
        <v>2</v>
      </c>
      <c r="AD77" s="181" t="s">
        <v>2</v>
      </c>
      <c r="AE77" s="181" t="s">
        <v>853</v>
      </c>
      <c r="AF77" s="181" t="s">
        <v>854</v>
      </c>
      <c r="AG77" s="181" t="s">
        <v>2125</v>
      </c>
      <c r="AH77" s="181"/>
      <c r="AI77" s="181"/>
      <c r="AJ77" s="181"/>
      <c r="AK77" s="181"/>
      <c r="AL77" s="181"/>
      <c r="AM77" s="181"/>
      <c r="AN77" s="181"/>
      <c r="AO77" s="181"/>
      <c r="AP77" s="181"/>
      <c r="AQ77" s="181"/>
      <c r="AR77" s="181"/>
      <c r="AS77" s="181"/>
      <c r="AT77" s="187"/>
      <c r="AU77" s="187"/>
      <c r="AV77" s="187"/>
      <c r="AW77" s="187"/>
      <c r="AX77" s="187"/>
      <c r="AY77" s="187"/>
      <c r="AZ77" s="187"/>
      <c r="BA77" s="181"/>
      <c r="BB77" s="181"/>
      <c r="BC77" s="181"/>
      <c r="BD77" s="181"/>
      <c r="BE77" s="181"/>
      <c r="BF77" s="181"/>
      <c r="BG77" s="181"/>
      <c r="BH77" s="181"/>
      <c r="BI77" s="181"/>
      <c r="BJ77" s="181"/>
      <c r="BK77" s="181"/>
      <c r="BL77" s="181"/>
      <c r="BM77" s="778">
        <v>45173</v>
      </c>
      <c r="BN77" s="792"/>
    </row>
    <row r="78" spans="1:66" s="233" customFormat="1" x14ac:dyDescent="0.3">
      <c r="A78" s="231" t="s">
        <v>588</v>
      </c>
      <c r="B78" s="225" t="s">
        <v>115</v>
      </c>
      <c r="C78" s="231">
        <v>181639210</v>
      </c>
      <c r="D78" s="317" t="s">
        <v>667</v>
      </c>
      <c r="E78" s="477" t="s">
        <v>667</v>
      </c>
      <c r="F78" s="477" t="s">
        <v>115</v>
      </c>
      <c r="G78" s="965" t="s">
        <v>10</v>
      </c>
      <c r="H78" s="228" t="s">
        <v>816</v>
      </c>
      <c r="I78" s="228" t="s">
        <v>872</v>
      </c>
      <c r="J78" s="229" t="s">
        <v>918</v>
      </c>
      <c r="K78" s="1280" t="s">
        <v>2290</v>
      </c>
      <c r="L78" s="734" t="s">
        <v>2</v>
      </c>
      <c r="M78" s="1305" t="s">
        <v>880</v>
      </c>
      <c r="N78" s="959"/>
      <c r="O78" s="1295"/>
      <c r="P78" s="225"/>
      <c r="Q78" s="1295" t="s">
        <v>832</v>
      </c>
      <c r="R78" s="234">
        <f>$B$1</f>
        <v>45388</v>
      </c>
      <c r="S78" s="236"/>
      <c r="T78" s="236" t="s">
        <v>2919</v>
      </c>
      <c r="U78" s="230"/>
      <c r="V78" s="230"/>
      <c r="W78" s="231" t="str">
        <f>IFERROR(IF(AND(BD_PRINCIPAL[[#This Row],[DESDE]]&lt;&gt;"",BD_PRINCIPAL[[#This Row],[HASTA]]&lt;&gt;""),_xlfn.DAYS(BD_PRINCIPAL[[#This Row],[HASTA]],BD_PRINCIPAL[[#This Row],[DESDE]]),"")+1,"")</f>
        <v/>
      </c>
      <c r="X78" s="231">
        <f>VLOOKUP(BD_PRINCIPAL[[#This Row],[ENCUADRE. ESC.]],ORDEN1,2,FALSE)</f>
        <v>1</v>
      </c>
      <c r="Y78" s="231">
        <f>VLOOKUP(BD_PRINCIPAL[[#This Row],[DOTACIÓN ACTUAL]],ORDEN2,4,FALSE)</f>
        <v>51</v>
      </c>
      <c r="Z78" s="231">
        <f>VLOOKUP(BD_PRINCIPAL[[#This Row],[GRADO]],ORDEN3,2,FALSE)</f>
        <v>5</v>
      </c>
      <c r="AA78" s="231">
        <f>IFERROR(VLOOKUP(BD_PRINCIPAL[[#This Row],[DOTACIÓN ACTUAL]],ORDEN2,3,FALSE),0)</f>
        <v>0</v>
      </c>
      <c r="AB78" s="225" t="s">
        <v>853</v>
      </c>
      <c r="AC78" s="225" t="s">
        <v>2</v>
      </c>
      <c r="AD78" s="225" t="s">
        <v>853</v>
      </c>
      <c r="AE78" s="225" t="s">
        <v>854</v>
      </c>
      <c r="AF78" s="225" t="s">
        <v>2125</v>
      </c>
      <c r="AG78" s="225" t="s">
        <v>2</v>
      </c>
      <c r="AH78" s="225"/>
      <c r="AI78" s="225"/>
      <c r="AJ78" s="225"/>
      <c r="AK78" s="225"/>
      <c r="AL78" s="225"/>
      <c r="AM78" s="225"/>
      <c r="AN78" s="225"/>
      <c r="AO78" s="225"/>
      <c r="AP78" s="225"/>
      <c r="AQ78" s="225"/>
      <c r="AR78" s="225"/>
      <c r="AS78" s="225"/>
      <c r="AT78" s="232"/>
      <c r="AU78" s="232"/>
      <c r="AV78" s="232"/>
      <c r="AW78" s="232"/>
      <c r="AX78" s="232"/>
      <c r="AY78" s="232"/>
      <c r="AZ78" s="232"/>
      <c r="BA78" s="225"/>
      <c r="BB78" s="225"/>
      <c r="BC78" s="225"/>
      <c r="BD78" s="225"/>
      <c r="BE78" s="225"/>
      <c r="BF78" s="225"/>
      <c r="BG78" s="225"/>
      <c r="BH78" s="225"/>
      <c r="BI78" s="225"/>
      <c r="BJ78" s="225"/>
      <c r="BK78" s="225"/>
      <c r="BL78" s="225"/>
      <c r="BM78" s="959">
        <v>45201</v>
      </c>
      <c r="BN78" s="790"/>
    </row>
    <row r="79" spans="1:66" s="233" customFormat="1" x14ac:dyDescent="0.3">
      <c r="A79" s="231" t="s">
        <v>665</v>
      </c>
      <c r="B79" s="225" t="s">
        <v>1562</v>
      </c>
      <c r="C79" s="231">
        <v>184298007</v>
      </c>
      <c r="D79" s="484" t="s">
        <v>729</v>
      </c>
      <c r="E79" s="484" t="s">
        <v>729</v>
      </c>
      <c r="F79" s="477" t="s">
        <v>2522</v>
      </c>
      <c r="G79" s="227" t="s">
        <v>3</v>
      </c>
      <c r="H79" s="228" t="s">
        <v>816</v>
      </c>
      <c r="I79" s="228" t="s">
        <v>872</v>
      </c>
      <c r="J79" s="229" t="s">
        <v>917</v>
      </c>
      <c r="K79" s="1280" t="s">
        <v>2523</v>
      </c>
      <c r="L79" s="734" t="s">
        <v>2</v>
      </c>
      <c r="M79" s="1305" t="s">
        <v>729</v>
      </c>
      <c r="N79" s="780"/>
      <c r="O79" s="1295"/>
      <c r="P79" s="225"/>
      <c r="Q79" s="1295" t="s">
        <v>832</v>
      </c>
      <c r="R79" s="234">
        <f>$B$1</f>
        <v>45388</v>
      </c>
      <c r="S79" s="236"/>
      <c r="T79" s="226" t="s">
        <v>3339</v>
      </c>
      <c r="U79" s="230"/>
      <c r="V79" s="230"/>
      <c r="W79" s="231" t="str">
        <f>IFERROR(IF(AND(BD_PRINCIPAL[[#This Row],[DESDE]]&lt;&gt;"",BD_PRINCIPAL[[#This Row],[HASTA]]&lt;&gt;""),_xlfn.DAYS(BD_PRINCIPAL[[#This Row],[HASTA]],BD_PRINCIPAL[[#This Row],[DESDE]]),"")+1,"")</f>
        <v/>
      </c>
      <c r="X79" s="231">
        <f>VLOOKUP(BD_PRINCIPAL[[#This Row],[ENCUADRE. ESC.]],ORDEN1,2,FALSE)</f>
        <v>1</v>
      </c>
      <c r="Y79" s="231">
        <f>VLOOKUP(BD_PRINCIPAL[[#This Row],[DOTACIÓN ACTUAL]],ORDEN2,4,FALSE)</f>
        <v>52</v>
      </c>
      <c r="Z79" s="231">
        <f>VLOOKUP(BD_PRINCIPAL[[#This Row],[GRADO]],ORDEN3,2,FALSE)</f>
        <v>11</v>
      </c>
      <c r="AA79" s="231">
        <f>IFERROR(VLOOKUP(BD_PRINCIPAL[[#This Row],[DOTACIÓN ACTUAL]],ORDEN2,3,FALSE),0)</f>
        <v>0</v>
      </c>
      <c r="AB79" s="225" t="s">
        <v>853</v>
      </c>
      <c r="AC79" s="225" t="s">
        <v>2</v>
      </c>
      <c r="AD79" s="225" t="s">
        <v>853</v>
      </c>
      <c r="AE79" s="225" t="s">
        <v>854</v>
      </c>
      <c r="AF79" s="225" t="s">
        <v>2125</v>
      </c>
      <c r="AG79" s="225" t="s">
        <v>2</v>
      </c>
      <c r="AH79" s="225"/>
      <c r="AI79" s="225"/>
      <c r="AJ79" s="225"/>
      <c r="AK79" s="225"/>
      <c r="AL79" s="225"/>
      <c r="AM79" s="225"/>
      <c r="AN79" s="225"/>
      <c r="AO79" s="225"/>
      <c r="AP79" s="225"/>
      <c r="AQ79" s="225"/>
      <c r="AR79" s="225"/>
      <c r="AS79" s="225"/>
      <c r="AT79" s="232"/>
      <c r="AU79" s="232"/>
      <c r="AV79" s="232"/>
      <c r="AW79" s="232"/>
      <c r="AX79" s="232"/>
      <c r="AY79" s="232"/>
      <c r="AZ79" s="232"/>
      <c r="BA79" s="225"/>
      <c r="BB79" s="225"/>
      <c r="BC79" s="225"/>
      <c r="BD79" s="225"/>
      <c r="BE79" s="225"/>
      <c r="BF79" s="225"/>
      <c r="BG79" s="225"/>
      <c r="BH79" s="225"/>
      <c r="BI79" s="225"/>
      <c r="BJ79" s="225"/>
      <c r="BK79" s="225"/>
      <c r="BL79" s="225"/>
      <c r="BM79" s="780">
        <v>45222</v>
      </c>
      <c r="BN79" s="790"/>
    </row>
    <row r="80" spans="1:66" s="233" customFormat="1" x14ac:dyDescent="0.3">
      <c r="A80" s="231" t="s">
        <v>319</v>
      </c>
      <c r="B80" s="225" t="s">
        <v>186</v>
      </c>
      <c r="C80" s="231" t="s">
        <v>320</v>
      </c>
      <c r="D80" s="310" t="s">
        <v>729</v>
      </c>
      <c r="E80" s="477" t="s">
        <v>729</v>
      </c>
      <c r="F80" s="477" t="s">
        <v>186</v>
      </c>
      <c r="G80" s="227" t="s">
        <v>4</v>
      </c>
      <c r="H80" s="228" t="s">
        <v>816</v>
      </c>
      <c r="I80" s="228" t="s">
        <v>872</v>
      </c>
      <c r="J80" s="229" t="s">
        <v>917</v>
      </c>
      <c r="K80" s="1280" t="s">
        <v>2290</v>
      </c>
      <c r="L80" s="734" t="s">
        <v>2</v>
      </c>
      <c r="M80" s="1305" t="s">
        <v>729</v>
      </c>
      <c r="N80" s="773"/>
      <c r="O80" s="1295"/>
      <c r="P80" s="225"/>
      <c r="Q80" s="1295" t="s">
        <v>832</v>
      </c>
      <c r="R80" s="234">
        <f>$B$1</f>
        <v>45388</v>
      </c>
      <c r="S80" s="226"/>
      <c r="T80" s="226" t="s">
        <v>2919</v>
      </c>
      <c r="U80" s="230"/>
      <c r="V80" s="230"/>
      <c r="W80" s="231" t="str">
        <f>IFERROR(IF(AND(BD_PRINCIPAL[[#This Row],[DESDE]]&lt;&gt;"",BD_PRINCIPAL[[#This Row],[HASTA]]&lt;&gt;""),_xlfn.DAYS(BD_PRINCIPAL[[#This Row],[HASTA]],BD_PRINCIPAL[[#This Row],[DESDE]]),"")+1,"")</f>
        <v/>
      </c>
      <c r="X80" s="231">
        <f>VLOOKUP(BD_PRINCIPAL[[#This Row],[ENCUADRE. ESC.]],ORDEN1,2,FALSE)</f>
        <v>1</v>
      </c>
      <c r="Y80" s="231">
        <f>VLOOKUP(BD_PRINCIPAL[[#This Row],[DOTACIÓN ACTUAL]],ORDEN2,4,FALSE)</f>
        <v>52</v>
      </c>
      <c r="Z80" s="231">
        <f>VLOOKUP(BD_PRINCIPAL[[#This Row],[GRADO]],ORDEN3,2,FALSE)</f>
        <v>12</v>
      </c>
      <c r="AA80" s="231">
        <f>IFERROR(VLOOKUP(BD_PRINCIPAL[[#This Row],[DOTACIÓN ACTUAL]],ORDEN2,3,FALSE),0)</f>
        <v>0</v>
      </c>
      <c r="AB80" s="225" t="s">
        <v>853</v>
      </c>
      <c r="AC80" s="225" t="s">
        <v>2</v>
      </c>
      <c r="AD80" s="225" t="s">
        <v>853</v>
      </c>
      <c r="AE80" s="225" t="s">
        <v>854</v>
      </c>
      <c r="AF80" s="225" t="s">
        <v>2125</v>
      </c>
      <c r="AG80" s="225" t="s">
        <v>2</v>
      </c>
      <c r="AH80" s="225"/>
      <c r="AI80" s="225"/>
      <c r="AJ80" s="225"/>
      <c r="AK80" s="225"/>
      <c r="AL80" s="225"/>
      <c r="AM80" s="225"/>
      <c r="AN80" s="225"/>
      <c r="AO80" s="225"/>
      <c r="AP80" s="225"/>
      <c r="AQ80" s="225"/>
      <c r="AR80" s="225"/>
      <c r="AS80" s="225"/>
      <c r="AT80" s="232"/>
      <c r="AU80" s="232"/>
      <c r="AV80" s="232"/>
      <c r="AW80" s="232"/>
      <c r="AX80" s="232"/>
      <c r="AY80" s="232"/>
      <c r="AZ80" s="232"/>
      <c r="BA80" s="225"/>
      <c r="BB80" s="225"/>
      <c r="BC80" s="225"/>
      <c r="BD80" s="225"/>
      <c r="BE80" s="225"/>
      <c r="BF80" s="225"/>
      <c r="BG80" s="225"/>
      <c r="BH80" s="225"/>
      <c r="BI80" s="225"/>
      <c r="BJ80" s="225"/>
      <c r="BK80" s="225"/>
      <c r="BL80" s="225"/>
      <c r="BM80" s="773">
        <v>45177</v>
      </c>
      <c r="BN80" s="790"/>
    </row>
    <row r="81" spans="1:66" s="247" customFormat="1" ht="52.8" x14ac:dyDescent="0.3">
      <c r="A81" s="245" t="s">
        <v>1973</v>
      </c>
      <c r="B81" s="649" t="s">
        <v>1974</v>
      </c>
      <c r="C81" s="245">
        <v>178589660</v>
      </c>
      <c r="D81" s="311" t="s">
        <v>668</v>
      </c>
      <c r="E81" s="478" t="s">
        <v>668</v>
      </c>
      <c r="F81" s="478" t="s">
        <v>1974</v>
      </c>
      <c r="G81" s="248" t="s">
        <v>10</v>
      </c>
      <c r="H81" s="241" t="s">
        <v>816</v>
      </c>
      <c r="I81" s="241" t="s">
        <v>872</v>
      </c>
      <c r="J81" s="242" t="s">
        <v>918</v>
      </c>
      <c r="K81" s="1281" t="s">
        <v>2290</v>
      </c>
      <c r="L81" s="735" t="s">
        <v>855</v>
      </c>
      <c r="M81" s="1306" t="s">
        <v>1220</v>
      </c>
      <c r="N81" s="774"/>
      <c r="O81" s="1296"/>
      <c r="P81" s="238"/>
      <c r="Q81" s="1296" t="s">
        <v>832</v>
      </c>
      <c r="R81" s="337">
        <f>$B$1</f>
        <v>45388</v>
      </c>
      <c r="S81" s="249"/>
      <c r="T81" s="249" t="s">
        <v>3548</v>
      </c>
      <c r="U81" s="244"/>
      <c r="V81" s="244"/>
      <c r="W81" s="338" t="str">
        <f>IFERROR(IF(AND(BD_PRINCIPAL[[#This Row],[DESDE]]&lt;&gt;"",BD_PRINCIPAL[[#This Row],[HASTA]]&lt;&gt;""),_xlfn.DAYS(BD_PRINCIPAL[[#This Row],[HASTA]],BD_PRINCIPAL[[#This Row],[DESDE]]),"")+1,"")</f>
        <v/>
      </c>
      <c r="X81" s="338">
        <f>VLOOKUP(BD_PRINCIPAL[[#This Row],[ENCUADRE. ESC.]],ORDEN1,2,FALSE)</f>
        <v>1</v>
      </c>
      <c r="Y81" s="338">
        <f>VLOOKUP(BD_PRINCIPAL[[#This Row],[DOTACIÓN ACTUAL]],ORDEN2,4,FALSE)</f>
        <v>53</v>
      </c>
      <c r="Z81" s="338">
        <f>VLOOKUP(BD_PRINCIPAL[[#This Row],[GRADO]],ORDEN3,2,FALSE)</f>
        <v>5</v>
      </c>
      <c r="AA81" s="338">
        <f>IFERROR(VLOOKUP(BD_PRINCIPAL[[#This Row],[DOTACIÓN ACTUAL]],ORDEN2,3,FALSE),0)</f>
        <v>0</v>
      </c>
      <c r="AB81" s="238" t="s">
        <v>853</v>
      </c>
      <c r="AC81" s="238" t="s">
        <v>909</v>
      </c>
      <c r="AD81" s="238" t="s">
        <v>1</v>
      </c>
      <c r="AE81" s="238" t="s">
        <v>2</v>
      </c>
      <c r="AF81" s="238" t="s">
        <v>853</v>
      </c>
      <c r="AG81" s="238" t="s">
        <v>855</v>
      </c>
      <c r="AH81" s="238"/>
      <c r="AI81" s="238"/>
      <c r="AJ81" s="238"/>
      <c r="AK81" s="238"/>
      <c r="AL81" s="238"/>
      <c r="AM81" s="238"/>
      <c r="AN81" s="238"/>
      <c r="AO81" s="238"/>
      <c r="AP81" s="238"/>
      <c r="AQ81" s="238"/>
      <c r="AR81" s="238"/>
      <c r="AS81" s="238"/>
      <c r="AT81" s="246"/>
      <c r="AU81" s="246"/>
      <c r="AV81" s="246"/>
      <c r="AW81" s="246"/>
      <c r="AX81" s="246"/>
      <c r="AY81" s="246"/>
      <c r="AZ81" s="246"/>
      <c r="BA81" s="238"/>
      <c r="BB81" s="238"/>
      <c r="BC81" s="238"/>
      <c r="BD81" s="238"/>
      <c r="BE81" s="238"/>
      <c r="BF81" s="238"/>
      <c r="BG81" s="238"/>
      <c r="BH81" s="238"/>
      <c r="BI81" s="238"/>
      <c r="BJ81" s="238"/>
      <c r="BK81" s="238"/>
      <c r="BL81" s="238"/>
      <c r="BM81" s="775">
        <v>45176</v>
      </c>
      <c r="BN81" s="788"/>
    </row>
    <row r="82" spans="1:66" s="247" customFormat="1" x14ac:dyDescent="0.3">
      <c r="A82" s="245" t="s">
        <v>399</v>
      </c>
      <c r="B82" s="238" t="s">
        <v>1569</v>
      </c>
      <c r="C82" s="245">
        <v>160045868</v>
      </c>
      <c r="D82" s="311" t="s">
        <v>727</v>
      </c>
      <c r="E82" s="486" t="s">
        <v>727</v>
      </c>
      <c r="F82" s="478" t="s">
        <v>1970</v>
      </c>
      <c r="G82" s="248" t="s">
        <v>89</v>
      </c>
      <c r="H82" s="241" t="s">
        <v>816</v>
      </c>
      <c r="I82" s="241" t="s">
        <v>872</v>
      </c>
      <c r="J82" s="242" t="s">
        <v>917</v>
      </c>
      <c r="K82" s="1281" t="s">
        <v>2299</v>
      </c>
      <c r="L82" s="735" t="s">
        <v>855</v>
      </c>
      <c r="M82" s="1306" t="s">
        <v>727</v>
      </c>
      <c r="N82" s="775"/>
      <c r="O82" s="1296"/>
      <c r="P82" s="238"/>
      <c r="Q82" s="1296" t="s">
        <v>832</v>
      </c>
      <c r="R82" s="243">
        <f>$B$1</f>
        <v>45388</v>
      </c>
      <c r="S82" s="249"/>
      <c r="T82" s="249" t="s">
        <v>2919</v>
      </c>
      <c r="U82" s="244"/>
      <c r="V82" s="244"/>
      <c r="W82" s="245" t="str">
        <f>IFERROR(IF(AND(BD_PRINCIPAL[[#This Row],[DESDE]]&lt;&gt;"",BD_PRINCIPAL[[#This Row],[HASTA]]&lt;&gt;""),_xlfn.DAYS(BD_PRINCIPAL[[#This Row],[HASTA]],BD_PRINCIPAL[[#This Row],[DESDE]]),"")+1,"")</f>
        <v/>
      </c>
      <c r="X82" s="245">
        <f>VLOOKUP(BD_PRINCIPAL[[#This Row],[ENCUADRE. ESC.]],ORDEN1,2,FALSE)</f>
        <v>1</v>
      </c>
      <c r="Y82" s="245">
        <f>VLOOKUP(BD_PRINCIPAL[[#This Row],[DOTACIÓN ACTUAL]],ORDEN2,4,FALSE)</f>
        <v>54</v>
      </c>
      <c r="Z82" s="245">
        <f>VLOOKUP(BD_PRINCIPAL[[#This Row],[GRADO]],ORDEN3,2,FALSE)</f>
        <v>9</v>
      </c>
      <c r="AA82" s="245">
        <f>IFERROR(VLOOKUP(BD_PRINCIPAL[[#This Row],[DOTACIÓN ACTUAL]],ORDEN2,3,FALSE),0)</f>
        <v>0</v>
      </c>
      <c r="AB82" s="238" t="s">
        <v>853</v>
      </c>
      <c r="AC82" s="238" t="s">
        <v>854</v>
      </c>
      <c r="AD82" s="238" t="s">
        <v>2125</v>
      </c>
      <c r="AE82" s="238" t="s">
        <v>2</v>
      </c>
      <c r="AF82" s="238" t="s">
        <v>853</v>
      </c>
      <c r="AG82" s="238" t="s">
        <v>855</v>
      </c>
      <c r="AH82" s="238"/>
      <c r="AI82" s="238"/>
      <c r="AJ82" s="238"/>
      <c r="AK82" s="238"/>
      <c r="AL82" s="238"/>
      <c r="AM82" s="238"/>
      <c r="AN82" s="238"/>
      <c r="AO82" s="238"/>
      <c r="AP82" s="238"/>
      <c r="AQ82" s="238"/>
      <c r="AR82" s="238"/>
      <c r="AS82" s="238"/>
      <c r="AT82" s="246"/>
      <c r="AU82" s="246"/>
      <c r="AV82" s="246"/>
      <c r="AW82" s="246"/>
      <c r="AX82" s="246"/>
      <c r="AY82" s="246"/>
      <c r="AZ82" s="246"/>
      <c r="BA82" s="238"/>
      <c r="BB82" s="238"/>
      <c r="BC82" s="238"/>
      <c r="BD82" s="238"/>
      <c r="BE82" s="238"/>
      <c r="BF82" s="238"/>
      <c r="BG82" s="238"/>
      <c r="BH82" s="238"/>
      <c r="BI82" s="238"/>
      <c r="BJ82" s="238"/>
      <c r="BK82" s="238"/>
      <c r="BL82" s="238"/>
      <c r="BM82" s="775">
        <v>45061</v>
      </c>
      <c r="BN82" s="788"/>
    </row>
    <row r="83" spans="1:66" s="247" customFormat="1" x14ac:dyDescent="0.3">
      <c r="A83" s="245" t="s">
        <v>318</v>
      </c>
      <c r="B83" s="238" t="s">
        <v>49</v>
      </c>
      <c r="C83" s="245">
        <v>182392049</v>
      </c>
      <c r="D83" s="311" t="s">
        <v>727</v>
      </c>
      <c r="E83" s="478" t="s">
        <v>727</v>
      </c>
      <c r="F83" s="478" t="s">
        <v>49</v>
      </c>
      <c r="G83" s="240" t="s">
        <v>4</v>
      </c>
      <c r="H83" s="241" t="s">
        <v>816</v>
      </c>
      <c r="I83" s="241" t="s">
        <v>872</v>
      </c>
      <c r="J83" s="242" t="s">
        <v>917</v>
      </c>
      <c r="K83" s="1281" t="s">
        <v>2290</v>
      </c>
      <c r="L83" s="735" t="s">
        <v>855</v>
      </c>
      <c r="M83" s="1306" t="s">
        <v>727</v>
      </c>
      <c r="N83" s="775"/>
      <c r="O83" s="1296"/>
      <c r="P83" s="238"/>
      <c r="Q83" s="1296" t="s">
        <v>832</v>
      </c>
      <c r="R83" s="243">
        <f>$B$1</f>
        <v>45388</v>
      </c>
      <c r="S83" s="249"/>
      <c r="T83" s="249" t="s">
        <v>2919</v>
      </c>
      <c r="U83" s="244"/>
      <c r="V83" s="244"/>
      <c r="W83" s="245" t="str">
        <f>IFERROR(IF(AND(BD_PRINCIPAL[[#This Row],[DESDE]]&lt;&gt;"",BD_PRINCIPAL[[#This Row],[HASTA]]&lt;&gt;""),_xlfn.DAYS(BD_PRINCIPAL[[#This Row],[HASTA]],BD_PRINCIPAL[[#This Row],[DESDE]]),"")+1,"")</f>
        <v/>
      </c>
      <c r="X83" s="245">
        <f>VLOOKUP(BD_PRINCIPAL[[#This Row],[ENCUADRE. ESC.]],ORDEN1,2,FALSE)</f>
        <v>1</v>
      </c>
      <c r="Y83" s="245">
        <f>VLOOKUP(BD_PRINCIPAL[[#This Row],[DOTACIÓN ACTUAL]],ORDEN2,4,FALSE)</f>
        <v>54</v>
      </c>
      <c r="Z83" s="245">
        <f>VLOOKUP(BD_PRINCIPAL[[#This Row],[GRADO]],ORDEN3,2,FALSE)</f>
        <v>12</v>
      </c>
      <c r="AA83" s="245">
        <f>IFERROR(VLOOKUP(BD_PRINCIPAL[[#This Row],[DOTACIÓN ACTUAL]],ORDEN2,3,FALSE),0)</f>
        <v>0</v>
      </c>
      <c r="AB83" s="238" t="s">
        <v>853</v>
      </c>
      <c r="AC83" s="238" t="s">
        <v>854</v>
      </c>
      <c r="AD83" s="238" t="s">
        <v>2125</v>
      </c>
      <c r="AE83" s="238" t="s">
        <v>2</v>
      </c>
      <c r="AF83" s="238" t="s">
        <v>853</v>
      </c>
      <c r="AG83" s="238" t="s">
        <v>855</v>
      </c>
      <c r="AH83" s="238"/>
      <c r="AI83" s="238"/>
      <c r="AJ83" s="238"/>
      <c r="AK83" s="238"/>
      <c r="AL83" s="238"/>
      <c r="AM83" s="238"/>
      <c r="AN83" s="238"/>
      <c r="AO83" s="238"/>
      <c r="AP83" s="238"/>
      <c r="AQ83" s="238"/>
      <c r="AR83" s="238"/>
      <c r="AS83" s="238"/>
      <c r="AT83" s="246"/>
      <c r="AU83" s="246"/>
      <c r="AV83" s="246"/>
      <c r="AW83" s="246"/>
      <c r="AX83" s="246"/>
      <c r="AY83" s="246"/>
      <c r="AZ83" s="246"/>
      <c r="BA83" s="238"/>
      <c r="BB83" s="238"/>
      <c r="BC83" s="238"/>
      <c r="BD83" s="238"/>
      <c r="BE83" s="238"/>
      <c r="BF83" s="238"/>
      <c r="BG83" s="238"/>
      <c r="BH83" s="238"/>
      <c r="BI83" s="238"/>
      <c r="BJ83" s="238"/>
      <c r="BK83" s="238"/>
      <c r="BL83" s="238"/>
      <c r="BM83" s="775">
        <v>45176</v>
      </c>
      <c r="BN83" s="788"/>
    </row>
    <row r="84" spans="1:66" s="221" customFormat="1" x14ac:dyDescent="0.3">
      <c r="A84" s="219" t="s">
        <v>1822</v>
      </c>
      <c r="B84" s="212" t="s">
        <v>1824</v>
      </c>
      <c r="C84" s="219" t="s">
        <v>1823</v>
      </c>
      <c r="D84" s="715" t="s">
        <v>734</v>
      </c>
      <c r="E84" s="480" t="s">
        <v>670</v>
      </c>
      <c r="F84" s="480" t="s">
        <v>1824</v>
      </c>
      <c r="G84" s="222" t="s">
        <v>10</v>
      </c>
      <c r="H84" s="215" t="s">
        <v>816</v>
      </c>
      <c r="I84" s="215" t="s">
        <v>872</v>
      </c>
      <c r="J84" s="216" t="s">
        <v>918</v>
      </c>
      <c r="K84" s="1279" t="s">
        <v>2290</v>
      </c>
      <c r="L84" s="733" t="s">
        <v>6</v>
      </c>
      <c r="M84" s="1304" t="s">
        <v>2289</v>
      </c>
      <c r="N84" s="787"/>
      <c r="O84" s="1294"/>
      <c r="P84" s="212"/>
      <c r="Q84" s="1294" t="s">
        <v>832</v>
      </c>
      <c r="R84" s="498">
        <f>$B$1</f>
        <v>45388</v>
      </c>
      <c r="S84" s="223"/>
      <c r="T84" s="223"/>
      <c r="U84" s="218"/>
      <c r="V84" s="218"/>
      <c r="W84" s="499" t="str">
        <f>IFERROR(IF(AND(BD_PRINCIPAL[[#This Row],[DESDE]]&lt;&gt;"",BD_PRINCIPAL[[#This Row],[HASTA]]&lt;&gt;""),_xlfn.DAYS(BD_PRINCIPAL[[#This Row],[HASTA]],BD_PRINCIPAL[[#This Row],[DESDE]]),"")+1,"")</f>
        <v/>
      </c>
      <c r="X84" s="499">
        <f>VLOOKUP(BD_PRINCIPAL[[#This Row],[ENCUADRE. ESC.]],ORDEN1,2,FALSE)</f>
        <v>1</v>
      </c>
      <c r="Y84" s="499">
        <f>VLOOKUP(BD_PRINCIPAL[[#This Row],[DOTACIÓN ACTUAL]],ORDEN2,4,FALSE)</f>
        <v>57</v>
      </c>
      <c r="Z84" s="499">
        <f>VLOOKUP(BD_PRINCIPAL[[#This Row],[GRADO]],ORDEN3,2,FALSE)</f>
        <v>5</v>
      </c>
      <c r="AA84" s="499">
        <f>IFERROR(VLOOKUP(BD_PRINCIPAL[[#This Row],[DOTACIÓN ACTUAL]],ORDEN2,3,FALSE),0)</f>
        <v>0</v>
      </c>
      <c r="AB84" s="212" t="s">
        <v>2125</v>
      </c>
      <c r="AC84" s="212" t="s">
        <v>1</v>
      </c>
      <c r="AD84" s="212" t="s">
        <v>853</v>
      </c>
      <c r="AE84" s="212" t="s">
        <v>2</v>
      </c>
      <c r="AF84" s="212" t="s">
        <v>2</v>
      </c>
      <c r="AG84" s="212" t="s">
        <v>6</v>
      </c>
      <c r="AH84" s="212"/>
      <c r="AI84" s="212"/>
      <c r="AJ84" s="212"/>
      <c r="AK84" s="212"/>
      <c r="AL84" s="212"/>
      <c r="AM84" s="212"/>
      <c r="AN84" s="212"/>
      <c r="AO84" s="212"/>
      <c r="AP84" s="212"/>
      <c r="AQ84" s="212"/>
      <c r="AR84" s="212"/>
      <c r="AS84" s="212"/>
      <c r="AT84" s="220"/>
      <c r="AU84" s="220"/>
      <c r="AV84" s="220"/>
      <c r="AW84" s="220"/>
      <c r="AX84" s="220"/>
      <c r="AY84" s="220"/>
      <c r="AZ84" s="220"/>
      <c r="BA84" s="212"/>
      <c r="BB84" s="212"/>
      <c r="BC84" s="212"/>
      <c r="BD84" s="212"/>
      <c r="BE84" s="212"/>
      <c r="BF84" s="212"/>
      <c r="BG84" s="212"/>
      <c r="BH84" s="212"/>
      <c r="BI84" s="212"/>
      <c r="BJ84" s="212"/>
      <c r="BK84" s="212"/>
      <c r="BL84" s="212"/>
      <c r="BM84" s="772">
        <v>45174</v>
      </c>
      <c r="BN84" s="789"/>
    </row>
    <row r="85" spans="1:66" s="221" customFormat="1" x14ac:dyDescent="0.3">
      <c r="A85" s="219" t="s">
        <v>468</v>
      </c>
      <c r="B85" s="212" t="s">
        <v>172</v>
      </c>
      <c r="C85" s="219">
        <v>203579306</v>
      </c>
      <c r="D85" s="715" t="s">
        <v>731</v>
      </c>
      <c r="E85" s="485" t="s">
        <v>735</v>
      </c>
      <c r="F85" s="480" t="s">
        <v>3097</v>
      </c>
      <c r="G85" s="214" t="s">
        <v>4</v>
      </c>
      <c r="H85" s="215" t="s">
        <v>816</v>
      </c>
      <c r="I85" s="215" t="s">
        <v>872</v>
      </c>
      <c r="J85" s="216" t="s">
        <v>917</v>
      </c>
      <c r="K85" s="1279" t="s">
        <v>3098</v>
      </c>
      <c r="L85" s="733" t="s">
        <v>6</v>
      </c>
      <c r="M85" s="1304" t="s">
        <v>735</v>
      </c>
      <c r="N85" s="771"/>
      <c r="O85" s="1294"/>
      <c r="P85" s="212"/>
      <c r="Q85" s="1294" t="s">
        <v>832</v>
      </c>
      <c r="R85" s="217">
        <f>$B$1</f>
        <v>45388</v>
      </c>
      <c r="S85" s="223"/>
      <c r="T85" s="213"/>
      <c r="U85" s="218"/>
      <c r="V85" s="218"/>
      <c r="W85" s="219" t="str">
        <f>IFERROR(IF(AND(BD_PRINCIPAL[[#This Row],[DESDE]]&lt;&gt;"",BD_PRINCIPAL[[#This Row],[HASTA]]&lt;&gt;""),_xlfn.DAYS(BD_PRINCIPAL[[#This Row],[HASTA]],BD_PRINCIPAL[[#This Row],[DESDE]]),"")+1,"")</f>
        <v/>
      </c>
      <c r="X85" s="219">
        <f>VLOOKUP(BD_PRINCIPAL[[#This Row],[ENCUADRE. ESC.]],ORDEN1,2,FALSE)</f>
        <v>1</v>
      </c>
      <c r="Y85" s="219">
        <f>VLOOKUP(BD_PRINCIPAL[[#This Row],[DOTACIÓN ACTUAL]],ORDEN2,4,FALSE)</f>
        <v>58</v>
      </c>
      <c r="Z85" s="219">
        <f>VLOOKUP(BD_PRINCIPAL[[#This Row],[GRADO]],ORDEN3,2,FALSE)</f>
        <v>12</v>
      </c>
      <c r="AA85" s="219">
        <f>IFERROR(VLOOKUP(BD_PRINCIPAL[[#This Row],[DOTACIÓN ACTUAL]],ORDEN2,3,FALSE),0)</f>
        <v>0</v>
      </c>
      <c r="AB85" s="212" t="s">
        <v>853</v>
      </c>
      <c r="AC85" s="212" t="s">
        <v>853</v>
      </c>
      <c r="AD85" s="212" t="s">
        <v>2125</v>
      </c>
      <c r="AE85" s="212" t="s">
        <v>2</v>
      </c>
      <c r="AF85" s="212" t="s">
        <v>2</v>
      </c>
      <c r="AG85" s="212" t="s">
        <v>6</v>
      </c>
      <c r="AH85" s="212"/>
      <c r="AI85" s="212"/>
      <c r="AJ85" s="212"/>
      <c r="AK85" s="212"/>
      <c r="AL85" s="212"/>
      <c r="AM85" s="212"/>
      <c r="AN85" s="212"/>
      <c r="AO85" s="212"/>
      <c r="AP85" s="212"/>
      <c r="AQ85" s="212"/>
      <c r="AR85" s="212"/>
      <c r="AS85" s="212"/>
      <c r="AT85" s="220"/>
      <c r="AU85" s="220"/>
      <c r="AV85" s="220"/>
      <c r="AW85" s="220"/>
      <c r="AX85" s="220"/>
      <c r="AY85" s="220"/>
      <c r="AZ85" s="220"/>
      <c r="BA85" s="212"/>
      <c r="BB85" s="212"/>
      <c r="BC85" s="212"/>
      <c r="BD85" s="212"/>
      <c r="BE85" s="212"/>
      <c r="BF85" s="212"/>
      <c r="BG85" s="212"/>
      <c r="BH85" s="212"/>
      <c r="BI85" s="212"/>
      <c r="BJ85" s="212"/>
      <c r="BK85" s="212"/>
      <c r="BL85" s="212"/>
      <c r="BM85" s="771">
        <v>45386</v>
      </c>
      <c r="BN85" s="789"/>
    </row>
    <row r="86" spans="1:66" s="233" customFormat="1" x14ac:dyDescent="0.3">
      <c r="A86" s="231" t="s">
        <v>2800</v>
      </c>
      <c r="B86" s="746" t="s">
        <v>2802</v>
      </c>
      <c r="C86" s="231" t="s">
        <v>2801</v>
      </c>
      <c r="D86" s="715" t="s">
        <v>744</v>
      </c>
      <c r="E86" s="477" t="s">
        <v>827</v>
      </c>
      <c r="F86" s="477" t="s">
        <v>2802</v>
      </c>
      <c r="G86" s="235" t="s">
        <v>10</v>
      </c>
      <c r="H86" s="228" t="s">
        <v>816</v>
      </c>
      <c r="I86" s="228" t="s">
        <v>872</v>
      </c>
      <c r="J86" s="229" t="s">
        <v>918</v>
      </c>
      <c r="K86" s="1280" t="s">
        <v>2290</v>
      </c>
      <c r="L86" s="734" t="s">
        <v>855</v>
      </c>
      <c r="M86" s="1305" t="s">
        <v>1220</v>
      </c>
      <c r="N86" s="779"/>
      <c r="O86" s="1295"/>
      <c r="P86" s="225"/>
      <c r="Q86" s="1295" t="s">
        <v>832</v>
      </c>
      <c r="R86" s="386">
        <v>34479</v>
      </c>
      <c r="S86" s="226"/>
      <c r="T86" s="226"/>
      <c r="U86" s="794"/>
      <c r="V86" s="794"/>
      <c r="W86" s="387" t="str">
        <f>IFERROR(IF(AND(BD_PRINCIPAL[[#This Row],[DESDE]]&lt;&gt;"",BD_PRINCIPAL[[#This Row],[HASTA]]&lt;&gt;""),_xlfn.DAYS(BD_PRINCIPAL[[#This Row],[HASTA]],BD_PRINCIPAL[[#This Row],[DESDE]]),"")+1,"")</f>
        <v/>
      </c>
      <c r="X86" s="387">
        <f>VLOOKUP(BD_PRINCIPAL[[#This Row],[ENCUADRE. ESC.]],ORDEN1,2,FALSE)</f>
        <v>1</v>
      </c>
      <c r="Y86" s="387">
        <f>VLOOKUP(BD_PRINCIPAL[[#This Row],[DOTACIÓN ACTUAL]],ORDEN2,4,FALSE)</f>
        <v>59</v>
      </c>
      <c r="Z86" s="387">
        <f>VLOOKUP(BD_PRINCIPAL[[#This Row],[GRADO]],ORDEN3,2,FALSE)</f>
        <v>5</v>
      </c>
      <c r="AA86" s="387">
        <f>IFERROR(VLOOKUP(BD_PRINCIPAL[[#This Row],[DOTACIÓN ACTUAL]],ORDEN2,3,FALSE),0)</f>
        <v>0</v>
      </c>
      <c r="AB86" s="232" t="s">
        <v>1</v>
      </c>
      <c r="AC86" s="232" t="s">
        <v>2</v>
      </c>
      <c r="AD86" s="232" t="s">
        <v>1</v>
      </c>
      <c r="AE86" s="232" t="s">
        <v>853</v>
      </c>
      <c r="AF86" s="232" t="s">
        <v>853</v>
      </c>
      <c r="AG86" s="232" t="s">
        <v>855</v>
      </c>
      <c r="AH86" s="232"/>
      <c r="AI86" s="232"/>
      <c r="AJ86" s="232"/>
      <c r="AK86" s="232"/>
      <c r="AL86" s="232"/>
      <c r="AM86" s="232"/>
      <c r="AN86" s="232"/>
      <c r="AO86" s="232"/>
      <c r="AP86" s="232"/>
      <c r="AQ86" s="232"/>
      <c r="AR86" s="232"/>
      <c r="AS86" s="232"/>
      <c r="AT86" s="232"/>
      <c r="AU86" s="232"/>
      <c r="AV86" s="232"/>
      <c r="AW86" s="232"/>
      <c r="AX86" s="232"/>
      <c r="AY86" s="232"/>
      <c r="AZ86" s="232"/>
      <c r="BA86" s="225"/>
      <c r="BB86" s="225"/>
      <c r="BC86" s="225"/>
      <c r="BD86" s="225"/>
      <c r="BE86" s="225"/>
      <c r="BF86" s="225"/>
      <c r="BG86" s="225"/>
      <c r="BH86" s="225"/>
      <c r="BI86" s="225"/>
      <c r="BJ86" s="225"/>
      <c r="BK86" s="225"/>
      <c r="BL86" s="225"/>
      <c r="BM86" s="901"/>
      <c r="BN86" s="901"/>
    </row>
    <row r="87" spans="1:66" s="233" customFormat="1" x14ac:dyDescent="0.3">
      <c r="A87" s="231" t="s">
        <v>447</v>
      </c>
      <c r="B87" s="225" t="s">
        <v>1572</v>
      </c>
      <c r="C87" s="231">
        <v>170475356</v>
      </c>
      <c r="D87" s="715" t="s">
        <v>722</v>
      </c>
      <c r="E87" s="484" t="s">
        <v>828</v>
      </c>
      <c r="F87" s="477" t="s">
        <v>2287</v>
      </c>
      <c r="G87" s="227" t="s">
        <v>3</v>
      </c>
      <c r="H87" s="228" t="s">
        <v>816</v>
      </c>
      <c r="I87" s="228" t="s">
        <v>872</v>
      </c>
      <c r="J87" s="229" t="s">
        <v>917</v>
      </c>
      <c r="K87" s="1280" t="s">
        <v>2294</v>
      </c>
      <c r="L87" s="734" t="s">
        <v>855</v>
      </c>
      <c r="M87" s="1305" t="s">
        <v>828</v>
      </c>
      <c r="N87" s="773"/>
      <c r="O87" s="1295"/>
      <c r="P87" s="225"/>
      <c r="Q87" s="1295" t="s">
        <v>832</v>
      </c>
      <c r="R87" s="234">
        <f>$B$1</f>
        <v>45388</v>
      </c>
      <c r="S87" s="236"/>
      <c r="T87" s="236" t="s">
        <v>2919</v>
      </c>
      <c r="U87" s="230"/>
      <c r="V87" s="230"/>
      <c r="W87" s="231" t="str">
        <f>IFERROR(IF(AND(BD_PRINCIPAL[[#This Row],[DESDE]]&lt;&gt;"",BD_PRINCIPAL[[#This Row],[HASTA]]&lt;&gt;""),_xlfn.DAYS(BD_PRINCIPAL[[#This Row],[HASTA]],BD_PRINCIPAL[[#This Row],[DESDE]]),"")+1,"")</f>
        <v/>
      </c>
      <c r="X87" s="231">
        <f>VLOOKUP(BD_PRINCIPAL[[#This Row],[ENCUADRE. ESC.]],ORDEN1,2,FALSE)</f>
        <v>1</v>
      </c>
      <c r="Y87" s="231">
        <f>VLOOKUP(BD_PRINCIPAL[[#This Row],[DOTACIÓN ACTUAL]],ORDEN2,4,FALSE)</f>
        <v>60</v>
      </c>
      <c r="Z87" s="231">
        <f>VLOOKUP(BD_PRINCIPAL[[#This Row],[GRADO]],ORDEN3,2,FALSE)</f>
        <v>11</v>
      </c>
      <c r="AA87" s="231">
        <f>IFERROR(VLOOKUP(BD_PRINCIPAL[[#This Row],[DOTACIÓN ACTUAL]],ORDEN2,3,FALSE),0)</f>
        <v>0</v>
      </c>
      <c r="AB87" s="225" t="s">
        <v>2125</v>
      </c>
      <c r="AC87" s="225" t="s">
        <v>1</v>
      </c>
      <c r="AD87" s="225" t="s">
        <v>2</v>
      </c>
      <c r="AE87" s="225" t="s">
        <v>1</v>
      </c>
      <c r="AF87" s="225" t="s">
        <v>853</v>
      </c>
      <c r="AG87" s="225" t="s">
        <v>855</v>
      </c>
      <c r="AH87" s="225"/>
      <c r="AI87" s="225"/>
      <c r="AJ87" s="225"/>
      <c r="AK87" s="225"/>
      <c r="AL87" s="225"/>
      <c r="AM87" s="225"/>
      <c r="AN87" s="225"/>
      <c r="AO87" s="225"/>
      <c r="AP87" s="225"/>
      <c r="AQ87" s="225"/>
      <c r="AR87" s="225"/>
      <c r="AS87" s="225"/>
      <c r="AT87" s="232"/>
      <c r="AU87" s="232"/>
      <c r="AV87" s="232"/>
      <c r="AW87" s="232"/>
      <c r="AX87" s="232"/>
      <c r="AY87" s="232"/>
      <c r="AZ87" s="232"/>
      <c r="BA87" s="225"/>
      <c r="BB87" s="225"/>
      <c r="BC87" s="225"/>
      <c r="BD87" s="225"/>
      <c r="BE87" s="225"/>
      <c r="BF87" s="225"/>
      <c r="BG87" s="225"/>
      <c r="BH87" s="225"/>
      <c r="BI87" s="225"/>
      <c r="BJ87" s="225"/>
      <c r="BK87" s="225"/>
      <c r="BL87" s="225"/>
      <c r="BM87" s="773">
        <v>45169</v>
      </c>
      <c r="BN87" s="790"/>
    </row>
    <row r="88" spans="1:66" s="247" customFormat="1" ht="39.6" x14ac:dyDescent="0.3">
      <c r="A88" s="245" t="s">
        <v>304</v>
      </c>
      <c r="B88" s="238" t="s">
        <v>117</v>
      </c>
      <c r="C88" s="245">
        <v>177890774</v>
      </c>
      <c r="D88" s="873" t="s">
        <v>733</v>
      </c>
      <c r="E88" s="478" t="s">
        <v>829</v>
      </c>
      <c r="F88" s="478" t="s">
        <v>117</v>
      </c>
      <c r="G88" s="1016" t="s">
        <v>10</v>
      </c>
      <c r="H88" s="241" t="s">
        <v>816</v>
      </c>
      <c r="I88" s="241" t="s">
        <v>872</v>
      </c>
      <c r="J88" s="242" t="s">
        <v>918</v>
      </c>
      <c r="K88" s="1281" t="s">
        <v>2290</v>
      </c>
      <c r="L88" s="735" t="s">
        <v>853</v>
      </c>
      <c r="M88" s="1306" t="s">
        <v>3590</v>
      </c>
      <c r="N88" s="958"/>
      <c r="O88" s="1296"/>
      <c r="P88" s="238"/>
      <c r="Q88" s="1296" t="s">
        <v>832</v>
      </c>
      <c r="R88" s="243">
        <f>$B$1</f>
        <v>45388</v>
      </c>
      <c r="S88" s="249"/>
      <c r="T88" s="249" t="s">
        <v>2922</v>
      </c>
      <c r="U88" s="244"/>
      <c r="V88" s="244"/>
      <c r="W88" s="245" t="str">
        <f>IFERROR(IF(AND(BD_PRINCIPAL[[#This Row],[DESDE]]&lt;&gt;"",BD_PRINCIPAL[[#This Row],[HASTA]]&lt;&gt;""),_xlfn.DAYS(BD_PRINCIPAL[[#This Row],[HASTA]],BD_PRINCIPAL[[#This Row],[DESDE]]),"")+1,"")</f>
        <v/>
      </c>
      <c r="X88" s="245">
        <f>VLOOKUP(BD_PRINCIPAL[[#This Row],[ENCUADRE. ESC.]],ORDEN1,2,FALSE)</f>
        <v>1</v>
      </c>
      <c r="Y88" s="245">
        <f>VLOOKUP(BD_PRINCIPAL[[#This Row],[DOTACIÓN ACTUAL]],ORDEN2,4,FALSE)</f>
        <v>61</v>
      </c>
      <c r="Z88" s="245">
        <f>VLOOKUP(BD_PRINCIPAL[[#This Row],[GRADO]],ORDEN3,2,FALSE)</f>
        <v>5</v>
      </c>
      <c r="AA88" s="245">
        <f>IFERROR(VLOOKUP(BD_PRINCIPAL[[#This Row],[DOTACIÓN ACTUAL]],ORDEN2,3,FALSE),0)</f>
        <v>0</v>
      </c>
      <c r="AB88" s="238" t="s">
        <v>854</v>
      </c>
      <c r="AC88" s="238" t="s">
        <v>2125</v>
      </c>
      <c r="AD88" s="238" t="s">
        <v>1</v>
      </c>
      <c r="AE88" s="238" t="s">
        <v>1</v>
      </c>
      <c r="AF88" s="238" t="s">
        <v>1</v>
      </c>
      <c r="AG88" s="238" t="s">
        <v>853</v>
      </c>
      <c r="AH88" s="238"/>
      <c r="AI88" s="238"/>
      <c r="AJ88" s="238"/>
      <c r="AK88" s="238"/>
      <c r="AL88" s="238"/>
      <c r="AM88" s="238"/>
      <c r="AN88" s="238"/>
      <c r="AO88" s="238"/>
      <c r="AP88" s="238"/>
      <c r="AQ88" s="238"/>
      <c r="AR88" s="238"/>
      <c r="AS88" s="238"/>
      <c r="AT88" s="246"/>
      <c r="AU88" s="246"/>
      <c r="AV88" s="246"/>
      <c r="AW88" s="246"/>
      <c r="AX88" s="246"/>
      <c r="AY88" s="246"/>
      <c r="AZ88" s="246"/>
      <c r="BA88" s="238"/>
      <c r="BB88" s="238"/>
      <c r="BC88" s="238"/>
      <c r="BD88" s="238"/>
      <c r="BE88" s="238"/>
      <c r="BF88" s="238"/>
      <c r="BG88" s="238"/>
      <c r="BH88" s="238"/>
      <c r="BI88" s="238"/>
      <c r="BJ88" s="238"/>
      <c r="BK88" s="238"/>
      <c r="BL88" s="238"/>
      <c r="BM88" s="958">
        <v>45134</v>
      </c>
      <c r="BN88" s="788"/>
    </row>
    <row r="89" spans="1:66" s="247" customFormat="1" ht="39.6" x14ac:dyDescent="0.3">
      <c r="A89" s="245" t="s">
        <v>404</v>
      </c>
      <c r="B89" s="238" t="s">
        <v>1566</v>
      </c>
      <c r="C89" s="245" t="s">
        <v>1224</v>
      </c>
      <c r="D89" s="715" t="s">
        <v>724</v>
      </c>
      <c r="E89" s="478" t="s">
        <v>830</v>
      </c>
      <c r="F89" s="478" t="s">
        <v>2512</v>
      </c>
      <c r="G89" s="248" t="s">
        <v>209</v>
      </c>
      <c r="H89" s="241" t="s">
        <v>816</v>
      </c>
      <c r="I89" s="241" t="s">
        <v>872</v>
      </c>
      <c r="J89" s="242" t="s">
        <v>917</v>
      </c>
      <c r="K89" s="1281" t="s">
        <v>2291</v>
      </c>
      <c r="L89" s="735" t="s">
        <v>853</v>
      </c>
      <c r="M89" s="1306" t="s">
        <v>830</v>
      </c>
      <c r="N89" s="774"/>
      <c r="O89" s="1296"/>
      <c r="P89" s="238"/>
      <c r="Q89" s="1296" t="s">
        <v>832</v>
      </c>
      <c r="R89" s="243">
        <f>$B$1</f>
        <v>45388</v>
      </c>
      <c r="S89" s="249"/>
      <c r="T89" s="249" t="s">
        <v>3466</v>
      </c>
      <c r="U89" s="244"/>
      <c r="V89" s="244"/>
      <c r="W89" s="338" t="str">
        <f>IFERROR(IF(AND(BD_PRINCIPAL[[#This Row],[DESDE]]&lt;&gt;"",BD_PRINCIPAL[[#This Row],[HASTA]]&lt;&gt;""),_xlfn.DAYS(BD_PRINCIPAL[[#This Row],[HASTA]],BD_PRINCIPAL[[#This Row],[DESDE]]),"")+1,"")</f>
        <v/>
      </c>
      <c r="X89" s="338">
        <f>VLOOKUP(BD_PRINCIPAL[[#This Row],[ENCUADRE. ESC.]],ORDEN1,2,FALSE)</f>
        <v>1</v>
      </c>
      <c r="Y89" s="338">
        <f>VLOOKUP(BD_PRINCIPAL[[#This Row],[DOTACIÓN ACTUAL]],ORDEN2,4,FALSE)</f>
        <v>62</v>
      </c>
      <c r="Z89" s="338">
        <f>VLOOKUP(BD_PRINCIPAL[[#This Row],[GRADO]],ORDEN3,2,FALSE)</f>
        <v>10</v>
      </c>
      <c r="AA89" s="338">
        <f>IFERROR(VLOOKUP(BD_PRINCIPAL[[#This Row],[DOTACIÓN ACTUAL]],ORDEN2,3,FALSE),0)</f>
        <v>0</v>
      </c>
      <c r="AB89" s="238" t="s">
        <v>854</v>
      </c>
      <c r="AC89" s="238" t="s">
        <v>2125</v>
      </c>
      <c r="AD89" s="238" t="s">
        <v>1</v>
      </c>
      <c r="AE89" s="238" t="s">
        <v>1</v>
      </c>
      <c r="AF89" s="238" t="s">
        <v>1</v>
      </c>
      <c r="AG89" s="238" t="s">
        <v>853</v>
      </c>
      <c r="AH89" s="238"/>
      <c r="AI89" s="238"/>
      <c r="AJ89" s="238"/>
      <c r="AK89" s="238"/>
      <c r="AL89" s="238"/>
      <c r="AM89" s="238"/>
      <c r="AN89" s="238"/>
      <c r="AO89" s="238"/>
      <c r="AP89" s="238"/>
      <c r="AQ89" s="238"/>
      <c r="AR89" s="238"/>
      <c r="AS89" s="238"/>
      <c r="AT89" s="246"/>
      <c r="AU89" s="246"/>
      <c r="AV89" s="246"/>
      <c r="AW89" s="246"/>
      <c r="AX89" s="246"/>
      <c r="AY89" s="246"/>
      <c r="AZ89" s="246"/>
      <c r="BA89" s="238"/>
      <c r="BB89" s="238"/>
      <c r="BC89" s="238"/>
      <c r="BD89" s="238"/>
      <c r="BE89" s="238"/>
      <c r="BF89" s="238"/>
      <c r="BG89" s="238"/>
      <c r="BH89" s="238"/>
      <c r="BI89" s="238"/>
      <c r="BJ89" s="238"/>
      <c r="BK89" s="238"/>
      <c r="BL89" s="238"/>
      <c r="BM89" s="775">
        <v>45131</v>
      </c>
      <c r="BN89" s="788"/>
    </row>
    <row r="90" spans="1:66" s="247" customFormat="1" x14ac:dyDescent="0.3">
      <c r="A90" s="245" t="s">
        <v>594</v>
      </c>
      <c r="B90" s="238" t="s">
        <v>1893</v>
      </c>
      <c r="C90" s="245">
        <v>192516021</v>
      </c>
      <c r="D90" s="715" t="s">
        <v>724</v>
      </c>
      <c r="E90" s="757" t="s">
        <v>830</v>
      </c>
      <c r="F90" s="478" t="s">
        <v>2272</v>
      </c>
      <c r="G90" s="240" t="s">
        <v>4</v>
      </c>
      <c r="H90" s="241" t="s">
        <v>816</v>
      </c>
      <c r="I90" s="241" t="s">
        <v>872</v>
      </c>
      <c r="J90" s="242" t="s">
        <v>917</v>
      </c>
      <c r="K90" s="1281" t="s">
        <v>2301</v>
      </c>
      <c r="L90" s="735" t="s">
        <v>853</v>
      </c>
      <c r="M90" s="1306" t="s">
        <v>830</v>
      </c>
      <c r="N90" s="775"/>
      <c r="O90" s="1296"/>
      <c r="P90" s="238"/>
      <c r="Q90" s="1296" t="s">
        <v>832</v>
      </c>
      <c r="R90" s="243">
        <f>$B$1</f>
        <v>45388</v>
      </c>
      <c r="S90" s="249"/>
      <c r="T90" s="239" t="s">
        <v>2919</v>
      </c>
      <c r="U90" s="244"/>
      <c r="V90" s="244"/>
      <c r="W90" s="245" t="str">
        <f>IFERROR(IF(AND(BD_PRINCIPAL[[#This Row],[DESDE]]&lt;&gt;"",BD_PRINCIPAL[[#This Row],[HASTA]]&lt;&gt;""),_xlfn.DAYS(BD_PRINCIPAL[[#This Row],[HASTA]],BD_PRINCIPAL[[#This Row],[DESDE]]),"")+1,"")</f>
        <v/>
      </c>
      <c r="X90" s="245">
        <f>VLOOKUP(BD_PRINCIPAL[[#This Row],[ENCUADRE. ESC.]],ORDEN1,2,FALSE)</f>
        <v>1</v>
      </c>
      <c r="Y90" s="245">
        <f>VLOOKUP(BD_PRINCIPAL[[#This Row],[DOTACIÓN ACTUAL]],ORDEN2,4,FALSE)</f>
        <v>62</v>
      </c>
      <c r="Z90" s="245">
        <f>VLOOKUP(BD_PRINCIPAL[[#This Row],[GRADO]],ORDEN3,2,FALSE)</f>
        <v>12</v>
      </c>
      <c r="AA90" s="245">
        <f>IFERROR(VLOOKUP(BD_PRINCIPAL[[#This Row],[DOTACIÓN ACTUAL]],ORDEN2,3,FALSE),0)</f>
        <v>0</v>
      </c>
      <c r="AB90" s="238" t="s">
        <v>854</v>
      </c>
      <c r="AC90" s="238" t="s">
        <v>2125</v>
      </c>
      <c r="AD90" s="238" t="s">
        <v>1</v>
      </c>
      <c r="AE90" s="238" t="s">
        <v>1</v>
      </c>
      <c r="AF90" s="238" t="s">
        <v>1</v>
      </c>
      <c r="AG90" s="238" t="s">
        <v>853</v>
      </c>
      <c r="AH90" s="238"/>
      <c r="AI90" s="238"/>
      <c r="AJ90" s="238"/>
      <c r="AK90" s="238"/>
      <c r="AL90" s="238"/>
      <c r="AM90" s="238"/>
      <c r="AN90" s="238"/>
      <c r="AO90" s="238"/>
      <c r="AP90" s="238"/>
      <c r="AQ90" s="238"/>
      <c r="AR90" s="238"/>
      <c r="AS90" s="238"/>
      <c r="AT90" s="246"/>
      <c r="AU90" s="246"/>
      <c r="AV90" s="246"/>
      <c r="AW90" s="246"/>
      <c r="AX90" s="246"/>
      <c r="AY90" s="246"/>
      <c r="AZ90" s="246"/>
      <c r="BA90" s="238"/>
      <c r="BB90" s="238"/>
      <c r="BC90" s="238"/>
      <c r="BD90" s="238"/>
      <c r="BE90" s="238"/>
      <c r="BF90" s="238"/>
      <c r="BG90" s="238"/>
      <c r="BH90" s="238"/>
      <c r="BI90" s="238"/>
      <c r="BJ90" s="238"/>
      <c r="BK90" s="238"/>
      <c r="BL90" s="238"/>
      <c r="BM90" s="775">
        <v>45086</v>
      </c>
      <c r="BN90" s="788"/>
    </row>
    <row r="91" spans="1:66" s="221" customFormat="1" ht="52.8" x14ac:dyDescent="0.3">
      <c r="A91" s="219" t="s">
        <v>659</v>
      </c>
      <c r="B91" s="212" t="s">
        <v>1861</v>
      </c>
      <c r="C91" s="219">
        <v>189489633</v>
      </c>
      <c r="D91" s="873" t="s">
        <v>741</v>
      </c>
      <c r="E91" s="480" t="s">
        <v>2051</v>
      </c>
      <c r="F91" s="480" t="s">
        <v>1861</v>
      </c>
      <c r="G91" s="214" t="s">
        <v>10</v>
      </c>
      <c r="H91" s="215" t="s">
        <v>816</v>
      </c>
      <c r="I91" s="215" t="s">
        <v>872</v>
      </c>
      <c r="J91" s="216" t="s">
        <v>918</v>
      </c>
      <c r="K91" s="1279" t="s">
        <v>2290</v>
      </c>
      <c r="L91" s="733" t="s">
        <v>853</v>
      </c>
      <c r="M91" s="1304" t="s">
        <v>3591</v>
      </c>
      <c r="N91" s="772"/>
      <c r="O91" s="1294"/>
      <c r="P91" s="212"/>
      <c r="Q91" s="1294" t="s">
        <v>832</v>
      </c>
      <c r="R91" s="217">
        <f>$B$1</f>
        <v>45388</v>
      </c>
      <c r="S91" s="1039"/>
      <c r="T91" s="223" t="s">
        <v>2923</v>
      </c>
      <c r="U91" s="218"/>
      <c r="V91" s="218"/>
      <c r="W91" s="219" t="str">
        <f>IFERROR(IF(AND(BD_PRINCIPAL[[#This Row],[DESDE]]&lt;&gt;"",BD_PRINCIPAL[[#This Row],[HASTA]]&lt;&gt;""),_xlfn.DAYS(BD_PRINCIPAL[[#This Row],[HASTA]],BD_PRINCIPAL[[#This Row],[DESDE]]),"")+1,"")</f>
        <v/>
      </c>
      <c r="X91" s="219">
        <f>VLOOKUP(BD_PRINCIPAL[[#This Row],[ENCUADRE. ESC.]],ORDEN1,2,FALSE)</f>
        <v>1</v>
      </c>
      <c r="Y91" s="219">
        <f>VLOOKUP(BD_PRINCIPAL[[#This Row],[DOTACIÓN ACTUAL]],ORDEN2,4,FALSE)</f>
        <v>63</v>
      </c>
      <c r="Z91" s="219">
        <f>VLOOKUP(BD_PRINCIPAL[[#This Row],[GRADO]],ORDEN3,2,FALSE)</f>
        <v>5</v>
      </c>
      <c r="AA91" s="219">
        <f>IFERROR(VLOOKUP(BD_PRINCIPAL[[#This Row],[DOTACIÓN ACTUAL]],ORDEN2,3,FALSE),0)</f>
        <v>0</v>
      </c>
      <c r="AB91" s="212" t="s">
        <v>1</v>
      </c>
      <c r="AC91" s="212" t="s">
        <v>2</v>
      </c>
      <c r="AD91" s="212" t="s">
        <v>853</v>
      </c>
      <c r="AE91" s="212" t="s">
        <v>6</v>
      </c>
      <c r="AF91" s="212" t="s">
        <v>2125</v>
      </c>
      <c r="AG91" s="212" t="s">
        <v>853</v>
      </c>
      <c r="AH91" s="212"/>
      <c r="AI91" s="212"/>
      <c r="AJ91" s="212"/>
      <c r="AK91" s="212"/>
      <c r="AL91" s="212"/>
      <c r="AM91" s="212"/>
      <c r="AN91" s="212"/>
      <c r="AO91" s="212"/>
      <c r="AP91" s="212"/>
      <c r="AQ91" s="212"/>
      <c r="AR91" s="212"/>
      <c r="AS91" s="212"/>
      <c r="AT91" s="220"/>
      <c r="AU91" s="220"/>
      <c r="AV91" s="220"/>
      <c r="AW91" s="220"/>
      <c r="AX91" s="220"/>
      <c r="AY91" s="220"/>
      <c r="AZ91" s="220"/>
      <c r="BA91" s="212"/>
      <c r="BB91" s="212"/>
      <c r="BC91" s="212"/>
      <c r="BD91" s="212"/>
      <c r="BE91" s="212"/>
      <c r="BF91" s="212"/>
      <c r="BG91" s="212"/>
      <c r="BH91" s="212"/>
      <c r="BI91" s="212"/>
      <c r="BJ91" s="212"/>
      <c r="BK91" s="212"/>
      <c r="BL91" s="212"/>
      <c r="BM91" s="772">
        <v>45061</v>
      </c>
      <c r="BN91" s="789"/>
    </row>
    <row r="92" spans="1:66" s="221" customFormat="1" x14ac:dyDescent="0.3">
      <c r="A92" s="219" t="s">
        <v>335</v>
      </c>
      <c r="B92" s="212" t="s">
        <v>1596</v>
      </c>
      <c r="C92" s="219">
        <v>199849573</v>
      </c>
      <c r="D92" s="715" t="s">
        <v>714</v>
      </c>
      <c r="E92" s="485" t="s">
        <v>2377</v>
      </c>
      <c r="F92" s="480" t="s">
        <v>3085</v>
      </c>
      <c r="G92" s="214" t="s">
        <v>4</v>
      </c>
      <c r="H92" s="215" t="s">
        <v>816</v>
      </c>
      <c r="I92" s="215" t="s">
        <v>872</v>
      </c>
      <c r="J92" s="216" t="s">
        <v>917</v>
      </c>
      <c r="K92" s="1279" t="s">
        <v>3086</v>
      </c>
      <c r="L92" s="733" t="s">
        <v>853</v>
      </c>
      <c r="M92" s="1304" t="s">
        <v>2377</v>
      </c>
      <c r="N92" s="772"/>
      <c r="O92" s="1294"/>
      <c r="P92" s="212"/>
      <c r="Q92" s="1294" t="s">
        <v>832</v>
      </c>
      <c r="R92" s="217">
        <f>$B$1</f>
        <v>45388</v>
      </c>
      <c r="S92" s="223" t="s">
        <v>1483</v>
      </c>
      <c r="T92" s="223" t="s">
        <v>3358</v>
      </c>
      <c r="U92" s="218"/>
      <c r="V92" s="218"/>
      <c r="W92" s="219" t="str">
        <f>IFERROR(IF(AND(BD_PRINCIPAL[[#This Row],[DESDE]]&lt;&gt;"",BD_PRINCIPAL[[#This Row],[HASTA]]&lt;&gt;""),_xlfn.DAYS(BD_PRINCIPAL[[#This Row],[HASTA]],BD_PRINCIPAL[[#This Row],[DESDE]]),"")+1,"")</f>
        <v/>
      </c>
      <c r="X92" s="219">
        <f>VLOOKUP(BD_PRINCIPAL[[#This Row],[ENCUADRE. ESC.]],ORDEN1,2,FALSE)</f>
        <v>1</v>
      </c>
      <c r="Y92" s="219">
        <f>VLOOKUP(BD_PRINCIPAL[[#This Row],[DOTACIÓN ACTUAL]],ORDEN2,4,FALSE)</f>
        <v>64</v>
      </c>
      <c r="Z92" s="219">
        <f>VLOOKUP(BD_PRINCIPAL[[#This Row],[GRADO]],ORDEN3,2,FALSE)</f>
        <v>12</v>
      </c>
      <c r="AA92" s="219">
        <f>IFERROR(VLOOKUP(BD_PRINCIPAL[[#This Row],[DOTACIÓN ACTUAL]],ORDEN2,3,FALSE),0)</f>
        <v>0</v>
      </c>
      <c r="AB92" s="212" t="s">
        <v>2</v>
      </c>
      <c r="AC92" s="212" t="s">
        <v>1</v>
      </c>
      <c r="AD92" s="212" t="s">
        <v>853</v>
      </c>
      <c r="AE92" s="212" t="s">
        <v>6</v>
      </c>
      <c r="AF92" s="212" t="s">
        <v>2125</v>
      </c>
      <c r="AG92" s="212" t="s">
        <v>853</v>
      </c>
      <c r="AH92" s="212"/>
      <c r="AI92" s="212"/>
      <c r="AJ92" s="212"/>
      <c r="AK92" s="212"/>
      <c r="AL92" s="212"/>
      <c r="AM92" s="212"/>
      <c r="AN92" s="212"/>
      <c r="AO92" s="212"/>
      <c r="AP92" s="212"/>
      <c r="AQ92" s="212"/>
      <c r="AR92" s="212"/>
      <c r="AS92" s="212"/>
      <c r="AT92" s="220"/>
      <c r="AU92" s="220"/>
      <c r="AV92" s="220"/>
      <c r="AW92" s="220"/>
      <c r="AX92" s="220"/>
      <c r="AY92" s="220"/>
      <c r="AZ92" s="220"/>
      <c r="BA92" s="212"/>
      <c r="BB92" s="212"/>
      <c r="BC92" s="212"/>
      <c r="BD92" s="212"/>
      <c r="BE92" s="212"/>
      <c r="BF92" s="212"/>
      <c r="BG92" s="212"/>
      <c r="BH92" s="212"/>
      <c r="BI92" s="212"/>
      <c r="BJ92" s="212"/>
      <c r="BK92" s="212"/>
      <c r="BL92" s="212"/>
      <c r="BM92" s="772">
        <v>45142</v>
      </c>
      <c r="BN92" s="789"/>
    </row>
    <row r="93" spans="1:66" s="260" customFormat="1" x14ac:dyDescent="0.3">
      <c r="A93" s="258" t="s">
        <v>675</v>
      </c>
      <c r="B93" s="251" t="s">
        <v>778</v>
      </c>
      <c r="C93" s="258">
        <v>195200130</v>
      </c>
      <c r="D93" s="873" t="s">
        <v>756</v>
      </c>
      <c r="E93" s="481" t="s">
        <v>2052</v>
      </c>
      <c r="F93" s="481" t="s">
        <v>778</v>
      </c>
      <c r="G93" s="253" t="s">
        <v>10</v>
      </c>
      <c r="H93" s="254" t="s">
        <v>816</v>
      </c>
      <c r="I93" s="254" t="s">
        <v>872</v>
      </c>
      <c r="J93" s="255" t="s">
        <v>918</v>
      </c>
      <c r="K93" s="1282" t="s">
        <v>2290</v>
      </c>
      <c r="L93" s="737" t="s">
        <v>855</v>
      </c>
      <c r="M93" s="1307" t="s">
        <v>1220</v>
      </c>
      <c r="N93" s="781"/>
      <c r="O93" s="1297"/>
      <c r="P93" s="251"/>
      <c r="Q93" s="1297" t="s">
        <v>832</v>
      </c>
      <c r="R93" s="256">
        <f>$B$1</f>
        <v>45388</v>
      </c>
      <c r="S93" s="262" t="s">
        <v>1483</v>
      </c>
      <c r="T93" s="262"/>
      <c r="U93" s="257"/>
      <c r="V93" s="257"/>
      <c r="W93" s="258" t="str">
        <f>IFERROR(IF(AND(BD_PRINCIPAL[[#This Row],[DESDE]]&lt;&gt;"",BD_PRINCIPAL[[#This Row],[HASTA]]&lt;&gt;""),_xlfn.DAYS(BD_PRINCIPAL[[#This Row],[HASTA]],BD_PRINCIPAL[[#This Row],[DESDE]]),"")+1,"")</f>
        <v/>
      </c>
      <c r="X93" s="258">
        <f>VLOOKUP(BD_PRINCIPAL[[#This Row],[ENCUADRE. ESC.]],ORDEN1,2,FALSE)</f>
        <v>1</v>
      </c>
      <c r="Y93" s="258">
        <f>VLOOKUP(BD_PRINCIPAL[[#This Row],[DOTACIÓN ACTUAL]],ORDEN2,4,FALSE)</f>
        <v>65</v>
      </c>
      <c r="Z93" s="258">
        <f>VLOOKUP(BD_PRINCIPAL[[#This Row],[GRADO]],ORDEN3,2,FALSE)</f>
        <v>5</v>
      </c>
      <c r="AA93" s="258">
        <f>IFERROR(VLOOKUP(BD_PRINCIPAL[[#This Row],[DOTACIÓN ACTUAL]],ORDEN2,3,FALSE),0)</f>
        <v>0</v>
      </c>
      <c r="AB93" s="251" t="s">
        <v>1</v>
      </c>
      <c r="AC93" s="251" t="s">
        <v>6</v>
      </c>
      <c r="AD93" s="251" t="s">
        <v>2125</v>
      </c>
      <c r="AE93" s="251" t="s">
        <v>1</v>
      </c>
      <c r="AF93" s="251" t="s">
        <v>2</v>
      </c>
      <c r="AG93" s="251" t="s">
        <v>855</v>
      </c>
      <c r="AH93" s="251"/>
      <c r="AI93" s="251"/>
      <c r="AJ93" s="251"/>
      <c r="AK93" s="251"/>
      <c r="AL93" s="251"/>
      <c r="AM93" s="251"/>
      <c r="AN93" s="251"/>
      <c r="AO93" s="251"/>
      <c r="AP93" s="251"/>
      <c r="AQ93" s="251"/>
      <c r="AR93" s="251"/>
      <c r="AS93" s="251"/>
      <c r="AT93" s="259"/>
      <c r="AU93" s="259"/>
      <c r="AV93" s="259"/>
      <c r="AW93" s="259"/>
      <c r="AX93" s="259"/>
      <c r="AY93" s="259"/>
      <c r="AZ93" s="259"/>
      <c r="BA93" s="251"/>
      <c r="BB93" s="251"/>
      <c r="BC93" s="251"/>
      <c r="BD93" s="251"/>
      <c r="BE93" s="251"/>
      <c r="BF93" s="251"/>
      <c r="BG93" s="251"/>
      <c r="BH93" s="251"/>
      <c r="BI93" s="251"/>
      <c r="BJ93" s="251"/>
      <c r="BK93" s="251"/>
      <c r="BL93" s="251"/>
      <c r="BM93" s="781">
        <v>45055</v>
      </c>
      <c r="BN93" s="791"/>
    </row>
    <row r="94" spans="1:66" s="221" customFormat="1" x14ac:dyDescent="0.3">
      <c r="A94" s="219" t="s">
        <v>309</v>
      </c>
      <c r="B94" s="212" t="s">
        <v>18</v>
      </c>
      <c r="C94" s="219">
        <v>117484343</v>
      </c>
      <c r="D94" s="873" t="s">
        <v>1778</v>
      </c>
      <c r="E94" s="480" t="s">
        <v>1514</v>
      </c>
      <c r="F94" s="480" t="s">
        <v>18</v>
      </c>
      <c r="G94" s="222" t="s">
        <v>11</v>
      </c>
      <c r="H94" s="215" t="s">
        <v>816</v>
      </c>
      <c r="I94" s="215" t="s">
        <v>872</v>
      </c>
      <c r="J94" s="216" t="s">
        <v>917</v>
      </c>
      <c r="K94" s="1279" t="s">
        <v>2290</v>
      </c>
      <c r="L94" s="733" t="s">
        <v>855</v>
      </c>
      <c r="M94" s="1304" t="s">
        <v>1220</v>
      </c>
      <c r="N94" s="772"/>
      <c r="O94" s="1294"/>
      <c r="P94" s="212"/>
      <c r="Q94" s="1294" t="s">
        <v>832</v>
      </c>
      <c r="R94" s="217">
        <f>$B$1</f>
        <v>45388</v>
      </c>
      <c r="S94" s="974"/>
      <c r="T94" s="223"/>
      <c r="U94" s="218"/>
      <c r="V94" s="218"/>
      <c r="W94" s="219" t="str">
        <f>IFERROR(IF(AND(BD_PRINCIPAL[[#This Row],[DESDE]]&lt;&gt;"",BD_PRINCIPAL[[#This Row],[HASTA]]&lt;&gt;""),_xlfn.DAYS(BD_PRINCIPAL[[#This Row],[HASTA]],BD_PRINCIPAL[[#This Row],[DESDE]]),"")+1,"")</f>
        <v/>
      </c>
      <c r="X94" s="219">
        <f>VLOOKUP(BD_PRINCIPAL[[#This Row],[ENCUADRE. ESC.]],ORDEN1,2,FALSE)</f>
        <v>1</v>
      </c>
      <c r="Y94" s="219">
        <f>VLOOKUP(BD_PRINCIPAL[[#This Row],[DOTACIÓN ACTUAL]],ORDEN2,4,FALSE)</f>
        <v>87</v>
      </c>
      <c r="Z94" s="219">
        <f>VLOOKUP(BD_PRINCIPAL[[#This Row],[GRADO]],ORDEN3,2,FALSE)</f>
        <v>7</v>
      </c>
      <c r="AA94" s="219">
        <f>IFERROR(VLOOKUP(BD_PRINCIPAL[[#This Row],[DOTACIÓN ACTUAL]],ORDEN2,3,FALSE),0)</f>
        <v>0</v>
      </c>
      <c r="AB94" s="212" t="s">
        <v>1</v>
      </c>
      <c r="AC94" s="212" t="s">
        <v>2</v>
      </c>
      <c r="AD94" s="212" t="s">
        <v>1</v>
      </c>
      <c r="AE94" s="212" t="s">
        <v>2</v>
      </c>
      <c r="AF94" s="212" t="s">
        <v>1</v>
      </c>
      <c r="AG94" s="212" t="s">
        <v>855</v>
      </c>
      <c r="AH94" s="212"/>
      <c r="AI94" s="212"/>
      <c r="AJ94" s="212"/>
      <c r="AK94" s="212"/>
      <c r="AL94" s="212"/>
      <c r="AM94" s="212"/>
      <c r="AN94" s="212"/>
      <c r="AO94" s="212"/>
      <c r="AP94" s="212"/>
      <c r="AQ94" s="212"/>
      <c r="AR94" s="212"/>
      <c r="AS94" s="212"/>
      <c r="AT94" s="220"/>
      <c r="AU94" s="220"/>
      <c r="AV94" s="220"/>
      <c r="AW94" s="220"/>
      <c r="AX94" s="220"/>
      <c r="AY94" s="220"/>
      <c r="AZ94" s="220"/>
      <c r="BA94" s="212"/>
      <c r="BB94" s="212"/>
      <c r="BC94" s="212"/>
      <c r="BD94" s="212"/>
      <c r="BE94" s="212"/>
      <c r="BF94" s="212"/>
      <c r="BG94" s="212"/>
      <c r="BH94" s="212"/>
      <c r="BI94" s="212"/>
      <c r="BJ94" s="212"/>
      <c r="BK94" s="212"/>
      <c r="BL94" s="212"/>
      <c r="BM94" s="772">
        <v>45170</v>
      </c>
      <c r="BN94" s="789"/>
    </row>
    <row r="95" spans="1:66" s="221" customFormat="1" x14ac:dyDescent="0.3">
      <c r="A95" s="219" t="s">
        <v>2780</v>
      </c>
      <c r="B95" s="728" t="s">
        <v>2781</v>
      </c>
      <c r="C95" s="219">
        <v>182900354</v>
      </c>
      <c r="D95" s="309" t="s">
        <v>737</v>
      </c>
      <c r="E95" s="480" t="s">
        <v>737</v>
      </c>
      <c r="F95" s="480" t="s">
        <v>2781</v>
      </c>
      <c r="G95" s="222" t="s">
        <v>10</v>
      </c>
      <c r="H95" s="215" t="s">
        <v>817</v>
      </c>
      <c r="I95" s="215" t="s">
        <v>872</v>
      </c>
      <c r="J95" s="216" t="s">
        <v>918</v>
      </c>
      <c r="K95" s="1279" t="s">
        <v>2290</v>
      </c>
      <c r="L95" s="733" t="s">
        <v>853</v>
      </c>
      <c r="M95" s="1304" t="s">
        <v>1472</v>
      </c>
      <c r="N95" s="787"/>
      <c r="O95" s="1294"/>
      <c r="P95" s="212"/>
      <c r="Q95" s="1294" t="s">
        <v>832</v>
      </c>
      <c r="R95" s="498" t="s">
        <v>2623</v>
      </c>
      <c r="S95" s="223"/>
      <c r="T95" s="223" t="s">
        <v>3547</v>
      </c>
      <c r="U95" s="747"/>
      <c r="V95" s="747"/>
      <c r="W95" s="499" t="str">
        <f>IFERROR(IF(AND(BD_PRINCIPAL[[#This Row],[DESDE]]&lt;&gt;"",BD_PRINCIPAL[[#This Row],[HASTA]]&lt;&gt;""),_xlfn.DAYS(BD_PRINCIPAL[[#This Row],[HASTA]],BD_PRINCIPAL[[#This Row],[DESDE]]),"")+1,"")</f>
        <v/>
      </c>
      <c r="X95" s="499">
        <f>VLOOKUP(BD_PRINCIPAL[[#This Row],[ENCUADRE. ESC.]],ORDEN1,2,FALSE)</f>
        <v>1</v>
      </c>
      <c r="Y95" s="499">
        <f>VLOOKUP(BD_PRINCIPAL[[#This Row],[DOTACIÓN ACTUAL]],ORDEN2,4,FALSE)</f>
        <v>99</v>
      </c>
      <c r="Z95" s="499">
        <f>VLOOKUP(BD_PRINCIPAL[[#This Row],[GRADO]],ORDEN3,2,FALSE)</f>
        <v>5</v>
      </c>
      <c r="AA95" s="499">
        <f>IFERROR(VLOOKUP(BD_PRINCIPAL[[#This Row],[DOTACIÓN ACTUAL]],ORDEN2,3,FALSE),0)</f>
        <v>0</v>
      </c>
      <c r="AB95" s="220" t="s">
        <v>2</v>
      </c>
      <c r="AC95" s="220" t="s">
        <v>853</v>
      </c>
      <c r="AD95" s="220" t="s">
        <v>853</v>
      </c>
      <c r="AE95" s="220" t="s">
        <v>853</v>
      </c>
      <c r="AF95" s="220" t="s">
        <v>1</v>
      </c>
      <c r="AG95" s="220" t="s">
        <v>853</v>
      </c>
      <c r="AH95" s="220"/>
      <c r="AI95" s="220"/>
      <c r="AJ95" s="220"/>
      <c r="AK95" s="220"/>
      <c r="AL95" s="220"/>
      <c r="AM95" s="220"/>
      <c r="AN95" s="220"/>
      <c r="AO95" s="220"/>
      <c r="AP95" s="220"/>
      <c r="AQ95" s="220"/>
      <c r="AR95" s="220"/>
      <c r="AS95" s="220"/>
      <c r="AT95" s="220"/>
      <c r="AU95" s="220"/>
      <c r="AV95" s="220"/>
      <c r="AW95" s="220"/>
      <c r="AX95" s="220"/>
      <c r="AY95" s="220"/>
      <c r="AZ95" s="220"/>
      <c r="BA95" s="212"/>
      <c r="BB95" s="212"/>
      <c r="BC95" s="212"/>
      <c r="BD95" s="212"/>
      <c r="BE95" s="212"/>
      <c r="BF95" s="212"/>
      <c r="BG95" s="212"/>
      <c r="BH95" s="212"/>
      <c r="BI95" s="212"/>
      <c r="BJ95" s="212"/>
      <c r="BK95" s="212"/>
      <c r="BL95" s="212"/>
      <c r="BM95" s="890"/>
      <c r="BN95" s="890"/>
    </row>
    <row r="96" spans="1:66" s="221" customFormat="1" x14ac:dyDescent="0.3">
      <c r="A96" s="219" t="s">
        <v>518</v>
      </c>
      <c r="B96" s="212" t="s">
        <v>1575</v>
      </c>
      <c r="C96" s="219">
        <v>114859850</v>
      </c>
      <c r="D96" s="480" t="s">
        <v>714</v>
      </c>
      <c r="E96" s="480" t="s">
        <v>714</v>
      </c>
      <c r="F96" s="480" t="s">
        <v>3332</v>
      </c>
      <c r="G96" s="214" t="s">
        <v>17</v>
      </c>
      <c r="H96" s="215" t="s">
        <v>816</v>
      </c>
      <c r="I96" s="215" t="s">
        <v>872</v>
      </c>
      <c r="J96" s="216" t="s">
        <v>917</v>
      </c>
      <c r="K96" s="1279" t="s">
        <v>2663</v>
      </c>
      <c r="L96" s="733" t="s">
        <v>853</v>
      </c>
      <c r="M96" s="1304" t="s">
        <v>1472</v>
      </c>
      <c r="N96" s="772"/>
      <c r="O96" s="1294"/>
      <c r="P96" s="212"/>
      <c r="Q96" s="1294" t="s">
        <v>832</v>
      </c>
      <c r="R96" s="217">
        <f>$B$1</f>
        <v>45388</v>
      </c>
      <c r="S96" s="223" t="s">
        <v>1483</v>
      </c>
      <c r="T96" s="223"/>
      <c r="U96" s="218"/>
      <c r="V96" s="218"/>
      <c r="W96" s="219" t="str">
        <f>IFERROR(IF(AND(BD_PRINCIPAL[[#This Row],[DESDE]]&lt;&gt;"",BD_PRINCIPAL[[#This Row],[HASTA]]&lt;&gt;""),_xlfn.DAYS(BD_PRINCIPAL[[#This Row],[HASTA]],BD_PRINCIPAL[[#This Row],[DESDE]]),"")+1,"")</f>
        <v/>
      </c>
      <c r="X96" s="219">
        <f>VLOOKUP(BD_PRINCIPAL[[#This Row],[ENCUADRE. ESC.]],ORDEN1,2,FALSE)</f>
        <v>1</v>
      </c>
      <c r="Y96" s="219">
        <f>VLOOKUP(BD_PRINCIPAL[[#This Row],[DOTACIÓN ACTUAL]],ORDEN2,4,FALSE)</f>
        <v>100</v>
      </c>
      <c r="Z96" s="219">
        <f>VLOOKUP(BD_PRINCIPAL[[#This Row],[GRADO]],ORDEN3,2,FALSE)</f>
        <v>8</v>
      </c>
      <c r="AA96" s="219">
        <f>IFERROR(VLOOKUP(BD_PRINCIPAL[[#This Row],[DOTACIÓN ACTUAL]],ORDEN2,3,FALSE),0)</f>
        <v>0</v>
      </c>
      <c r="AB96" s="212" t="s">
        <v>2</v>
      </c>
      <c r="AC96" s="212" t="s">
        <v>853</v>
      </c>
      <c r="AD96" s="212" t="s">
        <v>853</v>
      </c>
      <c r="AE96" s="212" t="s">
        <v>855</v>
      </c>
      <c r="AF96" s="212" t="s">
        <v>1</v>
      </c>
      <c r="AG96" s="212" t="s">
        <v>853</v>
      </c>
      <c r="AH96" s="212"/>
      <c r="AI96" s="212"/>
      <c r="AJ96" s="212"/>
      <c r="AK96" s="212"/>
      <c r="AL96" s="212"/>
      <c r="AM96" s="212"/>
      <c r="AN96" s="212"/>
      <c r="AO96" s="212"/>
      <c r="AP96" s="212"/>
      <c r="AQ96" s="212"/>
      <c r="AR96" s="212"/>
      <c r="AS96" s="212"/>
      <c r="AT96" s="220"/>
      <c r="AU96" s="220"/>
      <c r="AV96" s="220"/>
      <c r="AW96" s="220"/>
      <c r="AX96" s="220"/>
      <c r="AY96" s="220"/>
      <c r="AZ96" s="220"/>
      <c r="BA96" s="212"/>
      <c r="BB96" s="212"/>
      <c r="BC96" s="212"/>
      <c r="BD96" s="212"/>
      <c r="BE96" s="212"/>
      <c r="BF96" s="212"/>
      <c r="BG96" s="212"/>
      <c r="BH96" s="212"/>
      <c r="BI96" s="212"/>
      <c r="BJ96" s="212"/>
      <c r="BK96" s="212"/>
      <c r="BL96" s="212"/>
      <c r="BM96" s="772">
        <v>45383</v>
      </c>
      <c r="BN96" s="789"/>
    </row>
    <row r="97" spans="1:66" s="221" customFormat="1" x14ac:dyDescent="0.3">
      <c r="A97" s="219" t="s">
        <v>422</v>
      </c>
      <c r="B97" s="212" t="s">
        <v>1590</v>
      </c>
      <c r="C97" s="219">
        <v>141829599</v>
      </c>
      <c r="D97" s="309" t="s">
        <v>714</v>
      </c>
      <c r="E97" s="480" t="s">
        <v>714</v>
      </c>
      <c r="F97" s="480" t="s">
        <v>2429</v>
      </c>
      <c r="G97" s="222" t="s">
        <v>89</v>
      </c>
      <c r="H97" s="215" t="s">
        <v>816</v>
      </c>
      <c r="I97" s="215" t="s">
        <v>872</v>
      </c>
      <c r="J97" s="216" t="s">
        <v>917</v>
      </c>
      <c r="K97" s="1279" t="s">
        <v>2300</v>
      </c>
      <c r="L97" s="733" t="s">
        <v>853</v>
      </c>
      <c r="M97" s="1304" t="s">
        <v>1472</v>
      </c>
      <c r="N97" s="771"/>
      <c r="O97" s="1294"/>
      <c r="P97" s="212"/>
      <c r="Q97" s="1294" t="s">
        <v>832</v>
      </c>
      <c r="R97" s="217">
        <f>$B$1</f>
        <v>45388</v>
      </c>
      <c r="S97" s="223"/>
      <c r="T97" s="213" t="s">
        <v>2919</v>
      </c>
      <c r="U97" s="218"/>
      <c r="V97" s="218"/>
      <c r="W97" s="219" t="str">
        <f>IFERROR(IF(AND(BD_PRINCIPAL[[#This Row],[DESDE]]&lt;&gt;"",BD_PRINCIPAL[[#This Row],[HASTA]]&lt;&gt;""),_xlfn.DAYS(BD_PRINCIPAL[[#This Row],[HASTA]],BD_PRINCIPAL[[#This Row],[DESDE]]),"")+1,"")</f>
        <v/>
      </c>
      <c r="X97" s="219">
        <f>VLOOKUP(BD_PRINCIPAL[[#This Row],[ENCUADRE. ESC.]],ORDEN1,2,FALSE)</f>
        <v>1</v>
      </c>
      <c r="Y97" s="219">
        <f>VLOOKUP(BD_PRINCIPAL[[#This Row],[DOTACIÓN ACTUAL]],ORDEN2,4,FALSE)</f>
        <v>100</v>
      </c>
      <c r="Z97" s="219">
        <f>VLOOKUP(BD_PRINCIPAL[[#This Row],[GRADO]],ORDEN3,2,FALSE)</f>
        <v>9</v>
      </c>
      <c r="AA97" s="219">
        <f>IFERROR(VLOOKUP(BD_PRINCIPAL[[#This Row],[DOTACIÓN ACTUAL]],ORDEN2,3,FALSE),0)</f>
        <v>0</v>
      </c>
      <c r="AB97" s="212" t="s">
        <v>2</v>
      </c>
      <c r="AC97" s="212" t="s">
        <v>853</v>
      </c>
      <c r="AD97" s="212" t="s">
        <v>853</v>
      </c>
      <c r="AE97" s="212" t="s">
        <v>855</v>
      </c>
      <c r="AF97" s="212" t="s">
        <v>1</v>
      </c>
      <c r="AG97" s="212" t="s">
        <v>853</v>
      </c>
      <c r="AH97" s="212"/>
      <c r="AI97" s="212"/>
      <c r="AJ97" s="212"/>
      <c r="AK97" s="212"/>
      <c r="AL97" s="212"/>
      <c r="AM97" s="212"/>
      <c r="AN97" s="212"/>
      <c r="AO97" s="212"/>
      <c r="AP97" s="212"/>
      <c r="AQ97" s="212"/>
      <c r="AR97" s="212"/>
      <c r="AS97" s="212"/>
      <c r="AT97" s="220"/>
      <c r="AU97" s="220"/>
      <c r="AV97" s="220"/>
      <c r="AW97" s="220"/>
      <c r="AX97" s="220"/>
      <c r="AY97" s="220"/>
      <c r="AZ97" s="220"/>
      <c r="BA97" s="212"/>
      <c r="BB97" s="212"/>
      <c r="BC97" s="212"/>
      <c r="BD97" s="212"/>
      <c r="BE97" s="212"/>
      <c r="BF97" s="212"/>
      <c r="BG97" s="212"/>
      <c r="BH97" s="212"/>
      <c r="BI97" s="212"/>
      <c r="BJ97" s="212"/>
      <c r="BK97" s="212"/>
      <c r="BL97" s="212"/>
      <c r="BM97" s="771">
        <v>45077</v>
      </c>
      <c r="BN97" s="789"/>
    </row>
    <row r="98" spans="1:66" s="221" customFormat="1" x14ac:dyDescent="0.3">
      <c r="A98" s="219" t="s">
        <v>440</v>
      </c>
      <c r="B98" s="212" t="s">
        <v>1850</v>
      </c>
      <c r="C98" s="219" t="s">
        <v>441</v>
      </c>
      <c r="D98" s="309" t="s">
        <v>714</v>
      </c>
      <c r="E98" s="480" t="s">
        <v>714</v>
      </c>
      <c r="F98" s="480" t="s">
        <v>2143</v>
      </c>
      <c r="G98" s="222" t="s">
        <v>209</v>
      </c>
      <c r="H98" s="215" t="s">
        <v>816</v>
      </c>
      <c r="I98" s="215" t="s">
        <v>872</v>
      </c>
      <c r="J98" s="216" t="s">
        <v>917</v>
      </c>
      <c r="K98" s="1279" t="s">
        <v>2290</v>
      </c>
      <c r="L98" s="733" t="s">
        <v>853</v>
      </c>
      <c r="M98" s="1304" t="s">
        <v>1472</v>
      </c>
      <c r="N98" s="771"/>
      <c r="O98" s="1294"/>
      <c r="P98" s="212"/>
      <c r="Q98" s="1294" t="s">
        <v>832</v>
      </c>
      <c r="R98" s="217">
        <f>$B$1</f>
        <v>45388</v>
      </c>
      <c r="S98" s="223"/>
      <c r="T98" s="213" t="s">
        <v>2919</v>
      </c>
      <c r="U98" s="218"/>
      <c r="V98" s="218"/>
      <c r="W98" s="219" t="str">
        <f>IFERROR(IF(AND(BD_PRINCIPAL[[#This Row],[DESDE]]&lt;&gt;"",BD_PRINCIPAL[[#This Row],[HASTA]]&lt;&gt;""),_xlfn.DAYS(BD_PRINCIPAL[[#This Row],[HASTA]],BD_PRINCIPAL[[#This Row],[DESDE]]),"")+1,"")</f>
        <v/>
      </c>
      <c r="X98" s="219">
        <f>VLOOKUP(BD_PRINCIPAL[[#This Row],[ENCUADRE. ESC.]],ORDEN1,2,FALSE)</f>
        <v>1</v>
      </c>
      <c r="Y98" s="219">
        <f>VLOOKUP(BD_PRINCIPAL[[#This Row],[DOTACIÓN ACTUAL]],ORDEN2,4,FALSE)</f>
        <v>100</v>
      </c>
      <c r="Z98" s="219">
        <f>VLOOKUP(BD_PRINCIPAL[[#This Row],[GRADO]],ORDEN3,2,FALSE)</f>
        <v>10</v>
      </c>
      <c r="AA98" s="219">
        <f>IFERROR(VLOOKUP(BD_PRINCIPAL[[#This Row],[DOTACIÓN ACTUAL]],ORDEN2,3,FALSE),0)</f>
        <v>0</v>
      </c>
      <c r="AB98" s="212" t="s">
        <v>2</v>
      </c>
      <c r="AC98" s="212" t="s">
        <v>853</v>
      </c>
      <c r="AD98" s="212" t="s">
        <v>853</v>
      </c>
      <c r="AE98" s="212" t="s">
        <v>855</v>
      </c>
      <c r="AF98" s="212" t="s">
        <v>1</v>
      </c>
      <c r="AG98" s="212" t="s">
        <v>853</v>
      </c>
      <c r="AH98" s="212"/>
      <c r="AI98" s="212"/>
      <c r="AJ98" s="212"/>
      <c r="AK98" s="212"/>
      <c r="AL98" s="212"/>
      <c r="AM98" s="212"/>
      <c r="AN98" s="212"/>
      <c r="AO98" s="212"/>
      <c r="AP98" s="212"/>
      <c r="AQ98" s="212"/>
      <c r="AR98" s="212"/>
      <c r="AS98" s="212"/>
      <c r="AT98" s="220"/>
      <c r="AU98" s="220"/>
      <c r="AV98" s="220"/>
      <c r="AW98" s="220"/>
      <c r="AX98" s="220"/>
      <c r="AY98" s="220"/>
      <c r="AZ98" s="220"/>
      <c r="BA98" s="212"/>
      <c r="BB98" s="212"/>
      <c r="BC98" s="212"/>
      <c r="BD98" s="212"/>
      <c r="BE98" s="212"/>
      <c r="BF98" s="212"/>
      <c r="BG98" s="212"/>
      <c r="BH98" s="212"/>
      <c r="BI98" s="212"/>
      <c r="BJ98" s="212"/>
      <c r="BK98" s="212"/>
      <c r="BL98" s="212"/>
      <c r="BM98" s="771">
        <v>45077</v>
      </c>
      <c r="BN98" s="789"/>
    </row>
    <row r="99" spans="1:66" s="221" customFormat="1" x14ac:dyDescent="0.3">
      <c r="A99" s="219" t="s">
        <v>513</v>
      </c>
      <c r="B99" s="212" t="s">
        <v>27</v>
      </c>
      <c r="C99" s="219">
        <v>177448958</v>
      </c>
      <c r="D99" s="309" t="s">
        <v>714</v>
      </c>
      <c r="E99" s="485" t="s">
        <v>714</v>
      </c>
      <c r="F99" s="480" t="s">
        <v>27</v>
      </c>
      <c r="G99" s="214" t="s">
        <v>3</v>
      </c>
      <c r="H99" s="215" t="s">
        <v>816</v>
      </c>
      <c r="I99" s="215" t="s">
        <v>872</v>
      </c>
      <c r="J99" s="216" t="s">
        <v>917</v>
      </c>
      <c r="K99" s="1279" t="s">
        <v>2290</v>
      </c>
      <c r="L99" s="733" t="s">
        <v>853</v>
      </c>
      <c r="M99" s="1304" t="s">
        <v>1472</v>
      </c>
      <c r="N99" s="772"/>
      <c r="O99" s="1294"/>
      <c r="P99" s="212"/>
      <c r="Q99" s="1294" t="s">
        <v>832</v>
      </c>
      <c r="R99" s="217">
        <f>$B$1</f>
        <v>45388</v>
      </c>
      <c r="S99" s="223"/>
      <c r="T99" s="223" t="s">
        <v>2919</v>
      </c>
      <c r="U99" s="218"/>
      <c r="V99" s="218"/>
      <c r="W99" s="219" t="str">
        <f>IFERROR(IF(AND(BD_PRINCIPAL[[#This Row],[DESDE]]&lt;&gt;"",BD_PRINCIPAL[[#This Row],[HASTA]]&lt;&gt;""),_xlfn.DAYS(BD_PRINCIPAL[[#This Row],[HASTA]],BD_PRINCIPAL[[#This Row],[DESDE]]),"")+1,"")</f>
        <v/>
      </c>
      <c r="X99" s="219">
        <f>VLOOKUP(BD_PRINCIPAL[[#This Row],[ENCUADRE. ESC.]],ORDEN1,2,FALSE)</f>
        <v>1</v>
      </c>
      <c r="Y99" s="219">
        <f>VLOOKUP(BD_PRINCIPAL[[#This Row],[DOTACIÓN ACTUAL]],ORDEN2,4,FALSE)</f>
        <v>100</v>
      </c>
      <c r="Z99" s="219">
        <f>VLOOKUP(BD_PRINCIPAL[[#This Row],[GRADO]],ORDEN3,2,FALSE)</f>
        <v>11</v>
      </c>
      <c r="AA99" s="219">
        <f>IFERROR(VLOOKUP(BD_PRINCIPAL[[#This Row],[DOTACIÓN ACTUAL]],ORDEN2,3,FALSE),0)</f>
        <v>0</v>
      </c>
      <c r="AB99" s="212" t="s">
        <v>2</v>
      </c>
      <c r="AC99" s="212" t="s">
        <v>853</v>
      </c>
      <c r="AD99" s="212" t="s">
        <v>853</v>
      </c>
      <c r="AE99" s="212" t="s">
        <v>855</v>
      </c>
      <c r="AF99" s="212" t="s">
        <v>1</v>
      </c>
      <c r="AG99" s="212" t="s">
        <v>853</v>
      </c>
      <c r="AH99" s="212"/>
      <c r="AI99" s="212"/>
      <c r="AJ99" s="212"/>
      <c r="AK99" s="212"/>
      <c r="AL99" s="212"/>
      <c r="AM99" s="212"/>
      <c r="AN99" s="212"/>
      <c r="AO99" s="212"/>
      <c r="AP99" s="212"/>
      <c r="AQ99" s="212"/>
      <c r="AR99" s="212"/>
      <c r="AS99" s="212"/>
      <c r="AT99" s="220"/>
      <c r="AU99" s="220"/>
      <c r="AV99" s="220"/>
      <c r="AW99" s="220"/>
      <c r="AX99" s="220"/>
      <c r="AY99" s="220"/>
      <c r="AZ99" s="220"/>
      <c r="BA99" s="212"/>
      <c r="BB99" s="212"/>
      <c r="BC99" s="212"/>
      <c r="BD99" s="212"/>
      <c r="BE99" s="212"/>
      <c r="BF99" s="212"/>
      <c r="BG99" s="212"/>
      <c r="BH99" s="212"/>
      <c r="BI99" s="212"/>
      <c r="BJ99" s="212"/>
      <c r="BK99" s="212"/>
      <c r="BL99" s="212"/>
      <c r="BM99" s="772">
        <v>45113</v>
      </c>
      <c r="BN99" s="789"/>
    </row>
    <row r="100" spans="1:66" s="221" customFormat="1" x14ac:dyDescent="0.3">
      <c r="A100" s="219" t="s">
        <v>289</v>
      </c>
      <c r="B100" s="212" t="s">
        <v>64</v>
      </c>
      <c r="C100" s="219">
        <v>160076453</v>
      </c>
      <c r="D100" s="621" t="s">
        <v>714</v>
      </c>
      <c r="E100" s="621" t="s">
        <v>714</v>
      </c>
      <c r="F100" s="480" t="s">
        <v>64</v>
      </c>
      <c r="G100" s="214" t="s">
        <v>3</v>
      </c>
      <c r="H100" s="215" t="s">
        <v>817</v>
      </c>
      <c r="I100" s="215" t="s">
        <v>872</v>
      </c>
      <c r="J100" s="216" t="s">
        <v>917</v>
      </c>
      <c r="K100" s="1279" t="s">
        <v>2290</v>
      </c>
      <c r="L100" s="733" t="s">
        <v>853</v>
      </c>
      <c r="M100" s="1304" t="s">
        <v>1472</v>
      </c>
      <c r="N100" s="772"/>
      <c r="O100" s="1294"/>
      <c r="P100" s="212"/>
      <c r="Q100" s="1294" t="s">
        <v>832</v>
      </c>
      <c r="R100" s="217">
        <f>$B$1</f>
        <v>45388</v>
      </c>
      <c r="S100" s="223" t="s">
        <v>1483</v>
      </c>
      <c r="T100" s="213" t="s">
        <v>2919</v>
      </c>
      <c r="U100" s="218"/>
      <c r="V100" s="218"/>
      <c r="W100" s="219" t="str">
        <f>IFERROR(IF(AND(BD_PRINCIPAL[[#This Row],[DESDE]]&lt;&gt;"",BD_PRINCIPAL[[#This Row],[HASTA]]&lt;&gt;""),_xlfn.DAYS(BD_PRINCIPAL[[#This Row],[HASTA]],BD_PRINCIPAL[[#This Row],[DESDE]]),"")+1,"")</f>
        <v/>
      </c>
      <c r="X100" s="219">
        <f>VLOOKUP(BD_PRINCIPAL[[#This Row],[ENCUADRE. ESC.]],ORDEN1,2,FALSE)</f>
        <v>1</v>
      </c>
      <c r="Y100" s="219">
        <f>VLOOKUP(BD_PRINCIPAL[[#This Row],[DOTACIÓN ACTUAL]],ORDEN2,4,FALSE)</f>
        <v>100</v>
      </c>
      <c r="Z100" s="219">
        <f>VLOOKUP(BD_PRINCIPAL[[#This Row],[GRADO]],ORDEN3,2,FALSE)</f>
        <v>11</v>
      </c>
      <c r="AA100" s="219">
        <f>IFERROR(VLOOKUP(BD_PRINCIPAL[[#This Row],[DOTACIÓN ACTUAL]],ORDEN2,3,FALSE),0)</f>
        <v>0</v>
      </c>
      <c r="AB100" s="212" t="s">
        <v>2</v>
      </c>
      <c r="AC100" s="212" t="s">
        <v>853</v>
      </c>
      <c r="AD100" s="212" t="s">
        <v>853</v>
      </c>
      <c r="AE100" s="212" t="s">
        <v>2</v>
      </c>
      <c r="AF100" s="212" t="s">
        <v>855</v>
      </c>
      <c r="AG100" s="212" t="s">
        <v>853</v>
      </c>
      <c r="AH100" s="212"/>
      <c r="AI100" s="212"/>
      <c r="AJ100" s="212"/>
      <c r="AK100" s="212"/>
      <c r="AL100" s="212"/>
      <c r="AM100" s="212"/>
      <c r="AN100" s="212"/>
      <c r="AO100" s="212"/>
      <c r="AP100" s="212"/>
      <c r="AQ100" s="212"/>
      <c r="AR100" s="212"/>
      <c r="AS100" s="212"/>
      <c r="AT100" s="220"/>
      <c r="AU100" s="220"/>
      <c r="AV100" s="220"/>
      <c r="AW100" s="220"/>
      <c r="AX100" s="220"/>
      <c r="AY100" s="220"/>
      <c r="AZ100" s="220"/>
      <c r="BA100" s="212"/>
      <c r="BB100" s="212"/>
      <c r="BC100" s="212"/>
      <c r="BD100" s="212"/>
      <c r="BE100" s="212"/>
      <c r="BF100" s="212"/>
      <c r="BG100" s="212"/>
      <c r="BH100" s="212"/>
      <c r="BI100" s="212"/>
      <c r="BJ100" s="212"/>
      <c r="BK100" s="212"/>
      <c r="BL100" s="212"/>
      <c r="BM100" s="772">
        <v>45167</v>
      </c>
      <c r="BN100" s="789"/>
    </row>
    <row r="101" spans="1:66" s="221" customFormat="1" x14ac:dyDescent="0.3">
      <c r="A101" s="219" t="s">
        <v>409</v>
      </c>
      <c r="B101" s="212" t="s">
        <v>130</v>
      </c>
      <c r="C101" s="219">
        <v>200779290</v>
      </c>
      <c r="D101" s="309" t="s">
        <v>714</v>
      </c>
      <c r="E101" s="485" t="s">
        <v>714</v>
      </c>
      <c r="F101" s="480" t="s">
        <v>2077</v>
      </c>
      <c r="G101" s="214" t="s">
        <v>4</v>
      </c>
      <c r="H101" s="215" t="s">
        <v>816</v>
      </c>
      <c r="I101" s="215" t="s">
        <v>872</v>
      </c>
      <c r="J101" s="216" t="s">
        <v>917</v>
      </c>
      <c r="K101" s="1279" t="s">
        <v>2301</v>
      </c>
      <c r="L101" s="733" t="s">
        <v>853</v>
      </c>
      <c r="M101" s="1304" t="s">
        <v>1472</v>
      </c>
      <c r="N101" s="771"/>
      <c r="O101" s="1294"/>
      <c r="P101" s="212"/>
      <c r="Q101" s="1294" t="s">
        <v>832</v>
      </c>
      <c r="R101" s="217">
        <f>$B$1</f>
        <v>45388</v>
      </c>
      <c r="S101" s="223"/>
      <c r="T101" s="213" t="s">
        <v>2919</v>
      </c>
      <c r="U101" s="218"/>
      <c r="V101" s="218"/>
      <c r="W101" s="219" t="str">
        <f>IFERROR(IF(AND(BD_PRINCIPAL[[#This Row],[DESDE]]&lt;&gt;"",BD_PRINCIPAL[[#This Row],[HASTA]]&lt;&gt;""),_xlfn.DAYS(BD_PRINCIPAL[[#This Row],[HASTA]],BD_PRINCIPAL[[#This Row],[DESDE]]),"")+1,"")</f>
        <v/>
      </c>
      <c r="X101" s="219">
        <f>VLOOKUP(BD_PRINCIPAL[[#This Row],[ENCUADRE. ESC.]],ORDEN1,2,FALSE)</f>
        <v>1</v>
      </c>
      <c r="Y101" s="219">
        <f>VLOOKUP(BD_PRINCIPAL[[#This Row],[DOTACIÓN ACTUAL]],ORDEN2,4,FALSE)</f>
        <v>100</v>
      </c>
      <c r="Z101" s="219">
        <f>VLOOKUP(BD_PRINCIPAL[[#This Row],[GRADO]],ORDEN3,2,FALSE)</f>
        <v>12</v>
      </c>
      <c r="AA101" s="219">
        <f>IFERROR(VLOOKUP(BD_PRINCIPAL[[#This Row],[DOTACIÓN ACTUAL]],ORDEN2,3,FALSE),0)</f>
        <v>0</v>
      </c>
      <c r="AB101" s="212" t="s">
        <v>2</v>
      </c>
      <c r="AC101" s="212" t="s">
        <v>853</v>
      </c>
      <c r="AD101" s="212" t="s">
        <v>854</v>
      </c>
      <c r="AE101" s="212" t="s">
        <v>2125</v>
      </c>
      <c r="AF101" s="212" t="s">
        <v>1</v>
      </c>
      <c r="AG101" s="212" t="s">
        <v>853</v>
      </c>
      <c r="AH101" s="212"/>
      <c r="AI101" s="212"/>
      <c r="AJ101" s="212"/>
      <c r="AK101" s="212"/>
      <c r="AL101" s="212"/>
      <c r="AM101" s="212"/>
      <c r="AN101" s="212"/>
      <c r="AO101" s="212"/>
      <c r="AP101" s="212"/>
      <c r="AQ101" s="212"/>
      <c r="AR101" s="212"/>
      <c r="AS101" s="212"/>
      <c r="AT101" s="220"/>
      <c r="AU101" s="220"/>
      <c r="AV101" s="220"/>
      <c r="AW101" s="220"/>
      <c r="AX101" s="220"/>
      <c r="AY101" s="220"/>
      <c r="AZ101" s="220"/>
      <c r="BA101" s="212"/>
      <c r="BB101" s="212"/>
      <c r="BC101" s="212"/>
      <c r="BD101" s="212"/>
      <c r="BE101" s="212"/>
      <c r="BF101" s="212"/>
      <c r="BG101" s="212"/>
      <c r="BH101" s="212"/>
      <c r="BI101" s="212"/>
      <c r="BJ101" s="212"/>
      <c r="BK101" s="212"/>
      <c r="BL101" s="212"/>
      <c r="BM101" s="771">
        <v>45364</v>
      </c>
      <c r="BN101" s="789"/>
    </row>
    <row r="102" spans="1:66" s="247" customFormat="1" x14ac:dyDescent="0.3">
      <c r="A102" s="245" t="s">
        <v>2348</v>
      </c>
      <c r="B102" s="649" t="s">
        <v>2349</v>
      </c>
      <c r="C102" s="245">
        <v>130777279</v>
      </c>
      <c r="D102" s="715" t="s">
        <v>726</v>
      </c>
      <c r="E102" s="478" t="s">
        <v>728</v>
      </c>
      <c r="F102" s="478" t="s">
        <v>2909</v>
      </c>
      <c r="G102" s="248" t="s">
        <v>89</v>
      </c>
      <c r="H102" s="241" t="s">
        <v>816</v>
      </c>
      <c r="I102" s="241" t="s">
        <v>872</v>
      </c>
      <c r="J102" s="242" t="s">
        <v>917</v>
      </c>
      <c r="K102" s="1281" t="s">
        <v>2523</v>
      </c>
      <c r="L102" s="735" t="s">
        <v>853</v>
      </c>
      <c r="M102" s="1306" t="s">
        <v>2414</v>
      </c>
      <c r="N102" s="774"/>
      <c r="O102" s="1296"/>
      <c r="P102" s="238"/>
      <c r="Q102" s="1296" t="s">
        <v>832</v>
      </c>
      <c r="R102" s="337">
        <f>$B$1</f>
        <v>45388</v>
      </c>
      <c r="S102" s="249"/>
      <c r="T102" s="249" t="s">
        <v>2919</v>
      </c>
      <c r="U102" s="740"/>
      <c r="V102" s="740"/>
      <c r="W102" s="338" t="str">
        <f>IFERROR(IF(AND(BD_PRINCIPAL[[#This Row],[DESDE]]&lt;&gt;"",BD_PRINCIPAL[[#This Row],[HASTA]]&lt;&gt;""),_xlfn.DAYS(BD_PRINCIPAL[[#This Row],[HASTA]],BD_PRINCIPAL[[#This Row],[DESDE]]),"")+1,"")</f>
        <v/>
      </c>
      <c r="X102" s="338">
        <f>VLOOKUP(BD_PRINCIPAL[[#This Row],[ENCUADRE. ESC.]],ORDEN1,2,FALSE)</f>
        <v>1</v>
      </c>
      <c r="Y102" s="338">
        <f>VLOOKUP(BD_PRINCIPAL[[#This Row],[DOTACIÓN ACTUAL]],ORDEN2,4,FALSE)</f>
        <v>103</v>
      </c>
      <c r="Z102" s="338">
        <f>VLOOKUP(BD_PRINCIPAL[[#This Row],[GRADO]],ORDEN3,2,FALSE)</f>
        <v>9</v>
      </c>
      <c r="AA102" s="338">
        <f>IFERROR(VLOOKUP(BD_PRINCIPAL[[#This Row],[DOTACIÓN ACTUAL]],ORDEN2,3,FALSE),0)</f>
        <v>0</v>
      </c>
      <c r="AB102" s="238" t="s">
        <v>2</v>
      </c>
      <c r="AC102" s="238" t="s">
        <v>853</v>
      </c>
      <c r="AD102" s="238" t="s">
        <v>854</v>
      </c>
      <c r="AE102" s="238" t="s">
        <v>2125</v>
      </c>
      <c r="AF102" s="238" t="s">
        <v>1</v>
      </c>
      <c r="AG102" s="238" t="s">
        <v>853</v>
      </c>
      <c r="AH102" s="238"/>
      <c r="AI102" s="238"/>
      <c r="AJ102" s="238"/>
      <c r="AK102" s="238"/>
      <c r="AL102" s="238"/>
      <c r="AM102" s="238"/>
      <c r="AN102" s="238"/>
      <c r="AO102" s="238"/>
      <c r="AP102" s="238"/>
      <c r="AQ102" s="238"/>
      <c r="AR102" s="238"/>
      <c r="AS102" s="238"/>
      <c r="AT102" s="246"/>
      <c r="AU102" s="246"/>
      <c r="AV102" s="246"/>
      <c r="AW102" s="246"/>
      <c r="AX102" s="246"/>
      <c r="AY102" s="246"/>
      <c r="AZ102" s="246"/>
      <c r="BA102" s="238"/>
      <c r="BB102" s="238"/>
      <c r="BC102" s="238"/>
      <c r="BD102" s="238"/>
      <c r="BE102" s="238"/>
      <c r="BF102" s="238"/>
      <c r="BG102" s="238"/>
      <c r="BH102" s="238"/>
      <c r="BI102" s="238"/>
      <c r="BJ102" s="238"/>
      <c r="BK102" s="238"/>
      <c r="BL102" s="238"/>
      <c r="BM102" s="775">
        <v>45050</v>
      </c>
      <c r="BN102" s="788"/>
    </row>
    <row r="103" spans="1:66" s="247" customFormat="1" x14ac:dyDescent="0.3">
      <c r="A103" s="245" t="s">
        <v>641</v>
      </c>
      <c r="B103" s="238" t="s">
        <v>640</v>
      </c>
      <c r="C103" s="245">
        <v>156016446</v>
      </c>
      <c r="D103" s="486" t="s">
        <v>726</v>
      </c>
      <c r="E103" s="486" t="s">
        <v>726</v>
      </c>
      <c r="F103" s="478" t="s">
        <v>640</v>
      </c>
      <c r="G103" s="248" t="s">
        <v>209</v>
      </c>
      <c r="H103" s="241" t="s">
        <v>816</v>
      </c>
      <c r="I103" s="241" t="s">
        <v>872</v>
      </c>
      <c r="J103" s="242" t="s">
        <v>917</v>
      </c>
      <c r="K103" s="1281" t="s">
        <v>2290</v>
      </c>
      <c r="L103" s="735" t="s">
        <v>853</v>
      </c>
      <c r="M103" s="1306" t="s">
        <v>2414</v>
      </c>
      <c r="N103" s="775"/>
      <c r="O103" s="1296"/>
      <c r="P103" s="238"/>
      <c r="Q103" s="1296" t="s">
        <v>832</v>
      </c>
      <c r="R103" s="243">
        <f>$B$1</f>
        <v>45388</v>
      </c>
      <c r="S103" s="249"/>
      <c r="T103" s="249" t="s">
        <v>2919</v>
      </c>
      <c r="U103" s="244"/>
      <c r="V103" s="244"/>
      <c r="W103" s="245" t="str">
        <f>IFERROR(IF(AND(BD_PRINCIPAL[[#This Row],[DESDE]]&lt;&gt;"",BD_PRINCIPAL[[#This Row],[HASTA]]&lt;&gt;""),_xlfn.DAYS(BD_PRINCIPAL[[#This Row],[HASTA]],BD_PRINCIPAL[[#This Row],[DESDE]]),"")+1,"")</f>
        <v/>
      </c>
      <c r="X103" s="245">
        <f>VLOOKUP(BD_PRINCIPAL[[#This Row],[ENCUADRE. ESC.]],ORDEN1,2,FALSE)</f>
        <v>1</v>
      </c>
      <c r="Y103" s="245">
        <f>VLOOKUP(BD_PRINCIPAL[[#This Row],[DOTACIÓN ACTUAL]],ORDEN2,4,FALSE)</f>
        <v>104</v>
      </c>
      <c r="Z103" s="245">
        <f>VLOOKUP(BD_PRINCIPAL[[#This Row],[GRADO]],ORDEN3,2,FALSE)</f>
        <v>10</v>
      </c>
      <c r="AA103" s="245">
        <f>IFERROR(VLOOKUP(BD_PRINCIPAL[[#This Row],[DOTACIÓN ACTUAL]],ORDEN2,3,FALSE),0)</f>
        <v>0</v>
      </c>
      <c r="AB103" s="238" t="s">
        <v>2</v>
      </c>
      <c r="AC103" s="238" t="s">
        <v>853</v>
      </c>
      <c r="AD103" s="238" t="s">
        <v>854</v>
      </c>
      <c r="AE103" s="238" t="s">
        <v>2125</v>
      </c>
      <c r="AF103" s="238" t="s">
        <v>1</v>
      </c>
      <c r="AG103" s="238" t="s">
        <v>853</v>
      </c>
      <c r="AH103" s="238"/>
      <c r="AI103" s="238"/>
      <c r="AJ103" s="238"/>
      <c r="AK103" s="238"/>
      <c r="AL103" s="238"/>
      <c r="AM103" s="238"/>
      <c r="AN103" s="238"/>
      <c r="AO103" s="238"/>
      <c r="AP103" s="238"/>
      <c r="AQ103" s="238"/>
      <c r="AR103" s="238"/>
      <c r="AS103" s="238"/>
      <c r="AT103" s="246"/>
      <c r="AU103" s="246"/>
      <c r="AV103" s="246"/>
      <c r="AW103" s="246"/>
      <c r="AX103" s="246"/>
      <c r="AY103" s="246"/>
      <c r="AZ103" s="246"/>
      <c r="BA103" s="238"/>
      <c r="BB103" s="238"/>
      <c r="BC103" s="238"/>
      <c r="BD103" s="238"/>
      <c r="BE103" s="238"/>
      <c r="BF103" s="238"/>
      <c r="BG103" s="238"/>
      <c r="BH103" s="238"/>
      <c r="BI103" s="238"/>
      <c r="BJ103" s="238"/>
      <c r="BK103" s="238"/>
      <c r="BL103" s="238"/>
      <c r="BM103" s="775">
        <v>45050</v>
      </c>
      <c r="BN103" s="788"/>
    </row>
    <row r="104" spans="1:66" s="247" customFormat="1" x14ac:dyDescent="0.3">
      <c r="A104" s="245" t="s">
        <v>589</v>
      </c>
      <c r="B104" s="238" t="s">
        <v>38</v>
      </c>
      <c r="C104" s="245">
        <v>182885819</v>
      </c>
      <c r="D104" s="311" t="s">
        <v>726</v>
      </c>
      <c r="E104" s="478" t="s">
        <v>726</v>
      </c>
      <c r="F104" s="478" t="s">
        <v>38</v>
      </c>
      <c r="G104" s="240" t="s">
        <v>3</v>
      </c>
      <c r="H104" s="241" t="s">
        <v>816</v>
      </c>
      <c r="I104" s="241" t="s">
        <v>872</v>
      </c>
      <c r="J104" s="242" t="s">
        <v>917</v>
      </c>
      <c r="K104" s="1281" t="s">
        <v>2290</v>
      </c>
      <c r="L104" s="735" t="s">
        <v>853</v>
      </c>
      <c r="M104" s="1306" t="s">
        <v>2414</v>
      </c>
      <c r="N104" s="775"/>
      <c r="O104" s="1296"/>
      <c r="P104" s="238"/>
      <c r="Q104" s="1296" t="s">
        <v>832</v>
      </c>
      <c r="R104" s="243">
        <f>$B$1</f>
        <v>45388</v>
      </c>
      <c r="S104" s="249"/>
      <c r="T104" s="249"/>
      <c r="U104" s="244"/>
      <c r="V104" s="244"/>
      <c r="W104" s="245" t="str">
        <f>IFERROR(IF(AND(BD_PRINCIPAL[[#This Row],[DESDE]]&lt;&gt;"",BD_PRINCIPAL[[#This Row],[HASTA]]&lt;&gt;""),_xlfn.DAYS(BD_PRINCIPAL[[#This Row],[HASTA]],BD_PRINCIPAL[[#This Row],[DESDE]]),"")+1,"")</f>
        <v/>
      </c>
      <c r="X104" s="245">
        <f>VLOOKUP(BD_PRINCIPAL[[#This Row],[ENCUADRE. ESC.]],ORDEN1,2,FALSE)</f>
        <v>1</v>
      </c>
      <c r="Y104" s="245">
        <f>VLOOKUP(BD_PRINCIPAL[[#This Row],[DOTACIÓN ACTUAL]],ORDEN2,4,FALSE)</f>
        <v>104</v>
      </c>
      <c r="Z104" s="245">
        <f>VLOOKUP(BD_PRINCIPAL[[#This Row],[GRADO]],ORDEN3,2,FALSE)</f>
        <v>11</v>
      </c>
      <c r="AA104" s="245">
        <f>IFERROR(VLOOKUP(BD_PRINCIPAL[[#This Row],[DOTACIÓN ACTUAL]],ORDEN2,3,FALSE),0)</f>
        <v>0</v>
      </c>
      <c r="AB104" s="238" t="s">
        <v>2</v>
      </c>
      <c r="AC104" s="238" t="s">
        <v>853</v>
      </c>
      <c r="AD104" s="238" t="s">
        <v>854</v>
      </c>
      <c r="AE104" s="238" t="s">
        <v>2125</v>
      </c>
      <c r="AF104" s="238" t="s">
        <v>1</v>
      </c>
      <c r="AG104" s="238" t="s">
        <v>853</v>
      </c>
      <c r="AH104" s="238"/>
      <c r="AI104" s="238"/>
      <c r="AJ104" s="238"/>
      <c r="AK104" s="238"/>
      <c r="AL104" s="238"/>
      <c r="AM104" s="238"/>
      <c r="AN104" s="238"/>
      <c r="AO104" s="238"/>
      <c r="AP104" s="238"/>
      <c r="AQ104" s="238"/>
      <c r="AR104" s="238"/>
      <c r="AS104" s="238"/>
      <c r="AT104" s="246"/>
      <c r="AU104" s="246"/>
      <c r="AV104" s="246"/>
      <c r="AW104" s="246"/>
      <c r="AX104" s="246"/>
      <c r="AY104" s="246"/>
      <c r="AZ104" s="246"/>
      <c r="BA104" s="238"/>
      <c r="BB104" s="238"/>
      <c r="BC104" s="238"/>
      <c r="BD104" s="238"/>
      <c r="BE104" s="238"/>
      <c r="BF104" s="238"/>
      <c r="BG104" s="238"/>
      <c r="BH104" s="238"/>
      <c r="BI104" s="238"/>
      <c r="BJ104" s="238"/>
      <c r="BK104" s="238"/>
      <c r="BL104" s="238"/>
      <c r="BM104" s="775">
        <v>45383</v>
      </c>
      <c r="BN104" s="788"/>
    </row>
    <row r="105" spans="1:66" s="247" customFormat="1" ht="18.600000000000001" customHeight="1" x14ac:dyDescent="0.3">
      <c r="A105" s="245" t="s">
        <v>360</v>
      </c>
      <c r="B105" s="238" t="s">
        <v>56</v>
      </c>
      <c r="C105" s="245">
        <v>182144835</v>
      </c>
      <c r="D105" s="311" t="s">
        <v>726</v>
      </c>
      <c r="E105" s="486" t="s">
        <v>726</v>
      </c>
      <c r="F105" s="478" t="s">
        <v>56</v>
      </c>
      <c r="G105" s="240" t="s">
        <v>3</v>
      </c>
      <c r="H105" s="241" t="s">
        <v>816</v>
      </c>
      <c r="I105" s="241" t="s">
        <v>872</v>
      </c>
      <c r="J105" s="242" t="s">
        <v>917</v>
      </c>
      <c r="K105" s="1281" t="s">
        <v>2290</v>
      </c>
      <c r="L105" s="735" t="s">
        <v>853</v>
      </c>
      <c r="M105" s="1306" t="s">
        <v>2414</v>
      </c>
      <c r="N105" s="775"/>
      <c r="O105" s="1296"/>
      <c r="P105" s="238"/>
      <c r="Q105" s="1296" t="s">
        <v>832</v>
      </c>
      <c r="R105" s="243">
        <f>$B$1</f>
        <v>45388</v>
      </c>
      <c r="S105" s="249"/>
      <c r="T105" s="249" t="s">
        <v>3152</v>
      </c>
      <c r="U105" s="244"/>
      <c r="V105" s="244"/>
      <c r="W105" s="245" t="str">
        <f>IFERROR(IF(AND(BD_PRINCIPAL[[#This Row],[DESDE]]&lt;&gt;"",BD_PRINCIPAL[[#This Row],[HASTA]]&lt;&gt;""),_xlfn.DAYS(BD_PRINCIPAL[[#This Row],[HASTA]],BD_PRINCIPAL[[#This Row],[DESDE]]),"")+1,"")</f>
        <v/>
      </c>
      <c r="X105" s="245">
        <f>VLOOKUP(BD_PRINCIPAL[[#This Row],[ENCUADRE. ESC.]],ORDEN1,2,FALSE)</f>
        <v>1</v>
      </c>
      <c r="Y105" s="245">
        <f>VLOOKUP(BD_PRINCIPAL[[#This Row],[DOTACIÓN ACTUAL]],ORDEN2,4,FALSE)</f>
        <v>104</v>
      </c>
      <c r="Z105" s="245">
        <f>VLOOKUP(BD_PRINCIPAL[[#This Row],[GRADO]],ORDEN3,2,FALSE)</f>
        <v>11</v>
      </c>
      <c r="AA105" s="245">
        <f>IFERROR(VLOOKUP(BD_PRINCIPAL[[#This Row],[DOTACIÓN ACTUAL]],ORDEN2,3,FALSE),0)</f>
        <v>0</v>
      </c>
      <c r="AB105" s="238" t="s">
        <v>2</v>
      </c>
      <c r="AC105" s="238" t="s">
        <v>853</v>
      </c>
      <c r="AD105" s="238" t="s">
        <v>854</v>
      </c>
      <c r="AE105" s="238" t="s">
        <v>2125</v>
      </c>
      <c r="AF105" s="238" t="s">
        <v>1</v>
      </c>
      <c r="AG105" s="238" t="s">
        <v>853</v>
      </c>
      <c r="AH105" s="238"/>
      <c r="AI105" s="238"/>
      <c r="AJ105" s="238"/>
      <c r="AK105" s="238"/>
      <c r="AL105" s="238"/>
      <c r="AM105" s="238"/>
      <c r="AN105" s="238"/>
      <c r="AO105" s="238"/>
      <c r="AP105" s="238"/>
      <c r="AQ105" s="238"/>
      <c r="AR105" s="238"/>
      <c r="AS105" s="238"/>
      <c r="AT105" s="246"/>
      <c r="AU105" s="246"/>
      <c r="AV105" s="246"/>
      <c r="AW105" s="246"/>
      <c r="AX105" s="246"/>
      <c r="AY105" s="246"/>
      <c r="AZ105" s="246"/>
      <c r="BA105" s="238"/>
      <c r="BB105" s="238"/>
      <c r="BC105" s="238"/>
      <c r="BD105" s="238"/>
      <c r="BE105" s="238"/>
      <c r="BF105" s="238"/>
      <c r="BG105" s="238"/>
      <c r="BH105" s="238"/>
      <c r="BI105" s="238"/>
      <c r="BJ105" s="238"/>
      <c r="BK105" s="238"/>
      <c r="BL105" s="238"/>
      <c r="BM105" s="775">
        <v>45118</v>
      </c>
      <c r="BN105" s="788"/>
    </row>
    <row r="106" spans="1:66" s="247" customFormat="1" ht="66" x14ac:dyDescent="0.3">
      <c r="A106" s="245" t="s">
        <v>461</v>
      </c>
      <c r="B106" s="238" t="s">
        <v>157</v>
      </c>
      <c r="C106" s="245">
        <v>191986423</v>
      </c>
      <c r="D106" s="311" t="s">
        <v>726</v>
      </c>
      <c r="E106" s="1037" t="s">
        <v>726</v>
      </c>
      <c r="F106" s="478" t="s">
        <v>2796</v>
      </c>
      <c r="G106" s="240" t="s">
        <v>4</v>
      </c>
      <c r="H106" s="241" t="s">
        <v>816</v>
      </c>
      <c r="I106" s="241" t="s">
        <v>872</v>
      </c>
      <c r="J106" s="242" t="s">
        <v>917</v>
      </c>
      <c r="K106" s="1281" t="s">
        <v>2797</v>
      </c>
      <c r="L106" s="735" t="s">
        <v>853</v>
      </c>
      <c r="M106" s="1306" t="s">
        <v>2414</v>
      </c>
      <c r="N106" s="775"/>
      <c r="O106" s="1296"/>
      <c r="P106" s="238"/>
      <c r="Q106" s="1296" t="s">
        <v>832</v>
      </c>
      <c r="R106" s="243">
        <f>$B$1</f>
        <v>45388</v>
      </c>
      <c r="S106" s="249"/>
      <c r="T106" s="249" t="s">
        <v>3014</v>
      </c>
      <c r="U106" s="250"/>
      <c r="V106" s="250"/>
      <c r="W106" s="245" t="str">
        <f>IFERROR(IF(AND(BD_PRINCIPAL[[#This Row],[DESDE]]&lt;&gt;"",BD_PRINCIPAL[[#This Row],[HASTA]]&lt;&gt;""),_xlfn.DAYS(BD_PRINCIPAL[[#This Row],[HASTA]],BD_PRINCIPAL[[#This Row],[DESDE]]),"")+1,"")</f>
        <v/>
      </c>
      <c r="X106" s="245">
        <f>VLOOKUP(BD_PRINCIPAL[[#This Row],[ENCUADRE. ESC.]],ORDEN1,2,FALSE)</f>
        <v>1</v>
      </c>
      <c r="Y106" s="245">
        <f>VLOOKUP(BD_PRINCIPAL[[#This Row],[DOTACIÓN ACTUAL]],ORDEN2,4,FALSE)</f>
        <v>104</v>
      </c>
      <c r="Z106" s="245">
        <f>VLOOKUP(BD_PRINCIPAL[[#This Row],[GRADO]],ORDEN3,2,FALSE)</f>
        <v>12</v>
      </c>
      <c r="AA106" s="245">
        <f>IFERROR(VLOOKUP(BD_PRINCIPAL[[#This Row],[DOTACIÓN ACTUAL]],ORDEN2,3,FALSE),0)</f>
        <v>0</v>
      </c>
      <c r="AB106" s="238" t="s">
        <v>2</v>
      </c>
      <c r="AC106" s="238" t="s">
        <v>853</v>
      </c>
      <c r="AD106" s="238" t="s">
        <v>854</v>
      </c>
      <c r="AE106" s="238" t="s">
        <v>2125</v>
      </c>
      <c r="AF106" s="238" t="s">
        <v>1</v>
      </c>
      <c r="AG106" s="238" t="s">
        <v>853</v>
      </c>
      <c r="AH106" s="238"/>
      <c r="AI106" s="238"/>
      <c r="AJ106" s="238"/>
      <c r="AK106" s="238"/>
      <c r="AL106" s="238"/>
      <c r="AM106" s="238"/>
      <c r="AN106" s="238"/>
      <c r="AO106" s="238"/>
      <c r="AP106" s="238"/>
      <c r="AQ106" s="238"/>
      <c r="AR106" s="238"/>
      <c r="AS106" s="238"/>
      <c r="AT106" s="246"/>
      <c r="AU106" s="246"/>
      <c r="AV106" s="246"/>
      <c r="AW106" s="246"/>
      <c r="AX106" s="246"/>
      <c r="AY106" s="246"/>
      <c r="AZ106" s="246"/>
      <c r="BA106" s="238"/>
      <c r="BB106" s="238"/>
      <c r="BC106" s="238"/>
      <c r="BD106" s="238"/>
      <c r="BE106" s="238"/>
      <c r="BF106" s="238"/>
      <c r="BG106" s="238"/>
      <c r="BH106" s="238"/>
      <c r="BI106" s="238"/>
      <c r="BJ106" s="238"/>
      <c r="BK106" s="238"/>
      <c r="BL106" s="238"/>
      <c r="BM106" s="775">
        <v>45131</v>
      </c>
      <c r="BN106" s="788"/>
    </row>
    <row r="107" spans="1:66" s="1038" customFormat="1" x14ac:dyDescent="0.3">
      <c r="A107" s="245" t="s">
        <v>539</v>
      </c>
      <c r="B107" s="238" t="s">
        <v>212</v>
      </c>
      <c r="C107" s="245">
        <v>200549546</v>
      </c>
      <c r="D107" s="715" t="s">
        <v>713</v>
      </c>
      <c r="E107" s="478" t="s">
        <v>726</v>
      </c>
      <c r="F107" s="478" t="s">
        <v>212</v>
      </c>
      <c r="G107" s="240" t="s">
        <v>4</v>
      </c>
      <c r="H107" s="241" t="s">
        <v>817</v>
      </c>
      <c r="I107" s="241" t="s">
        <v>872</v>
      </c>
      <c r="J107" s="242" t="s">
        <v>917</v>
      </c>
      <c r="K107" s="1281" t="s">
        <v>2290</v>
      </c>
      <c r="L107" s="735" t="s">
        <v>853</v>
      </c>
      <c r="M107" s="1306" t="s">
        <v>2414</v>
      </c>
      <c r="N107" s="786"/>
      <c r="O107" s="1296"/>
      <c r="P107" s="238"/>
      <c r="Q107" s="1296" t="s">
        <v>832</v>
      </c>
      <c r="R107" s="243">
        <f>$B$1</f>
        <v>45388</v>
      </c>
      <c r="S107" s="249" t="s">
        <v>1483</v>
      </c>
      <c r="T107" s="249" t="s">
        <v>2919</v>
      </c>
      <c r="U107" s="244"/>
      <c r="V107" s="244"/>
      <c r="W107" s="245" t="str">
        <f>IFERROR(IF(AND(BD_PRINCIPAL[[#This Row],[DESDE]]&lt;&gt;"",BD_PRINCIPAL[[#This Row],[HASTA]]&lt;&gt;""),_xlfn.DAYS(BD_PRINCIPAL[[#This Row],[HASTA]],BD_PRINCIPAL[[#This Row],[DESDE]]),"")+1,"")</f>
        <v/>
      </c>
      <c r="X107" s="245">
        <f>VLOOKUP(BD_PRINCIPAL[[#This Row],[ENCUADRE. ESC.]],ORDEN1,2,FALSE)</f>
        <v>1</v>
      </c>
      <c r="Y107" s="245">
        <f>VLOOKUP(BD_PRINCIPAL[[#This Row],[DOTACIÓN ACTUAL]],ORDEN2,4,FALSE)</f>
        <v>104</v>
      </c>
      <c r="Z107" s="245">
        <f>VLOOKUP(BD_PRINCIPAL[[#This Row],[GRADO]],ORDEN3,2,FALSE)</f>
        <v>12</v>
      </c>
      <c r="AA107" s="245">
        <f>IFERROR(VLOOKUP(BD_PRINCIPAL[[#This Row],[DOTACIÓN ACTUAL]],ORDEN2,3,FALSE),0)</f>
        <v>0</v>
      </c>
      <c r="AB107" s="238" t="s">
        <v>853</v>
      </c>
      <c r="AC107" s="238" t="s">
        <v>853</v>
      </c>
      <c r="AD107" s="238" t="s">
        <v>854</v>
      </c>
      <c r="AE107" s="238" t="s">
        <v>2125</v>
      </c>
      <c r="AF107" s="238" t="s">
        <v>853</v>
      </c>
      <c r="AG107" s="238" t="s">
        <v>853</v>
      </c>
      <c r="AH107" s="238"/>
      <c r="AI107" s="238"/>
      <c r="AJ107" s="238"/>
      <c r="AK107" s="238"/>
      <c r="AL107" s="238"/>
      <c r="AM107" s="238"/>
      <c r="AN107" s="238"/>
      <c r="AO107" s="238"/>
      <c r="AP107" s="238"/>
      <c r="AQ107" s="238"/>
      <c r="AR107" s="238"/>
      <c r="AS107" s="238"/>
      <c r="AT107" s="246"/>
      <c r="AU107" s="246"/>
      <c r="AV107" s="246"/>
      <c r="AW107" s="246"/>
      <c r="AX107" s="246"/>
      <c r="AY107" s="246"/>
      <c r="AZ107" s="246"/>
      <c r="BA107" s="238"/>
      <c r="BB107" s="238"/>
      <c r="BC107" s="238"/>
      <c r="BD107" s="238"/>
      <c r="BE107" s="238"/>
      <c r="BF107" s="238"/>
      <c r="BG107" s="238"/>
      <c r="BH107" s="238"/>
      <c r="BI107" s="238"/>
      <c r="BJ107" s="238"/>
      <c r="BK107" s="238"/>
      <c r="BL107" s="238"/>
      <c r="BM107" s="786">
        <v>45190</v>
      </c>
      <c r="BN107" s="788"/>
    </row>
    <row r="108" spans="1:66" s="247" customFormat="1" x14ac:dyDescent="0.3">
      <c r="A108" s="245" t="s">
        <v>435</v>
      </c>
      <c r="B108" s="238" t="s">
        <v>125</v>
      </c>
      <c r="C108" s="245">
        <v>197228865</v>
      </c>
      <c r="D108" s="311" t="s">
        <v>726</v>
      </c>
      <c r="E108" s="486" t="s">
        <v>726</v>
      </c>
      <c r="F108" s="478" t="s">
        <v>2078</v>
      </c>
      <c r="G108" s="240" t="s">
        <v>4</v>
      </c>
      <c r="H108" s="241" t="s">
        <v>816</v>
      </c>
      <c r="I108" s="241" t="s">
        <v>872</v>
      </c>
      <c r="J108" s="242" t="s">
        <v>917</v>
      </c>
      <c r="K108" s="1281" t="s">
        <v>2301</v>
      </c>
      <c r="L108" s="735" t="s">
        <v>853</v>
      </c>
      <c r="M108" s="1306" t="s">
        <v>2414</v>
      </c>
      <c r="N108" s="775"/>
      <c r="O108" s="1296"/>
      <c r="P108" s="238"/>
      <c r="Q108" s="1296" t="s">
        <v>832</v>
      </c>
      <c r="R108" s="243">
        <f>$B$1</f>
        <v>45388</v>
      </c>
      <c r="S108" s="249"/>
      <c r="T108" s="249" t="s">
        <v>2919</v>
      </c>
      <c r="U108" s="244"/>
      <c r="V108" s="244"/>
      <c r="W108" s="245" t="str">
        <f>IFERROR(IF(AND(BD_PRINCIPAL[[#This Row],[DESDE]]&lt;&gt;"",BD_PRINCIPAL[[#This Row],[HASTA]]&lt;&gt;""),_xlfn.DAYS(BD_PRINCIPAL[[#This Row],[HASTA]],BD_PRINCIPAL[[#This Row],[DESDE]]),"")+1,"")</f>
        <v/>
      </c>
      <c r="X108" s="245">
        <f>VLOOKUP(BD_PRINCIPAL[[#This Row],[ENCUADRE. ESC.]],ORDEN1,2,FALSE)</f>
        <v>1</v>
      </c>
      <c r="Y108" s="245">
        <f>VLOOKUP(BD_PRINCIPAL[[#This Row],[DOTACIÓN ACTUAL]],ORDEN2,4,FALSE)</f>
        <v>104</v>
      </c>
      <c r="Z108" s="245">
        <f>VLOOKUP(BD_PRINCIPAL[[#This Row],[GRADO]],ORDEN3,2,FALSE)</f>
        <v>12</v>
      </c>
      <c r="AA108" s="245">
        <f>IFERROR(VLOOKUP(BD_PRINCIPAL[[#This Row],[DOTACIÓN ACTUAL]],ORDEN2,3,FALSE),0)</f>
        <v>0</v>
      </c>
      <c r="AB108" s="238" t="s">
        <v>2</v>
      </c>
      <c r="AC108" s="238" t="s">
        <v>853</v>
      </c>
      <c r="AD108" s="238" t="s">
        <v>854</v>
      </c>
      <c r="AE108" s="238" t="s">
        <v>2125</v>
      </c>
      <c r="AF108" s="238" t="s">
        <v>1</v>
      </c>
      <c r="AG108" s="238" t="s">
        <v>853</v>
      </c>
      <c r="AH108" s="238"/>
      <c r="AI108" s="238"/>
      <c r="AJ108" s="238"/>
      <c r="AK108" s="238"/>
      <c r="AL108" s="238"/>
      <c r="AM108" s="238"/>
      <c r="AN108" s="238"/>
      <c r="AO108" s="238"/>
      <c r="AP108" s="238"/>
      <c r="AQ108" s="238"/>
      <c r="AR108" s="238"/>
      <c r="AS108" s="238"/>
      <c r="AT108" s="246"/>
      <c r="AU108" s="246"/>
      <c r="AV108" s="246"/>
      <c r="AW108" s="246"/>
      <c r="AX108" s="246"/>
      <c r="AY108" s="246"/>
      <c r="AZ108" s="246"/>
      <c r="BA108" s="238"/>
      <c r="BB108" s="238"/>
      <c r="BC108" s="238"/>
      <c r="BD108" s="238"/>
      <c r="BE108" s="238"/>
      <c r="BF108" s="238"/>
      <c r="BG108" s="238"/>
      <c r="BH108" s="238"/>
      <c r="BI108" s="238"/>
      <c r="BJ108" s="238"/>
      <c r="BK108" s="238"/>
      <c r="BL108" s="238"/>
      <c r="BM108" s="775">
        <v>45194</v>
      </c>
      <c r="BN108" s="788"/>
    </row>
    <row r="109" spans="1:66" s="247" customFormat="1" ht="39.6" x14ac:dyDescent="0.3">
      <c r="A109" s="245" t="s">
        <v>357</v>
      </c>
      <c r="B109" s="238" t="s">
        <v>174</v>
      </c>
      <c r="C109" s="245">
        <v>202278167</v>
      </c>
      <c r="D109" s="311" t="s">
        <v>726</v>
      </c>
      <c r="E109" s="486" t="s">
        <v>726</v>
      </c>
      <c r="F109" s="478" t="s">
        <v>174</v>
      </c>
      <c r="G109" s="240" t="s">
        <v>4</v>
      </c>
      <c r="H109" s="241" t="s">
        <v>816</v>
      </c>
      <c r="I109" s="241" t="s">
        <v>872</v>
      </c>
      <c r="J109" s="242" t="s">
        <v>917</v>
      </c>
      <c r="K109" s="1281" t="s">
        <v>2290</v>
      </c>
      <c r="L109" s="735" t="s">
        <v>853</v>
      </c>
      <c r="M109" s="1306" t="s">
        <v>2414</v>
      </c>
      <c r="N109" s="786"/>
      <c r="O109" s="1296"/>
      <c r="P109" s="238"/>
      <c r="Q109" s="1296" t="s">
        <v>832</v>
      </c>
      <c r="R109" s="243">
        <f>$B$1</f>
        <v>45388</v>
      </c>
      <c r="S109" s="249"/>
      <c r="T109" s="249" t="s">
        <v>2982</v>
      </c>
      <c r="U109" s="244"/>
      <c r="V109" s="244"/>
      <c r="W109" s="245" t="str">
        <f>IFERROR(IF(AND(BD_PRINCIPAL[[#This Row],[DESDE]]&lt;&gt;"",BD_PRINCIPAL[[#This Row],[HASTA]]&lt;&gt;""),_xlfn.DAYS(BD_PRINCIPAL[[#This Row],[HASTA]],BD_PRINCIPAL[[#This Row],[DESDE]]),"")+1,"")</f>
        <v/>
      </c>
      <c r="X109" s="245">
        <f>VLOOKUP(BD_PRINCIPAL[[#This Row],[ENCUADRE. ESC.]],ORDEN1,2,FALSE)</f>
        <v>1</v>
      </c>
      <c r="Y109" s="245">
        <f>VLOOKUP(BD_PRINCIPAL[[#This Row],[DOTACIÓN ACTUAL]],ORDEN2,4,FALSE)</f>
        <v>104</v>
      </c>
      <c r="Z109" s="245">
        <f>VLOOKUP(BD_PRINCIPAL[[#This Row],[GRADO]],ORDEN3,2,FALSE)</f>
        <v>12</v>
      </c>
      <c r="AA109" s="245">
        <f>IFERROR(VLOOKUP(BD_PRINCIPAL[[#This Row],[DOTACIÓN ACTUAL]],ORDEN2,3,FALSE),0)</f>
        <v>0</v>
      </c>
      <c r="AB109" s="238" t="s">
        <v>2</v>
      </c>
      <c r="AC109" s="238" t="s">
        <v>853</v>
      </c>
      <c r="AD109" s="238" t="s">
        <v>854</v>
      </c>
      <c r="AE109" s="238" t="s">
        <v>2125</v>
      </c>
      <c r="AF109" s="238" t="s">
        <v>1</v>
      </c>
      <c r="AG109" s="238" t="s">
        <v>853</v>
      </c>
      <c r="AH109" s="238"/>
      <c r="AI109" s="238"/>
      <c r="AJ109" s="238"/>
      <c r="AK109" s="238"/>
      <c r="AL109" s="238"/>
      <c r="AM109" s="238"/>
      <c r="AN109" s="238"/>
      <c r="AO109" s="238"/>
      <c r="AP109" s="238"/>
      <c r="AQ109" s="238"/>
      <c r="AR109" s="238"/>
      <c r="AS109" s="238"/>
      <c r="AT109" s="246"/>
      <c r="AU109" s="246"/>
      <c r="AV109" s="246"/>
      <c r="AW109" s="246"/>
      <c r="AX109" s="246"/>
      <c r="AY109" s="246"/>
      <c r="AZ109" s="246"/>
      <c r="BA109" s="238"/>
      <c r="BB109" s="238"/>
      <c r="BC109" s="238"/>
      <c r="BD109" s="238"/>
      <c r="BE109" s="238"/>
      <c r="BF109" s="238"/>
      <c r="BG109" s="238"/>
      <c r="BH109" s="238"/>
      <c r="BI109" s="238"/>
      <c r="BJ109" s="238"/>
      <c r="BK109" s="238"/>
      <c r="BL109" s="238"/>
      <c r="BM109" s="786">
        <v>45090</v>
      </c>
      <c r="BN109" s="788"/>
    </row>
    <row r="110" spans="1:66" s="189" customFormat="1" x14ac:dyDescent="0.3">
      <c r="A110" s="188" t="s">
        <v>388</v>
      </c>
      <c r="B110" s="181" t="s">
        <v>1881</v>
      </c>
      <c r="C110" s="188">
        <v>159681750</v>
      </c>
      <c r="D110" s="866" t="s">
        <v>713</v>
      </c>
      <c r="E110" s="973" t="s">
        <v>738</v>
      </c>
      <c r="F110" s="479" t="s">
        <v>2491</v>
      </c>
      <c r="G110" s="191" t="s">
        <v>209</v>
      </c>
      <c r="H110" s="184" t="s">
        <v>816</v>
      </c>
      <c r="I110" s="184" t="s">
        <v>872</v>
      </c>
      <c r="J110" s="185" t="s">
        <v>917</v>
      </c>
      <c r="K110" s="1283" t="s">
        <v>2290</v>
      </c>
      <c r="L110" s="736" t="s">
        <v>853</v>
      </c>
      <c r="M110" s="1308" t="s">
        <v>3549</v>
      </c>
      <c r="N110" s="777"/>
      <c r="O110" s="1298"/>
      <c r="P110" s="181"/>
      <c r="Q110" s="1298" t="s">
        <v>832</v>
      </c>
      <c r="R110" s="186">
        <f>$B$1</f>
        <v>45388</v>
      </c>
      <c r="S110" s="190"/>
      <c r="T110" s="182"/>
      <c r="U110" s="196"/>
      <c r="V110" s="196"/>
      <c r="W110" s="188" t="str">
        <f>IFERROR(IF(AND(BD_PRINCIPAL[[#This Row],[DESDE]]&lt;&gt;"",BD_PRINCIPAL[[#This Row],[HASTA]]&lt;&gt;""),_xlfn.DAYS(BD_PRINCIPAL[[#This Row],[HASTA]],BD_PRINCIPAL[[#This Row],[DESDE]]),"")+1,"")</f>
        <v/>
      </c>
      <c r="X110" s="188">
        <f>VLOOKUP(BD_PRINCIPAL[[#This Row],[ENCUADRE. ESC.]],ORDEN1,2,FALSE)</f>
        <v>1</v>
      </c>
      <c r="Y110" s="188">
        <f>VLOOKUP(BD_PRINCIPAL[[#This Row],[DOTACIÓN ACTUAL]],ORDEN2,4,FALSE)</f>
        <v>107</v>
      </c>
      <c r="Z110" s="188">
        <f>VLOOKUP(BD_PRINCIPAL[[#This Row],[GRADO]],ORDEN3,2,FALSE)</f>
        <v>10</v>
      </c>
      <c r="AA110" s="188">
        <f>IFERROR(VLOOKUP(BD_PRINCIPAL[[#This Row],[DOTACIÓN ACTUAL]],ORDEN2,3,FALSE),0)</f>
        <v>0</v>
      </c>
      <c r="AB110" s="181" t="s">
        <v>1</v>
      </c>
      <c r="AC110" s="181" t="s">
        <v>853</v>
      </c>
      <c r="AD110" s="181" t="s">
        <v>854</v>
      </c>
      <c r="AE110" s="181" t="s">
        <v>2125</v>
      </c>
      <c r="AF110" s="181" t="s">
        <v>853</v>
      </c>
      <c r="AG110" s="181" t="s">
        <v>853</v>
      </c>
      <c r="AH110" s="181"/>
      <c r="AI110" s="181"/>
      <c r="AJ110" s="181"/>
      <c r="AK110" s="181"/>
      <c r="AL110" s="181"/>
      <c r="AM110" s="181"/>
      <c r="AN110" s="181"/>
      <c r="AO110" s="181"/>
      <c r="AP110" s="181"/>
      <c r="AQ110" s="181"/>
      <c r="AR110" s="181"/>
      <c r="AS110" s="181"/>
      <c r="AT110" s="187"/>
      <c r="AU110" s="187"/>
      <c r="AV110" s="187"/>
      <c r="AW110" s="187"/>
      <c r="AX110" s="187"/>
      <c r="AY110" s="187"/>
      <c r="AZ110" s="187"/>
      <c r="BA110" s="181"/>
      <c r="BB110" s="181"/>
      <c r="BC110" s="181"/>
      <c r="BD110" s="181"/>
      <c r="BE110" s="181"/>
      <c r="BF110" s="181"/>
      <c r="BG110" s="181"/>
      <c r="BH110" s="181"/>
      <c r="BI110" s="181"/>
      <c r="BJ110" s="181"/>
      <c r="BK110" s="181"/>
      <c r="BL110" s="181"/>
      <c r="BM110" s="777">
        <v>45383</v>
      </c>
      <c r="BN110" s="792"/>
    </row>
    <row r="111" spans="1:66" s="189" customFormat="1" x14ac:dyDescent="0.3">
      <c r="A111" s="188" t="s">
        <v>544</v>
      </c>
      <c r="B111" s="181" t="s">
        <v>1601</v>
      </c>
      <c r="C111" s="188">
        <v>189778619</v>
      </c>
      <c r="D111" s="479" t="s">
        <v>713</v>
      </c>
      <c r="E111" s="488" t="s">
        <v>713</v>
      </c>
      <c r="F111" s="479" t="s">
        <v>2501</v>
      </c>
      <c r="G111" s="183" t="s">
        <v>3</v>
      </c>
      <c r="H111" s="184" t="s">
        <v>816</v>
      </c>
      <c r="I111" s="184" t="s">
        <v>872</v>
      </c>
      <c r="J111" s="185" t="s">
        <v>917</v>
      </c>
      <c r="K111" s="1283" t="s">
        <v>2304</v>
      </c>
      <c r="L111" s="736" t="s">
        <v>853</v>
      </c>
      <c r="M111" s="1308" t="s">
        <v>3549</v>
      </c>
      <c r="N111" s="777"/>
      <c r="O111" s="1298"/>
      <c r="P111" s="181"/>
      <c r="Q111" s="1298" t="s">
        <v>832</v>
      </c>
      <c r="R111" s="186">
        <f>$B$1</f>
        <v>45388</v>
      </c>
      <c r="S111" s="190"/>
      <c r="T111" s="190" t="s">
        <v>2919</v>
      </c>
      <c r="U111" s="192"/>
      <c r="V111" s="192"/>
      <c r="W111" s="188" t="str">
        <f>IFERROR(IF(AND(BD_PRINCIPAL[[#This Row],[DESDE]]&lt;&gt;"",BD_PRINCIPAL[[#This Row],[HASTA]]&lt;&gt;""),_xlfn.DAYS(BD_PRINCIPAL[[#This Row],[HASTA]],BD_PRINCIPAL[[#This Row],[DESDE]]),"")+1,"")</f>
        <v/>
      </c>
      <c r="X111" s="188">
        <f>VLOOKUP(BD_PRINCIPAL[[#This Row],[ENCUADRE. ESC.]],ORDEN1,2,FALSE)</f>
        <v>1</v>
      </c>
      <c r="Y111" s="188">
        <f>VLOOKUP(BD_PRINCIPAL[[#This Row],[DOTACIÓN ACTUAL]],ORDEN2,4,FALSE)</f>
        <v>108</v>
      </c>
      <c r="Z111" s="188">
        <f>VLOOKUP(BD_PRINCIPAL[[#This Row],[GRADO]],ORDEN3,2,FALSE)</f>
        <v>11</v>
      </c>
      <c r="AA111" s="188">
        <f>IFERROR(VLOOKUP(BD_PRINCIPAL[[#This Row],[DOTACIÓN ACTUAL]],ORDEN2,3,FALSE),0)</f>
        <v>0</v>
      </c>
      <c r="AB111" s="181" t="s">
        <v>2</v>
      </c>
      <c r="AC111" s="181" t="s">
        <v>853</v>
      </c>
      <c r="AD111" s="181" t="s">
        <v>854</v>
      </c>
      <c r="AE111" s="181" t="s">
        <v>2125</v>
      </c>
      <c r="AF111" s="181" t="s">
        <v>853</v>
      </c>
      <c r="AG111" s="181" t="s">
        <v>853</v>
      </c>
      <c r="AH111" s="181"/>
      <c r="AI111" s="181"/>
      <c r="AJ111" s="181"/>
      <c r="AK111" s="181"/>
      <c r="AL111" s="181"/>
      <c r="AM111" s="181"/>
      <c r="AN111" s="181"/>
      <c r="AO111" s="181"/>
      <c r="AP111" s="181"/>
      <c r="AQ111" s="181"/>
      <c r="AR111" s="181"/>
      <c r="AS111" s="181"/>
      <c r="AT111" s="187"/>
      <c r="AU111" s="187"/>
      <c r="AV111" s="187"/>
      <c r="AW111" s="187"/>
      <c r="AX111" s="187"/>
      <c r="AY111" s="187"/>
      <c r="AZ111" s="187"/>
      <c r="BA111" s="181"/>
      <c r="BB111" s="181"/>
      <c r="BC111" s="181"/>
      <c r="BD111" s="181"/>
      <c r="BE111" s="181"/>
      <c r="BF111" s="181"/>
      <c r="BG111" s="181"/>
      <c r="BH111" s="181"/>
      <c r="BI111" s="181"/>
      <c r="BJ111" s="181"/>
      <c r="BK111" s="181"/>
      <c r="BL111" s="181"/>
      <c r="BM111" s="777">
        <v>45140</v>
      </c>
      <c r="BN111" s="792"/>
    </row>
    <row r="112" spans="1:66" s="189" customFormat="1" x14ac:dyDescent="0.3">
      <c r="A112" s="188" t="s">
        <v>431</v>
      </c>
      <c r="B112" s="181" t="s">
        <v>55</v>
      </c>
      <c r="C112" s="188">
        <v>174510873</v>
      </c>
      <c r="D112" s="313" t="s">
        <v>713</v>
      </c>
      <c r="E112" s="488" t="s">
        <v>713</v>
      </c>
      <c r="F112" s="479" t="s">
        <v>2264</v>
      </c>
      <c r="G112" s="183" t="s">
        <v>3</v>
      </c>
      <c r="H112" s="184" t="s">
        <v>816</v>
      </c>
      <c r="I112" s="184" t="s">
        <v>872</v>
      </c>
      <c r="J112" s="185" t="s">
        <v>917</v>
      </c>
      <c r="K112" s="1283" t="s">
        <v>2301</v>
      </c>
      <c r="L112" s="736" t="s">
        <v>853</v>
      </c>
      <c r="M112" s="1308" t="s">
        <v>3549</v>
      </c>
      <c r="N112" s="778"/>
      <c r="O112" s="1298"/>
      <c r="P112" s="181"/>
      <c r="Q112" s="1298" t="s">
        <v>832</v>
      </c>
      <c r="R112" s="186">
        <f>$B$1</f>
        <v>45388</v>
      </c>
      <c r="S112" s="190"/>
      <c r="T112" s="190" t="s">
        <v>2919</v>
      </c>
      <c r="U112" s="192"/>
      <c r="V112" s="192"/>
      <c r="W112" s="188" t="str">
        <f>IFERROR(IF(AND(BD_PRINCIPAL[[#This Row],[DESDE]]&lt;&gt;"",BD_PRINCIPAL[[#This Row],[HASTA]]&lt;&gt;""),_xlfn.DAYS(BD_PRINCIPAL[[#This Row],[HASTA]],BD_PRINCIPAL[[#This Row],[DESDE]]),"")+1,"")</f>
        <v/>
      </c>
      <c r="X112" s="188">
        <f>VLOOKUP(BD_PRINCIPAL[[#This Row],[ENCUADRE. ESC.]],ORDEN1,2,FALSE)</f>
        <v>1</v>
      </c>
      <c r="Y112" s="188">
        <f>VLOOKUP(BD_PRINCIPAL[[#This Row],[DOTACIÓN ACTUAL]],ORDEN2,4,FALSE)</f>
        <v>108</v>
      </c>
      <c r="Z112" s="188">
        <f>VLOOKUP(BD_PRINCIPAL[[#This Row],[GRADO]],ORDEN3,2,FALSE)</f>
        <v>11</v>
      </c>
      <c r="AA112" s="188">
        <f>IFERROR(VLOOKUP(BD_PRINCIPAL[[#This Row],[DOTACIÓN ACTUAL]],ORDEN2,3,FALSE),0)</f>
        <v>0</v>
      </c>
      <c r="AB112" s="181" t="s">
        <v>2</v>
      </c>
      <c r="AC112" s="181" t="s">
        <v>853</v>
      </c>
      <c r="AD112" s="181" t="s">
        <v>854</v>
      </c>
      <c r="AE112" s="181" t="s">
        <v>2125</v>
      </c>
      <c r="AF112" s="181" t="s">
        <v>853</v>
      </c>
      <c r="AG112" s="181" t="s">
        <v>853</v>
      </c>
      <c r="AH112" s="181"/>
      <c r="AI112" s="181"/>
      <c r="AJ112" s="181"/>
      <c r="AK112" s="181"/>
      <c r="AL112" s="181"/>
      <c r="AM112" s="181"/>
      <c r="AN112" s="181"/>
      <c r="AO112" s="181"/>
      <c r="AP112" s="181"/>
      <c r="AQ112" s="181"/>
      <c r="AR112" s="181"/>
      <c r="AS112" s="181"/>
      <c r="AT112" s="187"/>
      <c r="AU112" s="187"/>
      <c r="AV112" s="187"/>
      <c r="AW112" s="187"/>
      <c r="AX112" s="187"/>
      <c r="AY112" s="187"/>
      <c r="AZ112" s="187"/>
      <c r="BA112" s="181"/>
      <c r="BB112" s="181"/>
      <c r="BC112" s="181"/>
      <c r="BD112" s="181"/>
      <c r="BE112" s="181"/>
      <c r="BF112" s="181"/>
      <c r="BG112" s="181"/>
      <c r="BH112" s="181"/>
      <c r="BI112" s="181"/>
      <c r="BJ112" s="181"/>
      <c r="BK112" s="181"/>
      <c r="BL112" s="181"/>
      <c r="BM112" s="778">
        <v>45127</v>
      </c>
      <c r="BN112" s="792"/>
    </row>
    <row r="113" spans="1:66" s="189" customFormat="1" x14ac:dyDescent="0.3">
      <c r="A113" s="188" t="s">
        <v>485</v>
      </c>
      <c r="B113" s="181" t="s">
        <v>262</v>
      </c>
      <c r="C113" s="188">
        <v>197117508</v>
      </c>
      <c r="D113" s="313" t="s">
        <v>713</v>
      </c>
      <c r="E113" s="479" t="s">
        <v>713</v>
      </c>
      <c r="F113" s="479" t="s">
        <v>262</v>
      </c>
      <c r="G113" s="183" t="s">
        <v>4</v>
      </c>
      <c r="H113" s="184" t="s">
        <v>816</v>
      </c>
      <c r="I113" s="184" t="s">
        <v>872</v>
      </c>
      <c r="J113" s="185" t="s">
        <v>917</v>
      </c>
      <c r="K113" s="1283" t="s">
        <v>2290</v>
      </c>
      <c r="L113" s="736" t="s">
        <v>853</v>
      </c>
      <c r="M113" s="1308" t="s">
        <v>3549</v>
      </c>
      <c r="N113" s="778"/>
      <c r="O113" s="1298"/>
      <c r="P113" s="181"/>
      <c r="Q113" s="1298" t="s">
        <v>832</v>
      </c>
      <c r="R113" s="186">
        <f>$B$1</f>
        <v>45388</v>
      </c>
      <c r="S113" s="190"/>
      <c r="T113" s="182" t="s">
        <v>2919</v>
      </c>
      <c r="U113" s="192"/>
      <c r="V113" s="192"/>
      <c r="W113" s="188" t="str">
        <f>IFERROR(IF(AND(BD_PRINCIPAL[[#This Row],[DESDE]]&lt;&gt;"",BD_PRINCIPAL[[#This Row],[HASTA]]&lt;&gt;""),_xlfn.DAYS(BD_PRINCIPAL[[#This Row],[HASTA]],BD_PRINCIPAL[[#This Row],[DESDE]]),"")+1,"")</f>
        <v/>
      </c>
      <c r="X113" s="188">
        <f>VLOOKUP(BD_PRINCIPAL[[#This Row],[ENCUADRE. ESC.]],ORDEN1,2,FALSE)</f>
        <v>1</v>
      </c>
      <c r="Y113" s="188">
        <f>VLOOKUP(BD_PRINCIPAL[[#This Row],[DOTACIÓN ACTUAL]],ORDEN2,4,FALSE)</f>
        <v>108</v>
      </c>
      <c r="Z113" s="188">
        <f>VLOOKUP(BD_PRINCIPAL[[#This Row],[GRADO]],ORDEN3,2,FALSE)</f>
        <v>12</v>
      </c>
      <c r="AA113" s="188">
        <f>IFERROR(VLOOKUP(BD_PRINCIPAL[[#This Row],[DOTACIÓN ACTUAL]],ORDEN2,3,FALSE),0)</f>
        <v>0</v>
      </c>
      <c r="AB113" s="181" t="s">
        <v>2</v>
      </c>
      <c r="AC113" s="181" t="s">
        <v>853</v>
      </c>
      <c r="AD113" s="181" t="s">
        <v>854</v>
      </c>
      <c r="AE113" s="181" t="s">
        <v>2125</v>
      </c>
      <c r="AF113" s="181" t="s">
        <v>853</v>
      </c>
      <c r="AG113" s="181" t="s">
        <v>853</v>
      </c>
      <c r="AH113" s="181"/>
      <c r="AI113" s="181"/>
      <c r="AJ113" s="181"/>
      <c r="AK113" s="181"/>
      <c r="AL113" s="181"/>
      <c r="AM113" s="181"/>
      <c r="AN113" s="181"/>
      <c r="AO113" s="181"/>
      <c r="AP113" s="181"/>
      <c r="AQ113" s="181"/>
      <c r="AR113" s="181"/>
      <c r="AS113" s="181"/>
      <c r="AT113" s="187"/>
      <c r="AU113" s="187"/>
      <c r="AV113" s="187"/>
      <c r="AW113" s="187"/>
      <c r="AX113" s="187"/>
      <c r="AY113" s="187"/>
      <c r="AZ113" s="187"/>
      <c r="BA113" s="181"/>
      <c r="BB113" s="181"/>
      <c r="BC113" s="181"/>
      <c r="BD113" s="181"/>
      <c r="BE113" s="181"/>
      <c r="BF113" s="181"/>
      <c r="BG113" s="181"/>
      <c r="BH113" s="181"/>
      <c r="BI113" s="181"/>
      <c r="BJ113" s="181"/>
      <c r="BK113" s="181"/>
      <c r="BL113" s="181"/>
      <c r="BM113" s="778">
        <v>45371</v>
      </c>
      <c r="BN113" s="792"/>
    </row>
    <row r="114" spans="1:66" s="189" customFormat="1" ht="26.4" x14ac:dyDescent="0.3">
      <c r="A114" s="188" t="s">
        <v>410</v>
      </c>
      <c r="B114" s="181" t="s">
        <v>131</v>
      </c>
      <c r="C114" s="188">
        <v>201588707</v>
      </c>
      <c r="D114" s="1031" t="s">
        <v>713</v>
      </c>
      <c r="E114" s="973" t="s">
        <v>713</v>
      </c>
      <c r="F114" s="479" t="s">
        <v>2266</v>
      </c>
      <c r="G114" s="183" t="s">
        <v>4</v>
      </c>
      <c r="H114" s="184" t="s">
        <v>816</v>
      </c>
      <c r="I114" s="184" t="s">
        <v>872</v>
      </c>
      <c r="J114" s="185" t="s">
        <v>917</v>
      </c>
      <c r="K114" s="1283" t="s">
        <v>2301</v>
      </c>
      <c r="L114" s="736" t="s">
        <v>853</v>
      </c>
      <c r="M114" s="1308" t="s">
        <v>3549</v>
      </c>
      <c r="N114" s="778"/>
      <c r="O114" s="1298"/>
      <c r="P114" s="181"/>
      <c r="Q114" s="1298" t="s">
        <v>832</v>
      </c>
      <c r="R114" s="186">
        <f>$B$1</f>
        <v>45388</v>
      </c>
      <c r="S114" s="190"/>
      <c r="T114" s="190" t="s">
        <v>2919</v>
      </c>
      <c r="U114" s="196"/>
      <c r="V114" s="196"/>
      <c r="W114" s="188" t="str">
        <f>IFERROR(IF(AND(BD_PRINCIPAL[[#This Row],[DESDE]]&lt;&gt;"",BD_PRINCIPAL[[#This Row],[HASTA]]&lt;&gt;""),_xlfn.DAYS(BD_PRINCIPAL[[#This Row],[HASTA]],BD_PRINCIPAL[[#This Row],[DESDE]]),"")+1,"")</f>
        <v/>
      </c>
      <c r="X114" s="188">
        <f>VLOOKUP(BD_PRINCIPAL[[#This Row],[ENCUADRE. ESC.]],ORDEN1,2,FALSE)</f>
        <v>1</v>
      </c>
      <c r="Y114" s="188">
        <f>VLOOKUP(BD_PRINCIPAL[[#This Row],[DOTACIÓN ACTUAL]],ORDEN2,4,FALSE)</f>
        <v>108</v>
      </c>
      <c r="Z114" s="188">
        <f>VLOOKUP(BD_PRINCIPAL[[#This Row],[GRADO]],ORDEN3,2,FALSE)</f>
        <v>12</v>
      </c>
      <c r="AA114" s="188">
        <f>IFERROR(VLOOKUP(BD_PRINCIPAL[[#This Row],[DOTACIÓN ACTUAL]],ORDEN2,3,FALSE),0)</f>
        <v>0</v>
      </c>
      <c r="AB114" s="181" t="s">
        <v>2</v>
      </c>
      <c r="AC114" s="181" t="s">
        <v>853</v>
      </c>
      <c r="AD114" s="181" t="s">
        <v>854</v>
      </c>
      <c r="AE114" s="181" t="s">
        <v>2125</v>
      </c>
      <c r="AF114" s="181" t="s">
        <v>853</v>
      </c>
      <c r="AG114" s="181" t="s">
        <v>853</v>
      </c>
      <c r="AH114" s="181"/>
      <c r="AI114" s="181"/>
      <c r="AJ114" s="181"/>
      <c r="AK114" s="181"/>
      <c r="AL114" s="181"/>
      <c r="AM114" s="181"/>
      <c r="AN114" s="181"/>
      <c r="AO114" s="181"/>
      <c r="AP114" s="181"/>
      <c r="AQ114" s="181"/>
      <c r="AR114" s="181"/>
      <c r="AS114" s="181"/>
      <c r="AT114" s="187"/>
      <c r="AU114" s="187"/>
      <c r="AV114" s="187"/>
      <c r="AW114" s="187"/>
      <c r="AX114" s="187"/>
      <c r="AY114" s="187"/>
      <c r="AZ114" s="187"/>
      <c r="BA114" s="181"/>
      <c r="BB114" s="181"/>
      <c r="BC114" s="181"/>
      <c r="BD114" s="181"/>
      <c r="BE114" s="181"/>
      <c r="BF114" s="181"/>
      <c r="BG114" s="181"/>
      <c r="BH114" s="181"/>
      <c r="BI114" s="181"/>
      <c r="BJ114" s="181"/>
      <c r="BK114" s="181"/>
      <c r="BL114" s="181"/>
      <c r="BM114" s="778">
        <v>45365</v>
      </c>
      <c r="BN114" s="792"/>
    </row>
    <row r="115" spans="1:66" s="189" customFormat="1" x14ac:dyDescent="0.3">
      <c r="A115" s="188" t="s">
        <v>548</v>
      </c>
      <c r="B115" s="181" t="s">
        <v>136</v>
      </c>
      <c r="C115" s="188">
        <v>199649027</v>
      </c>
      <c r="D115" s="313" t="s">
        <v>713</v>
      </c>
      <c r="E115" s="973" t="s">
        <v>713</v>
      </c>
      <c r="F115" s="479" t="s">
        <v>136</v>
      </c>
      <c r="G115" s="183" t="s">
        <v>4</v>
      </c>
      <c r="H115" s="184" t="s">
        <v>817</v>
      </c>
      <c r="I115" s="184" t="s">
        <v>872</v>
      </c>
      <c r="J115" s="185" t="s">
        <v>917</v>
      </c>
      <c r="K115" s="1283" t="s">
        <v>2290</v>
      </c>
      <c r="L115" s="736" t="s">
        <v>853</v>
      </c>
      <c r="M115" s="1308" t="s">
        <v>3549</v>
      </c>
      <c r="N115" s="778"/>
      <c r="O115" s="1298"/>
      <c r="P115" s="181"/>
      <c r="Q115" s="1298" t="s">
        <v>832</v>
      </c>
      <c r="R115" s="186">
        <f>$B$1</f>
        <v>45388</v>
      </c>
      <c r="S115" s="190"/>
      <c r="T115" s="182" t="s">
        <v>2919</v>
      </c>
      <c r="U115" s="192"/>
      <c r="V115" s="192"/>
      <c r="W115" s="188" t="str">
        <f>IFERROR(IF(AND(BD_PRINCIPAL[[#This Row],[DESDE]]&lt;&gt;"",BD_PRINCIPAL[[#This Row],[HASTA]]&lt;&gt;""),_xlfn.DAYS(BD_PRINCIPAL[[#This Row],[HASTA]],BD_PRINCIPAL[[#This Row],[DESDE]]),"")+1,"")</f>
        <v/>
      </c>
      <c r="X115" s="188">
        <f>VLOOKUP(BD_PRINCIPAL[[#This Row],[ENCUADRE. ESC.]],ORDEN1,2,FALSE)</f>
        <v>1</v>
      </c>
      <c r="Y115" s="188">
        <f>VLOOKUP(BD_PRINCIPAL[[#This Row],[DOTACIÓN ACTUAL]],ORDEN2,4,FALSE)</f>
        <v>108</v>
      </c>
      <c r="Z115" s="188">
        <f>VLOOKUP(BD_PRINCIPAL[[#This Row],[GRADO]],ORDEN3,2,FALSE)</f>
        <v>12</v>
      </c>
      <c r="AA115" s="188">
        <f>IFERROR(VLOOKUP(BD_PRINCIPAL[[#This Row],[DOTACIÓN ACTUAL]],ORDEN2,3,FALSE),0)</f>
        <v>0</v>
      </c>
      <c r="AB115" s="181" t="s">
        <v>2</v>
      </c>
      <c r="AC115" s="181" t="s">
        <v>853</v>
      </c>
      <c r="AD115" s="181" t="s">
        <v>854</v>
      </c>
      <c r="AE115" s="181" t="s">
        <v>2125</v>
      </c>
      <c r="AF115" s="181" t="s">
        <v>853</v>
      </c>
      <c r="AG115" s="181" t="s">
        <v>853</v>
      </c>
      <c r="AH115" s="181"/>
      <c r="AI115" s="181"/>
      <c r="AJ115" s="181"/>
      <c r="AK115" s="181"/>
      <c r="AL115" s="181"/>
      <c r="AM115" s="181"/>
      <c r="AN115" s="181"/>
      <c r="AO115" s="181"/>
      <c r="AP115" s="181"/>
      <c r="AQ115" s="181"/>
      <c r="AR115" s="181"/>
      <c r="AS115" s="181"/>
      <c r="AT115" s="187"/>
      <c r="AU115" s="187"/>
      <c r="AV115" s="187"/>
      <c r="AW115" s="187"/>
      <c r="AX115" s="187"/>
      <c r="AY115" s="187"/>
      <c r="AZ115" s="187"/>
      <c r="BA115" s="181"/>
      <c r="BB115" s="181"/>
      <c r="BC115" s="181"/>
      <c r="BD115" s="181"/>
      <c r="BE115" s="181"/>
      <c r="BF115" s="181"/>
      <c r="BG115" s="181"/>
      <c r="BH115" s="181"/>
      <c r="BI115" s="181"/>
      <c r="BJ115" s="181"/>
      <c r="BK115" s="181"/>
      <c r="BL115" s="181"/>
      <c r="BM115" s="778">
        <v>45377</v>
      </c>
      <c r="BN115" s="792"/>
    </row>
    <row r="116" spans="1:66" s="233" customFormat="1" x14ac:dyDescent="0.3">
      <c r="A116" s="231" t="s">
        <v>2178</v>
      </c>
      <c r="B116" s="746" t="s">
        <v>2415</v>
      </c>
      <c r="C116" s="231" t="s">
        <v>2179</v>
      </c>
      <c r="D116" s="484" t="s">
        <v>739</v>
      </c>
      <c r="E116" s="484" t="s">
        <v>739</v>
      </c>
      <c r="F116" s="477" t="s">
        <v>2542</v>
      </c>
      <c r="G116" s="235" t="s">
        <v>17</v>
      </c>
      <c r="H116" s="228" t="s">
        <v>816</v>
      </c>
      <c r="I116" s="228" t="s">
        <v>872</v>
      </c>
      <c r="J116" s="229" t="s">
        <v>917</v>
      </c>
      <c r="K116" s="1280" t="s">
        <v>2302</v>
      </c>
      <c r="L116" s="734" t="s">
        <v>6</v>
      </c>
      <c r="M116" s="1305" t="s">
        <v>2289</v>
      </c>
      <c r="N116" s="779"/>
      <c r="O116" s="1295"/>
      <c r="P116" s="225"/>
      <c r="Q116" s="1295" t="s">
        <v>832</v>
      </c>
      <c r="R116" s="386">
        <f>$B$1</f>
        <v>45388</v>
      </c>
      <c r="S116" s="236"/>
      <c r="T116" s="236" t="s">
        <v>2919</v>
      </c>
      <c r="U116" s="230"/>
      <c r="V116" s="230"/>
      <c r="W116" s="387" t="str">
        <f>IFERROR(IF(AND(BD_PRINCIPAL[[#This Row],[DESDE]]&lt;&gt;"",BD_PRINCIPAL[[#This Row],[HASTA]]&lt;&gt;""),_xlfn.DAYS(BD_PRINCIPAL[[#This Row],[HASTA]],BD_PRINCIPAL[[#This Row],[DESDE]]),"")+1,"")</f>
        <v/>
      </c>
      <c r="X116" s="387">
        <f>VLOOKUP(BD_PRINCIPAL[[#This Row],[ENCUADRE. ESC.]],ORDEN1,2,FALSE)</f>
        <v>1</v>
      </c>
      <c r="Y116" s="387">
        <f>VLOOKUP(BD_PRINCIPAL[[#This Row],[DOTACIÓN ACTUAL]],ORDEN2,4,FALSE)</f>
        <v>111</v>
      </c>
      <c r="Z116" s="387">
        <f>VLOOKUP(BD_PRINCIPAL[[#This Row],[GRADO]],ORDEN3,2,FALSE)</f>
        <v>8</v>
      </c>
      <c r="AA116" s="387">
        <f>IFERROR(VLOOKUP(BD_PRINCIPAL[[#This Row],[DOTACIÓN ACTUAL]],ORDEN2,3,FALSE),0)</f>
        <v>0</v>
      </c>
      <c r="AB116" s="225" t="s">
        <v>2125</v>
      </c>
      <c r="AC116" s="225" t="s">
        <v>1</v>
      </c>
      <c r="AD116" s="225" t="s">
        <v>853</v>
      </c>
      <c r="AE116" s="225" t="s">
        <v>2</v>
      </c>
      <c r="AF116" s="225" t="s">
        <v>1</v>
      </c>
      <c r="AG116" s="225" t="s">
        <v>6</v>
      </c>
      <c r="AH116" s="225"/>
      <c r="AI116" s="225"/>
      <c r="AJ116" s="225"/>
      <c r="AK116" s="225"/>
      <c r="AL116" s="225"/>
      <c r="AM116" s="225"/>
      <c r="AN116" s="225"/>
      <c r="AO116" s="225"/>
      <c r="AP116" s="225"/>
      <c r="AQ116" s="225"/>
      <c r="AR116" s="225"/>
      <c r="AS116" s="225"/>
      <c r="AT116" s="232"/>
      <c r="AU116" s="232"/>
      <c r="AV116" s="232"/>
      <c r="AW116" s="232"/>
      <c r="AX116" s="232"/>
      <c r="AY116" s="232"/>
      <c r="AZ116" s="232"/>
      <c r="BA116" s="225"/>
      <c r="BB116" s="225"/>
      <c r="BC116" s="225"/>
      <c r="BD116" s="225"/>
      <c r="BE116" s="225"/>
      <c r="BF116" s="225"/>
      <c r="BG116" s="225"/>
      <c r="BH116" s="225"/>
      <c r="BI116" s="225"/>
      <c r="BJ116" s="225"/>
      <c r="BK116" s="225"/>
      <c r="BL116" s="225"/>
      <c r="BM116" s="773">
        <v>45384</v>
      </c>
      <c r="BN116" s="790"/>
    </row>
    <row r="117" spans="1:66" s="233" customFormat="1" x14ac:dyDescent="0.3">
      <c r="A117" s="231" t="s">
        <v>459</v>
      </c>
      <c r="B117" s="225" t="s">
        <v>227</v>
      </c>
      <c r="C117" s="231">
        <v>145077583</v>
      </c>
      <c r="D117" s="310" t="s">
        <v>740</v>
      </c>
      <c r="E117" s="964" t="s">
        <v>740</v>
      </c>
      <c r="F117" s="477" t="s">
        <v>227</v>
      </c>
      <c r="G117" s="227" t="s">
        <v>89</v>
      </c>
      <c r="H117" s="228" t="s">
        <v>816</v>
      </c>
      <c r="I117" s="228" t="s">
        <v>872</v>
      </c>
      <c r="J117" s="229" t="s">
        <v>917</v>
      </c>
      <c r="K117" s="1280" t="s">
        <v>2290</v>
      </c>
      <c r="L117" s="734" t="s">
        <v>6</v>
      </c>
      <c r="M117" s="1305" t="s">
        <v>2289</v>
      </c>
      <c r="N117" s="773"/>
      <c r="O117" s="1295"/>
      <c r="P117" s="225"/>
      <c r="Q117" s="1295" t="s">
        <v>832</v>
      </c>
      <c r="R117" s="234">
        <f>$B$1</f>
        <v>45388</v>
      </c>
      <c r="S117" s="236"/>
      <c r="T117" s="236" t="s">
        <v>2919</v>
      </c>
      <c r="U117" s="230"/>
      <c r="V117" s="230"/>
      <c r="W117" s="231" t="str">
        <f>IFERROR(IF(AND(BD_PRINCIPAL[[#This Row],[DESDE]]&lt;&gt;"",BD_PRINCIPAL[[#This Row],[HASTA]]&lt;&gt;""),_xlfn.DAYS(BD_PRINCIPAL[[#This Row],[HASTA]],BD_PRINCIPAL[[#This Row],[DESDE]]),"")+1,"")</f>
        <v/>
      </c>
      <c r="X117" s="231">
        <f>VLOOKUP(BD_PRINCIPAL[[#This Row],[ENCUADRE. ESC.]],ORDEN1,2,FALSE)</f>
        <v>1</v>
      </c>
      <c r="Y117" s="231">
        <f>VLOOKUP(BD_PRINCIPAL[[#This Row],[DOTACIÓN ACTUAL]],ORDEN2,4,FALSE)</f>
        <v>112</v>
      </c>
      <c r="Z117" s="231">
        <f>VLOOKUP(BD_PRINCIPAL[[#This Row],[GRADO]],ORDEN3,2,FALSE)</f>
        <v>9</v>
      </c>
      <c r="AA117" s="231">
        <f>IFERROR(VLOOKUP(BD_PRINCIPAL[[#This Row],[DOTACIÓN ACTUAL]],ORDEN2,3,FALSE),0)</f>
        <v>0</v>
      </c>
      <c r="AB117" s="225" t="s">
        <v>2125</v>
      </c>
      <c r="AC117" s="225" t="s">
        <v>1</v>
      </c>
      <c r="AD117" s="225" t="s">
        <v>853</v>
      </c>
      <c r="AE117" s="225" t="s">
        <v>2</v>
      </c>
      <c r="AF117" s="225" t="s">
        <v>1</v>
      </c>
      <c r="AG117" s="225" t="s">
        <v>6</v>
      </c>
      <c r="AH117" s="225"/>
      <c r="AI117" s="225"/>
      <c r="AJ117" s="225"/>
      <c r="AK117" s="225"/>
      <c r="AL117" s="225"/>
      <c r="AM117" s="225"/>
      <c r="AN117" s="225"/>
      <c r="AO117" s="225"/>
      <c r="AP117" s="225"/>
      <c r="AQ117" s="225"/>
      <c r="AR117" s="225"/>
      <c r="AS117" s="225"/>
      <c r="AT117" s="232"/>
      <c r="AU117" s="232"/>
      <c r="AV117" s="232"/>
      <c r="AW117" s="232"/>
      <c r="AX117" s="232"/>
      <c r="AY117" s="232"/>
      <c r="AZ117" s="232"/>
      <c r="BA117" s="225"/>
      <c r="BB117" s="225"/>
      <c r="BC117" s="225"/>
      <c r="BD117" s="225"/>
      <c r="BE117" s="225"/>
      <c r="BF117" s="225"/>
      <c r="BG117" s="225"/>
      <c r="BH117" s="225"/>
      <c r="BI117" s="225"/>
      <c r="BJ117" s="225"/>
      <c r="BK117" s="225"/>
      <c r="BL117" s="225"/>
      <c r="BM117" s="773">
        <v>45133</v>
      </c>
      <c r="BN117" s="790"/>
    </row>
    <row r="118" spans="1:66" s="233" customFormat="1" ht="26.4" x14ac:dyDescent="0.3">
      <c r="A118" s="231" t="s">
        <v>671</v>
      </c>
      <c r="B118" s="225" t="s">
        <v>1879</v>
      </c>
      <c r="C118" s="231">
        <v>165633237</v>
      </c>
      <c r="D118" s="310" t="s">
        <v>740</v>
      </c>
      <c r="E118" s="477" t="s">
        <v>740</v>
      </c>
      <c r="F118" s="477" t="s">
        <v>2286</v>
      </c>
      <c r="G118" s="235" t="s">
        <v>209</v>
      </c>
      <c r="H118" s="228" t="s">
        <v>816</v>
      </c>
      <c r="I118" s="228" t="s">
        <v>872</v>
      </c>
      <c r="J118" s="229" t="s">
        <v>917</v>
      </c>
      <c r="K118" s="1280" t="s">
        <v>2316</v>
      </c>
      <c r="L118" s="734" t="s">
        <v>6</v>
      </c>
      <c r="M118" s="1305" t="s">
        <v>2289</v>
      </c>
      <c r="N118" s="773"/>
      <c r="O118" s="1295"/>
      <c r="P118" s="225"/>
      <c r="Q118" s="1295" t="s">
        <v>832</v>
      </c>
      <c r="R118" s="234">
        <f>$B$1</f>
        <v>45388</v>
      </c>
      <c r="S118" s="236" t="s">
        <v>3560</v>
      </c>
      <c r="T118" s="236"/>
      <c r="U118" s="237"/>
      <c r="V118" s="237"/>
      <c r="W118" s="231" t="str">
        <f>IFERROR(IF(AND(BD_PRINCIPAL[[#This Row],[DESDE]]&lt;&gt;"",BD_PRINCIPAL[[#This Row],[HASTA]]&lt;&gt;""),_xlfn.DAYS(BD_PRINCIPAL[[#This Row],[HASTA]],BD_PRINCIPAL[[#This Row],[DESDE]]),"")+1,"")</f>
        <v/>
      </c>
      <c r="X118" s="231">
        <f>VLOOKUP(BD_PRINCIPAL[[#This Row],[ENCUADRE. ESC.]],ORDEN1,2,FALSE)</f>
        <v>1</v>
      </c>
      <c r="Y118" s="231">
        <f>VLOOKUP(BD_PRINCIPAL[[#This Row],[DOTACIÓN ACTUAL]],ORDEN2,4,FALSE)</f>
        <v>112</v>
      </c>
      <c r="Z118" s="231">
        <f>VLOOKUP(BD_PRINCIPAL[[#This Row],[GRADO]],ORDEN3,2,FALSE)</f>
        <v>10</v>
      </c>
      <c r="AA118" s="231">
        <f>IFERROR(VLOOKUP(BD_PRINCIPAL[[#This Row],[DOTACIÓN ACTUAL]],ORDEN2,3,FALSE),0)</f>
        <v>0</v>
      </c>
      <c r="AB118" s="225" t="s">
        <v>2</v>
      </c>
      <c r="AC118" s="225" t="s">
        <v>2</v>
      </c>
      <c r="AD118" s="225" t="s">
        <v>853</v>
      </c>
      <c r="AE118" s="225" t="s">
        <v>2</v>
      </c>
      <c r="AF118" s="225" t="s">
        <v>853</v>
      </c>
      <c r="AG118" s="225" t="s">
        <v>6</v>
      </c>
      <c r="AH118" s="225"/>
      <c r="AI118" s="225"/>
      <c r="AJ118" s="225"/>
      <c r="AK118" s="225"/>
      <c r="AL118" s="225"/>
      <c r="AM118" s="225"/>
      <c r="AN118" s="225"/>
      <c r="AO118" s="225"/>
      <c r="AP118" s="225"/>
      <c r="AQ118" s="225"/>
      <c r="AR118" s="225"/>
      <c r="AS118" s="225"/>
      <c r="AT118" s="232"/>
      <c r="AU118" s="232"/>
      <c r="AV118" s="232"/>
      <c r="AW118" s="232"/>
      <c r="AX118" s="232"/>
      <c r="AY118" s="232"/>
      <c r="AZ118" s="232"/>
      <c r="BA118" s="225"/>
      <c r="BB118" s="225"/>
      <c r="BC118" s="225"/>
      <c r="BD118" s="225"/>
      <c r="BE118" s="225"/>
      <c r="BF118" s="225"/>
      <c r="BG118" s="225"/>
      <c r="BH118" s="225"/>
      <c r="BI118" s="225"/>
      <c r="BJ118" s="225"/>
      <c r="BK118" s="225"/>
      <c r="BL118" s="225"/>
      <c r="BM118" s="773">
        <v>45369</v>
      </c>
      <c r="BN118" s="790"/>
    </row>
    <row r="119" spans="1:66" s="233" customFormat="1" x14ac:dyDescent="0.3">
      <c r="A119" s="231" t="s">
        <v>1550</v>
      </c>
      <c r="B119" s="225" t="s">
        <v>1604</v>
      </c>
      <c r="C119" s="231" t="s">
        <v>666</v>
      </c>
      <c r="D119" s="310" t="s">
        <v>740</v>
      </c>
      <c r="E119" s="484" t="s">
        <v>740</v>
      </c>
      <c r="F119" s="477" t="s">
        <v>1604</v>
      </c>
      <c r="G119" s="227" t="s">
        <v>209</v>
      </c>
      <c r="H119" s="228" t="s">
        <v>816</v>
      </c>
      <c r="I119" s="228" t="s">
        <v>872</v>
      </c>
      <c r="J119" s="229" t="s">
        <v>917</v>
      </c>
      <c r="K119" s="1280" t="s">
        <v>2290</v>
      </c>
      <c r="L119" s="734" t="s">
        <v>6</v>
      </c>
      <c r="M119" s="1305" t="s">
        <v>2289</v>
      </c>
      <c r="N119" s="773"/>
      <c r="O119" s="1295"/>
      <c r="P119" s="225"/>
      <c r="Q119" s="1295" t="s">
        <v>832</v>
      </c>
      <c r="R119" s="234">
        <f>$B$1</f>
        <v>45388</v>
      </c>
      <c r="S119" s="236"/>
      <c r="T119" s="236" t="s">
        <v>2919</v>
      </c>
      <c r="U119" s="230"/>
      <c r="V119" s="230"/>
      <c r="W119" s="231" t="str">
        <f>IFERROR(IF(AND(BD_PRINCIPAL[[#This Row],[DESDE]]&lt;&gt;"",BD_PRINCIPAL[[#This Row],[HASTA]]&lt;&gt;""),_xlfn.DAYS(BD_PRINCIPAL[[#This Row],[HASTA]],BD_PRINCIPAL[[#This Row],[DESDE]]),"")+1,"")</f>
        <v/>
      </c>
      <c r="X119" s="231">
        <f>VLOOKUP(BD_PRINCIPAL[[#This Row],[ENCUADRE. ESC.]],ORDEN1,2,FALSE)</f>
        <v>1</v>
      </c>
      <c r="Y119" s="231">
        <f>VLOOKUP(BD_PRINCIPAL[[#This Row],[DOTACIÓN ACTUAL]],ORDEN2,4,FALSE)</f>
        <v>112</v>
      </c>
      <c r="Z119" s="231">
        <f>VLOOKUP(BD_PRINCIPAL[[#This Row],[GRADO]],ORDEN3,2,FALSE)</f>
        <v>10</v>
      </c>
      <c r="AA119" s="231">
        <f>IFERROR(VLOOKUP(BD_PRINCIPAL[[#This Row],[DOTACIÓN ACTUAL]],ORDEN2,3,FALSE),0)</f>
        <v>0</v>
      </c>
      <c r="AB119" s="225" t="s">
        <v>909</v>
      </c>
      <c r="AC119" s="225" t="s">
        <v>909</v>
      </c>
      <c r="AD119" s="225" t="s">
        <v>909</v>
      </c>
      <c r="AE119" s="225" t="s">
        <v>909</v>
      </c>
      <c r="AF119" s="225" t="s">
        <v>909</v>
      </c>
      <c r="AG119" s="225" t="s">
        <v>6</v>
      </c>
      <c r="AH119" s="225"/>
      <c r="AI119" s="225"/>
      <c r="AJ119" s="225"/>
      <c r="AK119" s="225"/>
      <c r="AL119" s="225"/>
      <c r="AM119" s="225"/>
      <c r="AN119" s="225"/>
      <c r="AO119" s="225"/>
      <c r="AP119" s="225"/>
      <c r="AQ119" s="225"/>
      <c r="AR119" s="225"/>
      <c r="AS119" s="225"/>
      <c r="AT119" s="232"/>
      <c r="AU119" s="232"/>
      <c r="AV119" s="232"/>
      <c r="AW119" s="232"/>
      <c r="AX119" s="232"/>
      <c r="AY119" s="232"/>
      <c r="AZ119" s="232"/>
      <c r="BA119" s="225"/>
      <c r="BB119" s="225"/>
      <c r="BC119" s="225"/>
      <c r="BD119" s="225"/>
      <c r="BE119" s="225"/>
      <c r="BF119" s="225"/>
      <c r="BG119" s="225"/>
      <c r="BH119" s="225"/>
      <c r="BI119" s="225"/>
      <c r="BJ119" s="225"/>
      <c r="BK119" s="225"/>
      <c r="BL119" s="225"/>
      <c r="BM119" s="773">
        <v>45037</v>
      </c>
      <c r="BN119" s="790"/>
    </row>
    <row r="120" spans="1:66" s="233" customFormat="1" x14ac:dyDescent="0.3">
      <c r="A120" s="231" t="s">
        <v>2200</v>
      </c>
      <c r="B120" s="746" t="s">
        <v>2202</v>
      </c>
      <c r="C120" s="231" t="s">
        <v>2201</v>
      </c>
      <c r="D120" s="310" t="s">
        <v>740</v>
      </c>
      <c r="E120" s="477" t="s">
        <v>740</v>
      </c>
      <c r="F120" s="477" t="s">
        <v>3057</v>
      </c>
      <c r="G120" s="235" t="s">
        <v>3</v>
      </c>
      <c r="H120" s="228" t="s">
        <v>816</v>
      </c>
      <c r="I120" s="228" t="s">
        <v>872</v>
      </c>
      <c r="J120" s="229" t="s">
        <v>917</v>
      </c>
      <c r="K120" s="1280" t="s">
        <v>2908</v>
      </c>
      <c r="L120" s="734" t="s">
        <v>6</v>
      </c>
      <c r="M120" s="1305" t="s">
        <v>2289</v>
      </c>
      <c r="N120" s="779"/>
      <c r="O120" s="1295"/>
      <c r="P120" s="225"/>
      <c r="Q120" s="1295" t="s">
        <v>832</v>
      </c>
      <c r="R120" s="386">
        <f>$B$1</f>
        <v>45388</v>
      </c>
      <c r="S120" s="236"/>
      <c r="T120" s="236"/>
      <c r="U120" s="230"/>
      <c r="V120" s="230"/>
      <c r="W120" s="387" t="str">
        <f>IFERROR(IF(AND(BD_PRINCIPAL[[#This Row],[DESDE]]&lt;&gt;"",BD_PRINCIPAL[[#This Row],[HASTA]]&lt;&gt;""),_xlfn.DAYS(BD_PRINCIPAL[[#This Row],[HASTA]],BD_PRINCIPAL[[#This Row],[DESDE]]),"")+1,"")</f>
        <v/>
      </c>
      <c r="X120" s="387">
        <f>VLOOKUP(BD_PRINCIPAL[[#This Row],[ENCUADRE. ESC.]],ORDEN1,2,FALSE)</f>
        <v>1</v>
      </c>
      <c r="Y120" s="387">
        <f>VLOOKUP(BD_PRINCIPAL[[#This Row],[DOTACIÓN ACTUAL]],ORDEN2,4,FALSE)</f>
        <v>112</v>
      </c>
      <c r="Z120" s="387">
        <f>VLOOKUP(BD_PRINCIPAL[[#This Row],[GRADO]],ORDEN3,2,FALSE)</f>
        <v>11</v>
      </c>
      <c r="AA120" s="387">
        <f>IFERROR(VLOOKUP(BD_PRINCIPAL[[#This Row],[DOTACIÓN ACTUAL]],ORDEN2,3,FALSE),0)</f>
        <v>0</v>
      </c>
      <c r="AB120" s="225" t="s">
        <v>909</v>
      </c>
      <c r="AC120" s="225" t="s">
        <v>1</v>
      </c>
      <c r="AD120" s="225" t="s">
        <v>853</v>
      </c>
      <c r="AE120" s="225" t="s">
        <v>2</v>
      </c>
      <c r="AF120" s="225" t="s">
        <v>1</v>
      </c>
      <c r="AG120" s="225" t="s">
        <v>6</v>
      </c>
      <c r="AH120" s="225"/>
      <c r="AI120" s="225"/>
      <c r="AJ120" s="225"/>
      <c r="AK120" s="225"/>
      <c r="AL120" s="225"/>
      <c r="AM120" s="225"/>
      <c r="AN120" s="225"/>
      <c r="AO120" s="225"/>
      <c r="AP120" s="225"/>
      <c r="AQ120" s="225"/>
      <c r="AR120" s="225"/>
      <c r="AS120" s="225"/>
      <c r="AT120" s="232"/>
      <c r="AU120" s="232"/>
      <c r="AV120" s="232"/>
      <c r="AW120" s="232"/>
      <c r="AX120" s="232"/>
      <c r="AY120" s="232"/>
      <c r="AZ120" s="232"/>
      <c r="BA120" s="225"/>
      <c r="BB120" s="225"/>
      <c r="BC120" s="225"/>
      <c r="BD120" s="225"/>
      <c r="BE120" s="225"/>
      <c r="BF120" s="225"/>
      <c r="BG120" s="225"/>
      <c r="BH120" s="225"/>
      <c r="BI120" s="225"/>
      <c r="BJ120" s="225"/>
      <c r="BK120" s="225"/>
      <c r="BL120" s="225"/>
      <c r="BM120" s="773">
        <v>45082</v>
      </c>
      <c r="BN120" s="790"/>
    </row>
    <row r="121" spans="1:66" s="233" customFormat="1" x14ac:dyDescent="0.3">
      <c r="A121" s="231" t="s">
        <v>368</v>
      </c>
      <c r="B121" s="225" t="s">
        <v>99</v>
      </c>
      <c r="C121" s="231" t="s">
        <v>369</v>
      </c>
      <c r="D121" s="310" t="s">
        <v>740</v>
      </c>
      <c r="E121" s="484" t="s">
        <v>740</v>
      </c>
      <c r="F121" s="477" t="s">
        <v>99</v>
      </c>
      <c r="G121" s="235" t="s">
        <v>4</v>
      </c>
      <c r="H121" s="228" t="s">
        <v>816</v>
      </c>
      <c r="I121" s="228" t="s">
        <v>872</v>
      </c>
      <c r="J121" s="229" t="s">
        <v>917</v>
      </c>
      <c r="K121" s="1280" t="s">
        <v>2290</v>
      </c>
      <c r="L121" s="734" t="s">
        <v>6</v>
      </c>
      <c r="M121" s="1305" t="s">
        <v>2289</v>
      </c>
      <c r="N121" s="773"/>
      <c r="O121" s="1295"/>
      <c r="P121" s="225"/>
      <c r="Q121" s="1295" t="s">
        <v>832</v>
      </c>
      <c r="R121" s="234">
        <f>$B$1</f>
        <v>45388</v>
      </c>
      <c r="S121" s="236"/>
      <c r="T121" s="226" t="s">
        <v>2919</v>
      </c>
      <c r="U121" s="230"/>
      <c r="V121" s="230"/>
      <c r="W121" s="231" t="str">
        <f>IFERROR(IF(AND(BD_PRINCIPAL[[#This Row],[DESDE]]&lt;&gt;"",BD_PRINCIPAL[[#This Row],[HASTA]]&lt;&gt;""),_xlfn.DAYS(BD_PRINCIPAL[[#This Row],[HASTA]],BD_PRINCIPAL[[#This Row],[DESDE]]),"")+1,"")</f>
        <v/>
      </c>
      <c r="X121" s="231">
        <f>VLOOKUP(BD_PRINCIPAL[[#This Row],[ENCUADRE. ESC.]],ORDEN1,2,FALSE)</f>
        <v>1</v>
      </c>
      <c r="Y121" s="231">
        <f>VLOOKUP(BD_PRINCIPAL[[#This Row],[DOTACIÓN ACTUAL]],ORDEN2,4,FALSE)</f>
        <v>112</v>
      </c>
      <c r="Z121" s="231">
        <f>VLOOKUP(BD_PRINCIPAL[[#This Row],[GRADO]],ORDEN3,2,FALSE)</f>
        <v>12</v>
      </c>
      <c r="AA121" s="231">
        <f>IFERROR(VLOOKUP(BD_PRINCIPAL[[#This Row],[DOTACIÓN ACTUAL]],ORDEN2,3,FALSE),0)</f>
        <v>0</v>
      </c>
      <c r="AB121" s="225" t="s">
        <v>2125</v>
      </c>
      <c r="AC121" s="225" t="s">
        <v>1</v>
      </c>
      <c r="AD121" s="225" t="s">
        <v>853</v>
      </c>
      <c r="AE121" s="225" t="s">
        <v>2</v>
      </c>
      <c r="AF121" s="225" t="s">
        <v>1</v>
      </c>
      <c r="AG121" s="225" t="s">
        <v>6</v>
      </c>
      <c r="AH121" s="225"/>
      <c r="AI121" s="225"/>
      <c r="AJ121" s="225"/>
      <c r="AK121" s="225"/>
      <c r="AL121" s="225"/>
      <c r="AM121" s="225"/>
      <c r="AN121" s="225"/>
      <c r="AO121" s="225"/>
      <c r="AP121" s="225"/>
      <c r="AQ121" s="225"/>
      <c r="AR121" s="225"/>
      <c r="AS121" s="225"/>
      <c r="AT121" s="232"/>
      <c r="AU121" s="232"/>
      <c r="AV121" s="232"/>
      <c r="AW121" s="232"/>
      <c r="AX121" s="232"/>
      <c r="AY121" s="232"/>
      <c r="AZ121" s="232"/>
      <c r="BA121" s="225"/>
      <c r="BB121" s="225"/>
      <c r="BC121" s="225"/>
      <c r="BD121" s="225"/>
      <c r="BE121" s="225"/>
      <c r="BF121" s="225"/>
      <c r="BG121" s="225"/>
      <c r="BH121" s="225"/>
      <c r="BI121" s="225"/>
      <c r="BJ121" s="225"/>
      <c r="BK121" s="225"/>
      <c r="BL121" s="225"/>
      <c r="BM121" s="773">
        <v>45156</v>
      </c>
      <c r="BN121" s="790"/>
    </row>
    <row r="122" spans="1:66" s="233" customFormat="1" x14ac:dyDescent="0.3">
      <c r="A122" s="231" t="s">
        <v>471</v>
      </c>
      <c r="B122" s="225" t="s">
        <v>1888</v>
      </c>
      <c r="C122" s="231">
        <v>206279702</v>
      </c>
      <c r="D122" s="310" t="s">
        <v>740</v>
      </c>
      <c r="E122" s="484" t="s">
        <v>740</v>
      </c>
      <c r="F122" s="477" t="s">
        <v>1888</v>
      </c>
      <c r="G122" s="227" t="s">
        <v>4</v>
      </c>
      <c r="H122" s="228" t="s">
        <v>817</v>
      </c>
      <c r="I122" s="228" t="s">
        <v>872</v>
      </c>
      <c r="J122" s="229" t="s">
        <v>917</v>
      </c>
      <c r="K122" s="1280" t="s">
        <v>2290</v>
      </c>
      <c r="L122" s="734" t="s">
        <v>6</v>
      </c>
      <c r="M122" s="1305" t="s">
        <v>2289</v>
      </c>
      <c r="N122" s="780"/>
      <c r="O122" s="1295"/>
      <c r="P122" s="225"/>
      <c r="Q122" s="1295" t="s">
        <v>832</v>
      </c>
      <c r="R122" s="234">
        <f>$B$1</f>
        <v>45388</v>
      </c>
      <c r="S122" s="236"/>
      <c r="T122" s="236" t="s">
        <v>2919</v>
      </c>
      <c r="U122" s="237"/>
      <c r="V122" s="237"/>
      <c r="W122" s="231" t="str">
        <f>IFERROR(IF(AND(BD_PRINCIPAL[[#This Row],[DESDE]]&lt;&gt;"",BD_PRINCIPAL[[#This Row],[HASTA]]&lt;&gt;""),_xlfn.DAYS(BD_PRINCIPAL[[#This Row],[HASTA]],BD_PRINCIPAL[[#This Row],[DESDE]]),"")+1,"")</f>
        <v/>
      </c>
      <c r="X122" s="231">
        <f>VLOOKUP(BD_PRINCIPAL[[#This Row],[ENCUADRE. ESC.]],ORDEN1,2,FALSE)</f>
        <v>1</v>
      </c>
      <c r="Y122" s="231">
        <f>VLOOKUP(BD_PRINCIPAL[[#This Row],[DOTACIÓN ACTUAL]],ORDEN2,4,FALSE)</f>
        <v>112</v>
      </c>
      <c r="Z122" s="231">
        <f>VLOOKUP(BD_PRINCIPAL[[#This Row],[GRADO]],ORDEN3,2,FALSE)</f>
        <v>12</v>
      </c>
      <c r="AA122" s="231">
        <f>IFERROR(VLOOKUP(BD_PRINCIPAL[[#This Row],[DOTACIÓN ACTUAL]],ORDEN2,3,FALSE),0)</f>
        <v>0</v>
      </c>
      <c r="AB122" s="225" t="s">
        <v>2125</v>
      </c>
      <c r="AC122" s="225" t="s">
        <v>1</v>
      </c>
      <c r="AD122" s="225" t="s">
        <v>853</v>
      </c>
      <c r="AE122" s="225" t="s">
        <v>2</v>
      </c>
      <c r="AF122" s="225" t="s">
        <v>1</v>
      </c>
      <c r="AG122" s="225" t="s">
        <v>6</v>
      </c>
      <c r="AH122" s="225"/>
      <c r="AI122" s="225"/>
      <c r="AJ122" s="225"/>
      <c r="AK122" s="225"/>
      <c r="AL122" s="225"/>
      <c r="AM122" s="225"/>
      <c r="AN122" s="225"/>
      <c r="AO122" s="225"/>
      <c r="AP122" s="225"/>
      <c r="AQ122" s="225"/>
      <c r="AR122" s="225"/>
      <c r="AS122" s="225"/>
      <c r="AT122" s="232"/>
      <c r="AU122" s="232"/>
      <c r="AV122" s="232"/>
      <c r="AW122" s="232"/>
      <c r="AX122" s="232"/>
      <c r="AY122" s="232"/>
      <c r="AZ122" s="232"/>
      <c r="BA122" s="225"/>
      <c r="BB122" s="225"/>
      <c r="BC122" s="225"/>
      <c r="BD122" s="225"/>
      <c r="BE122" s="225"/>
      <c r="BF122" s="225"/>
      <c r="BG122" s="225"/>
      <c r="BH122" s="225"/>
      <c r="BI122" s="225"/>
      <c r="BJ122" s="225"/>
      <c r="BK122" s="225"/>
      <c r="BL122" s="225"/>
      <c r="BM122" s="780">
        <v>45063</v>
      </c>
      <c r="BN122" s="790"/>
    </row>
    <row r="123" spans="1:66" s="1053" customFormat="1" x14ac:dyDescent="0.3">
      <c r="A123" s="231" t="s">
        <v>433</v>
      </c>
      <c r="B123" s="225" t="s">
        <v>190</v>
      </c>
      <c r="C123" s="231">
        <v>203846444</v>
      </c>
      <c r="D123" s="1052" t="s">
        <v>740</v>
      </c>
      <c r="E123" s="1051" t="s">
        <v>740</v>
      </c>
      <c r="F123" s="477" t="s">
        <v>190</v>
      </c>
      <c r="G123" s="227" t="s">
        <v>4</v>
      </c>
      <c r="H123" s="228" t="s">
        <v>816</v>
      </c>
      <c r="I123" s="228" t="s">
        <v>872</v>
      </c>
      <c r="J123" s="229" t="s">
        <v>917</v>
      </c>
      <c r="K123" s="1280" t="s">
        <v>2290</v>
      </c>
      <c r="L123" s="734" t="s">
        <v>6</v>
      </c>
      <c r="M123" s="1305" t="s">
        <v>2289</v>
      </c>
      <c r="N123" s="773"/>
      <c r="O123" s="1295"/>
      <c r="P123" s="225"/>
      <c r="Q123" s="1295" t="s">
        <v>832</v>
      </c>
      <c r="R123" s="234">
        <f>$B$1</f>
        <v>45388</v>
      </c>
      <c r="S123" s="236"/>
      <c r="T123" s="236"/>
      <c r="U123" s="230"/>
      <c r="V123" s="230"/>
      <c r="W123" s="231" t="str">
        <f>IFERROR(IF(AND(BD_PRINCIPAL[[#This Row],[DESDE]]&lt;&gt;"",BD_PRINCIPAL[[#This Row],[HASTA]]&lt;&gt;""),_xlfn.DAYS(BD_PRINCIPAL[[#This Row],[HASTA]],BD_PRINCIPAL[[#This Row],[DESDE]]),"")+1,"")</f>
        <v/>
      </c>
      <c r="X123" s="231">
        <f>VLOOKUP(BD_PRINCIPAL[[#This Row],[ENCUADRE. ESC.]],ORDEN1,2,FALSE)</f>
        <v>1</v>
      </c>
      <c r="Y123" s="231">
        <f>VLOOKUP(BD_PRINCIPAL[[#This Row],[DOTACIÓN ACTUAL]],ORDEN2,4,FALSE)</f>
        <v>112</v>
      </c>
      <c r="Z123" s="231">
        <f>VLOOKUP(BD_PRINCIPAL[[#This Row],[GRADO]],ORDEN3,2,FALSE)</f>
        <v>12</v>
      </c>
      <c r="AA123" s="231">
        <f>IFERROR(VLOOKUP(BD_PRINCIPAL[[#This Row],[DOTACIÓN ACTUAL]],ORDEN2,3,FALSE),0)</f>
        <v>0</v>
      </c>
      <c r="AB123" s="225" t="s">
        <v>2125</v>
      </c>
      <c r="AC123" s="225" t="s">
        <v>1</v>
      </c>
      <c r="AD123" s="225" t="s">
        <v>1</v>
      </c>
      <c r="AE123" s="225" t="s">
        <v>2</v>
      </c>
      <c r="AF123" s="225" t="s">
        <v>1</v>
      </c>
      <c r="AG123" s="225" t="s">
        <v>6</v>
      </c>
      <c r="AH123" s="225"/>
      <c r="AI123" s="225"/>
      <c r="AJ123" s="225"/>
      <c r="AK123" s="225"/>
      <c r="AL123" s="225"/>
      <c r="AM123" s="225"/>
      <c r="AN123" s="225"/>
      <c r="AO123" s="225"/>
      <c r="AP123" s="225"/>
      <c r="AQ123" s="225"/>
      <c r="AR123" s="225"/>
      <c r="AS123" s="225"/>
      <c r="AT123" s="232"/>
      <c r="AU123" s="232"/>
      <c r="AV123" s="232"/>
      <c r="AW123" s="232"/>
      <c r="AX123" s="232"/>
      <c r="AY123" s="232"/>
      <c r="AZ123" s="232"/>
      <c r="BA123" s="225"/>
      <c r="BB123" s="225"/>
      <c r="BC123" s="225"/>
      <c r="BD123" s="225"/>
      <c r="BE123" s="225"/>
      <c r="BF123" s="225"/>
      <c r="BG123" s="225"/>
      <c r="BH123" s="225"/>
      <c r="BI123" s="225"/>
      <c r="BJ123" s="225"/>
      <c r="BK123" s="225"/>
      <c r="BL123" s="225"/>
      <c r="BM123" s="773">
        <v>45376</v>
      </c>
      <c r="BN123" s="790"/>
    </row>
    <row r="124" spans="1:66" s="260" customFormat="1" ht="13.2" customHeight="1" x14ac:dyDescent="0.3">
      <c r="A124" s="258" t="s">
        <v>351</v>
      </c>
      <c r="B124" s="251" t="s">
        <v>1561</v>
      </c>
      <c r="C124" s="258">
        <v>140860530</v>
      </c>
      <c r="D124" s="715" t="s">
        <v>702</v>
      </c>
      <c r="E124" s="487" t="s">
        <v>734</v>
      </c>
      <c r="F124" s="481" t="s">
        <v>2530</v>
      </c>
      <c r="G124" s="261" t="s">
        <v>209</v>
      </c>
      <c r="H124" s="254" t="s">
        <v>816</v>
      </c>
      <c r="I124" s="254" t="s">
        <v>872</v>
      </c>
      <c r="J124" s="255" t="s">
        <v>917</v>
      </c>
      <c r="K124" s="1282" t="s">
        <v>2460</v>
      </c>
      <c r="L124" s="737" t="s">
        <v>854</v>
      </c>
      <c r="M124" s="1307" t="s">
        <v>3592</v>
      </c>
      <c r="N124" s="781"/>
      <c r="O124" s="1297"/>
      <c r="P124" s="251"/>
      <c r="Q124" s="1297" t="s">
        <v>832</v>
      </c>
      <c r="R124" s="256">
        <f>$B$1</f>
        <v>45388</v>
      </c>
      <c r="S124" s="262"/>
      <c r="T124" s="262"/>
      <c r="U124" s="257"/>
      <c r="V124" s="257"/>
      <c r="W124" s="258" t="str">
        <f>IFERROR(IF(AND(BD_PRINCIPAL[[#This Row],[DESDE]]&lt;&gt;"",BD_PRINCIPAL[[#This Row],[HASTA]]&lt;&gt;""),_xlfn.DAYS(BD_PRINCIPAL[[#This Row],[HASTA]],BD_PRINCIPAL[[#This Row],[DESDE]]),"")+1,"")</f>
        <v/>
      </c>
      <c r="X124" s="258">
        <f>VLOOKUP(BD_PRINCIPAL[[#This Row],[ENCUADRE. ESC.]],ORDEN1,2,FALSE)</f>
        <v>1</v>
      </c>
      <c r="Y124" s="258">
        <f>VLOOKUP(BD_PRINCIPAL[[#This Row],[DOTACIÓN ACTUAL]],ORDEN2,4,FALSE)</f>
        <v>115</v>
      </c>
      <c r="Z124" s="258">
        <f>VLOOKUP(BD_PRINCIPAL[[#This Row],[GRADO]],ORDEN3,2,FALSE)</f>
        <v>10</v>
      </c>
      <c r="AA124" s="258">
        <f>IFERROR(VLOOKUP(BD_PRINCIPAL[[#This Row],[DOTACIÓN ACTUAL]],ORDEN2,3,FALSE),0)</f>
        <v>0</v>
      </c>
      <c r="AB124" s="251" t="s">
        <v>2125</v>
      </c>
      <c r="AC124" s="251" t="s">
        <v>1</v>
      </c>
      <c r="AD124" s="251" t="s">
        <v>1</v>
      </c>
      <c r="AE124" s="251" t="s">
        <v>2</v>
      </c>
      <c r="AF124" s="251" t="s">
        <v>1</v>
      </c>
      <c r="AG124" s="251" t="s">
        <v>854</v>
      </c>
      <c r="AH124" s="251"/>
      <c r="AI124" s="251"/>
      <c r="AJ124" s="251"/>
      <c r="AK124" s="251"/>
      <c r="AL124" s="251"/>
      <c r="AM124" s="251"/>
      <c r="AN124" s="251"/>
      <c r="AO124" s="251"/>
      <c r="AP124" s="251"/>
      <c r="AQ124" s="251"/>
      <c r="AR124" s="251"/>
      <c r="AS124" s="251"/>
      <c r="AT124" s="259"/>
      <c r="AU124" s="259"/>
      <c r="AV124" s="259"/>
      <c r="AW124" s="259"/>
      <c r="AX124" s="259"/>
      <c r="AY124" s="259"/>
      <c r="AZ124" s="259"/>
      <c r="BA124" s="251"/>
      <c r="BB124" s="251"/>
      <c r="BC124" s="251"/>
      <c r="BD124" s="251"/>
      <c r="BE124" s="251"/>
      <c r="BF124" s="251"/>
      <c r="BG124" s="251"/>
      <c r="BH124" s="251"/>
      <c r="BI124" s="251"/>
      <c r="BJ124" s="251"/>
      <c r="BK124" s="251"/>
      <c r="BL124" s="251"/>
      <c r="BM124" s="781">
        <v>45244</v>
      </c>
      <c r="BN124" s="791"/>
    </row>
    <row r="125" spans="1:66" s="1055" customFormat="1" x14ac:dyDescent="0.3">
      <c r="A125" s="258" t="s">
        <v>428</v>
      </c>
      <c r="B125" s="251" t="s">
        <v>1598</v>
      </c>
      <c r="C125" s="258">
        <v>153342288</v>
      </c>
      <c r="D125" s="1325" t="s">
        <v>702</v>
      </c>
      <c r="E125" s="1324" t="s">
        <v>702</v>
      </c>
      <c r="F125" s="481" t="s">
        <v>1598</v>
      </c>
      <c r="G125" s="261" t="s">
        <v>89</v>
      </c>
      <c r="H125" s="254" t="s">
        <v>816</v>
      </c>
      <c r="I125" s="254" t="s">
        <v>872</v>
      </c>
      <c r="J125" s="255" t="s">
        <v>917</v>
      </c>
      <c r="K125" s="1282" t="s">
        <v>2290</v>
      </c>
      <c r="L125" s="737" t="s">
        <v>854</v>
      </c>
      <c r="M125" s="1307" t="s">
        <v>3592</v>
      </c>
      <c r="N125" s="781"/>
      <c r="O125" s="1297"/>
      <c r="P125" s="251"/>
      <c r="Q125" s="1297" t="s">
        <v>832</v>
      </c>
      <c r="R125" s="256">
        <f>$B$1</f>
        <v>45388</v>
      </c>
      <c r="S125" s="262"/>
      <c r="T125" s="252" t="s">
        <v>2919</v>
      </c>
      <c r="U125" s="257"/>
      <c r="V125" s="257"/>
      <c r="W125" s="258" t="str">
        <f>IFERROR(IF(AND(BD_PRINCIPAL[[#This Row],[DESDE]]&lt;&gt;"",BD_PRINCIPAL[[#This Row],[HASTA]]&lt;&gt;""),_xlfn.DAYS(BD_PRINCIPAL[[#This Row],[HASTA]],BD_PRINCIPAL[[#This Row],[DESDE]]),"")+1,"")</f>
        <v/>
      </c>
      <c r="X125" s="258">
        <f>VLOOKUP(BD_PRINCIPAL[[#This Row],[ENCUADRE. ESC.]],ORDEN1,2,FALSE)</f>
        <v>1</v>
      </c>
      <c r="Y125" s="258">
        <f>VLOOKUP(BD_PRINCIPAL[[#This Row],[DOTACIÓN ACTUAL]],ORDEN2,4,FALSE)</f>
        <v>116</v>
      </c>
      <c r="Z125" s="258">
        <f>VLOOKUP(BD_PRINCIPAL[[#This Row],[GRADO]],ORDEN3,2,FALSE)</f>
        <v>9</v>
      </c>
      <c r="AA125" s="258">
        <f>IFERROR(VLOOKUP(BD_PRINCIPAL[[#This Row],[DOTACIÓN ACTUAL]],ORDEN2,3,FALSE),0)</f>
        <v>0</v>
      </c>
      <c r="AB125" s="251" t="s">
        <v>909</v>
      </c>
      <c r="AC125" s="251" t="s">
        <v>909</v>
      </c>
      <c r="AD125" s="251" t="s">
        <v>909</v>
      </c>
      <c r="AE125" s="251" t="s">
        <v>909</v>
      </c>
      <c r="AF125" s="251" t="s">
        <v>909</v>
      </c>
      <c r="AG125" s="251" t="s">
        <v>854</v>
      </c>
      <c r="AH125" s="251"/>
      <c r="AI125" s="251"/>
      <c r="AJ125" s="251"/>
      <c r="AK125" s="251"/>
      <c r="AL125" s="251"/>
      <c r="AM125" s="251"/>
      <c r="AN125" s="251"/>
      <c r="AO125" s="251"/>
      <c r="AP125" s="251"/>
      <c r="AQ125" s="251"/>
      <c r="AR125" s="251"/>
      <c r="AS125" s="251"/>
      <c r="AT125" s="259"/>
      <c r="AU125" s="259"/>
      <c r="AV125" s="259"/>
      <c r="AW125" s="259"/>
      <c r="AX125" s="259"/>
      <c r="AY125" s="259"/>
      <c r="AZ125" s="259"/>
      <c r="BA125" s="251"/>
      <c r="BB125" s="251"/>
      <c r="BC125" s="251"/>
      <c r="BD125" s="251"/>
      <c r="BE125" s="251"/>
      <c r="BF125" s="251"/>
      <c r="BG125" s="251"/>
      <c r="BH125" s="251"/>
      <c r="BI125" s="251"/>
      <c r="BJ125" s="251"/>
      <c r="BK125" s="251"/>
      <c r="BL125" s="251"/>
      <c r="BM125" s="781">
        <v>45054</v>
      </c>
      <c r="BN125" s="791"/>
    </row>
    <row r="126" spans="1:66" s="260" customFormat="1" x14ac:dyDescent="0.3">
      <c r="A126" s="258" t="s">
        <v>649</v>
      </c>
      <c r="B126" s="251" t="s">
        <v>650</v>
      </c>
      <c r="C126" s="258">
        <v>164733440</v>
      </c>
      <c r="D126" s="487" t="s">
        <v>702</v>
      </c>
      <c r="E126" s="487" t="s">
        <v>702</v>
      </c>
      <c r="F126" s="481" t="s">
        <v>650</v>
      </c>
      <c r="G126" s="253" t="s">
        <v>3</v>
      </c>
      <c r="H126" s="254" t="s">
        <v>816</v>
      </c>
      <c r="I126" s="254" t="s">
        <v>872</v>
      </c>
      <c r="J126" s="255" t="s">
        <v>917</v>
      </c>
      <c r="K126" s="1282" t="s">
        <v>2290</v>
      </c>
      <c r="L126" s="737" t="s">
        <v>854</v>
      </c>
      <c r="M126" s="1307" t="s">
        <v>3592</v>
      </c>
      <c r="N126" s="781"/>
      <c r="O126" s="1297"/>
      <c r="P126" s="251"/>
      <c r="Q126" s="1297" t="s">
        <v>832</v>
      </c>
      <c r="R126" s="256">
        <f>$B$1</f>
        <v>45388</v>
      </c>
      <c r="S126" s="252"/>
      <c r="T126" s="252"/>
      <c r="U126" s="257"/>
      <c r="V126" s="257"/>
      <c r="W126" s="258" t="str">
        <f>IFERROR(IF(AND(BD_PRINCIPAL[[#This Row],[DESDE]]&lt;&gt;"",BD_PRINCIPAL[[#This Row],[HASTA]]&lt;&gt;""),_xlfn.DAYS(BD_PRINCIPAL[[#This Row],[HASTA]],BD_PRINCIPAL[[#This Row],[DESDE]]),"")+1,"")</f>
        <v/>
      </c>
      <c r="X126" s="258">
        <f>VLOOKUP(BD_PRINCIPAL[[#This Row],[ENCUADRE. ESC.]],ORDEN1,2,FALSE)</f>
        <v>1</v>
      </c>
      <c r="Y126" s="258">
        <f>VLOOKUP(BD_PRINCIPAL[[#This Row],[DOTACIÓN ACTUAL]],ORDEN2,4,FALSE)</f>
        <v>116</v>
      </c>
      <c r="Z126" s="258">
        <f>VLOOKUP(BD_PRINCIPAL[[#This Row],[GRADO]],ORDEN3,2,FALSE)</f>
        <v>11</v>
      </c>
      <c r="AA126" s="258">
        <f>IFERROR(VLOOKUP(BD_PRINCIPAL[[#This Row],[DOTACIÓN ACTUAL]],ORDEN2,3,FALSE),0)</f>
        <v>0</v>
      </c>
      <c r="AB126" s="251" t="s">
        <v>2125</v>
      </c>
      <c r="AC126" s="251" t="s">
        <v>1</v>
      </c>
      <c r="AD126" s="251" t="s">
        <v>1</v>
      </c>
      <c r="AE126" s="251" t="s">
        <v>2</v>
      </c>
      <c r="AF126" s="251" t="s">
        <v>1</v>
      </c>
      <c r="AG126" s="251" t="s">
        <v>854</v>
      </c>
      <c r="AH126" s="251"/>
      <c r="AI126" s="251"/>
      <c r="AJ126" s="251"/>
      <c r="AK126" s="251"/>
      <c r="AL126" s="251"/>
      <c r="AM126" s="251"/>
      <c r="AN126" s="251"/>
      <c r="AO126" s="251"/>
      <c r="AP126" s="251"/>
      <c r="AQ126" s="251"/>
      <c r="AR126" s="251"/>
      <c r="AS126" s="251"/>
      <c r="AT126" s="259"/>
      <c r="AU126" s="259"/>
      <c r="AV126" s="259"/>
      <c r="AW126" s="259"/>
      <c r="AX126" s="259"/>
      <c r="AY126" s="259"/>
      <c r="AZ126" s="259"/>
      <c r="BA126" s="251"/>
      <c r="BB126" s="251"/>
      <c r="BC126" s="251"/>
      <c r="BD126" s="251"/>
      <c r="BE126" s="251"/>
      <c r="BF126" s="251"/>
      <c r="BG126" s="251"/>
      <c r="BH126" s="251"/>
      <c r="BI126" s="251"/>
      <c r="BJ126" s="251"/>
      <c r="BK126" s="251"/>
      <c r="BL126" s="251"/>
      <c r="BM126" s="781">
        <v>45085</v>
      </c>
      <c r="BN126" s="791"/>
    </row>
    <row r="127" spans="1:66" s="260" customFormat="1" x14ac:dyDescent="0.3">
      <c r="A127" s="258" t="s">
        <v>456</v>
      </c>
      <c r="B127" s="251" t="s">
        <v>134</v>
      </c>
      <c r="C127" s="258">
        <v>190369900</v>
      </c>
      <c r="D127" s="312" t="s">
        <v>702</v>
      </c>
      <c r="E127" s="487" t="s">
        <v>702</v>
      </c>
      <c r="F127" s="481" t="s">
        <v>2809</v>
      </c>
      <c r="G127" s="253" t="s">
        <v>4</v>
      </c>
      <c r="H127" s="254" t="s">
        <v>816</v>
      </c>
      <c r="I127" s="254" t="s">
        <v>872</v>
      </c>
      <c r="J127" s="255" t="s">
        <v>917</v>
      </c>
      <c r="K127" s="1282" t="s">
        <v>2305</v>
      </c>
      <c r="L127" s="737" t="s">
        <v>854</v>
      </c>
      <c r="M127" s="1307" t="s">
        <v>3592</v>
      </c>
      <c r="N127" s="781"/>
      <c r="O127" s="1297"/>
      <c r="P127" s="251"/>
      <c r="Q127" s="1297" t="s">
        <v>832</v>
      </c>
      <c r="R127" s="256">
        <f>$B$1</f>
        <v>45388</v>
      </c>
      <c r="S127" s="252"/>
      <c r="T127" s="262"/>
      <c r="U127" s="819"/>
      <c r="V127" s="819"/>
      <c r="W127" s="258" t="str">
        <f>IFERROR(IF(AND(BD_PRINCIPAL[[#This Row],[DESDE]]&lt;&gt;"",BD_PRINCIPAL[[#This Row],[HASTA]]&lt;&gt;""),_xlfn.DAYS(BD_PRINCIPAL[[#This Row],[HASTA]],BD_PRINCIPAL[[#This Row],[DESDE]]),"")+1,"")</f>
        <v/>
      </c>
      <c r="X127" s="258">
        <f>VLOOKUP(BD_PRINCIPAL[[#This Row],[ENCUADRE. ESC.]],ORDEN1,2,FALSE)</f>
        <v>1</v>
      </c>
      <c r="Y127" s="258">
        <f>VLOOKUP(BD_PRINCIPAL[[#This Row],[DOTACIÓN ACTUAL]],ORDEN2,4,FALSE)</f>
        <v>116</v>
      </c>
      <c r="Z127" s="258">
        <f>VLOOKUP(BD_PRINCIPAL[[#This Row],[GRADO]],ORDEN3,2,FALSE)</f>
        <v>12</v>
      </c>
      <c r="AA127" s="258">
        <f>IFERROR(VLOOKUP(BD_PRINCIPAL[[#This Row],[DOTACIÓN ACTUAL]],ORDEN2,3,FALSE),0)</f>
        <v>0</v>
      </c>
      <c r="AB127" s="251" t="s">
        <v>2125</v>
      </c>
      <c r="AC127" s="251" t="s">
        <v>1</v>
      </c>
      <c r="AD127" s="251" t="s">
        <v>1</v>
      </c>
      <c r="AE127" s="251" t="s">
        <v>2</v>
      </c>
      <c r="AF127" s="251" t="s">
        <v>1</v>
      </c>
      <c r="AG127" s="251" t="s">
        <v>854</v>
      </c>
      <c r="AH127" s="251"/>
      <c r="AI127" s="251"/>
      <c r="AJ127" s="251"/>
      <c r="AK127" s="251"/>
      <c r="AL127" s="251"/>
      <c r="AM127" s="251"/>
      <c r="AN127" s="251"/>
      <c r="AO127" s="251"/>
      <c r="AP127" s="251"/>
      <c r="AQ127" s="251"/>
      <c r="AR127" s="251"/>
      <c r="AS127" s="251"/>
      <c r="AT127" s="259"/>
      <c r="AU127" s="259"/>
      <c r="AV127" s="259"/>
      <c r="AW127" s="259"/>
      <c r="AX127" s="259"/>
      <c r="AY127" s="259"/>
      <c r="AZ127" s="259"/>
      <c r="BA127" s="251"/>
      <c r="BB127" s="251"/>
      <c r="BC127" s="251"/>
      <c r="BD127" s="251"/>
      <c r="BE127" s="251"/>
      <c r="BF127" s="251"/>
      <c r="BG127" s="251"/>
      <c r="BH127" s="251"/>
      <c r="BI127" s="251"/>
      <c r="BJ127" s="251"/>
      <c r="BK127" s="251"/>
      <c r="BL127" s="251"/>
      <c r="BM127" s="781">
        <v>45384</v>
      </c>
      <c r="BN127" s="791"/>
    </row>
    <row r="128" spans="1:66" s="260" customFormat="1" x14ac:dyDescent="0.3">
      <c r="A128" s="258" t="s">
        <v>386</v>
      </c>
      <c r="B128" s="251" t="s">
        <v>173</v>
      </c>
      <c r="C128" s="258">
        <v>193462626</v>
      </c>
      <c r="D128" s="312" t="s">
        <v>702</v>
      </c>
      <c r="E128" s="487" t="s">
        <v>702</v>
      </c>
      <c r="F128" s="481" t="s">
        <v>173</v>
      </c>
      <c r="G128" s="253" t="s">
        <v>4</v>
      </c>
      <c r="H128" s="254" t="s">
        <v>817</v>
      </c>
      <c r="I128" s="254" t="s">
        <v>872</v>
      </c>
      <c r="J128" s="255" t="s">
        <v>917</v>
      </c>
      <c r="K128" s="1282" t="s">
        <v>2290</v>
      </c>
      <c r="L128" s="737" t="s">
        <v>854</v>
      </c>
      <c r="M128" s="1307" t="s">
        <v>3592</v>
      </c>
      <c r="N128" s="781"/>
      <c r="O128" s="1297"/>
      <c r="P128" s="251"/>
      <c r="Q128" s="1297" t="s">
        <v>832</v>
      </c>
      <c r="R128" s="256">
        <f>$B$1</f>
        <v>45388</v>
      </c>
      <c r="S128" s="252"/>
      <c r="T128" s="252"/>
      <c r="U128" s="257"/>
      <c r="V128" s="257"/>
      <c r="W128" s="258" t="str">
        <f>IFERROR(IF(AND(BD_PRINCIPAL[[#This Row],[DESDE]]&lt;&gt;"",BD_PRINCIPAL[[#This Row],[HASTA]]&lt;&gt;""),_xlfn.DAYS(BD_PRINCIPAL[[#This Row],[HASTA]],BD_PRINCIPAL[[#This Row],[DESDE]]),"")+1,"")</f>
        <v/>
      </c>
      <c r="X128" s="258">
        <f>VLOOKUP(BD_PRINCIPAL[[#This Row],[ENCUADRE. ESC.]],ORDEN1,2,FALSE)</f>
        <v>1</v>
      </c>
      <c r="Y128" s="258">
        <f>VLOOKUP(BD_PRINCIPAL[[#This Row],[DOTACIÓN ACTUAL]],ORDEN2,4,FALSE)</f>
        <v>116</v>
      </c>
      <c r="Z128" s="258">
        <f>VLOOKUP(BD_PRINCIPAL[[#This Row],[GRADO]],ORDEN3,2,FALSE)</f>
        <v>12</v>
      </c>
      <c r="AA128" s="258">
        <f>IFERROR(VLOOKUP(BD_PRINCIPAL[[#This Row],[DOTACIÓN ACTUAL]],ORDEN2,3,FALSE),0)</f>
        <v>0</v>
      </c>
      <c r="AB128" s="251" t="s">
        <v>2125</v>
      </c>
      <c r="AC128" s="251" t="s">
        <v>1</v>
      </c>
      <c r="AD128" s="251" t="s">
        <v>1</v>
      </c>
      <c r="AE128" s="251" t="s">
        <v>2</v>
      </c>
      <c r="AF128" s="251" t="s">
        <v>1</v>
      </c>
      <c r="AG128" s="251" t="s">
        <v>854</v>
      </c>
      <c r="AH128" s="251"/>
      <c r="AI128" s="251"/>
      <c r="AJ128" s="251"/>
      <c r="AK128" s="251"/>
      <c r="AL128" s="251"/>
      <c r="AM128" s="251"/>
      <c r="AN128" s="251"/>
      <c r="AO128" s="251"/>
      <c r="AP128" s="251"/>
      <c r="AQ128" s="251"/>
      <c r="AR128" s="251"/>
      <c r="AS128" s="251"/>
      <c r="AT128" s="259"/>
      <c r="AU128" s="259"/>
      <c r="AV128" s="259"/>
      <c r="AW128" s="259"/>
      <c r="AX128" s="259"/>
      <c r="AY128" s="259"/>
      <c r="AZ128" s="259"/>
      <c r="BA128" s="251"/>
      <c r="BB128" s="251"/>
      <c r="BC128" s="251"/>
      <c r="BD128" s="251"/>
      <c r="BE128" s="251"/>
      <c r="BF128" s="251"/>
      <c r="BG128" s="251"/>
      <c r="BH128" s="251"/>
      <c r="BI128" s="251"/>
      <c r="BJ128" s="251"/>
      <c r="BK128" s="251"/>
      <c r="BL128" s="251"/>
      <c r="BM128" s="781">
        <v>45050</v>
      </c>
      <c r="BN128" s="791"/>
    </row>
    <row r="129" spans="1:66" s="221" customFormat="1" x14ac:dyDescent="0.3">
      <c r="A129" s="219" t="s">
        <v>299</v>
      </c>
      <c r="B129" s="212" t="s">
        <v>19</v>
      </c>
      <c r="C129" s="219">
        <v>133505385</v>
      </c>
      <c r="D129" s="480" t="s">
        <v>743</v>
      </c>
      <c r="E129" s="480" t="s">
        <v>743</v>
      </c>
      <c r="F129" s="480" t="s">
        <v>19</v>
      </c>
      <c r="G129" s="214" t="s">
        <v>17</v>
      </c>
      <c r="H129" s="215" t="s">
        <v>816</v>
      </c>
      <c r="I129" s="215" t="s">
        <v>872</v>
      </c>
      <c r="J129" s="216" t="s">
        <v>917</v>
      </c>
      <c r="K129" s="1279" t="s">
        <v>2290</v>
      </c>
      <c r="L129" s="733" t="s">
        <v>6</v>
      </c>
      <c r="M129" s="1304" t="s">
        <v>2289</v>
      </c>
      <c r="N129" s="771"/>
      <c r="O129" s="1294"/>
      <c r="P129" s="212"/>
      <c r="Q129" s="1294" t="s">
        <v>832</v>
      </c>
      <c r="R129" s="217">
        <f>$B$1</f>
        <v>45388</v>
      </c>
      <c r="S129" s="213"/>
      <c r="T129" s="213"/>
      <c r="U129" s="218"/>
      <c r="V129" s="218"/>
      <c r="W129" s="219" t="str">
        <f>IFERROR(IF(AND(BD_PRINCIPAL[[#This Row],[DESDE]]&lt;&gt;"",BD_PRINCIPAL[[#This Row],[HASTA]]&lt;&gt;""),_xlfn.DAYS(BD_PRINCIPAL[[#This Row],[HASTA]],BD_PRINCIPAL[[#This Row],[DESDE]]),"")+1,"")</f>
        <v/>
      </c>
      <c r="X129" s="219">
        <f>VLOOKUP(BD_PRINCIPAL[[#This Row],[ENCUADRE. ESC.]],ORDEN1,2,FALSE)</f>
        <v>1</v>
      </c>
      <c r="Y129" s="219">
        <f>VLOOKUP(BD_PRINCIPAL[[#This Row],[DOTACIÓN ACTUAL]],ORDEN2,4,FALSE)</f>
        <v>119</v>
      </c>
      <c r="Z129" s="219">
        <f>VLOOKUP(BD_PRINCIPAL[[#This Row],[GRADO]],ORDEN3,2,FALSE)</f>
        <v>8</v>
      </c>
      <c r="AA129" s="219">
        <f>IFERROR(VLOOKUP(BD_PRINCIPAL[[#This Row],[DOTACIÓN ACTUAL]],ORDEN2,3,FALSE),0)</f>
        <v>0</v>
      </c>
      <c r="AB129" s="212" t="s">
        <v>2125</v>
      </c>
      <c r="AC129" s="212" t="s">
        <v>1</v>
      </c>
      <c r="AD129" s="212" t="s">
        <v>853</v>
      </c>
      <c r="AE129" s="212" t="s">
        <v>2</v>
      </c>
      <c r="AF129" s="212" t="s">
        <v>1</v>
      </c>
      <c r="AG129" s="212" t="s">
        <v>6</v>
      </c>
      <c r="AH129" s="212"/>
      <c r="AI129" s="212"/>
      <c r="AJ129" s="212"/>
      <c r="AK129" s="212"/>
      <c r="AL129" s="212"/>
      <c r="AM129" s="212"/>
      <c r="AN129" s="212"/>
      <c r="AO129" s="212"/>
      <c r="AP129" s="212"/>
      <c r="AQ129" s="212"/>
      <c r="AR129" s="212"/>
      <c r="AS129" s="212"/>
      <c r="AT129" s="220"/>
      <c r="AU129" s="220"/>
      <c r="AV129" s="220"/>
      <c r="AW129" s="220"/>
      <c r="AX129" s="220"/>
      <c r="AY129" s="220"/>
      <c r="AZ129" s="220"/>
      <c r="BA129" s="212"/>
      <c r="BB129" s="212"/>
      <c r="BC129" s="212"/>
      <c r="BD129" s="212"/>
      <c r="BE129" s="212"/>
      <c r="BF129" s="212"/>
      <c r="BG129" s="212"/>
      <c r="BH129" s="212"/>
      <c r="BI129" s="212"/>
      <c r="BJ129" s="212"/>
      <c r="BK129" s="212"/>
      <c r="BL129" s="212"/>
      <c r="BM129" s="771">
        <v>45111</v>
      </c>
      <c r="BN129" s="789"/>
    </row>
    <row r="130" spans="1:66" s="221" customFormat="1" ht="13.2" customHeight="1" x14ac:dyDescent="0.3">
      <c r="A130" s="219" t="s">
        <v>288</v>
      </c>
      <c r="B130" s="212" t="s">
        <v>35</v>
      </c>
      <c r="C130" s="219">
        <v>135799432</v>
      </c>
      <c r="D130" s="308" t="s">
        <v>742</v>
      </c>
      <c r="E130" s="480" t="s">
        <v>742</v>
      </c>
      <c r="F130" s="480" t="s">
        <v>35</v>
      </c>
      <c r="G130" s="214" t="s">
        <v>89</v>
      </c>
      <c r="H130" s="215" t="s">
        <v>816</v>
      </c>
      <c r="I130" s="215" t="s">
        <v>872</v>
      </c>
      <c r="J130" s="216" t="s">
        <v>917</v>
      </c>
      <c r="K130" s="1279" t="s">
        <v>2290</v>
      </c>
      <c r="L130" s="733" t="s">
        <v>6</v>
      </c>
      <c r="M130" s="1304" t="s">
        <v>2289</v>
      </c>
      <c r="N130" s="772"/>
      <c r="O130" s="1294"/>
      <c r="P130" s="212"/>
      <c r="Q130" s="1294" t="s">
        <v>832</v>
      </c>
      <c r="R130" s="217">
        <f>$B$1</f>
        <v>45388</v>
      </c>
      <c r="S130" s="223"/>
      <c r="T130" s="213" t="s">
        <v>2919</v>
      </c>
      <c r="U130" s="218"/>
      <c r="V130" s="218"/>
      <c r="W130" s="219" t="str">
        <f>IFERROR(IF(AND(BD_PRINCIPAL[[#This Row],[DESDE]]&lt;&gt;"",BD_PRINCIPAL[[#This Row],[HASTA]]&lt;&gt;""),_xlfn.DAYS(BD_PRINCIPAL[[#This Row],[HASTA]],BD_PRINCIPAL[[#This Row],[DESDE]]),"")+1,"")</f>
        <v/>
      </c>
      <c r="X130" s="219">
        <f>VLOOKUP(BD_PRINCIPAL[[#This Row],[ENCUADRE. ESC.]],ORDEN1,2,FALSE)</f>
        <v>1</v>
      </c>
      <c r="Y130" s="219">
        <f>VLOOKUP(BD_PRINCIPAL[[#This Row],[DOTACIÓN ACTUAL]],ORDEN2,4,FALSE)</f>
        <v>120</v>
      </c>
      <c r="Z130" s="219">
        <f>VLOOKUP(BD_PRINCIPAL[[#This Row],[GRADO]],ORDEN3,2,FALSE)</f>
        <v>9</v>
      </c>
      <c r="AA130" s="219">
        <f>IFERROR(VLOOKUP(BD_PRINCIPAL[[#This Row],[DOTACIÓN ACTUAL]],ORDEN2,3,FALSE),0)</f>
        <v>0</v>
      </c>
      <c r="AB130" s="212" t="s">
        <v>2125</v>
      </c>
      <c r="AC130" s="212" t="s">
        <v>1</v>
      </c>
      <c r="AD130" s="212" t="s">
        <v>853</v>
      </c>
      <c r="AE130" s="212" t="s">
        <v>2</v>
      </c>
      <c r="AF130" s="212" t="s">
        <v>1</v>
      </c>
      <c r="AG130" s="212" t="s">
        <v>6</v>
      </c>
      <c r="AH130" s="212"/>
      <c r="AI130" s="212"/>
      <c r="AJ130" s="212"/>
      <c r="AK130" s="212"/>
      <c r="AL130" s="212"/>
      <c r="AM130" s="212"/>
      <c r="AN130" s="212"/>
      <c r="AO130" s="212"/>
      <c r="AP130" s="212"/>
      <c r="AQ130" s="212"/>
      <c r="AR130" s="212"/>
      <c r="AS130" s="212"/>
      <c r="AT130" s="220"/>
      <c r="AU130" s="220"/>
      <c r="AV130" s="220"/>
      <c r="AW130" s="220"/>
      <c r="AX130" s="220"/>
      <c r="AY130" s="220"/>
      <c r="AZ130" s="220"/>
      <c r="BA130" s="212"/>
      <c r="BB130" s="212"/>
      <c r="BC130" s="212"/>
      <c r="BD130" s="212"/>
      <c r="BE130" s="212"/>
      <c r="BF130" s="212"/>
      <c r="BG130" s="212"/>
      <c r="BH130" s="212"/>
      <c r="BI130" s="212"/>
      <c r="BJ130" s="212"/>
      <c r="BK130" s="212"/>
      <c r="BL130" s="212"/>
      <c r="BM130" s="772">
        <v>45062</v>
      </c>
      <c r="BN130" s="789"/>
    </row>
    <row r="131" spans="1:66" s="221" customFormat="1" ht="26.4" x14ac:dyDescent="0.3">
      <c r="A131" s="219" t="s">
        <v>2171</v>
      </c>
      <c r="B131" s="728" t="s">
        <v>2173</v>
      </c>
      <c r="C131" s="219" t="s">
        <v>2172</v>
      </c>
      <c r="D131" s="309" t="s">
        <v>742</v>
      </c>
      <c r="E131" s="480" t="s">
        <v>742</v>
      </c>
      <c r="F131" s="480" t="s">
        <v>3038</v>
      </c>
      <c r="G131" s="222" t="s">
        <v>209</v>
      </c>
      <c r="H131" s="215" t="s">
        <v>816</v>
      </c>
      <c r="I131" s="215" t="s">
        <v>872</v>
      </c>
      <c r="J131" s="216" t="s">
        <v>917</v>
      </c>
      <c r="K131" s="1279" t="s">
        <v>2300</v>
      </c>
      <c r="L131" s="733" t="s">
        <v>6</v>
      </c>
      <c r="M131" s="1304" t="s">
        <v>2289</v>
      </c>
      <c r="N131" s="787"/>
      <c r="O131" s="1294"/>
      <c r="P131" s="212"/>
      <c r="Q131" s="1294" t="s">
        <v>832</v>
      </c>
      <c r="R131" s="498">
        <f>$B$1</f>
        <v>45388</v>
      </c>
      <c r="S131" s="223"/>
      <c r="T131" s="223" t="s">
        <v>3072</v>
      </c>
      <c r="U131" s="218"/>
      <c r="V131" s="218">
        <v>45398</v>
      </c>
      <c r="W131" s="499" t="str">
        <f>IFERROR(IF(AND(BD_PRINCIPAL[[#This Row],[DESDE]]&lt;&gt;"",BD_PRINCIPAL[[#This Row],[HASTA]]&lt;&gt;""),_xlfn.DAYS(BD_PRINCIPAL[[#This Row],[HASTA]],BD_PRINCIPAL[[#This Row],[DESDE]]),"")+1,"")</f>
        <v/>
      </c>
      <c r="X131" s="499">
        <f>VLOOKUP(BD_PRINCIPAL[[#This Row],[ENCUADRE. ESC.]],ORDEN1,2,FALSE)</f>
        <v>1</v>
      </c>
      <c r="Y131" s="499">
        <f>VLOOKUP(BD_PRINCIPAL[[#This Row],[DOTACIÓN ACTUAL]],ORDEN2,4,FALSE)</f>
        <v>120</v>
      </c>
      <c r="Z131" s="499">
        <f>VLOOKUP(BD_PRINCIPAL[[#This Row],[GRADO]],ORDEN3,2,FALSE)</f>
        <v>10</v>
      </c>
      <c r="AA131" s="499">
        <f>IFERROR(VLOOKUP(BD_PRINCIPAL[[#This Row],[DOTACIÓN ACTUAL]],ORDEN2,3,FALSE),0)</f>
        <v>0</v>
      </c>
      <c r="AB131" s="212" t="s">
        <v>2125</v>
      </c>
      <c r="AC131" s="212" t="s">
        <v>1</v>
      </c>
      <c r="AD131" s="212" t="s">
        <v>853</v>
      </c>
      <c r="AE131" s="212" t="s">
        <v>2</v>
      </c>
      <c r="AF131" s="212" t="s">
        <v>1</v>
      </c>
      <c r="AG131" s="212" t="s">
        <v>6</v>
      </c>
      <c r="AH131" s="212"/>
      <c r="AI131" s="212"/>
      <c r="AJ131" s="212"/>
      <c r="AK131" s="212"/>
      <c r="AL131" s="212"/>
      <c r="AM131" s="212"/>
      <c r="AN131" s="212"/>
      <c r="AO131" s="212"/>
      <c r="AP131" s="212"/>
      <c r="AQ131" s="212"/>
      <c r="AR131" s="212"/>
      <c r="AS131" s="212"/>
      <c r="AT131" s="220"/>
      <c r="AU131" s="220"/>
      <c r="AV131" s="220"/>
      <c r="AW131" s="220"/>
      <c r="AX131" s="220"/>
      <c r="AY131" s="220"/>
      <c r="AZ131" s="220"/>
      <c r="BA131" s="212"/>
      <c r="BB131" s="212"/>
      <c r="BC131" s="212"/>
      <c r="BD131" s="212"/>
      <c r="BE131" s="212"/>
      <c r="BF131" s="212"/>
      <c r="BG131" s="212"/>
      <c r="BH131" s="212"/>
      <c r="BI131" s="212"/>
      <c r="BJ131" s="212"/>
      <c r="BK131" s="212"/>
      <c r="BL131" s="212"/>
      <c r="BM131" s="772">
        <v>45134</v>
      </c>
      <c r="BN131" s="789"/>
    </row>
    <row r="132" spans="1:66" s="221" customFormat="1" x14ac:dyDescent="0.3">
      <c r="A132" s="219" t="s">
        <v>383</v>
      </c>
      <c r="B132" s="212" t="s">
        <v>1858</v>
      </c>
      <c r="C132" s="219">
        <v>168719310</v>
      </c>
      <c r="D132" s="309" t="s">
        <v>742</v>
      </c>
      <c r="E132" s="485" t="s">
        <v>742</v>
      </c>
      <c r="F132" s="480" t="s">
        <v>1858</v>
      </c>
      <c r="G132" s="214" t="s">
        <v>209</v>
      </c>
      <c r="H132" s="215" t="s">
        <v>816</v>
      </c>
      <c r="I132" s="215" t="s">
        <v>872</v>
      </c>
      <c r="J132" s="216" t="s">
        <v>917</v>
      </c>
      <c r="K132" s="1279" t="s">
        <v>2290</v>
      </c>
      <c r="L132" s="733" t="s">
        <v>6</v>
      </c>
      <c r="M132" s="1304" t="s">
        <v>2289</v>
      </c>
      <c r="N132" s="772"/>
      <c r="O132" s="1294"/>
      <c r="P132" s="212"/>
      <c r="Q132" s="1294" t="s">
        <v>832</v>
      </c>
      <c r="R132" s="217">
        <f>$B$1</f>
        <v>45388</v>
      </c>
      <c r="S132" s="223"/>
      <c r="T132" s="213"/>
      <c r="U132" s="218"/>
      <c r="V132" s="218"/>
      <c r="W132" s="219" t="str">
        <f>IFERROR(IF(AND(BD_PRINCIPAL[[#This Row],[DESDE]]&lt;&gt;"",BD_PRINCIPAL[[#This Row],[HASTA]]&lt;&gt;""),_xlfn.DAYS(BD_PRINCIPAL[[#This Row],[HASTA]],BD_PRINCIPAL[[#This Row],[DESDE]]),"")+1,"")</f>
        <v/>
      </c>
      <c r="X132" s="219">
        <f>VLOOKUP(BD_PRINCIPAL[[#This Row],[ENCUADRE. ESC.]],ORDEN1,2,FALSE)</f>
        <v>1</v>
      </c>
      <c r="Y132" s="219">
        <f>VLOOKUP(BD_PRINCIPAL[[#This Row],[DOTACIÓN ACTUAL]],ORDEN2,4,FALSE)</f>
        <v>120</v>
      </c>
      <c r="Z132" s="219">
        <f>VLOOKUP(BD_PRINCIPAL[[#This Row],[GRADO]],ORDEN3,2,FALSE)</f>
        <v>10</v>
      </c>
      <c r="AA132" s="219">
        <f>IFERROR(VLOOKUP(BD_PRINCIPAL[[#This Row],[DOTACIÓN ACTUAL]],ORDEN2,3,FALSE),0)</f>
        <v>0</v>
      </c>
      <c r="AB132" s="212" t="s">
        <v>2125</v>
      </c>
      <c r="AC132" s="212" t="s">
        <v>1</v>
      </c>
      <c r="AD132" s="212" t="s">
        <v>853</v>
      </c>
      <c r="AE132" s="212" t="s">
        <v>2</v>
      </c>
      <c r="AF132" s="212" t="s">
        <v>1</v>
      </c>
      <c r="AG132" s="212" t="s">
        <v>6</v>
      </c>
      <c r="AH132" s="212"/>
      <c r="AI132" s="212"/>
      <c r="AJ132" s="212"/>
      <c r="AK132" s="212"/>
      <c r="AL132" s="212"/>
      <c r="AM132" s="212"/>
      <c r="AN132" s="212"/>
      <c r="AO132" s="212"/>
      <c r="AP132" s="212"/>
      <c r="AQ132" s="212"/>
      <c r="AR132" s="212"/>
      <c r="AS132" s="212"/>
      <c r="AT132" s="220"/>
      <c r="AU132" s="220"/>
      <c r="AV132" s="220"/>
      <c r="AW132" s="220"/>
      <c r="AX132" s="220"/>
      <c r="AY132" s="220"/>
      <c r="AZ132" s="220"/>
      <c r="BA132" s="212"/>
      <c r="BB132" s="212"/>
      <c r="BC132" s="212"/>
      <c r="BD132" s="212"/>
      <c r="BE132" s="212"/>
      <c r="BF132" s="212"/>
      <c r="BG132" s="212"/>
      <c r="BH132" s="212"/>
      <c r="BI132" s="212"/>
      <c r="BJ132" s="212"/>
      <c r="BK132" s="212"/>
      <c r="BL132" s="212"/>
      <c r="BM132" s="772">
        <v>45117</v>
      </c>
      <c r="BN132" s="789"/>
    </row>
    <row r="133" spans="1:66" s="221" customFormat="1" x14ac:dyDescent="0.3">
      <c r="A133" s="219" t="s">
        <v>474</v>
      </c>
      <c r="B133" s="212" t="s">
        <v>48</v>
      </c>
      <c r="C133" s="219">
        <v>162950126</v>
      </c>
      <c r="D133" s="309" t="s">
        <v>742</v>
      </c>
      <c r="E133" s="485" t="s">
        <v>742</v>
      </c>
      <c r="F133" s="480" t="s">
        <v>48</v>
      </c>
      <c r="G133" s="214" t="s">
        <v>3</v>
      </c>
      <c r="H133" s="215" t="s">
        <v>816</v>
      </c>
      <c r="I133" s="215" t="s">
        <v>872</v>
      </c>
      <c r="J133" s="216" t="s">
        <v>917</v>
      </c>
      <c r="K133" s="1279" t="s">
        <v>2290</v>
      </c>
      <c r="L133" s="733" t="s">
        <v>6</v>
      </c>
      <c r="M133" s="1304" t="s">
        <v>2289</v>
      </c>
      <c r="N133" s="772"/>
      <c r="O133" s="1294"/>
      <c r="P133" s="212"/>
      <c r="Q133" s="1294" t="s">
        <v>832</v>
      </c>
      <c r="R133" s="217">
        <f>$B$1</f>
        <v>45388</v>
      </c>
      <c r="S133" s="223"/>
      <c r="T133" s="213"/>
      <c r="U133" s="218"/>
      <c r="V133" s="218"/>
      <c r="W133" s="219" t="str">
        <f>IFERROR(IF(AND(BD_PRINCIPAL[[#This Row],[DESDE]]&lt;&gt;"",BD_PRINCIPAL[[#This Row],[HASTA]]&lt;&gt;""),_xlfn.DAYS(BD_PRINCIPAL[[#This Row],[HASTA]],BD_PRINCIPAL[[#This Row],[DESDE]]),"")+1,"")</f>
        <v/>
      </c>
      <c r="X133" s="219">
        <f>VLOOKUP(BD_PRINCIPAL[[#This Row],[ENCUADRE. ESC.]],ORDEN1,2,FALSE)</f>
        <v>1</v>
      </c>
      <c r="Y133" s="219">
        <f>VLOOKUP(BD_PRINCIPAL[[#This Row],[DOTACIÓN ACTUAL]],ORDEN2,4,FALSE)</f>
        <v>120</v>
      </c>
      <c r="Z133" s="219">
        <f>VLOOKUP(BD_PRINCIPAL[[#This Row],[GRADO]],ORDEN3,2,FALSE)</f>
        <v>11</v>
      </c>
      <c r="AA133" s="219">
        <f>IFERROR(VLOOKUP(BD_PRINCIPAL[[#This Row],[DOTACIÓN ACTUAL]],ORDEN2,3,FALSE),0)</f>
        <v>0</v>
      </c>
      <c r="AB133" s="212" t="s">
        <v>2125</v>
      </c>
      <c r="AC133" s="212" t="s">
        <v>1</v>
      </c>
      <c r="AD133" s="212" t="s">
        <v>853</v>
      </c>
      <c r="AE133" s="212" t="s">
        <v>2</v>
      </c>
      <c r="AF133" s="212" t="s">
        <v>1</v>
      </c>
      <c r="AG133" s="212" t="s">
        <v>6</v>
      </c>
      <c r="AH133" s="212"/>
      <c r="AI133" s="212"/>
      <c r="AJ133" s="212"/>
      <c r="AK133" s="212"/>
      <c r="AL133" s="212"/>
      <c r="AM133" s="212"/>
      <c r="AN133" s="212"/>
      <c r="AO133" s="212"/>
      <c r="AP133" s="212"/>
      <c r="AQ133" s="212"/>
      <c r="AR133" s="212"/>
      <c r="AS133" s="212"/>
      <c r="AT133" s="220"/>
      <c r="AU133" s="220"/>
      <c r="AV133" s="220"/>
      <c r="AW133" s="220"/>
      <c r="AX133" s="220"/>
      <c r="AY133" s="220"/>
      <c r="AZ133" s="220"/>
      <c r="BA133" s="212"/>
      <c r="BB133" s="212"/>
      <c r="BC133" s="212"/>
      <c r="BD133" s="212"/>
      <c r="BE133" s="212"/>
      <c r="BF133" s="212"/>
      <c r="BG133" s="212"/>
      <c r="BH133" s="212"/>
      <c r="BI133" s="212"/>
      <c r="BJ133" s="212"/>
      <c r="BK133" s="212"/>
      <c r="BL133" s="212"/>
      <c r="BM133" s="772">
        <v>45146</v>
      </c>
      <c r="BN133" s="789"/>
    </row>
    <row r="134" spans="1:66" s="221" customFormat="1" x14ac:dyDescent="0.3">
      <c r="A134" s="219" t="s">
        <v>2175</v>
      </c>
      <c r="B134" s="728" t="s">
        <v>2417</v>
      </c>
      <c r="C134" s="219" t="s">
        <v>2176</v>
      </c>
      <c r="D134" s="309" t="s">
        <v>742</v>
      </c>
      <c r="E134" s="480" t="s">
        <v>742</v>
      </c>
      <c r="F134" s="480" t="s">
        <v>2524</v>
      </c>
      <c r="G134" s="222" t="s">
        <v>3</v>
      </c>
      <c r="H134" s="215" t="s">
        <v>816</v>
      </c>
      <c r="I134" s="215" t="s">
        <v>872</v>
      </c>
      <c r="J134" s="216" t="s">
        <v>917</v>
      </c>
      <c r="K134" s="1279" t="s">
        <v>2305</v>
      </c>
      <c r="L134" s="733" t="s">
        <v>6</v>
      </c>
      <c r="M134" s="1304" t="s">
        <v>2289</v>
      </c>
      <c r="N134" s="787"/>
      <c r="O134" s="1294"/>
      <c r="P134" s="212"/>
      <c r="Q134" s="1294" t="s">
        <v>832</v>
      </c>
      <c r="R134" s="498">
        <f>$B$1</f>
        <v>45388</v>
      </c>
      <c r="S134" s="223"/>
      <c r="T134" s="223"/>
      <c r="U134" s="218"/>
      <c r="V134" s="218"/>
      <c r="W134" s="499" t="str">
        <f>IFERROR(IF(AND(BD_PRINCIPAL[[#This Row],[DESDE]]&lt;&gt;"",BD_PRINCIPAL[[#This Row],[HASTA]]&lt;&gt;""),_xlfn.DAYS(BD_PRINCIPAL[[#This Row],[HASTA]],BD_PRINCIPAL[[#This Row],[DESDE]]),"")+1,"")</f>
        <v/>
      </c>
      <c r="X134" s="499">
        <f>VLOOKUP(BD_PRINCIPAL[[#This Row],[ENCUADRE. ESC.]],ORDEN1,2,FALSE)</f>
        <v>1</v>
      </c>
      <c r="Y134" s="499">
        <f>VLOOKUP(BD_PRINCIPAL[[#This Row],[DOTACIÓN ACTUAL]],ORDEN2,4,FALSE)</f>
        <v>120</v>
      </c>
      <c r="Z134" s="499">
        <f>VLOOKUP(BD_PRINCIPAL[[#This Row],[GRADO]],ORDEN3,2,FALSE)</f>
        <v>11</v>
      </c>
      <c r="AA134" s="499">
        <f>IFERROR(VLOOKUP(BD_PRINCIPAL[[#This Row],[DOTACIÓN ACTUAL]],ORDEN2,3,FALSE),0)</f>
        <v>0</v>
      </c>
      <c r="AB134" s="212" t="s">
        <v>2125</v>
      </c>
      <c r="AC134" s="212" t="s">
        <v>1</v>
      </c>
      <c r="AD134" s="212" t="s">
        <v>1</v>
      </c>
      <c r="AE134" s="212" t="s">
        <v>2</v>
      </c>
      <c r="AF134" s="212" t="s">
        <v>1</v>
      </c>
      <c r="AG134" s="212" t="s">
        <v>6</v>
      </c>
      <c r="AH134" s="212"/>
      <c r="AI134" s="212"/>
      <c r="AJ134" s="212"/>
      <c r="AK134" s="212"/>
      <c r="AL134" s="212"/>
      <c r="AM134" s="212"/>
      <c r="AN134" s="212"/>
      <c r="AO134" s="212"/>
      <c r="AP134" s="212"/>
      <c r="AQ134" s="212"/>
      <c r="AR134" s="212"/>
      <c r="AS134" s="212"/>
      <c r="AT134" s="220"/>
      <c r="AU134" s="220"/>
      <c r="AV134" s="220"/>
      <c r="AW134" s="220"/>
      <c r="AX134" s="220"/>
      <c r="AY134" s="220"/>
      <c r="AZ134" s="220"/>
      <c r="BA134" s="212"/>
      <c r="BB134" s="212"/>
      <c r="BC134" s="212"/>
      <c r="BD134" s="212"/>
      <c r="BE134" s="212"/>
      <c r="BF134" s="212"/>
      <c r="BG134" s="212"/>
      <c r="BH134" s="212"/>
      <c r="BI134" s="212"/>
      <c r="BJ134" s="212"/>
      <c r="BK134" s="212"/>
      <c r="BL134" s="212"/>
      <c r="BM134" s="772">
        <v>45376</v>
      </c>
      <c r="BN134" s="789"/>
    </row>
    <row r="135" spans="1:66" s="221" customFormat="1" x14ac:dyDescent="0.3">
      <c r="A135" s="219" t="s">
        <v>476</v>
      </c>
      <c r="B135" s="212" t="s">
        <v>169</v>
      </c>
      <c r="C135" s="219">
        <v>198075655</v>
      </c>
      <c r="D135" s="309" t="s">
        <v>742</v>
      </c>
      <c r="E135" s="485" t="s">
        <v>742</v>
      </c>
      <c r="F135" s="480" t="s">
        <v>169</v>
      </c>
      <c r="G135" s="214" t="s">
        <v>4</v>
      </c>
      <c r="H135" s="215" t="s">
        <v>816</v>
      </c>
      <c r="I135" s="215" t="s">
        <v>872</v>
      </c>
      <c r="J135" s="216" t="s">
        <v>917</v>
      </c>
      <c r="K135" s="1279" t="s">
        <v>2290</v>
      </c>
      <c r="L135" s="733" t="s">
        <v>6</v>
      </c>
      <c r="M135" s="1304" t="s">
        <v>2289</v>
      </c>
      <c r="N135" s="771"/>
      <c r="O135" s="1294"/>
      <c r="P135" s="212"/>
      <c r="Q135" s="1294" t="s">
        <v>832</v>
      </c>
      <c r="R135" s="217">
        <f>$B$1</f>
        <v>45388</v>
      </c>
      <c r="S135" s="223"/>
      <c r="T135" s="213" t="s">
        <v>2919</v>
      </c>
      <c r="U135" s="218"/>
      <c r="V135" s="218"/>
      <c r="W135" s="219" t="str">
        <f>IFERROR(IF(AND(BD_PRINCIPAL[[#This Row],[DESDE]]&lt;&gt;"",BD_PRINCIPAL[[#This Row],[HASTA]]&lt;&gt;""),_xlfn.DAYS(BD_PRINCIPAL[[#This Row],[HASTA]],BD_PRINCIPAL[[#This Row],[DESDE]]),"")+1,"")</f>
        <v/>
      </c>
      <c r="X135" s="219">
        <f>VLOOKUP(BD_PRINCIPAL[[#This Row],[ENCUADRE. ESC.]],ORDEN1,2,FALSE)</f>
        <v>1</v>
      </c>
      <c r="Y135" s="219">
        <f>VLOOKUP(BD_PRINCIPAL[[#This Row],[DOTACIÓN ACTUAL]],ORDEN2,4,FALSE)</f>
        <v>120</v>
      </c>
      <c r="Z135" s="219">
        <f>VLOOKUP(BD_PRINCIPAL[[#This Row],[GRADO]],ORDEN3,2,FALSE)</f>
        <v>12</v>
      </c>
      <c r="AA135" s="219">
        <f>IFERROR(VLOOKUP(BD_PRINCIPAL[[#This Row],[DOTACIÓN ACTUAL]],ORDEN2,3,FALSE),0)</f>
        <v>0</v>
      </c>
      <c r="AB135" s="212" t="s">
        <v>2125</v>
      </c>
      <c r="AC135" s="212" t="s">
        <v>1</v>
      </c>
      <c r="AD135" s="212" t="s">
        <v>1</v>
      </c>
      <c r="AE135" s="212" t="s">
        <v>2</v>
      </c>
      <c r="AF135" s="212" t="s">
        <v>1</v>
      </c>
      <c r="AG135" s="212" t="s">
        <v>6</v>
      </c>
      <c r="AH135" s="212"/>
      <c r="AI135" s="212"/>
      <c r="AJ135" s="212"/>
      <c r="AK135" s="212"/>
      <c r="AL135" s="212"/>
      <c r="AM135" s="212"/>
      <c r="AN135" s="212"/>
      <c r="AO135" s="212"/>
      <c r="AP135" s="212"/>
      <c r="AQ135" s="212"/>
      <c r="AR135" s="212"/>
      <c r="AS135" s="212"/>
      <c r="AT135" s="220"/>
      <c r="AU135" s="220"/>
      <c r="AV135" s="220"/>
      <c r="AW135" s="220"/>
      <c r="AX135" s="220"/>
      <c r="AY135" s="220"/>
      <c r="AZ135" s="220"/>
      <c r="BA135" s="212"/>
      <c r="BB135" s="212"/>
      <c r="BC135" s="212"/>
      <c r="BD135" s="212"/>
      <c r="BE135" s="212"/>
      <c r="BF135" s="212"/>
      <c r="BG135" s="212"/>
      <c r="BH135" s="212"/>
      <c r="BI135" s="212"/>
      <c r="BJ135" s="212"/>
      <c r="BK135" s="212"/>
      <c r="BL135" s="212"/>
      <c r="BM135" s="771">
        <v>45384</v>
      </c>
      <c r="BN135" s="789"/>
    </row>
    <row r="136" spans="1:66" s="221" customFormat="1" x14ac:dyDescent="0.3">
      <c r="A136" s="219" t="s">
        <v>2466</v>
      </c>
      <c r="B136" s="728" t="s">
        <v>2467</v>
      </c>
      <c r="C136" s="219">
        <v>201113806</v>
      </c>
      <c r="D136" s="480" t="s">
        <v>742</v>
      </c>
      <c r="E136" s="480" t="s">
        <v>742</v>
      </c>
      <c r="F136" s="480" t="s">
        <v>2467</v>
      </c>
      <c r="G136" s="222" t="s">
        <v>14</v>
      </c>
      <c r="H136" s="215" t="s">
        <v>816</v>
      </c>
      <c r="I136" s="215" t="s">
        <v>872</v>
      </c>
      <c r="J136" s="216" t="s">
        <v>917</v>
      </c>
      <c r="K136" s="1279" t="s">
        <v>2290</v>
      </c>
      <c r="L136" s="733" t="s">
        <v>6</v>
      </c>
      <c r="M136" s="1304" t="s">
        <v>2289</v>
      </c>
      <c r="N136" s="787"/>
      <c r="O136" s="1294"/>
      <c r="P136" s="212"/>
      <c r="Q136" s="1294" t="s">
        <v>832</v>
      </c>
      <c r="R136" s="498">
        <v>36260</v>
      </c>
      <c r="S136" s="223"/>
      <c r="T136" s="223" t="s">
        <v>2919</v>
      </c>
      <c r="U136" s="747"/>
      <c r="V136" s="747"/>
      <c r="W136" s="499" t="str">
        <f>IFERROR(IF(AND(BD_PRINCIPAL[[#This Row],[DESDE]]&lt;&gt;"",BD_PRINCIPAL[[#This Row],[HASTA]]&lt;&gt;""),_xlfn.DAYS(BD_PRINCIPAL[[#This Row],[HASTA]],BD_PRINCIPAL[[#This Row],[DESDE]]),"")+1,"")</f>
        <v/>
      </c>
      <c r="X136" s="499">
        <f>VLOOKUP(BD_PRINCIPAL[[#This Row],[ENCUADRE. ESC.]],ORDEN1,2,FALSE)</f>
        <v>1</v>
      </c>
      <c r="Y136" s="499">
        <f>VLOOKUP(BD_PRINCIPAL[[#This Row],[DOTACIÓN ACTUAL]],ORDEN2,4,FALSE)</f>
        <v>120</v>
      </c>
      <c r="Z136" s="499">
        <f>VLOOKUP(BD_PRINCIPAL[[#This Row],[GRADO]],ORDEN3,2,FALSE)</f>
        <v>13</v>
      </c>
      <c r="AA136" s="499">
        <f>IFERROR(VLOOKUP(BD_PRINCIPAL[[#This Row],[DOTACIÓN ACTUAL]],ORDEN2,3,FALSE),0)</f>
        <v>0</v>
      </c>
      <c r="AB136" s="212" t="s">
        <v>2125</v>
      </c>
      <c r="AC136" s="212" t="s">
        <v>1</v>
      </c>
      <c r="AD136" s="212" t="s">
        <v>1</v>
      </c>
      <c r="AE136" s="212" t="s">
        <v>2</v>
      </c>
      <c r="AF136" s="212" t="s">
        <v>1</v>
      </c>
      <c r="AG136" s="212" t="s">
        <v>6</v>
      </c>
      <c r="AH136" s="220"/>
      <c r="AI136" s="220"/>
      <c r="AJ136" s="220"/>
      <c r="AK136" s="220"/>
      <c r="AL136" s="220"/>
      <c r="AM136" s="220"/>
      <c r="AN136" s="220"/>
      <c r="AO136" s="220"/>
      <c r="AP136" s="220"/>
      <c r="AQ136" s="220"/>
      <c r="AR136" s="220"/>
      <c r="AS136" s="220"/>
      <c r="AT136" s="220"/>
      <c r="AU136" s="220"/>
      <c r="AV136" s="220"/>
      <c r="AW136" s="220"/>
      <c r="AX136" s="220"/>
      <c r="AY136" s="220"/>
      <c r="AZ136" s="220"/>
      <c r="BA136" s="212"/>
      <c r="BB136" s="212"/>
      <c r="BC136" s="212"/>
      <c r="BD136" s="212"/>
      <c r="BE136" s="212"/>
      <c r="BF136" s="212"/>
      <c r="BG136" s="212"/>
      <c r="BH136" s="212"/>
      <c r="BI136" s="212"/>
      <c r="BJ136" s="212"/>
      <c r="BK136" s="212"/>
      <c r="BL136" s="212"/>
      <c r="BM136" s="772">
        <v>45364</v>
      </c>
      <c r="BN136" s="789"/>
    </row>
    <row r="137" spans="1:66" s="247" customFormat="1" x14ac:dyDescent="0.3">
      <c r="A137" s="245" t="s">
        <v>358</v>
      </c>
      <c r="B137" s="238" t="s">
        <v>8</v>
      </c>
      <c r="C137" s="245">
        <v>133290923</v>
      </c>
      <c r="D137" s="478" t="s">
        <v>744</v>
      </c>
      <c r="E137" s="478" t="s">
        <v>744</v>
      </c>
      <c r="F137" s="478" t="s">
        <v>8</v>
      </c>
      <c r="G137" s="240" t="s">
        <v>89</v>
      </c>
      <c r="H137" s="241" t="s">
        <v>816</v>
      </c>
      <c r="I137" s="241" t="s">
        <v>872</v>
      </c>
      <c r="J137" s="242" t="s">
        <v>917</v>
      </c>
      <c r="K137" s="1281" t="s">
        <v>2290</v>
      </c>
      <c r="L137" s="735" t="s">
        <v>2125</v>
      </c>
      <c r="M137" s="1306" t="s">
        <v>2838</v>
      </c>
      <c r="N137" s="958"/>
      <c r="O137" s="1296"/>
      <c r="P137" s="238"/>
      <c r="Q137" s="1054" t="s">
        <v>832</v>
      </c>
      <c r="R137" s="243">
        <f>$B$1</f>
        <v>45388</v>
      </c>
      <c r="S137" s="249"/>
      <c r="T137" s="239" t="s">
        <v>2919</v>
      </c>
      <c r="U137" s="244">
        <v>45385</v>
      </c>
      <c r="V137" s="244"/>
      <c r="W137" s="245" t="str">
        <f>IFERROR(IF(AND(BD_PRINCIPAL[[#This Row],[DESDE]]&lt;&gt;"",BD_PRINCIPAL[[#This Row],[HASTA]]&lt;&gt;""),_xlfn.DAYS(BD_PRINCIPAL[[#This Row],[HASTA]],BD_PRINCIPAL[[#This Row],[DESDE]]),"")+1,"")</f>
        <v/>
      </c>
      <c r="X137" s="245">
        <f>VLOOKUP(BD_PRINCIPAL[[#This Row],[ENCUADRE. ESC.]],ORDEN1,2,FALSE)</f>
        <v>1</v>
      </c>
      <c r="Y137" s="245">
        <f>VLOOKUP(BD_PRINCIPAL[[#This Row],[DOTACIÓN ACTUAL]],ORDEN2,4,FALSE)</f>
        <v>123</v>
      </c>
      <c r="Z137" s="245">
        <f>VLOOKUP(BD_PRINCIPAL[[#This Row],[GRADO]],ORDEN3,2,FALSE)</f>
        <v>9</v>
      </c>
      <c r="AA137" s="245">
        <f>IFERROR(VLOOKUP(BD_PRINCIPAL[[#This Row],[DOTACIÓN ACTUAL]],ORDEN2,3,FALSE),0)</f>
        <v>0</v>
      </c>
      <c r="AB137" s="238" t="s">
        <v>1</v>
      </c>
      <c r="AC137" s="238" t="s">
        <v>909</v>
      </c>
      <c r="AD137" s="238" t="s">
        <v>909</v>
      </c>
      <c r="AE137" s="238" t="s">
        <v>853</v>
      </c>
      <c r="AF137" s="238" t="s">
        <v>6</v>
      </c>
      <c r="AG137" s="238" t="s">
        <v>2125</v>
      </c>
      <c r="AH137" s="238"/>
      <c r="AI137" s="238"/>
      <c r="AJ137" s="238"/>
      <c r="AK137" s="238"/>
      <c r="AL137" s="238"/>
      <c r="AM137" s="238"/>
      <c r="AN137" s="238"/>
      <c r="AO137" s="758"/>
      <c r="AP137" s="758"/>
      <c r="AQ137" s="758"/>
      <c r="AR137" s="758"/>
      <c r="AS137" s="758"/>
      <c r="AT137" s="246"/>
      <c r="AU137" s="246"/>
      <c r="AV137" s="246"/>
      <c r="AW137" s="246"/>
      <c r="AX137" s="246"/>
      <c r="AY137" s="246"/>
      <c r="AZ137" s="246"/>
      <c r="BA137" s="238"/>
      <c r="BB137" s="238"/>
      <c r="BC137" s="238"/>
      <c r="BD137" s="238"/>
      <c r="BE137" s="238"/>
      <c r="BF137" s="238"/>
      <c r="BG137" s="238"/>
      <c r="BH137" s="238"/>
      <c r="BI137" s="238"/>
      <c r="BJ137" s="238"/>
      <c r="BK137" s="238"/>
      <c r="BL137" s="238"/>
      <c r="BM137" s="958">
        <v>45096</v>
      </c>
      <c r="BN137" s="788"/>
    </row>
    <row r="138" spans="1:66" s="247" customFormat="1" x14ac:dyDescent="0.3">
      <c r="A138" s="245" t="s">
        <v>363</v>
      </c>
      <c r="B138" s="238" t="s">
        <v>247</v>
      </c>
      <c r="C138" s="245">
        <v>164551520</v>
      </c>
      <c r="D138" s="311" t="s">
        <v>712</v>
      </c>
      <c r="E138" s="757" t="s">
        <v>712</v>
      </c>
      <c r="F138" s="478" t="s">
        <v>2794</v>
      </c>
      <c r="G138" s="240" t="s">
        <v>209</v>
      </c>
      <c r="H138" s="241" t="s">
        <v>816</v>
      </c>
      <c r="I138" s="241" t="s">
        <v>872</v>
      </c>
      <c r="J138" s="242" t="s">
        <v>917</v>
      </c>
      <c r="K138" s="1281" t="s">
        <v>2799</v>
      </c>
      <c r="L138" s="735" t="s">
        <v>2125</v>
      </c>
      <c r="M138" s="1306" t="s">
        <v>2838</v>
      </c>
      <c r="N138" s="786"/>
      <c r="O138" s="1296"/>
      <c r="P138" s="238"/>
      <c r="Q138" s="1296" t="s">
        <v>832</v>
      </c>
      <c r="R138" s="243">
        <f>$B$1</f>
        <v>45388</v>
      </c>
      <c r="S138" s="249"/>
      <c r="T138" s="249" t="s">
        <v>2919</v>
      </c>
      <c r="U138" s="250"/>
      <c r="V138" s="250"/>
      <c r="W138" s="245" t="str">
        <f>IFERROR(IF(AND(BD_PRINCIPAL[[#This Row],[DESDE]]&lt;&gt;"",BD_PRINCIPAL[[#This Row],[HASTA]]&lt;&gt;""),_xlfn.DAYS(BD_PRINCIPAL[[#This Row],[HASTA]],BD_PRINCIPAL[[#This Row],[DESDE]]),"")+1,"")</f>
        <v/>
      </c>
      <c r="X138" s="245">
        <f>VLOOKUP(BD_PRINCIPAL[[#This Row],[ENCUADRE. ESC.]],ORDEN1,2,FALSE)</f>
        <v>1</v>
      </c>
      <c r="Y138" s="245">
        <f>VLOOKUP(BD_PRINCIPAL[[#This Row],[DOTACIÓN ACTUAL]],ORDEN2,4,FALSE)</f>
        <v>124</v>
      </c>
      <c r="Z138" s="245">
        <f>VLOOKUP(BD_PRINCIPAL[[#This Row],[GRADO]],ORDEN3,2,FALSE)</f>
        <v>10</v>
      </c>
      <c r="AA138" s="245">
        <f>IFERROR(VLOOKUP(BD_PRINCIPAL[[#This Row],[DOTACIÓN ACTUAL]],ORDEN2,3,FALSE),0)</f>
        <v>0</v>
      </c>
      <c r="AB138" s="238" t="s">
        <v>1</v>
      </c>
      <c r="AC138" s="238" t="s">
        <v>2</v>
      </c>
      <c r="AD138" s="238" t="s">
        <v>1</v>
      </c>
      <c r="AE138" s="238" t="s">
        <v>853</v>
      </c>
      <c r="AF138" s="238" t="s">
        <v>6</v>
      </c>
      <c r="AG138" s="238" t="s">
        <v>2125</v>
      </c>
      <c r="AH138" s="238"/>
      <c r="AI138" s="238"/>
      <c r="AJ138" s="238"/>
      <c r="AK138" s="238"/>
      <c r="AL138" s="238"/>
      <c r="AM138" s="238"/>
      <c r="AN138" s="238"/>
      <c r="AO138" s="238"/>
      <c r="AP138" s="238"/>
      <c r="AQ138" s="238"/>
      <c r="AR138" s="238"/>
      <c r="AS138" s="238"/>
      <c r="AT138" s="246"/>
      <c r="AU138" s="246"/>
      <c r="AV138" s="246"/>
      <c r="AW138" s="246"/>
      <c r="AX138" s="246"/>
      <c r="AY138" s="246"/>
      <c r="AZ138" s="246"/>
      <c r="BA138" s="238"/>
      <c r="BB138" s="238"/>
      <c r="BC138" s="238"/>
      <c r="BD138" s="238"/>
      <c r="BE138" s="238"/>
      <c r="BF138" s="238"/>
      <c r="BG138" s="238"/>
      <c r="BH138" s="238"/>
      <c r="BI138" s="238"/>
      <c r="BJ138" s="238"/>
      <c r="BK138" s="238"/>
      <c r="BL138" s="238"/>
      <c r="BM138" s="786">
        <v>45370</v>
      </c>
      <c r="BN138" s="788"/>
    </row>
    <row r="139" spans="1:66" s="247" customFormat="1" x14ac:dyDescent="0.3">
      <c r="A139" s="245" t="s">
        <v>2192</v>
      </c>
      <c r="B139" s="649" t="s">
        <v>2194</v>
      </c>
      <c r="C139" s="245" t="s">
        <v>2193</v>
      </c>
      <c r="D139" s="311" t="s">
        <v>712</v>
      </c>
      <c r="E139" s="486" t="s">
        <v>712</v>
      </c>
      <c r="F139" s="478" t="s">
        <v>2507</v>
      </c>
      <c r="G139" s="248" t="s">
        <v>209</v>
      </c>
      <c r="H139" s="241" t="s">
        <v>816</v>
      </c>
      <c r="I139" s="241" t="s">
        <v>872</v>
      </c>
      <c r="J139" s="242" t="s">
        <v>917</v>
      </c>
      <c r="K139" s="1281" t="s">
        <v>2330</v>
      </c>
      <c r="L139" s="735" t="s">
        <v>2125</v>
      </c>
      <c r="M139" s="1306" t="s">
        <v>2838</v>
      </c>
      <c r="N139" s="774"/>
      <c r="O139" s="1296"/>
      <c r="P139" s="238"/>
      <c r="Q139" s="1296" t="s">
        <v>832</v>
      </c>
      <c r="R139" s="337">
        <f>$B$1</f>
        <v>45388</v>
      </c>
      <c r="S139" s="249"/>
      <c r="T139" s="249" t="s">
        <v>2919</v>
      </c>
      <c r="U139" s="244"/>
      <c r="V139" s="244"/>
      <c r="W139" s="338" t="str">
        <f>IFERROR(IF(AND(BD_PRINCIPAL[[#This Row],[DESDE]]&lt;&gt;"",BD_PRINCIPAL[[#This Row],[HASTA]]&lt;&gt;""),_xlfn.DAYS(BD_PRINCIPAL[[#This Row],[HASTA]],BD_PRINCIPAL[[#This Row],[DESDE]]),"")+1,"")</f>
        <v/>
      </c>
      <c r="X139" s="338">
        <f>VLOOKUP(BD_PRINCIPAL[[#This Row],[ENCUADRE. ESC.]],ORDEN1,2,FALSE)</f>
        <v>1</v>
      </c>
      <c r="Y139" s="338">
        <f>VLOOKUP(BD_PRINCIPAL[[#This Row],[DOTACIÓN ACTUAL]],ORDEN2,4,FALSE)</f>
        <v>124</v>
      </c>
      <c r="Z139" s="338">
        <f>VLOOKUP(BD_PRINCIPAL[[#This Row],[GRADO]],ORDEN3,2,FALSE)</f>
        <v>10</v>
      </c>
      <c r="AA139" s="338">
        <f>IFERROR(VLOOKUP(BD_PRINCIPAL[[#This Row],[DOTACIÓN ACTUAL]],ORDEN2,3,FALSE),0)</f>
        <v>0</v>
      </c>
      <c r="AB139" s="238" t="s">
        <v>1</v>
      </c>
      <c r="AC139" s="238" t="s">
        <v>1</v>
      </c>
      <c r="AD139" s="238" t="s">
        <v>1</v>
      </c>
      <c r="AE139" s="238" t="s">
        <v>853</v>
      </c>
      <c r="AF139" s="238" t="s">
        <v>6</v>
      </c>
      <c r="AG139" s="238" t="s">
        <v>2125</v>
      </c>
      <c r="AH139" s="238"/>
      <c r="AI139" s="238"/>
      <c r="AJ139" s="238"/>
      <c r="AK139" s="238"/>
      <c r="AL139" s="238"/>
      <c r="AM139" s="238"/>
      <c r="AN139" s="238"/>
      <c r="AO139" s="238"/>
      <c r="AP139" s="238"/>
      <c r="AQ139" s="238"/>
      <c r="AR139" s="238"/>
      <c r="AS139" s="238"/>
      <c r="AT139" s="246"/>
      <c r="AU139" s="246"/>
      <c r="AV139" s="246"/>
      <c r="AW139" s="246"/>
      <c r="AX139" s="246"/>
      <c r="AY139" s="246"/>
      <c r="AZ139" s="246"/>
      <c r="BA139" s="238"/>
      <c r="BB139" s="238"/>
      <c r="BC139" s="238"/>
      <c r="BD139" s="238"/>
      <c r="BE139" s="238"/>
      <c r="BF139" s="238"/>
      <c r="BG139" s="238"/>
      <c r="BH139" s="238"/>
      <c r="BI139" s="238"/>
      <c r="BJ139" s="238"/>
      <c r="BK139" s="238"/>
      <c r="BL139" s="238"/>
      <c r="BM139" s="775">
        <v>45224</v>
      </c>
      <c r="BN139" s="788"/>
    </row>
    <row r="140" spans="1:66" s="247" customFormat="1" x14ac:dyDescent="0.3">
      <c r="A140" s="245" t="s">
        <v>2165</v>
      </c>
      <c r="B140" s="649" t="s">
        <v>2166</v>
      </c>
      <c r="C140" s="245">
        <v>188752470</v>
      </c>
      <c r="D140" s="311" t="s">
        <v>712</v>
      </c>
      <c r="E140" s="478" t="s">
        <v>712</v>
      </c>
      <c r="F140" s="478" t="s">
        <v>2166</v>
      </c>
      <c r="G140" s="248" t="s">
        <v>3</v>
      </c>
      <c r="H140" s="241" t="s">
        <v>816</v>
      </c>
      <c r="I140" s="241" t="s">
        <v>872</v>
      </c>
      <c r="J140" s="242" t="s">
        <v>917</v>
      </c>
      <c r="K140" s="1281" t="s">
        <v>2290</v>
      </c>
      <c r="L140" s="735" t="s">
        <v>2125</v>
      </c>
      <c r="M140" s="1306" t="s">
        <v>2838</v>
      </c>
      <c r="N140" s="774"/>
      <c r="O140" s="1296"/>
      <c r="P140" s="238"/>
      <c r="Q140" s="1296" t="s">
        <v>832</v>
      </c>
      <c r="R140" s="337">
        <f>$B$1</f>
        <v>45388</v>
      </c>
      <c r="S140" s="249"/>
      <c r="T140" s="239" t="s">
        <v>2919</v>
      </c>
      <c r="U140" s="244"/>
      <c r="V140" s="244"/>
      <c r="W140" s="338" t="str">
        <f>IFERROR(IF(AND(BD_PRINCIPAL[[#This Row],[DESDE]]&lt;&gt;"",BD_PRINCIPAL[[#This Row],[HASTA]]&lt;&gt;""),_xlfn.DAYS(BD_PRINCIPAL[[#This Row],[HASTA]],BD_PRINCIPAL[[#This Row],[DESDE]]),"")+1,"")</f>
        <v/>
      </c>
      <c r="X140" s="338">
        <f>VLOOKUP(BD_PRINCIPAL[[#This Row],[ENCUADRE. ESC.]],ORDEN1,2,FALSE)</f>
        <v>1</v>
      </c>
      <c r="Y140" s="338">
        <f>VLOOKUP(BD_PRINCIPAL[[#This Row],[DOTACIÓN ACTUAL]],ORDEN2,4,FALSE)</f>
        <v>124</v>
      </c>
      <c r="Z140" s="338">
        <f>VLOOKUP(BD_PRINCIPAL[[#This Row],[GRADO]],ORDEN3,2,FALSE)</f>
        <v>11</v>
      </c>
      <c r="AA140" s="338">
        <f>IFERROR(VLOOKUP(BD_PRINCIPAL[[#This Row],[DOTACIÓN ACTUAL]],ORDEN2,3,FALSE),0)</f>
        <v>0</v>
      </c>
      <c r="AB140" s="238" t="s">
        <v>1</v>
      </c>
      <c r="AC140" s="238" t="s">
        <v>853</v>
      </c>
      <c r="AD140" s="238" t="s">
        <v>1</v>
      </c>
      <c r="AE140" s="238" t="s">
        <v>853</v>
      </c>
      <c r="AF140" s="238" t="s">
        <v>6</v>
      </c>
      <c r="AG140" s="238" t="s">
        <v>2125</v>
      </c>
      <c r="AH140" s="238"/>
      <c r="AI140" s="238"/>
      <c r="AJ140" s="238"/>
      <c r="AK140" s="238"/>
      <c r="AL140" s="238"/>
      <c r="AM140" s="238"/>
      <c r="AN140" s="238"/>
      <c r="AO140" s="238"/>
      <c r="AP140" s="238"/>
      <c r="AQ140" s="238"/>
      <c r="AR140" s="238"/>
      <c r="AS140" s="238"/>
      <c r="AT140" s="246"/>
      <c r="AU140" s="246"/>
      <c r="AV140" s="246"/>
      <c r="AW140" s="246"/>
      <c r="AX140" s="246"/>
      <c r="AY140" s="246"/>
      <c r="AZ140" s="246"/>
      <c r="BA140" s="238"/>
      <c r="BB140" s="238"/>
      <c r="BC140" s="238"/>
      <c r="BD140" s="238"/>
      <c r="BE140" s="238"/>
      <c r="BF140" s="238"/>
      <c r="BG140" s="238"/>
      <c r="BH140" s="238"/>
      <c r="BI140" s="238"/>
      <c r="BJ140" s="238"/>
      <c r="BK140" s="238"/>
      <c r="BL140" s="238"/>
      <c r="BM140" s="775">
        <v>45113</v>
      </c>
      <c r="BN140" s="788"/>
    </row>
    <row r="141" spans="1:66" s="247" customFormat="1" x14ac:dyDescent="0.3">
      <c r="A141" s="245" t="s">
        <v>535</v>
      </c>
      <c r="B141" s="238" t="s">
        <v>143</v>
      </c>
      <c r="C141" s="245">
        <v>203864248</v>
      </c>
      <c r="D141" s="311" t="s">
        <v>712</v>
      </c>
      <c r="E141" s="478" t="s">
        <v>712</v>
      </c>
      <c r="F141" s="478" t="s">
        <v>143</v>
      </c>
      <c r="G141" s="240" t="s">
        <v>4</v>
      </c>
      <c r="H141" s="241" t="s">
        <v>816</v>
      </c>
      <c r="I141" s="241" t="s">
        <v>872</v>
      </c>
      <c r="J141" s="242" t="s">
        <v>917</v>
      </c>
      <c r="K141" s="1281" t="s">
        <v>2290</v>
      </c>
      <c r="L141" s="735" t="s">
        <v>2125</v>
      </c>
      <c r="M141" s="1306" t="s">
        <v>2838</v>
      </c>
      <c r="N141" s="786"/>
      <c r="O141" s="1296"/>
      <c r="P141" s="238"/>
      <c r="Q141" s="1296" t="s">
        <v>832</v>
      </c>
      <c r="R141" s="243">
        <f>$B$1</f>
        <v>45388</v>
      </c>
      <c r="S141" s="249" t="s">
        <v>1483</v>
      </c>
      <c r="T141" s="249" t="s">
        <v>2545</v>
      </c>
      <c r="U141" s="244"/>
      <c r="V141" s="244"/>
      <c r="W141" s="245" t="str">
        <f>IFERROR(IF(AND(BD_PRINCIPAL[[#This Row],[DESDE]]&lt;&gt;"",BD_PRINCIPAL[[#This Row],[HASTA]]&lt;&gt;""),_xlfn.DAYS(BD_PRINCIPAL[[#This Row],[HASTA]],BD_PRINCIPAL[[#This Row],[DESDE]]),"")+1,"")</f>
        <v/>
      </c>
      <c r="X141" s="245">
        <f>VLOOKUP(BD_PRINCIPAL[[#This Row],[ENCUADRE. ESC.]],ORDEN1,2,FALSE)</f>
        <v>1</v>
      </c>
      <c r="Y141" s="245">
        <f>VLOOKUP(BD_PRINCIPAL[[#This Row],[DOTACIÓN ACTUAL]],ORDEN2,4,FALSE)</f>
        <v>124</v>
      </c>
      <c r="Z141" s="245">
        <f>VLOOKUP(BD_PRINCIPAL[[#This Row],[GRADO]],ORDEN3,2,FALSE)</f>
        <v>12</v>
      </c>
      <c r="AA141" s="245">
        <f>IFERROR(VLOOKUP(BD_PRINCIPAL[[#This Row],[DOTACIÓN ACTUAL]],ORDEN2,3,FALSE),0)</f>
        <v>0</v>
      </c>
      <c r="AB141" s="238" t="s">
        <v>1</v>
      </c>
      <c r="AC141" s="238" t="s">
        <v>2</v>
      </c>
      <c r="AD141" s="238" t="s">
        <v>1</v>
      </c>
      <c r="AE141" s="238" t="s">
        <v>853</v>
      </c>
      <c r="AF141" s="238" t="s">
        <v>6</v>
      </c>
      <c r="AG141" s="238" t="s">
        <v>2125</v>
      </c>
      <c r="AH141" s="238"/>
      <c r="AI141" s="238"/>
      <c r="AJ141" s="238"/>
      <c r="AK141" s="238"/>
      <c r="AL141" s="238"/>
      <c r="AM141" s="238"/>
      <c r="AN141" s="238"/>
      <c r="AO141" s="238"/>
      <c r="AP141" s="238"/>
      <c r="AQ141" s="238"/>
      <c r="AR141" s="238"/>
      <c r="AS141" s="238"/>
      <c r="AT141" s="246"/>
      <c r="AU141" s="246"/>
      <c r="AV141" s="246"/>
      <c r="AW141" s="246"/>
      <c r="AX141" s="246"/>
      <c r="AY141" s="246"/>
      <c r="AZ141" s="246"/>
      <c r="BA141" s="238"/>
      <c r="BB141" s="238"/>
      <c r="BC141" s="238"/>
      <c r="BD141" s="238"/>
      <c r="BE141" s="238"/>
      <c r="BF141" s="238"/>
      <c r="BG141" s="238"/>
      <c r="BH141" s="238"/>
      <c r="BI141" s="238"/>
      <c r="BJ141" s="238"/>
      <c r="BK141" s="238"/>
      <c r="BL141" s="238"/>
      <c r="BM141" s="786">
        <v>45057</v>
      </c>
      <c r="BN141" s="788"/>
    </row>
    <row r="142" spans="1:66" s="247" customFormat="1" x14ac:dyDescent="0.3">
      <c r="A142" s="245" t="s">
        <v>469</v>
      </c>
      <c r="B142" s="238" t="s">
        <v>187</v>
      </c>
      <c r="C142" s="245">
        <v>200281276</v>
      </c>
      <c r="D142" s="311" t="s">
        <v>712</v>
      </c>
      <c r="E142" s="478" t="s">
        <v>712</v>
      </c>
      <c r="F142" s="478" t="s">
        <v>187</v>
      </c>
      <c r="G142" s="240" t="s">
        <v>4</v>
      </c>
      <c r="H142" s="241" t="s">
        <v>817</v>
      </c>
      <c r="I142" s="241" t="s">
        <v>872</v>
      </c>
      <c r="J142" s="242" t="s">
        <v>917</v>
      </c>
      <c r="K142" s="1281" t="s">
        <v>2290</v>
      </c>
      <c r="L142" s="735" t="s">
        <v>2125</v>
      </c>
      <c r="M142" s="1306" t="s">
        <v>2838</v>
      </c>
      <c r="N142" s="786"/>
      <c r="O142" s="1296"/>
      <c r="P142" s="238"/>
      <c r="Q142" s="1296" t="s">
        <v>832</v>
      </c>
      <c r="R142" s="243">
        <f>$B$1</f>
        <v>45388</v>
      </c>
      <c r="S142" s="249"/>
      <c r="T142" s="239"/>
      <c r="U142" s="244"/>
      <c r="V142" s="244"/>
      <c r="W142" s="245" t="str">
        <f>IFERROR(IF(AND(BD_PRINCIPAL[[#This Row],[DESDE]]&lt;&gt;"",BD_PRINCIPAL[[#This Row],[HASTA]]&lt;&gt;""),_xlfn.DAYS(BD_PRINCIPAL[[#This Row],[HASTA]],BD_PRINCIPAL[[#This Row],[DESDE]]),"")+1,"")</f>
        <v/>
      </c>
      <c r="X142" s="245">
        <f>VLOOKUP(BD_PRINCIPAL[[#This Row],[ENCUADRE. ESC.]],ORDEN1,2,FALSE)</f>
        <v>1</v>
      </c>
      <c r="Y142" s="245">
        <f>VLOOKUP(BD_PRINCIPAL[[#This Row],[DOTACIÓN ACTUAL]],ORDEN2,4,FALSE)</f>
        <v>124</v>
      </c>
      <c r="Z142" s="245">
        <f>VLOOKUP(BD_PRINCIPAL[[#This Row],[GRADO]],ORDEN3,2,FALSE)</f>
        <v>12</v>
      </c>
      <c r="AA142" s="245">
        <f>IFERROR(VLOOKUP(BD_PRINCIPAL[[#This Row],[DOTACIÓN ACTUAL]],ORDEN2,3,FALSE),0)</f>
        <v>0</v>
      </c>
      <c r="AB142" s="238" t="s">
        <v>1</v>
      </c>
      <c r="AC142" s="238" t="s">
        <v>853</v>
      </c>
      <c r="AD142" s="238" t="s">
        <v>1</v>
      </c>
      <c r="AE142" s="238" t="s">
        <v>853</v>
      </c>
      <c r="AF142" s="238" t="s">
        <v>6</v>
      </c>
      <c r="AG142" s="238" t="s">
        <v>2125</v>
      </c>
      <c r="AH142" s="238"/>
      <c r="AI142" s="238"/>
      <c r="AJ142" s="238"/>
      <c r="AK142" s="238"/>
      <c r="AL142" s="238"/>
      <c r="AM142" s="238"/>
      <c r="AN142" s="238"/>
      <c r="AO142" s="238"/>
      <c r="AP142" s="238"/>
      <c r="AQ142" s="238"/>
      <c r="AR142" s="238"/>
      <c r="AS142" s="238"/>
      <c r="AT142" s="246"/>
      <c r="AU142" s="246"/>
      <c r="AV142" s="246"/>
      <c r="AW142" s="246"/>
      <c r="AX142" s="246"/>
      <c r="AY142" s="246"/>
      <c r="AZ142" s="246"/>
      <c r="BA142" s="238"/>
      <c r="BB142" s="238"/>
      <c r="BC142" s="238"/>
      <c r="BD142" s="238"/>
      <c r="BE142" s="238"/>
      <c r="BF142" s="238"/>
      <c r="BG142" s="238"/>
      <c r="BH142" s="238"/>
      <c r="BI142" s="238"/>
      <c r="BJ142" s="238"/>
      <c r="BK142" s="238"/>
      <c r="BL142" s="238"/>
      <c r="BM142" s="786">
        <v>45083</v>
      </c>
      <c r="BN142" s="788"/>
    </row>
    <row r="143" spans="1:66" s="247" customFormat="1" x14ac:dyDescent="0.3">
      <c r="A143" s="245" t="s">
        <v>407</v>
      </c>
      <c r="B143" s="238" t="s">
        <v>138</v>
      </c>
      <c r="C143" s="245">
        <v>205092404</v>
      </c>
      <c r="D143" s="311" t="s">
        <v>712</v>
      </c>
      <c r="E143" s="478" t="s">
        <v>712</v>
      </c>
      <c r="F143" s="478" t="s">
        <v>138</v>
      </c>
      <c r="G143" s="240" t="s">
        <v>4</v>
      </c>
      <c r="H143" s="241" t="s">
        <v>816</v>
      </c>
      <c r="I143" s="241" t="s">
        <v>872</v>
      </c>
      <c r="J143" s="242" t="s">
        <v>917</v>
      </c>
      <c r="K143" s="1281" t="s">
        <v>2290</v>
      </c>
      <c r="L143" s="735" t="s">
        <v>2125</v>
      </c>
      <c r="M143" s="1306" t="s">
        <v>2838</v>
      </c>
      <c r="N143" s="786"/>
      <c r="O143" s="1296"/>
      <c r="P143" s="238"/>
      <c r="Q143" s="1296" t="s">
        <v>832</v>
      </c>
      <c r="R143" s="243">
        <f>$B$1</f>
        <v>45388</v>
      </c>
      <c r="S143" s="249"/>
      <c r="T143" s="249" t="s">
        <v>2919</v>
      </c>
      <c r="U143" s="244"/>
      <c r="V143" s="244"/>
      <c r="W143" s="245" t="str">
        <f>IFERROR(IF(AND(BD_PRINCIPAL[[#This Row],[DESDE]]&lt;&gt;"",BD_PRINCIPAL[[#This Row],[HASTA]]&lt;&gt;""),_xlfn.DAYS(BD_PRINCIPAL[[#This Row],[HASTA]],BD_PRINCIPAL[[#This Row],[DESDE]]),"")+1,"")</f>
        <v/>
      </c>
      <c r="X143" s="245">
        <f>VLOOKUP(BD_PRINCIPAL[[#This Row],[ENCUADRE. ESC.]],ORDEN1,2,FALSE)</f>
        <v>1</v>
      </c>
      <c r="Y143" s="245">
        <f>VLOOKUP(BD_PRINCIPAL[[#This Row],[DOTACIÓN ACTUAL]],ORDEN2,4,FALSE)</f>
        <v>124</v>
      </c>
      <c r="Z143" s="245">
        <f>VLOOKUP(BD_PRINCIPAL[[#This Row],[GRADO]],ORDEN3,2,FALSE)</f>
        <v>12</v>
      </c>
      <c r="AA143" s="245">
        <f>IFERROR(VLOOKUP(BD_PRINCIPAL[[#This Row],[DOTACIÓN ACTUAL]],ORDEN2,3,FALSE),0)</f>
        <v>0</v>
      </c>
      <c r="AB143" s="238" t="s">
        <v>1</v>
      </c>
      <c r="AC143" s="238" t="s">
        <v>853</v>
      </c>
      <c r="AD143" s="238" t="s">
        <v>1</v>
      </c>
      <c r="AE143" s="238" t="s">
        <v>853</v>
      </c>
      <c r="AF143" s="238" t="s">
        <v>6</v>
      </c>
      <c r="AG143" s="238" t="s">
        <v>2125</v>
      </c>
      <c r="AH143" s="238"/>
      <c r="AI143" s="238"/>
      <c r="AJ143" s="238"/>
      <c r="AK143" s="238"/>
      <c r="AL143" s="238"/>
      <c r="AM143" s="238"/>
      <c r="AN143" s="238"/>
      <c r="AO143" s="238"/>
      <c r="AP143" s="238"/>
      <c r="AQ143" s="238"/>
      <c r="AR143" s="238"/>
      <c r="AS143" s="238"/>
      <c r="AT143" s="246"/>
      <c r="AU143" s="246"/>
      <c r="AV143" s="246"/>
      <c r="AW143" s="246"/>
      <c r="AX143" s="246"/>
      <c r="AY143" s="246"/>
      <c r="AZ143" s="246"/>
      <c r="BA143" s="238"/>
      <c r="BB143" s="238"/>
      <c r="BC143" s="238"/>
      <c r="BD143" s="238"/>
      <c r="BE143" s="238"/>
      <c r="BF143" s="238"/>
      <c r="BG143" s="238"/>
      <c r="BH143" s="238"/>
      <c r="BI143" s="238"/>
      <c r="BJ143" s="238"/>
      <c r="BK143" s="238"/>
      <c r="BL143" s="238"/>
      <c r="BM143" s="786">
        <v>45112</v>
      </c>
      <c r="BN143" s="788"/>
    </row>
    <row r="144" spans="1:66" s="247" customFormat="1" x14ac:dyDescent="0.3">
      <c r="A144" s="245" t="s">
        <v>411</v>
      </c>
      <c r="B144" s="238" t="s">
        <v>265</v>
      </c>
      <c r="C144" s="245">
        <v>198188263</v>
      </c>
      <c r="D144" s="311" t="s">
        <v>712</v>
      </c>
      <c r="E144" s="486" t="s">
        <v>712</v>
      </c>
      <c r="F144" s="478" t="s">
        <v>265</v>
      </c>
      <c r="G144" s="240" t="s">
        <v>4</v>
      </c>
      <c r="H144" s="241" t="s">
        <v>816</v>
      </c>
      <c r="I144" s="241" t="s">
        <v>872</v>
      </c>
      <c r="J144" s="242" t="s">
        <v>917</v>
      </c>
      <c r="K144" s="1281" t="s">
        <v>2290</v>
      </c>
      <c r="L144" s="735" t="s">
        <v>2125</v>
      </c>
      <c r="M144" s="1306" t="s">
        <v>2838</v>
      </c>
      <c r="N144" s="775"/>
      <c r="O144" s="1296"/>
      <c r="P144" s="238"/>
      <c r="Q144" s="1296" t="s">
        <v>832</v>
      </c>
      <c r="R144" s="978">
        <f>$B$1</f>
        <v>45388</v>
      </c>
      <c r="S144" s="249"/>
      <c r="T144" s="239" t="s">
        <v>2919</v>
      </c>
      <c r="U144" s="244"/>
      <c r="V144" s="244"/>
      <c r="W144" s="245" t="str">
        <f>IFERROR(IF(AND(BD_PRINCIPAL[[#This Row],[DESDE]]&lt;&gt;"",BD_PRINCIPAL[[#This Row],[HASTA]]&lt;&gt;""),_xlfn.DAYS(BD_PRINCIPAL[[#This Row],[HASTA]],BD_PRINCIPAL[[#This Row],[DESDE]]),"")+1,"")</f>
        <v/>
      </c>
      <c r="X144" s="245">
        <f>VLOOKUP(BD_PRINCIPAL[[#This Row],[ENCUADRE. ESC.]],ORDEN1,2,FALSE)</f>
        <v>1</v>
      </c>
      <c r="Y144" s="245">
        <f>VLOOKUP(BD_PRINCIPAL[[#This Row],[DOTACIÓN ACTUAL]],ORDEN2,4,FALSE)</f>
        <v>124</v>
      </c>
      <c r="Z144" s="245">
        <f>VLOOKUP(BD_PRINCIPAL[[#This Row],[GRADO]],ORDEN3,2,FALSE)</f>
        <v>12</v>
      </c>
      <c r="AA144" s="245">
        <f>IFERROR(VLOOKUP(BD_PRINCIPAL[[#This Row],[DOTACIÓN ACTUAL]],ORDEN2,3,FALSE),0)</f>
        <v>0</v>
      </c>
      <c r="AB144" s="238" t="s">
        <v>1</v>
      </c>
      <c r="AC144" s="238" t="s">
        <v>853</v>
      </c>
      <c r="AD144" s="238" t="s">
        <v>1</v>
      </c>
      <c r="AE144" s="238" t="s">
        <v>853</v>
      </c>
      <c r="AF144" s="238" t="s">
        <v>6</v>
      </c>
      <c r="AG144" s="238" t="s">
        <v>2125</v>
      </c>
      <c r="AH144" s="238"/>
      <c r="AI144" s="238"/>
      <c r="AJ144" s="238"/>
      <c r="AK144" s="238"/>
      <c r="AL144" s="238"/>
      <c r="AM144" s="238"/>
      <c r="AN144" s="238"/>
      <c r="AO144" s="238"/>
      <c r="AP144" s="238"/>
      <c r="AQ144" s="238"/>
      <c r="AR144" s="238"/>
      <c r="AS144" s="238"/>
      <c r="AT144" s="246"/>
      <c r="AU144" s="246"/>
      <c r="AV144" s="246"/>
      <c r="AW144" s="246"/>
      <c r="AX144" s="246"/>
      <c r="AY144" s="246"/>
      <c r="AZ144" s="246"/>
      <c r="BA144" s="238"/>
      <c r="BB144" s="238"/>
      <c r="BC144" s="238"/>
      <c r="BD144" s="238"/>
      <c r="BE144" s="238"/>
      <c r="BF144" s="238"/>
      <c r="BG144" s="238"/>
      <c r="BH144" s="238"/>
      <c r="BI144" s="238"/>
      <c r="BJ144" s="238"/>
      <c r="BK144" s="238"/>
      <c r="BL144" s="238"/>
      <c r="BM144" s="775">
        <v>45139</v>
      </c>
      <c r="BN144" s="788"/>
    </row>
    <row r="145" spans="1:66" s="189" customFormat="1" x14ac:dyDescent="0.3">
      <c r="A145" s="188" t="s">
        <v>349</v>
      </c>
      <c r="B145" s="181" t="s">
        <v>258</v>
      </c>
      <c r="C145" s="188">
        <v>145763495</v>
      </c>
      <c r="D145" s="715" t="s">
        <v>701</v>
      </c>
      <c r="E145" s="488" t="s">
        <v>746</v>
      </c>
      <c r="F145" s="479" t="s">
        <v>258</v>
      </c>
      <c r="G145" s="191" t="s">
        <v>89</v>
      </c>
      <c r="H145" s="184" t="s">
        <v>816</v>
      </c>
      <c r="I145" s="184" t="s">
        <v>872</v>
      </c>
      <c r="J145" s="185" t="s">
        <v>917</v>
      </c>
      <c r="K145" s="1285" t="s">
        <v>2290</v>
      </c>
      <c r="L145" s="736" t="s">
        <v>2125</v>
      </c>
      <c r="M145" s="1310" t="s">
        <v>2838</v>
      </c>
      <c r="N145" s="777"/>
      <c r="O145" s="1298"/>
      <c r="P145" s="181"/>
      <c r="Q145" s="1298" t="s">
        <v>832</v>
      </c>
      <c r="R145" s="186">
        <f>$B$1</f>
        <v>45388</v>
      </c>
      <c r="S145" s="190"/>
      <c r="T145" s="190" t="s">
        <v>2919</v>
      </c>
      <c r="U145" s="192"/>
      <c r="V145" s="192"/>
      <c r="W145" s="188" t="str">
        <f>IFERROR(IF(AND(BD_PRINCIPAL[[#This Row],[DESDE]]&lt;&gt;"",BD_PRINCIPAL[[#This Row],[HASTA]]&lt;&gt;""),_xlfn.DAYS(BD_PRINCIPAL[[#This Row],[HASTA]],BD_PRINCIPAL[[#This Row],[DESDE]]),"")+1,"")</f>
        <v/>
      </c>
      <c r="X145" s="188">
        <f>VLOOKUP(BD_PRINCIPAL[[#This Row],[ENCUADRE. ESC.]],ORDEN1,2,FALSE)</f>
        <v>1</v>
      </c>
      <c r="Y145" s="188">
        <f>VLOOKUP(BD_PRINCIPAL[[#This Row],[DOTACIÓN ACTUAL]],ORDEN2,4,FALSE)</f>
        <v>127</v>
      </c>
      <c r="Z145" s="188">
        <f>VLOOKUP(BD_PRINCIPAL[[#This Row],[GRADO]],ORDEN3,2,FALSE)</f>
        <v>9</v>
      </c>
      <c r="AA145" s="188">
        <f>IFERROR(VLOOKUP(BD_PRINCIPAL[[#This Row],[DOTACIÓN ACTUAL]],ORDEN2,3,FALSE),0)</f>
        <v>0</v>
      </c>
      <c r="AB145" s="181" t="s">
        <v>1</v>
      </c>
      <c r="AC145" s="181" t="s">
        <v>853</v>
      </c>
      <c r="AD145" s="181" t="s">
        <v>2</v>
      </c>
      <c r="AE145" s="181" t="s">
        <v>853</v>
      </c>
      <c r="AF145" s="181" t="s">
        <v>854</v>
      </c>
      <c r="AG145" s="181" t="s">
        <v>2125</v>
      </c>
      <c r="AH145" s="181"/>
      <c r="AI145" s="181"/>
      <c r="AJ145" s="181"/>
      <c r="AK145" s="181"/>
      <c r="AL145" s="181"/>
      <c r="AM145" s="181"/>
      <c r="AN145" s="181"/>
      <c r="AO145" s="181"/>
      <c r="AP145" s="181"/>
      <c r="AQ145" s="181"/>
      <c r="AR145" s="181"/>
      <c r="AS145" s="181"/>
      <c r="AT145" s="187"/>
      <c r="AU145" s="187"/>
      <c r="AV145" s="187"/>
      <c r="AW145" s="187"/>
      <c r="AX145" s="187"/>
      <c r="AY145" s="187"/>
      <c r="AZ145" s="187"/>
      <c r="BA145" s="181"/>
      <c r="BB145" s="181"/>
      <c r="BC145" s="181"/>
      <c r="BD145" s="181"/>
      <c r="BE145" s="181"/>
      <c r="BF145" s="181"/>
      <c r="BG145" s="181"/>
      <c r="BH145" s="181"/>
      <c r="BI145" s="181"/>
      <c r="BJ145" s="181"/>
      <c r="BK145" s="181"/>
      <c r="BL145" s="181"/>
      <c r="BM145" s="777">
        <v>45068</v>
      </c>
      <c r="BN145" s="792"/>
    </row>
    <row r="146" spans="1:66" s="189" customFormat="1" ht="26.4" x14ac:dyDescent="0.3">
      <c r="A146" s="188" t="s">
        <v>2535</v>
      </c>
      <c r="B146" s="864" t="s">
        <v>2537</v>
      </c>
      <c r="C146" s="188" t="s">
        <v>2536</v>
      </c>
      <c r="D146" s="479" t="s">
        <v>701</v>
      </c>
      <c r="E146" s="479" t="s">
        <v>701</v>
      </c>
      <c r="F146" s="479" t="s">
        <v>2537</v>
      </c>
      <c r="G146" s="191" t="s">
        <v>3</v>
      </c>
      <c r="H146" s="184" t="s">
        <v>816</v>
      </c>
      <c r="I146" s="184" t="s">
        <v>872</v>
      </c>
      <c r="J146" s="185" t="s">
        <v>917</v>
      </c>
      <c r="K146" s="1283" t="s">
        <v>2290</v>
      </c>
      <c r="L146" s="736" t="s">
        <v>2125</v>
      </c>
      <c r="M146" s="1308" t="s">
        <v>2838</v>
      </c>
      <c r="N146" s="776"/>
      <c r="O146" s="1298"/>
      <c r="P146" s="181"/>
      <c r="Q146" s="1298" t="s">
        <v>832</v>
      </c>
      <c r="R146" s="865">
        <v>34275</v>
      </c>
      <c r="S146" s="190" t="s">
        <v>3361</v>
      </c>
      <c r="T146" s="190" t="s">
        <v>3467</v>
      </c>
      <c r="U146" s="887"/>
      <c r="V146" s="887"/>
      <c r="W146" s="339" t="str">
        <f>IFERROR(IF(AND(BD_PRINCIPAL[[#This Row],[DESDE]]&lt;&gt;"",BD_PRINCIPAL[[#This Row],[HASTA]]&lt;&gt;""),_xlfn.DAYS(BD_PRINCIPAL[[#This Row],[HASTA]],BD_PRINCIPAL[[#This Row],[DESDE]]),"")+1,"")</f>
        <v/>
      </c>
      <c r="X146" s="339">
        <f>VLOOKUP(BD_PRINCIPAL[[#This Row],[ENCUADRE. ESC.]],ORDEN1,2,FALSE)</f>
        <v>1</v>
      </c>
      <c r="Y146" s="339">
        <f>VLOOKUP(BD_PRINCIPAL[[#This Row],[DOTACIÓN ACTUAL]],ORDEN2,4,FALSE)</f>
        <v>128</v>
      </c>
      <c r="Z146" s="339">
        <f>VLOOKUP(BD_PRINCIPAL[[#This Row],[GRADO]],ORDEN3,2,FALSE)</f>
        <v>11</v>
      </c>
      <c r="AA146" s="339">
        <f>IFERROR(VLOOKUP(BD_PRINCIPAL[[#This Row],[DOTACIÓN ACTUAL]],ORDEN2,3,FALSE),0)</f>
        <v>0</v>
      </c>
      <c r="AB146" s="181" t="s">
        <v>1</v>
      </c>
      <c r="AC146" s="181" t="s">
        <v>2</v>
      </c>
      <c r="AD146" s="181" t="s">
        <v>2</v>
      </c>
      <c r="AE146" s="181" t="s">
        <v>853</v>
      </c>
      <c r="AF146" s="181" t="s">
        <v>854</v>
      </c>
      <c r="AG146" s="181" t="s">
        <v>2125</v>
      </c>
      <c r="AH146" s="187"/>
      <c r="AI146" s="187"/>
      <c r="AJ146" s="187"/>
      <c r="AK146" s="187"/>
      <c r="AL146" s="187"/>
      <c r="AM146" s="187"/>
      <c r="AN146" s="187"/>
      <c r="AO146" s="187"/>
      <c r="AP146" s="187"/>
      <c r="AQ146" s="187"/>
      <c r="AR146" s="187"/>
      <c r="AS146" s="187"/>
      <c r="AT146" s="187"/>
      <c r="AU146" s="187"/>
      <c r="AV146" s="187"/>
      <c r="AW146" s="187"/>
      <c r="AX146" s="187"/>
      <c r="AY146" s="187"/>
      <c r="AZ146" s="187"/>
      <c r="BA146" s="181"/>
      <c r="BB146" s="181"/>
      <c r="BC146" s="181"/>
      <c r="BD146" s="181"/>
      <c r="BE146" s="181"/>
      <c r="BF146" s="181"/>
      <c r="BG146" s="181"/>
      <c r="BH146" s="181"/>
      <c r="BI146" s="181"/>
      <c r="BJ146" s="181"/>
      <c r="BK146" s="181"/>
      <c r="BL146" s="181"/>
      <c r="BM146" s="777">
        <v>45258</v>
      </c>
      <c r="BN146" s="792"/>
    </row>
    <row r="147" spans="1:66" s="189" customFormat="1" x14ac:dyDescent="0.3">
      <c r="A147" s="188" t="s">
        <v>2695</v>
      </c>
      <c r="B147" s="864" t="s">
        <v>2697</v>
      </c>
      <c r="C147" s="188" t="s">
        <v>2696</v>
      </c>
      <c r="D147" s="479" t="s">
        <v>701</v>
      </c>
      <c r="E147" s="479" t="s">
        <v>701</v>
      </c>
      <c r="F147" s="479" t="s">
        <v>2697</v>
      </c>
      <c r="G147" s="191" t="s">
        <v>3</v>
      </c>
      <c r="H147" s="184" t="s">
        <v>816</v>
      </c>
      <c r="I147" s="184" t="s">
        <v>872</v>
      </c>
      <c r="J147" s="185" t="s">
        <v>917</v>
      </c>
      <c r="K147" s="1283" t="s">
        <v>2290</v>
      </c>
      <c r="L147" s="736" t="s">
        <v>2125</v>
      </c>
      <c r="M147" s="1308" t="s">
        <v>2838</v>
      </c>
      <c r="N147" s="776"/>
      <c r="O147" s="1298"/>
      <c r="P147" s="181"/>
      <c r="Q147" s="1298" t="s">
        <v>832</v>
      </c>
      <c r="R147" s="865" t="s">
        <v>2449</v>
      </c>
      <c r="S147" s="182"/>
      <c r="T147" s="182" t="s">
        <v>2919</v>
      </c>
      <c r="U147" s="887"/>
      <c r="V147" s="887"/>
      <c r="W147" s="339" t="str">
        <f>IFERROR(IF(AND(BD_PRINCIPAL[[#This Row],[DESDE]]&lt;&gt;"",BD_PRINCIPAL[[#This Row],[HASTA]]&lt;&gt;""),_xlfn.DAYS(BD_PRINCIPAL[[#This Row],[HASTA]],BD_PRINCIPAL[[#This Row],[DESDE]]),"")+1,"")</f>
        <v/>
      </c>
      <c r="X147" s="339">
        <f>VLOOKUP(BD_PRINCIPAL[[#This Row],[ENCUADRE. ESC.]],ORDEN1,2,FALSE)</f>
        <v>1</v>
      </c>
      <c r="Y147" s="339">
        <f>VLOOKUP(BD_PRINCIPAL[[#This Row],[DOTACIÓN ACTUAL]],ORDEN2,4,FALSE)</f>
        <v>128</v>
      </c>
      <c r="Z147" s="339">
        <f>VLOOKUP(BD_PRINCIPAL[[#This Row],[GRADO]],ORDEN3,2,FALSE)</f>
        <v>11</v>
      </c>
      <c r="AA147" s="339">
        <f>IFERROR(VLOOKUP(BD_PRINCIPAL[[#This Row],[DOTACIÓN ACTUAL]],ORDEN2,3,FALSE),0)</f>
        <v>0</v>
      </c>
      <c r="AB147" s="181" t="s">
        <v>1</v>
      </c>
      <c r="AC147" s="181" t="s">
        <v>853</v>
      </c>
      <c r="AD147" s="181" t="s">
        <v>2</v>
      </c>
      <c r="AE147" s="181" t="s">
        <v>853</v>
      </c>
      <c r="AF147" s="181" t="s">
        <v>854</v>
      </c>
      <c r="AG147" s="181" t="s">
        <v>2125</v>
      </c>
      <c r="AH147" s="187"/>
      <c r="AI147" s="187"/>
      <c r="AJ147" s="187"/>
      <c r="AK147" s="187"/>
      <c r="AL147" s="187"/>
      <c r="AM147" s="187"/>
      <c r="AN147" s="187"/>
      <c r="AO147" s="187"/>
      <c r="AP147" s="187"/>
      <c r="AQ147" s="187"/>
      <c r="AR147" s="187"/>
      <c r="AS147" s="187"/>
      <c r="AT147" s="187"/>
      <c r="AU147" s="187"/>
      <c r="AV147" s="187"/>
      <c r="AW147" s="187"/>
      <c r="AX147" s="187"/>
      <c r="AY147" s="187"/>
      <c r="AZ147" s="187"/>
      <c r="BA147" s="181"/>
      <c r="BB147" s="181"/>
      <c r="BC147" s="181"/>
      <c r="BD147" s="181"/>
      <c r="BE147" s="181"/>
      <c r="BF147" s="181"/>
      <c r="BG147" s="181"/>
      <c r="BH147" s="181"/>
      <c r="BI147" s="181"/>
      <c r="BJ147" s="181"/>
      <c r="BK147" s="181"/>
      <c r="BL147" s="181"/>
      <c r="BM147" s="899"/>
      <c r="BN147" s="899"/>
    </row>
    <row r="148" spans="1:66" s="189" customFormat="1" x14ac:dyDescent="0.3">
      <c r="A148" s="188" t="s">
        <v>2683</v>
      </c>
      <c r="B148" s="864" t="s">
        <v>2685</v>
      </c>
      <c r="C148" s="188" t="s">
        <v>2684</v>
      </c>
      <c r="D148" s="313" t="s">
        <v>701</v>
      </c>
      <c r="E148" s="479" t="s">
        <v>701</v>
      </c>
      <c r="F148" s="479" t="s">
        <v>2685</v>
      </c>
      <c r="G148" s="191" t="s">
        <v>3</v>
      </c>
      <c r="H148" s="184" t="s">
        <v>816</v>
      </c>
      <c r="I148" s="184" t="s">
        <v>872</v>
      </c>
      <c r="J148" s="185" t="s">
        <v>917</v>
      </c>
      <c r="K148" s="1283" t="s">
        <v>2290</v>
      </c>
      <c r="L148" s="736" t="s">
        <v>2125</v>
      </c>
      <c r="M148" s="1308" t="s">
        <v>2838</v>
      </c>
      <c r="N148" s="776"/>
      <c r="O148" s="1298"/>
      <c r="P148" s="181"/>
      <c r="Q148" s="1298" t="s">
        <v>832</v>
      </c>
      <c r="R148" s="865">
        <v>32842</v>
      </c>
      <c r="S148" s="190"/>
      <c r="T148" s="182" t="s">
        <v>2919</v>
      </c>
      <c r="U148" s="887"/>
      <c r="V148" s="887"/>
      <c r="W148" s="339" t="str">
        <f>IFERROR(IF(AND(BD_PRINCIPAL[[#This Row],[DESDE]]&lt;&gt;"",BD_PRINCIPAL[[#This Row],[HASTA]]&lt;&gt;""),_xlfn.DAYS(BD_PRINCIPAL[[#This Row],[HASTA]],BD_PRINCIPAL[[#This Row],[DESDE]]),"")+1,"")</f>
        <v/>
      </c>
      <c r="X148" s="339">
        <f>VLOOKUP(BD_PRINCIPAL[[#This Row],[ENCUADRE. ESC.]],ORDEN1,2,FALSE)</f>
        <v>1</v>
      </c>
      <c r="Y148" s="339">
        <f>VLOOKUP(BD_PRINCIPAL[[#This Row],[DOTACIÓN ACTUAL]],ORDEN2,4,FALSE)</f>
        <v>128</v>
      </c>
      <c r="Z148" s="339">
        <f>VLOOKUP(BD_PRINCIPAL[[#This Row],[GRADO]],ORDEN3,2,FALSE)</f>
        <v>11</v>
      </c>
      <c r="AA148" s="339">
        <f>IFERROR(VLOOKUP(BD_PRINCIPAL[[#This Row],[DOTACIÓN ACTUAL]],ORDEN2,3,FALSE),0)</f>
        <v>0</v>
      </c>
      <c r="AB148" s="181" t="s">
        <v>1</v>
      </c>
      <c r="AC148" s="181" t="s">
        <v>853</v>
      </c>
      <c r="AD148" s="181" t="s">
        <v>2</v>
      </c>
      <c r="AE148" s="181" t="s">
        <v>853</v>
      </c>
      <c r="AF148" s="181" t="s">
        <v>854</v>
      </c>
      <c r="AG148" s="181" t="s">
        <v>2125</v>
      </c>
      <c r="AH148" s="187"/>
      <c r="AI148" s="187"/>
      <c r="AJ148" s="187"/>
      <c r="AK148" s="187"/>
      <c r="AL148" s="187"/>
      <c r="AM148" s="187"/>
      <c r="AN148" s="187"/>
      <c r="AO148" s="187"/>
      <c r="AP148" s="187"/>
      <c r="AQ148" s="187"/>
      <c r="AR148" s="187"/>
      <c r="AS148" s="187"/>
      <c r="AT148" s="187"/>
      <c r="AU148" s="187"/>
      <c r="AV148" s="187"/>
      <c r="AW148" s="187"/>
      <c r="AX148" s="187"/>
      <c r="AY148" s="187"/>
      <c r="AZ148" s="187"/>
      <c r="BA148" s="181"/>
      <c r="BB148" s="181"/>
      <c r="BC148" s="181"/>
      <c r="BD148" s="181"/>
      <c r="BE148" s="181"/>
      <c r="BF148" s="181"/>
      <c r="BG148" s="181"/>
      <c r="BH148" s="181"/>
      <c r="BI148" s="181"/>
      <c r="BJ148" s="181"/>
      <c r="BK148" s="181"/>
      <c r="BL148" s="181"/>
      <c r="BM148" s="899">
        <v>45362</v>
      </c>
      <c r="BN148" s="899"/>
    </row>
    <row r="149" spans="1:66" s="189" customFormat="1" x14ac:dyDescent="0.3">
      <c r="A149" s="188" t="s">
        <v>352</v>
      </c>
      <c r="B149" s="181" t="s">
        <v>179</v>
      </c>
      <c r="C149" s="188">
        <v>195811784</v>
      </c>
      <c r="D149" s="314" t="s">
        <v>701</v>
      </c>
      <c r="E149" s="479" t="s">
        <v>701</v>
      </c>
      <c r="F149" s="479" t="s">
        <v>179</v>
      </c>
      <c r="G149" s="183" t="s">
        <v>4</v>
      </c>
      <c r="H149" s="184" t="s">
        <v>816</v>
      </c>
      <c r="I149" s="184" t="s">
        <v>872</v>
      </c>
      <c r="J149" s="185" t="s">
        <v>917</v>
      </c>
      <c r="K149" s="1283" t="s">
        <v>2290</v>
      </c>
      <c r="L149" s="736" t="s">
        <v>2125</v>
      </c>
      <c r="M149" s="1308" t="s">
        <v>2838</v>
      </c>
      <c r="N149" s="777"/>
      <c r="O149" s="1298"/>
      <c r="P149" s="181"/>
      <c r="Q149" s="1298" t="s">
        <v>832</v>
      </c>
      <c r="R149" s="186">
        <f>$B$1</f>
        <v>45388</v>
      </c>
      <c r="S149" s="190"/>
      <c r="T149" s="190" t="s">
        <v>2919</v>
      </c>
      <c r="U149" s="192"/>
      <c r="V149" s="192"/>
      <c r="W149" s="188" t="str">
        <f>IFERROR(IF(AND(BD_PRINCIPAL[[#This Row],[DESDE]]&lt;&gt;"",BD_PRINCIPAL[[#This Row],[HASTA]]&lt;&gt;""),_xlfn.DAYS(BD_PRINCIPAL[[#This Row],[HASTA]],BD_PRINCIPAL[[#This Row],[DESDE]]),"")+1,"")</f>
        <v/>
      </c>
      <c r="X149" s="188">
        <f>VLOOKUP(BD_PRINCIPAL[[#This Row],[ENCUADRE. ESC.]],ORDEN1,2,FALSE)</f>
        <v>1</v>
      </c>
      <c r="Y149" s="188">
        <f>VLOOKUP(BD_PRINCIPAL[[#This Row],[DOTACIÓN ACTUAL]],ORDEN2,4,FALSE)</f>
        <v>128</v>
      </c>
      <c r="Z149" s="188">
        <f>VLOOKUP(BD_PRINCIPAL[[#This Row],[GRADO]],ORDEN3,2,FALSE)</f>
        <v>12</v>
      </c>
      <c r="AA149" s="188">
        <f>IFERROR(VLOOKUP(BD_PRINCIPAL[[#This Row],[DOTACIÓN ACTUAL]],ORDEN2,3,FALSE),0)</f>
        <v>0</v>
      </c>
      <c r="AB149" s="181" t="s">
        <v>1</v>
      </c>
      <c r="AC149" s="181" t="s">
        <v>853</v>
      </c>
      <c r="AD149" s="181" t="s">
        <v>2</v>
      </c>
      <c r="AE149" s="181" t="s">
        <v>853</v>
      </c>
      <c r="AF149" s="181" t="s">
        <v>854</v>
      </c>
      <c r="AG149" s="181" t="s">
        <v>2125</v>
      </c>
      <c r="AH149" s="181"/>
      <c r="AI149" s="181"/>
      <c r="AJ149" s="181"/>
      <c r="AK149" s="181"/>
      <c r="AL149" s="181"/>
      <c r="AM149" s="181"/>
      <c r="AN149" s="181"/>
      <c r="AO149" s="181"/>
      <c r="AP149" s="181"/>
      <c r="AQ149" s="181"/>
      <c r="AR149" s="181"/>
      <c r="AS149" s="181"/>
      <c r="AT149" s="187"/>
      <c r="AU149" s="187"/>
      <c r="AV149" s="187"/>
      <c r="AW149" s="187"/>
      <c r="AX149" s="187"/>
      <c r="AY149" s="187"/>
      <c r="AZ149" s="187"/>
      <c r="BA149" s="181"/>
      <c r="BB149" s="181"/>
      <c r="BC149" s="181"/>
      <c r="BD149" s="181"/>
      <c r="BE149" s="181"/>
      <c r="BF149" s="181"/>
      <c r="BG149" s="181"/>
      <c r="BH149" s="181"/>
      <c r="BI149" s="181"/>
      <c r="BJ149" s="181"/>
      <c r="BK149" s="181"/>
      <c r="BL149" s="181"/>
      <c r="BM149" s="777">
        <v>45152</v>
      </c>
      <c r="BN149" s="792"/>
    </row>
    <row r="150" spans="1:66" s="189" customFormat="1" ht="39.6" x14ac:dyDescent="0.3">
      <c r="A150" s="188" t="s">
        <v>419</v>
      </c>
      <c r="B150" s="181" t="s">
        <v>127</v>
      </c>
      <c r="C150" s="188">
        <v>193178367</v>
      </c>
      <c r="D150" s="313" t="s">
        <v>701</v>
      </c>
      <c r="E150" s="488" t="s">
        <v>701</v>
      </c>
      <c r="F150" s="479" t="s">
        <v>2270</v>
      </c>
      <c r="G150" s="183" t="s">
        <v>4</v>
      </c>
      <c r="H150" s="184" t="s">
        <v>817</v>
      </c>
      <c r="I150" s="184" t="s">
        <v>872</v>
      </c>
      <c r="J150" s="185" t="s">
        <v>917</v>
      </c>
      <c r="K150" s="1283" t="s">
        <v>2301</v>
      </c>
      <c r="L150" s="736" t="s">
        <v>2125</v>
      </c>
      <c r="M150" s="1308" t="s">
        <v>2838</v>
      </c>
      <c r="N150" s="778"/>
      <c r="O150" s="1298"/>
      <c r="P150" s="181"/>
      <c r="Q150" s="1298" t="s">
        <v>832</v>
      </c>
      <c r="R150" s="186">
        <f>$B$1</f>
        <v>45388</v>
      </c>
      <c r="S150" s="190" t="s">
        <v>3571</v>
      </c>
      <c r="T150" s="190" t="s">
        <v>2919</v>
      </c>
      <c r="U150" s="192"/>
      <c r="V150" s="192"/>
      <c r="W150" s="188" t="str">
        <f>IFERROR(IF(AND(BD_PRINCIPAL[[#This Row],[DESDE]]&lt;&gt;"",BD_PRINCIPAL[[#This Row],[HASTA]]&lt;&gt;""),_xlfn.DAYS(BD_PRINCIPAL[[#This Row],[HASTA]],BD_PRINCIPAL[[#This Row],[DESDE]]),"")+1,"")</f>
        <v/>
      </c>
      <c r="X150" s="188">
        <f>VLOOKUP(BD_PRINCIPAL[[#This Row],[ENCUADRE. ESC.]],ORDEN1,2,FALSE)</f>
        <v>1</v>
      </c>
      <c r="Y150" s="188">
        <f>VLOOKUP(BD_PRINCIPAL[[#This Row],[DOTACIÓN ACTUAL]],ORDEN2,4,FALSE)</f>
        <v>128</v>
      </c>
      <c r="Z150" s="188">
        <f>VLOOKUP(BD_PRINCIPAL[[#This Row],[GRADO]],ORDEN3,2,FALSE)</f>
        <v>12</v>
      </c>
      <c r="AA150" s="188">
        <f>IFERROR(VLOOKUP(BD_PRINCIPAL[[#This Row],[DOTACIÓN ACTUAL]],ORDEN2,3,FALSE),0)</f>
        <v>0</v>
      </c>
      <c r="AB150" s="181" t="s">
        <v>1</v>
      </c>
      <c r="AC150" s="181" t="s">
        <v>853</v>
      </c>
      <c r="AD150" s="181" t="s">
        <v>2</v>
      </c>
      <c r="AE150" s="181" t="s">
        <v>853</v>
      </c>
      <c r="AF150" s="181" t="s">
        <v>854</v>
      </c>
      <c r="AG150" s="181" t="s">
        <v>2125</v>
      </c>
      <c r="AH150" s="181"/>
      <c r="AI150" s="181"/>
      <c r="AJ150" s="181"/>
      <c r="AK150" s="181"/>
      <c r="AL150" s="181"/>
      <c r="AM150" s="181"/>
      <c r="AN150" s="181"/>
      <c r="AO150" s="181"/>
      <c r="AP150" s="181"/>
      <c r="AQ150" s="181"/>
      <c r="AR150" s="181"/>
      <c r="AS150" s="181"/>
      <c r="AT150" s="187"/>
      <c r="AU150" s="187"/>
      <c r="AV150" s="187"/>
      <c r="AW150" s="187"/>
      <c r="AX150" s="187"/>
      <c r="AY150" s="187"/>
      <c r="AZ150" s="187"/>
      <c r="BA150" s="181"/>
      <c r="BB150" s="181"/>
      <c r="BC150" s="181"/>
      <c r="BD150" s="181"/>
      <c r="BE150" s="181"/>
      <c r="BF150" s="181"/>
      <c r="BG150" s="181"/>
      <c r="BH150" s="181"/>
      <c r="BI150" s="181"/>
      <c r="BJ150" s="181"/>
      <c r="BK150" s="181"/>
      <c r="BL150" s="181"/>
      <c r="BM150" s="778">
        <v>45099</v>
      </c>
      <c r="BN150" s="792"/>
    </row>
    <row r="151" spans="1:66" s="189" customFormat="1" x14ac:dyDescent="0.3">
      <c r="A151" s="188" t="s">
        <v>418</v>
      </c>
      <c r="B151" s="181" t="s">
        <v>171</v>
      </c>
      <c r="C151" s="188">
        <v>205381724</v>
      </c>
      <c r="D151" s="313" t="s">
        <v>701</v>
      </c>
      <c r="E151" s="488" t="s">
        <v>701</v>
      </c>
      <c r="F151" s="479" t="s">
        <v>171</v>
      </c>
      <c r="G151" s="183" t="s">
        <v>4</v>
      </c>
      <c r="H151" s="184" t="s">
        <v>816</v>
      </c>
      <c r="I151" s="184" t="s">
        <v>872</v>
      </c>
      <c r="J151" s="185" t="s">
        <v>917</v>
      </c>
      <c r="K151" s="1283" t="s">
        <v>2290</v>
      </c>
      <c r="L151" s="736" t="s">
        <v>2125</v>
      </c>
      <c r="M151" s="1308" t="s">
        <v>2838</v>
      </c>
      <c r="N151" s="778"/>
      <c r="O151" s="1298"/>
      <c r="P151" s="181"/>
      <c r="Q151" s="1298" t="s">
        <v>832</v>
      </c>
      <c r="R151" s="186">
        <f>$B$1</f>
        <v>45388</v>
      </c>
      <c r="S151" s="190"/>
      <c r="T151" s="190" t="s">
        <v>2919</v>
      </c>
      <c r="U151" s="192"/>
      <c r="V151" s="192"/>
      <c r="W151" s="188" t="str">
        <f>IFERROR(IF(AND(BD_PRINCIPAL[[#This Row],[DESDE]]&lt;&gt;"",BD_PRINCIPAL[[#This Row],[HASTA]]&lt;&gt;""),_xlfn.DAYS(BD_PRINCIPAL[[#This Row],[HASTA]],BD_PRINCIPAL[[#This Row],[DESDE]]),"")+1,"")</f>
        <v/>
      </c>
      <c r="X151" s="188">
        <f>VLOOKUP(BD_PRINCIPAL[[#This Row],[ENCUADRE. ESC.]],ORDEN1,2,FALSE)</f>
        <v>1</v>
      </c>
      <c r="Y151" s="188">
        <f>VLOOKUP(BD_PRINCIPAL[[#This Row],[DOTACIÓN ACTUAL]],ORDEN2,4,FALSE)</f>
        <v>128</v>
      </c>
      <c r="Z151" s="188">
        <f>VLOOKUP(BD_PRINCIPAL[[#This Row],[GRADO]],ORDEN3,2,FALSE)</f>
        <v>12</v>
      </c>
      <c r="AA151" s="188">
        <f>IFERROR(VLOOKUP(BD_PRINCIPAL[[#This Row],[DOTACIÓN ACTUAL]],ORDEN2,3,FALSE),0)</f>
        <v>0</v>
      </c>
      <c r="AB151" s="181" t="s">
        <v>1</v>
      </c>
      <c r="AC151" s="181" t="s">
        <v>853</v>
      </c>
      <c r="AD151" s="181" t="s">
        <v>2</v>
      </c>
      <c r="AE151" s="181" t="s">
        <v>853</v>
      </c>
      <c r="AF151" s="181" t="s">
        <v>854</v>
      </c>
      <c r="AG151" s="181" t="s">
        <v>2125</v>
      </c>
      <c r="AH151" s="181"/>
      <c r="AI151" s="181"/>
      <c r="AJ151" s="181"/>
      <c r="AK151" s="181"/>
      <c r="AL151" s="181"/>
      <c r="AM151" s="181"/>
      <c r="AN151" s="181"/>
      <c r="AO151" s="181"/>
      <c r="AP151" s="181"/>
      <c r="AQ151" s="181"/>
      <c r="AR151" s="181"/>
      <c r="AS151" s="181"/>
      <c r="AT151" s="187"/>
      <c r="AU151" s="187"/>
      <c r="AV151" s="187"/>
      <c r="AW151" s="187"/>
      <c r="AX151" s="187"/>
      <c r="AY151" s="187"/>
      <c r="AZ151" s="187"/>
      <c r="BA151" s="181"/>
      <c r="BB151" s="181"/>
      <c r="BC151" s="181"/>
      <c r="BD151" s="181"/>
      <c r="BE151" s="181"/>
      <c r="BF151" s="181"/>
      <c r="BG151" s="181"/>
      <c r="BH151" s="181"/>
      <c r="BI151" s="181"/>
      <c r="BJ151" s="181"/>
      <c r="BK151" s="181"/>
      <c r="BL151" s="181"/>
      <c r="BM151" s="778">
        <v>45037</v>
      </c>
      <c r="BN151" s="792"/>
    </row>
    <row r="152" spans="1:66" s="189" customFormat="1" x14ac:dyDescent="0.3">
      <c r="A152" s="188" t="s">
        <v>353</v>
      </c>
      <c r="B152" s="181" t="s">
        <v>267</v>
      </c>
      <c r="C152" s="188">
        <v>182004448</v>
      </c>
      <c r="D152" s="313" t="s">
        <v>701</v>
      </c>
      <c r="E152" s="479" t="s">
        <v>701</v>
      </c>
      <c r="F152" s="479" t="s">
        <v>2896</v>
      </c>
      <c r="G152" s="183" t="s">
        <v>4</v>
      </c>
      <c r="H152" s="184" t="s">
        <v>816</v>
      </c>
      <c r="I152" s="184" t="s">
        <v>872</v>
      </c>
      <c r="J152" s="185" t="s">
        <v>917</v>
      </c>
      <c r="K152" s="1283" t="s">
        <v>2309</v>
      </c>
      <c r="L152" s="736" t="s">
        <v>2125</v>
      </c>
      <c r="M152" s="1308" t="s">
        <v>2838</v>
      </c>
      <c r="N152" s="892"/>
      <c r="O152" s="1298"/>
      <c r="P152" s="181"/>
      <c r="Q152" s="1298" t="s">
        <v>832</v>
      </c>
      <c r="R152" s="186">
        <f>$B$1</f>
        <v>45388</v>
      </c>
      <c r="S152" s="190"/>
      <c r="T152" s="182" t="s">
        <v>2919</v>
      </c>
      <c r="U152" s="192"/>
      <c r="V152" s="192"/>
      <c r="W152" s="188" t="str">
        <f>IFERROR(IF(AND(BD_PRINCIPAL[[#This Row],[DESDE]]&lt;&gt;"",BD_PRINCIPAL[[#This Row],[HASTA]]&lt;&gt;""),_xlfn.DAYS(BD_PRINCIPAL[[#This Row],[HASTA]],BD_PRINCIPAL[[#This Row],[DESDE]]),"")+1,"")</f>
        <v/>
      </c>
      <c r="X152" s="188">
        <f>VLOOKUP(BD_PRINCIPAL[[#This Row],[ENCUADRE. ESC.]],ORDEN1,2,FALSE)</f>
        <v>1</v>
      </c>
      <c r="Y152" s="188">
        <f>VLOOKUP(BD_PRINCIPAL[[#This Row],[DOTACIÓN ACTUAL]],ORDEN2,4,FALSE)</f>
        <v>128</v>
      </c>
      <c r="Z152" s="188">
        <f>VLOOKUP(BD_PRINCIPAL[[#This Row],[GRADO]],ORDEN3,2,FALSE)</f>
        <v>12</v>
      </c>
      <c r="AA152" s="188">
        <f>IFERROR(VLOOKUP(BD_PRINCIPAL[[#This Row],[DOTACIÓN ACTUAL]],ORDEN2,3,FALSE),0)</f>
        <v>0</v>
      </c>
      <c r="AB152" s="181" t="s">
        <v>1</v>
      </c>
      <c r="AC152" s="181" t="s">
        <v>853</v>
      </c>
      <c r="AD152" s="181" t="s">
        <v>2</v>
      </c>
      <c r="AE152" s="181" t="s">
        <v>853</v>
      </c>
      <c r="AF152" s="181" t="s">
        <v>854</v>
      </c>
      <c r="AG152" s="181" t="s">
        <v>2125</v>
      </c>
      <c r="AH152" s="181"/>
      <c r="AI152" s="181"/>
      <c r="AJ152" s="181"/>
      <c r="AK152" s="181"/>
      <c r="AL152" s="181"/>
      <c r="AM152" s="181"/>
      <c r="AN152" s="181"/>
      <c r="AO152" s="181"/>
      <c r="AP152" s="181"/>
      <c r="AQ152" s="181"/>
      <c r="AR152" s="181"/>
      <c r="AS152" s="181"/>
      <c r="AT152" s="187"/>
      <c r="AU152" s="187"/>
      <c r="AV152" s="187"/>
      <c r="AW152" s="187"/>
      <c r="AX152" s="187"/>
      <c r="AY152" s="187"/>
      <c r="AZ152" s="187"/>
      <c r="BA152" s="181"/>
      <c r="BB152" s="181"/>
      <c r="BC152" s="181"/>
      <c r="BD152" s="181"/>
      <c r="BE152" s="181"/>
      <c r="BF152" s="181"/>
      <c r="BG152" s="181"/>
      <c r="BH152" s="181"/>
      <c r="BI152" s="181"/>
      <c r="BJ152" s="181"/>
      <c r="BK152" s="181"/>
      <c r="BL152" s="181"/>
      <c r="BM152" s="892">
        <v>45096</v>
      </c>
      <c r="BN152" s="792"/>
    </row>
    <row r="153" spans="1:66" s="233" customFormat="1" x14ac:dyDescent="0.3">
      <c r="A153" s="231" t="s">
        <v>570</v>
      </c>
      <c r="B153" s="225" t="s">
        <v>177</v>
      </c>
      <c r="C153" s="231">
        <v>128881220</v>
      </c>
      <c r="D153" s="477" t="s">
        <v>748</v>
      </c>
      <c r="E153" s="477" t="s">
        <v>748</v>
      </c>
      <c r="F153" s="477" t="s">
        <v>177</v>
      </c>
      <c r="G153" s="227" t="s">
        <v>17</v>
      </c>
      <c r="H153" s="228" t="s">
        <v>816</v>
      </c>
      <c r="I153" s="228" t="s">
        <v>872</v>
      </c>
      <c r="J153" s="229" t="s">
        <v>917</v>
      </c>
      <c r="K153" s="1280" t="s">
        <v>2290</v>
      </c>
      <c r="L153" s="734" t="s">
        <v>2125</v>
      </c>
      <c r="M153" s="1305" t="s">
        <v>2838</v>
      </c>
      <c r="N153" s="780"/>
      <c r="O153" s="1295"/>
      <c r="P153" s="225"/>
      <c r="Q153" s="1295" t="s">
        <v>832</v>
      </c>
      <c r="R153" s="234">
        <f>$B$1</f>
        <v>45388</v>
      </c>
      <c r="S153" s="236"/>
      <c r="T153" s="236"/>
      <c r="U153" s="230"/>
      <c r="V153" s="230"/>
      <c r="W153" s="231" t="str">
        <f>IFERROR(IF(AND(BD_PRINCIPAL[[#This Row],[DESDE]]&lt;&gt;"",BD_PRINCIPAL[[#This Row],[HASTA]]&lt;&gt;""),_xlfn.DAYS(BD_PRINCIPAL[[#This Row],[HASTA]],BD_PRINCIPAL[[#This Row],[DESDE]]),"")+1,"")</f>
        <v/>
      </c>
      <c r="X153" s="231">
        <f>VLOOKUP(BD_PRINCIPAL[[#This Row],[ENCUADRE. ESC.]],ORDEN1,2,FALSE)</f>
        <v>1</v>
      </c>
      <c r="Y153" s="231">
        <f>VLOOKUP(BD_PRINCIPAL[[#This Row],[DOTACIÓN ACTUAL]],ORDEN2,4,FALSE)</f>
        <v>131</v>
      </c>
      <c r="Z153" s="231">
        <f>VLOOKUP(BD_PRINCIPAL[[#This Row],[GRADO]],ORDEN3,2,FALSE)</f>
        <v>8</v>
      </c>
      <c r="AA153" s="231">
        <f>IFERROR(VLOOKUP(BD_PRINCIPAL[[#This Row],[DOTACIÓN ACTUAL]],ORDEN2,3,FALSE),0)</f>
        <v>0</v>
      </c>
      <c r="AB153" s="225" t="s">
        <v>1</v>
      </c>
      <c r="AC153" s="225" t="s">
        <v>1</v>
      </c>
      <c r="AD153" s="225" t="s">
        <v>2</v>
      </c>
      <c r="AE153" s="225" t="s">
        <v>853</v>
      </c>
      <c r="AF153" s="225" t="s">
        <v>6</v>
      </c>
      <c r="AG153" s="225" t="s">
        <v>2125</v>
      </c>
      <c r="AH153" s="225"/>
      <c r="AI153" s="225"/>
      <c r="AJ153" s="225"/>
      <c r="AK153" s="225"/>
      <c r="AL153" s="225"/>
      <c r="AM153" s="225"/>
      <c r="AN153" s="225"/>
      <c r="AO153" s="225"/>
      <c r="AP153" s="225"/>
      <c r="AQ153" s="225"/>
      <c r="AR153" s="225"/>
      <c r="AS153" s="225"/>
      <c r="AT153" s="232"/>
      <c r="AU153" s="232"/>
      <c r="AV153" s="232"/>
      <c r="AW153" s="232"/>
      <c r="AX153" s="232"/>
      <c r="AY153" s="232"/>
      <c r="AZ153" s="232"/>
      <c r="BA153" s="225"/>
      <c r="BB153" s="225"/>
      <c r="BC153" s="225"/>
      <c r="BD153" s="225"/>
      <c r="BE153" s="225"/>
      <c r="BF153" s="225"/>
      <c r="BG153" s="225"/>
      <c r="BH153" s="225"/>
      <c r="BI153" s="225"/>
      <c r="BJ153" s="225"/>
      <c r="BK153" s="225"/>
      <c r="BL153" s="225"/>
      <c r="BM153" s="780">
        <v>45078</v>
      </c>
      <c r="BN153" s="790"/>
    </row>
    <row r="154" spans="1:66" s="233" customFormat="1" x14ac:dyDescent="0.3">
      <c r="A154" s="231" t="s">
        <v>483</v>
      </c>
      <c r="B154" s="225" t="s">
        <v>1560</v>
      </c>
      <c r="C154" s="231">
        <v>174591768</v>
      </c>
      <c r="D154" s="310" t="s">
        <v>704</v>
      </c>
      <c r="E154" s="484" t="s">
        <v>704</v>
      </c>
      <c r="F154" s="477" t="s">
        <v>3096</v>
      </c>
      <c r="G154" s="227" t="s">
        <v>209</v>
      </c>
      <c r="H154" s="228" t="s">
        <v>816</v>
      </c>
      <c r="I154" s="228" t="s">
        <v>872</v>
      </c>
      <c r="J154" s="229" t="s">
        <v>917</v>
      </c>
      <c r="K154" s="1280" t="s">
        <v>2300</v>
      </c>
      <c r="L154" s="734" t="s">
        <v>2125</v>
      </c>
      <c r="M154" s="1305" t="s">
        <v>2838</v>
      </c>
      <c r="N154" s="780"/>
      <c r="O154" s="1295"/>
      <c r="P154" s="225"/>
      <c r="Q154" s="1295" t="s">
        <v>832</v>
      </c>
      <c r="R154" s="234">
        <f>$B$1</f>
        <v>45388</v>
      </c>
      <c r="S154" s="236"/>
      <c r="T154" s="226"/>
      <c r="U154" s="230"/>
      <c r="V154" s="230"/>
      <c r="W154" s="231" t="str">
        <f>IFERROR(IF(AND(BD_PRINCIPAL[[#This Row],[DESDE]]&lt;&gt;"",BD_PRINCIPAL[[#This Row],[HASTA]]&lt;&gt;""),_xlfn.DAYS(BD_PRINCIPAL[[#This Row],[HASTA]],BD_PRINCIPAL[[#This Row],[DESDE]]),"")+1,"")</f>
        <v/>
      </c>
      <c r="X154" s="231">
        <f>VLOOKUP(BD_PRINCIPAL[[#This Row],[ENCUADRE. ESC.]],ORDEN1,2,FALSE)</f>
        <v>1</v>
      </c>
      <c r="Y154" s="231">
        <f>VLOOKUP(BD_PRINCIPAL[[#This Row],[DOTACIÓN ACTUAL]],ORDEN2,4,FALSE)</f>
        <v>132</v>
      </c>
      <c r="Z154" s="231">
        <f>VLOOKUP(BD_PRINCIPAL[[#This Row],[GRADO]],ORDEN3,2,FALSE)</f>
        <v>10</v>
      </c>
      <c r="AA154" s="231">
        <f>IFERROR(VLOOKUP(BD_PRINCIPAL[[#This Row],[DOTACIÓN ACTUAL]],ORDEN2,3,FALSE),0)</f>
        <v>0</v>
      </c>
      <c r="AB154" s="225" t="s">
        <v>853</v>
      </c>
      <c r="AC154" s="225" t="s">
        <v>853</v>
      </c>
      <c r="AD154" s="225" t="s">
        <v>2</v>
      </c>
      <c r="AE154" s="225" t="s">
        <v>853</v>
      </c>
      <c r="AF154" s="225" t="s">
        <v>6</v>
      </c>
      <c r="AG154" s="225" t="s">
        <v>2125</v>
      </c>
      <c r="AH154" s="225"/>
      <c r="AI154" s="225"/>
      <c r="AJ154" s="225"/>
      <c r="AK154" s="225"/>
      <c r="AL154" s="225"/>
      <c r="AM154" s="225"/>
      <c r="AN154" s="225"/>
      <c r="AO154" s="225"/>
      <c r="AP154" s="225"/>
      <c r="AQ154" s="225"/>
      <c r="AR154" s="225"/>
      <c r="AS154" s="225"/>
      <c r="AT154" s="232"/>
      <c r="AU154" s="232"/>
      <c r="AV154" s="232"/>
      <c r="AW154" s="232"/>
      <c r="AX154" s="232"/>
      <c r="AY154" s="232"/>
      <c r="AZ154" s="232"/>
      <c r="BA154" s="225"/>
      <c r="BB154" s="225"/>
      <c r="BC154" s="225"/>
      <c r="BD154" s="225"/>
      <c r="BE154" s="225"/>
      <c r="BF154" s="225"/>
      <c r="BG154" s="225"/>
      <c r="BH154" s="225"/>
      <c r="BI154" s="225"/>
      <c r="BJ154" s="225"/>
      <c r="BK154" s="225"/>
      <c r="BL154" s="225"/>
      <c r="BM154" s="780">
        <v>45145</v>
      </c>
      <c r="BN154" s="790"/>
    </row>
    <row r="155" spans="1:66" s="233" customFormat="1" x14ac:dyDescent="0.3">
      <c r="A155" s="231" t="s">
        <v>1700</v>
      </c>
      <c r="B155" s="225" t="s">
        <v>1701</v>
      </c>
      <c r="C155" s="231">
        <v>170725743</v>
      </c>
      <c r="D155" s="310" t="s">
        <v>704</v>
      </c>
      <c r="E155" s="477" t="s">
        <v>704</v>
      </c>
      <c r="F155" s="477" t="s">
        <v>1701</v>
      </c>
      <c r="G155" s="235" t="s">
        <v>3</v>
      </c>
      <c r="H155" s="228" t="s">
        <v>816</v>
      </c>
      <c r="I155" s="228" t="s">
        <v>872</v>
      </c>
      <c r="J155" s="229" t="s">
        <v>917</v>
      </c>
      <c r="K155" s="1280" t="s">
        <v>2290</v>
      </c>
      <c r="L155" s="734" t="s">
        <v>2125</v>
      </c>
      <c r="M155" s="1305" t="s">
        <v>2838</v>
      </c>
      <c r="N155" s="779"/>
      <c r="O155" s="1295"/>
      <c r="P155" s="225"/>
      <c r="Q155" s="1295" t="s">
        <v>832</v>
      </c>
      <c r="R155" s="386">
        <f>$B$1</f>
        <v>45388</v>
      </c>
      <c r="S155" s="236"/>
      <c r="T155" s="236" t="s">
        <v>2919</v>
      </c>
      <c r="U155" s="230"/>
      <c r="V155" s="230"/>
      <c r="W155" s="387" t="str">
        <f>IFERROR(IF(AND(BD_PRINCIPAL[[#This Row],[DESDE]]&lt;&gt;"",BD_PRINCIPAL[[#This Row],[HASTA]]&lt;&gt;""),_xlfn.DAYS(BD_PRINCIPAL[[#This Row],[HASTA]],BD_PRINCIPAL[[#This Row],[DESDE]]),"")+1,"")</f>
        <v/>
      </c>
      <c r="X155" s="387">
        <f>VLOOKUP(BD_PRINCIPAL[[#This Row],[ENCUADRE. ESC.]],ORDEN1,2,FALSE)</f>
        <v>1</v>
      </c>
      <c r="Y155" s="387">
        <f>VLOOKUP(BD_PRINCIPAL[[#This Row],[DOTACIÓN ACTUAL]],ORDEN2,4,FALSE)</f>
        <v>132</v>
      </c>
      <c r="Z155" s="387">
        <f>VLOOKUP(BD_PRINCIPAL[[#This Row],[GRADO]],ORDEN3,2,FALSE)</f>
        <v>11</v>
      </c>
      <c r="AA155" s="387">
        <f>IFERROR(VLOOKUP(BD_PRINCIPAL[[#This Row],[DOTACIÓN ACTUAL]],ORDEN2,3,FALSE),0)</f>
        <v>0</v>
      </c>
      <c r="AB155" s="225" t="s">
        <v>1</v>
      </c>
      <c r="AC155" s="225" t="s">
        <v>1</v>
      </c>
      <c r="AD155" s="225" t="s">
        <v>1</v>
      </c>
      <c r="AE155" s="225" t="s">
        <v>853</v>
      </c>
      <c r="AF155" s="225" t="s">
        <v>6</v>
      </c>
      <c r="AG155" s="225" t="s">
        <v>2125</v>
      </c>
      <c r="AH155" s="225"/>
      <c r="AI155" s="225"/>
      <c r="AJ155" s="225"/>
      <c r="AK155" s="225"/>
      <c r="AL155" s="225"/>
      <c r="AM155" s="225"/>
      <c r="AN155" s="225"/>
      <c r="AO155" s="225"/>
      <c r="AP155" s="225"/>
      <c r="AQ155" s="225"/>
      <c r="AR155" s="225"/>
      <c r="AS155" s="225"/>
      <c r="AT155" s="232"/>
      <c r="AU155" s="232"/>
      <c r="AV155" s="232"/>
      <c r="AW155" s="232"/>
      <c r="AX155" s="232"/>
      <c r="AY155" s="232"/>
      <c r="AZ155" s="232"/>
      <c r="BA155" s="225"/>
      <c r="BB155" s="225"/>
      <c r="BC155" s="225"/>
      <c r="BD155" s="225"/>
      <c r="BE155" s="225"/>
      <c r="BF155" s="225"/>
      <c r="BG155" s="225"/>
      <c r="BH155" s="225"/>
      <c r="BI155" s="225"/>
      <c r="BJ155" s="225"/>
      <c r="BK155" s="225"/>
      <c r="BL155" s="225"/>
      <c r="BM155" s="773">
        <v>45033</v>
      </c>
      <c r="BN155" s="790"/>
    </row>
    <row r="156" spans="1:66" s="233" customFormat="1" x14ac:dyDescent="0.3">
      <c r="A156" s="231" t="s">
        <v>1608</v>
      </c>
      <c r="B156" s="225" t="s">
        <v>1611</v>
      </c>
      <c r="C156" s="231" t="s">
        <v>1609</v>
      </c>
      <c r="D156" s="310" t="s">
        <v>704</v>
      </c>
      <c r="E156" s="477" t="s">
        <v>704</v>
      </c>
      <c r="F156" s="477" t="s">
        <v>1976</v>
      </c>
      <c r="G156" s="235" t="s">
        <v>4</v>
      </c>
      <c r="H156" s="228" t="s">
        <v>816</v>
      </c>
      <c r="I156" s="228" t="s">
        <v>872</v>
      </c>
      <c r="J156" s="229" t="s">
        <v>917</v>
      </c>
      <c r="K156" s="1280" t="s">
        <v>2290</v>
      </c>
      <c r="L156" s="734" t="s">
        <v>2125</v>
      </c>
      <c r="M156" s="1305" t="s">
        <v>2838</v>
      </c>
      <c r="N156" s="779"/>
      <c r="O156" s="1295"/>
      <c r="P156" s="225"/>
      <c r="Q156" s="1295" t="s">
        <v>832</v>
      </c>
      <c r="R156" s="234">
        <f>$B$1</f>
        <v>45388</v>
      </c>
      <c r="S156" s="236"/>
      <c r="T156" s="236" t="s">
        <v>2919</v>
      </c>
      <c r="U156" s="237"/>
      <c r="V156" s="230"/>
      <c r="W156" s="387" t="str">
        <f>IFERROR(IF(AND(BD_PRINCIPAL[[#This Row],[DESDE]]&lt;&gt;"",BD_PRINCIPAL[[#This Row],[HASTA]]&lt;&gt;""),_xlfn.DAYS(BD_PRINCIPAL[[#This Row],[HASTA]],BD_PRINCIPAL[[#This Row],[DESDE]]),"")+1,"")</f>
        <v/>
      </c>
      <c r="X156" s="387">
        <f>VLOOKUP(BD_PRINCIPAL[[#This Row],[ENCUADRE. ESC.]],ORDEN1,2,FALSE)</f>
        <v>1</v>
      </c>
      <c r="Y156" s="387">
        <f>VLOOKUP(BD_PRINCIPAL[[#This Row],[DOTACIÓN ACTUAL]],ORDEN2,4,FALSE)</f>
        <v>132</v>
      </c>
      <c r="Z156" s="387">
        <f>VLOOKUP(BD_PRINCIPAL[[#This Row],[GRADO]],ORDEN3,2,FALSE)</f>
        <v>12</v>
      </c>
      <c r="AA156" s="387">
        <f>IFERROR(VLOOKUP(BD_PRINCIPAL[[#This Row],[DOTACIÓN ACTUAL]],ORDEN2,3,FALSE),0)</f>
        <v>0</v>
      </c>
      <c r="AB156" s="225" t="s">
        <v>1</v>
      </c>
      <c r="AC156" s="225" t="s">
        <v>1</v>
      </c>
      <c r="AD156" s="225" t="s">
        <v>2</v>
      </c>
      <c r="AE156" s="225" t="s">
        <v>853</v>
      </c>
      <c r="AF156" s="225" t="s">
        <v>6</v>
      </c>
      <c r="AG156" s="225" t="s">
        <v>2125</v>
      </c>
      <c r="AH156" s="225"/>
      <c r="AI156" s="225"/>
      <c r="AJ156" s="225"/>
      <c r="AK156" s="225"/>
      <c r="AL156" s="225"/>
      <c r="AM156" s="225"/>
      <c r="AN156" s="225"/>
      <c r="AO156" s="225"/>
      <c r="AP156" s="225"/>
      <c r="AQ156" s="225"/>
      <c r="AR156" s="225"/>
      <c r="AS156" s="225"/>
      <c r="AT156" s="232"/>
      <c r="AU156" s="232"/>
      <c r="AV156" s="232"/>
      <c r="AW156" s="232"/>
      <c r="AX156" s="232"/>
      <c r="AY156" s="232"/>
      <c r="AZ156" s="232"/>
      <c r="BA156" s="225"/>
      <c r="BB156" s="225"/>
      <c r="BC156" s="225"/>
      <c r="BD156" s="225"/>
      <c r="BE156" s="225"/>
      <c r="BF156" s="225"/>
      <c r="BG156" s="225"/>
      <c r="BH156" s="225"/>
      <c r="BI156" s="225"/>
      <c r="BJ156" s="225"/>
      <c r="BK156" s="225"/>
      <c r="BL156" s="225"/>
      <c r="BM156" s="773">
        <v>45370</v>
      </c>
      <c r="BN156" s="790"/>
    </row>
    <row r="157" spans="1:66" s="233" customFormat="1" x14ac:dyDescent="0.3">
      <c r="A157" s="231" t="s">
        <v>455</v>
      </c>
      <c r="B157" s="225" t="s">
        <v>1856</v>
      </c>
      <c r="C157" s="231">
        <v>199873849</v>
      </c>
      <c r="D157" s="484" t="s">
        <v>704</v>
      </c>
      <c r="E157" s="484" t="s">
        <v>704</v>
      </c>
      <c r="F157" s="477" t="s">
        <v>2267</v>
      </c>
      <c r="G157" s="227" t="s">
        <v>4</v>
      </c>
      <c r="H157" s="228" t="s">
        <v>816</v>
      </c>
      <c r="I157" s="228" t="s">
        <v>872</v>
      </c>
      <c r="J157" s="229" t="s">
        <v>917</v>
      </c>
      <c r="K157" s="1280" t="s">
        <v>2301</v>
      </c>
      <c r="L157" s="734" t="s">
        <v>2125</v>
      </c>
      <c r="M157" s="1305" t="s">
        <v>2838</v>
      </c>
      <c r="N157" s="773"/>
      <c r="O157" s="1295"/>
      <c r="P157" s="225"/>
      <c r="Q157" s="1295" t="s">
        <v>832</v>
      </c>
      <c r="R157" s="234">
        <f>$B$1</f>
        <v>45388</v>
      </c>
      <c r="S157" s="236"/>
      <c r="T157" s="226" t="s">
        <v>2919</v>
      </c>
      <c r="U157" s="230"/>
      <c r="V157" s="230"/>
      <c r="W157" s="231" t="str">
        <f>IFERROR(IF(AND(BD_PRINCIPAL[[#This Row],[DESDE]]&lt;&gt;"",BD_PRINCIPAL[[#This Row],[HASTA]]&lt;&gt;""),_xlfn.DAYS(BD_PRINCIPAL[[#This Row],[HASTA]],BD_PRINCIPAL[[#This Row],[DESDE]]),"")+1,"")</f>
        <v/>
      </c>
      <c r="X157" s="231">
        <f>VLOOKUP(BD_PRINCIPAL[[#This Row],[ENCUADRE. ESC.]],ORDEN1,2,FALSE)</f>
        <v>1</v>
      </c>
      <c r="Y157" s="231">
        <f>VLOOKUP(BD_PRINCIPAL[[#This Row],[DOTACIÓN ACTUAL]],ORDEN2,4,FALSE)</f>
        <v>132</v>
      </c>
      <c r="Z157" s="231">
        <f>VLOOKUP(BD_PRINCIPAL[[#This Row],[GRADO]],ORDEN3,2,FALSE)</f>
        <v>12</v>
      </c>
      <c r="AA157" s="231">
        <f>IFERROR(VLOOKUP(BD_PRINCIPAL[[#This Row],[DOTACIÓN ACTUAL]],ORDEN2,3,FALSE),0)</f>
        <v>0</v>
      </c>
      <c r="AB157" s="225" t="s">
        <v>1</v>
      </c>
      <c r="AC157" s="225" t="s">
        <v>1</v>
      </c>
      <c r="AD157" s="225" t="s">
        <v>1</v>
      </c>
      <c r="AE157" s="225" t="s">
        <v>853</v>
      </c>
      <c r="AF157" s="225" t="s">
        <v>6</v>
      </c>
      <c r="AG157" s="225" t="s">
        <v>2125</v>
      </c>
      <c r="AH157" s="225"/>
      <c r="AI157" s="225"/>
      <c r="AJ157" s="225"/>
      <c r="AK157" s="225"/>
      <c r="AL157" s="225"/>
      <c r="AM157" s="225"/>
      <c r="AN157" s="225"/>
      <c r="AO157" s="225"/>
      <c r="AP157" s="225"/>
      <c r="AQ157" s="225"/>
      <c r="AR157" s="225"/>
      <c r="AS157" s="225"/>
      <c r="AT157" s="232"/>
      <c r="AU157" s="232"/>
      <c r="AV157" s="232"/>
      <c r="AW157" s="232"/>
      <c r="AX157" s="232"/>
      <c r="AY157" s="232"/>
      <c r="AZ157" s="232"/>
      <c r="BA157" s="225"/>
      <c r="BB157" s="225"/>
      <c r="BC157" s="225"/>
      <c r="BD157" s="225"/>
      <c r="BE157" s="225"/>
      <c r="BF157" s="225"/>
      <c r="BG157" s="225"/>
      <c r="BH157" s="225"/>
      <c r="BI157" s="225"/>
      <c r="BJ157" s="225"/>
      <c r="BK157" s="225"/>
      <c r="BL157" s="225"/>
      <c r="BM157" s="773">
        <v>45142</v>
      </c>
      <c r="BN157" s="790"/>
    </row>
    <row r="158" spans="1:66" s="233" customFormat="1" x14ac:dyDescent="0.3">
      <c r="A158" s="231" t="s">
        <v>592</v>
      </c>
      <c r="B158" s="225" t="s">
        <v>105</v>
      </c>
      <c r="C158" s="231" t="s">
        <v>494</v>
      </c>
      <c r="D158" s="310" t="s">
        <v>704</v>
      </c>
      <c r="E158" s="484" t="s">
        <v>704</v>
      </c>
      <c r="F158" s="477" t="s">
        <v>105</v>
      </c>
      <c r="G158" s="227" t="s">
        <v>4</v>
      </c>
      <c r="H158" s="228" t="s">
        <v>816</v>
      </c>
      <c r="I158" s="228" t="s">
        <v>872</v>
      </c>
      <c r="J158" s="229" t="s">
        <v>917</v>
      </c>
      <c r="K158" s="1280" t="s">
        <v>2290</v>
      </c>
      <c r="L158" s="734" t="s">
        <v>2125</v>
      </c>
      <c r="M158" s="1305" t="s">
        <v>2838</v>
      </c>
      <c r="N158" s="773"/>
      <c r="O158" s="1295"/>
      <c r="P158" s="225"/>
      <c r="Q158" s="1295" t="s">
        <v>832</v>
      </c>
      <c r="R158" s="234">
        <f>$B$1</f>
        <v>45388</v>
      </c>
      <c r="S158" s="236"/>
      <c r="T158" s="226" t="s">
        <v>2919</v>
      </c>
      <c r="U158" s="230"/>
      <c r="V158" s="230"/>
      <c r="W158" s="231" t="str">
        <f>IFERROR(IF(AND(BD_PRINCIPAL[[#This Row],[DESDE]]&lt;&gt;"",BD_PRINCIPAL[[#This Row],[HASTA]]&lt;&gt;""),_xlfn.DAYS(BD_PRINCIPAL[[#This Row],[HASTA]],BD_PRINCIPAL[[#This Row],[DESDE]]),"")+1,"")</f>
        <v/>
      </c>
      <c r="X158" s="231">
        <f>VLOOKUP(BD_PRINCIPAL[[#This Row],[ENCUADRE. ESC.]],ORDEN1,2,FALSE)</f>
        <v>1</v>
      </c>
      <c r="Y158" s="231">
        <f>VLOOKUP(BD_PRINCIPAL[[#This Row],[DOTACIÓN ACTUAL]],ORDEN2,4,FALSE)</f>
        <v>132</v>
      </c>
      <c r="Z158" s="231">
        <f>VLOOKUP(BD_PRINCIPAL[[#This Row],[GRADO]],ORDEN3,2,FALSE)</f>
        <v>12</v>
      </c>
      <c r="AA158" s="231">
        <f>IFERROR(VLOOKUP(BD_PRINCIPAL[[#This Row],[DOTACIÓN ACTUAL]],ORDEN2,3,FALSE),0)</f>
        <v>0</v>
      </c>
      <c r="AB158" s="225" t="s">
        <v>1</v>
      </c>
      <c r="AC158" s="225" t="s">
        <v>1</v>
      </c>
      <c r="AD158" s="225" t="s">
        <v>2</v>
      </c>
      <c r="AE158" s="225" t="s">
        <v>853</v>
      </c>
      <c r="AF158" s="225" t="s">
        <v>6</v>
      </c>
      <c r="AG158" s="225" t="s">
        <v>2125</v>
      </c>
      <c r="AH158" s="225"/>
      <c r="AI158" s="225"/>
      <c r="AJ158" s="225"/>
      <c r="AK158" s="225"/>
      <c r="AL158" s="225"/>
      <c r="AM158" s="225"/>
      <c r="AN158" s="225"/>
      <c r="AO158" s="225"/>
      <c r="AP158" s="225"/>
      <c r="AQ158" s="225"/>
      <c r="AR158" s="225"/>
      <c r="AS158" s="225"/>
      <c r="AT158" s="232"/>
      <c r="AU158" s="232"/>
      <c r="AV158" s="232"/>
      <c r="AW158" s="232"/>
      <c r="AX158" s="232"/>
      <c r="AY158" s="232"/>
      <c r="AZ158" s="232"/>
      <c r="BA158" s="225"/>
      <c r="BB158" s="225"/>
      <c r="BC158" s="225"/>
      <c r="BD158" s="225"/>
      <c r="BE158" s="225"/>
      <c r="BF158" s="225"/>
      <c r="BG158" s="225"/>
      <c r="BH158" s="225"/>
      <c r="BI158" s="225"/>
      <c r="BJ158" s="225"/>
      <c r="BK158" s="225"/>
      <c r="BL158" s="225"/>
      <c r="BM158" s="773">
        <v>45028</v>
      </c>
      <c r="BN158" s="790"/>
    </row>
    <row r="159" spans="1:66" s="233" customFormat="1" x14ac:dyDescent="0.3">
      <c r="A159" s="231" t="s">
        <v>439</v>
      </c>
      <c r="B159" s="225" t="s">
        <v>254</v>
      </c>
      <c r="C159" s="231">
        <v>189202997</v>
      </c>
      <c r="D159" s="310" t="s">
        <v>704</v>
      </c>
      <c r="E159" s="477" t="s">
        <v>704</v>
      </c>
      <c r="F159" s="477" t="s">
        <v>2271</v>
      </c>
      <c r="G159" s="227" t="s">
        <v>4</v>
      </c>
      <c r="H159" s="228" t="s">
        <v>817</v>
      </c>
      <c r="I159" s="228" t="s">
        <v>872</v>
      </c>
      <c r="J159" s="229" t="s">
        <v>917</v>
      </c>
      <c r="K159" s="1280" t="s">
        <v>2301</v>
      </c>
      <c r="L159" s="734" t="s">
        <v>2125</v>
      </c>
      <c r="M159" s="1305" t="s">
        <v>2838</v>
      </c>
      <c r="N159" s="773"/>
      <c r="O159" s="1295"/>
      <c r="P159" s="225"/>
      <c r="Q159" s="1295" t="s">
        <v>832</v>
      </c>
      <c r="R159" s="234">
        <f>$B$1</f>
        <v>45388</v>
      </c>
      <c r="S159" s="236"/>
      <c r="T159" s="226" t="s">
        <v>2919</v>
      </c>
      <c r="U159" s="230"/>
      <c r="V159" s="230"/>
      <c r="W159" s="231" t="str">
        <f>IFERROR(IF(AND(BD_PRINCIPAL[[#This Row],[DESDE]]&lt;&gt;"",BD_PRINCIPAL[[#This Row],[HASTA]]&lt;&gt;""),_xlfn.DAYS(BD_PRINCIPAL[[#This Row],[HASTA]],BD_PRINCIPAL[[#This Row],[DESDE]]),"")+1,"")</f>
        <v/>
      </c>
      <c r="X159" s="231">
        <f>VLOOKUP(BD_PRINCIPAL[[#This Row],[ENCUADRE. ESC.]],ORDEN1,2,FALSE)</f>
        <v>1</v>
      </c>
      <c r="Y159" s="231">
        <f>VLOOKUP(BD_PRINCIPAL[[#This Row],[DOTACIÓN ACTUAL]],ORDEN2,4,FALSE)</f>
        <v>132</v>
      </c>
      <c r="Z159" s="231">
        <f>VLOOKUP(BD_PRINCIPAL[[#This Row],[GRADO]],ORDEN3,2,FALSE)</f>
        <v>12</v>
      </c>
      <c r="AA159" s="231">
        <f>IFERROR(VLOOKUP(BD_PRINCIPAL[[#This Row],[DOTACIÓN ACTUAL]],ORDEN2,3,FALSE),0)</f>
        <v>0</v>
      </c>
      <c r="AB159" s="225" t="s">
        <v>1</v>
      </c>
      <c r="AC159" s="225" t="s">
        <v>1</v>
      </c>
      <c r="AD159" s="225" t="s">
        <v>2</v>
      </c>
      <c r="AE159" s="225" t="s">
        <v>853</v>
      </c>
      <c r="AF159" s="225" t="s">
        <v>6</v>
      </c>
      <c r="AG159" s="225" t="s">
        <v>2125</v>
      </c>
      <c r="AH159" s="225"/>
      <c r="AI159" s="225"/>
      <c r="AJ159" s="225"/>
      <c r="AK159" s="225"/>
      <c r="AL159" s="225"/>
      <c r="AM159" s="225"/>
      <c r="AN159" s="225"/>
      <c r="AO159" s="225"/>
      <c r="AP159" s="225"/>
      <c r="AQ159" s="225"/>
      <c r="AR159" s="225"/>
      <c r="AS159" s="225"/>
      <c r="AT159" s="232"/>
      <c r="AU159" s="232"/>
      <c r="AV159" s="232"/>
      <c r="AW159" s="232"/>
      <c r="AX159" s="232"/>
      <c r="AY159" s="232"/>
      <c r="AZ159" s="232"/>
      <c r="BA159" s="225"/>
      <c r="BB159" s="225"/>
      <c r="BC159" s="225"/>
      <c r="BD159" s="225"/>
      <c r="BE159" s="225"/>
      <c r="BF159" s="225"/>
      <c r="BG159" s="225"/>
      <c r="BH159" s="225"/>
      <c r="BI159" s="225"/>
      <c r="BJ159" s="225"/>
      <c r="BK159" s="225"/>
      <c r="BL159" s="225"/>
      <c r="BM159" s="773">
        <v>45148</v>
      </c>
      <c r="BN159" s="790"/>
    </row>
    <row r="160" spans="1:66" s="260" customFormat="1" x14ac:dyDescent="0.3">
      <c r="A160" s="258" t="s">
        <v>555</v>
      </c>
      <c r="B160" s="251" t="s">
        <v>1871</v>
      </c>
      <c r="C160" s="258" t="s">
        <v>556</v>
      </c>
      <c r="D160" s="487" t="s">
        <v>749</v>
      </c>
      <c r="E160" s="487" t="s">
        <v>749</v>
      </c>
      <c r="F160" s="481" t="s">
        <v>1871</v>
      </c>
      <c r="G160" s="253" t="s">
        <v>89</v>
      </c>
      <c r="H160" s="254" t="s">
        <v>816</v>
      </c>
      <c r="I160" s="254" t="s">
        <v>872</v>
      </c>
      <c r="J160" s="255" t="s">
        <v>917</v>
      </c>
      <c r="K160" s="1282" t="s">
        <v>2290</v>
      </c>
      <c r="L160" s="737" t="s">
        <v>853</v>
      </c>
      <c r="M160" s="1307" t="s">
        <v>3590</v>
      </c>
      <c r="N160" s="781"/>
      <c r="O160" s="1297"/>
      <c r="P160" s="251"/>
      <c r="Q160" s="1297" t="s">
        <v>832</v>
      </c>
      <c r="R160" s="256">
        <f>$B$1</f>
        <v>45388</v>
      </c>
      <c r="S160" s="252"/>
      <c r="T160" s="252" t="s">
        <v>2919</v>
      </c>
      <c r="U160" s="257"/>
      <c r="V160" s="257"/>
      <c r="W160" s="258" t="str">
        <f>IFERROR(IF(AND(BD_PRINCIPAL[[#This Row],[DESDE]]&lt;&gt;"",BD_PRINCIPAL[[#This Row],[HASTA]]&lt;&gt;""),_xlfn.DAYS(BD_PRINCIPAL[[#This Row],[HASTA]],BD_PRINCIPAL[[#This Row],[DESDE]]),"")+1,"")</f>
        <v/>
      </c>
      <c r="X160" s="258">
        <f>VLOOKUP(BD_PRINCIPAL[[#This Row],[ENCUADRE. ESC.]],ORDEN1,2,FALSE)</f>
        <v>1</v>
      </c>
      <c r="Y160" s="258">
        <f>VLOOKUP(BD_PRINCIPAL[[#This Row],[DOTACIÓN ACTUAL]],ORDEN2,4,FALSE)</f>
        <v>135</v>
      </c>
      <c r="Z160" s="258">
        <f>VLOOKUP(BD_PRINCIPAL[[#This Row],[GRADO]],ORDEN3,2,FALSE)</f>
        <v>9</v>
      </c>
      <c r="AA160" s="258">
        <f>IFERROR(VLOOKUP(BD_PRINCIPAL[[#This Row],[DOTACIÓN ACTUAL]],ORDEN2,3,FALSE),0)</f>
        <v>0</v>
      </c>
      <c r="AB160" s="251" t="s">
        <v>6</v>
      </c>
      <c r="AC160" s="251" t="s">
        <v>2125</v>
      </c>
      <c r="AD160" s="251" t="s">
        <v>1</v>
      </c>
      <c r="AE160" s="251" t="s">
        <v>853</v>
      </c>
      <c r="AF160" s="251" t="s">
        <v>2</v>
      </c>
      <c r="AG160" s="251" t="s">
        <v>853</v>
      </c>
      <c r="AH160" s="251"/>
      <c r="AI160" s="251"/>
      <c r="AJ160" s="251"/>
      <c r="AK160" s="251"/>
      <c r="AL160" s="251"/>
      <c r="AM160" s="251"/>
      <c r="AN160" s="251"/>
      <c r="AO160" s="251"/>
      <c r="AP160" s="251"/>
      <c r="AQ160" s="251"/>
      <c r="AR160" s="251"/>
      <c r="AS160" s="251"/>
      <c r="AT160" s="259"/>
      <c r="AU160" s="259"/>
      <c r="AV160" s="259"/>
      <c r="AW160" s="259"/>
      <c r="AX160" s="259"/>
      <c r="AY160" s="259"/>
      <c r="AZ160" s="259"/>
      <c r="BA160" s="251"/>
      <c r="BB160" s="251"/>
      <c r="BC160" s="251"/>
      <c r="BD160" s="251"/>
      <c r="BE160" s="251"/>
      <c r="BF160" s="251"/>
      <c r="BG160" s="251"/>
      <c r="BH160" s="251"/>
      <c r="BI160" s="251"/>
      <c r="BJ160" s="251"/>
      <c r="BK160" s="251"/>
      <c r="BL160" s="251"/>
      <c r="BM160" s="781">
        <v>45040</v>
      </c>
      <c r="BN160" s="791"/>
    </row>
    <row r="161" spans="1:66" s="260" customFormat="1" x14ac:dyDescent="0.3">
      <c r="A161" s="258" t="s">
        <v>557</v>
      </c>
      <c r="B161" s="251" t="s">
        <v>47</v>
      </c>
      <c r="C161" s="258">
        <v>140211702</v>
      </c>
      <c r="D161" s="312" t="s">
        <v>750</v>
      </c>
      <c r="E161" s="487" t="s">
        <v>750</v>
      </c>
      <c r="F161" s="481" t="s">
        <v>47</v>
      </c>
      <c r="G161" s="253" t="s">
        <v>89</v>
      </c>
      <c r="H161" s="254" t="s">
        <v>816</v>
      </c>
      <c r="I161" s="254" t="s">
        <v>872</v>
      </c>
      <c r="J161" s="255" t="s">
        <v>917</v>
      </c>
      <c r="K161" s="1282" t="s">
        <v>2290</v>
      </c>
      <c r="L161" s="737" t="s">
        <v>853</v>
      </c>
      <c r="M161" s="1307" t="s">
        <v>3590</v>
      </c>
      <c r="N161" s="781"/>
      <c r="O161" s="1297"/>
      <c r="P161" s="251"/>
      <c r="Q161" s="1297" t="s">
        <v>832</v>
      </c>
      <c r="R161" s="256">
        <f>$B$1</f>
        <v>45388</v>
      </c>
      <c r="S161" s="252"/>
      <c r="T161" s="252"/>
      <c r="U161" s="257"/>
      <c r="V161" s="257"/>
      <c r="W161" s="258" t="str">
        <f>IFERROR(IF(AND(BD_PRINCIPAL[[#This Row],[DESDE]]&lt;&gt;"",BD_PRINCIPAL[[#This Row],[HASTA]]&lt;&gt;""),_xlfn.DAYS(BD_PRINCIPAL[[#This Row],[HASTA]],BD_PRINCIPAL[[#This Row],[DESDE]]),"")+1,"")</f>
        <v/>
      </c>
      <c r="X161" s="258">
        <f>VLOOKUP(BD_PRINCIPAL[[#This Row],[ENCUADRE. ESC.]],ORDEN1,2,FALSE)</f>
        <v>1</v>
      </c>
      <c r="Y161" s="258">
        <f>VLOOKUP(BD_PRINCIPAL[[#This Row],[DOTACIÓN ACTUAL]],ORDEN2,4,FALSE)</f>
        <v>136</v>
      </c>
      <c r="Z161" s="258">
        <f>VLOOKUP(BD_PRINCIPAL[[#This Row],[GRADO]],ORDEN3,2,FALSE)</f>
        <v>9</v>
      </c>
      <c r="AA161" s="258">
        <f>IFERROR(VLOOKUP(BD_PRINCIPAL[[#This Row],[DOTACIÓN ACTUAL]],ORDEN2,3,FALSE),0)</f>
        <v>0</v>
      </c>
      <c r="AB161" s="251" t="s">
        <v>1075</v>
      </c>
      <c r="AC161" s="251" t="s">
        <v>884</v>
      </c>
      <c r="AD161" s="251" t="s">
        <v>1</v>
      </c>
      <c r="AE161" s="251" t="s">
        <v>853</v>
      </c>
      <c r="AF161" s="251" t="s">
        <v>1</v>
      </c>
      <c r="AG161" s="251" t="s">
        <v>853</v>
      </c>
      <c r="AH161" s="251"/>
      <c r="AI161" s="251"/>
      <c r="AJ161" s="251"/>
      <c r="AK161" s="251"/>
      <c r="AL161" s="251"/>
      <c r="AM161" s="251"/>
      <c r="AN161" s="251"/>
      <c r="AO161" s="251"/>
      <c r="AP161" s="251"/>
      <c r="AQ161" s="251"/>
      <c r="AR161" s="251"/>
      <c r="AS161" s="251"/>
      <c r="AT161" s="259"/>
      <c r="AU161" s="259"/>
      <c r="AV161" s="259"/>
      <c r="AW161" s="259"/>
      <c r="AX161" s="259"/>
      <c r="AY161" s="259"/>
      <c r="AZ161" s="259"/>
      <c r="BA161" s="251"/>
      <c r="BB161" s="251"/>
      <c r="BC161" s="251"/>
      <c r="BD161" s="251"/>
      <c r="BE161" s="251"/>
      <c r="BF161" s="251"/>
      <c r="BG161" s="251"/>
      <c r="BH161" s="251"/>
      <c r="BI161" s="251"/>
      <c r="BJ161" s="251"/>
      <c r="BK161" s="251"/>
      <c r="BL161" s="251"/>
      <c r="BM161" s="781">
        <v>45135</v>
      </c>
      <c r="BN161" s="791"/>
    </row>
    <row r="162" spans="1:66" s="260" customFormat="1" x14ac:dyDescent="0.3">
      <c r="A162" s="258" t="s">
        <v>341</v>
      </c>
      <c r="B162" s="251" t="s">
        <v>41</v>
      </c>
      <c r="C162" s="258">
        <v>138365506</v>
      </c>
      <c r="D162" s="312" t="s">
        <v>750</v>
      </c>
      <c r="E162" s="487" t="s">
        <v>750</v>
      </c>
      <c r="F162" s="481" t="s">
        <v>41</v>
      </c>
      <c r="G162" s="261" t="s">
        <v>209</v>
      </c>
      <c r="H162" s="254" t="s">
        <v>816</v>
      </c>
      <c r="I162" s="254" t="s">
        <v>872</v>
      </c>
      <c r="J162" s="255" t="s">
        <v>917</v>
      </c>
      <c r="K162" s="1282" t="s">
        <v>2290</v>
      </c>
      <c r="L162" s="737" t="s">
        <v>853</v>
      </c>
      <c r="M162" s="1307" t="s">
        <v>3590</v>
      </c>
      <c r="N162" s="781"/>
      <c r="O162" s="1297"/>
      <c r="P162" s="251"/>
      <c r="Q162" s="1297" t="s">
        <v>832</v>
      </c>
      <c r="R162" s="256">
        <f>$B$1</f>
        <v>45388</v>
      </c>
      <c r="S162" s="262"/>
      <c r="T162" s="262" t="s">
        <v>2919</v>
      </c>
      <c r="U162" s="257"/>
      <c r="V162" s="257"/>
      <c r="W162" s="258" t="str">
        <f>IFERROR(IF(AND(BD_PRINCIPAL[[#This Row],[DESDE]]&lt;&gt;"",BD_PRINCIPAL[[#This Row],[HASTA]]&lt;&gt;""),_xlfn.DAYS(BD_PRINCIPAL[[#This Row],[HASTA]],BD_PRINCIPAL[[#This Row],[DESDE]]),"")+1,"")</f>
        <v/>
      </c>
      <c r="X162" s="258">
        <f>VLOOKUP(BD_PRINCIPAL[[#This Row],[ENCUADRE. ESC.]],ORDEN1,2,FALSE)</f>
        <v>1</v>
      </c>
      <c r="Y162" s="258">
        <f>VLOOKUP(BD_PRINCIPAL[[#This Row],[DOTACIÓN ACTUAL]],ORDEN2,4,FALSE)</f>
        <v>136</v>
      </c>
      <c r="Z162" s="258">
        <f>VLOOKUP(BD_PRINCIPAL[[#This Row],[GRADO]],ORDEN3,2,FALSE)</f>
        <v>10</v>
      </c>
      <c r="AA162" s="258">
        <f>IFERROR(VLOOKUP(BD_PRINCIPAL[[#This Row],[DOTACIÓN ACTUAL]],ORDEN2,3,FALSE),0)</f>
        <v>0</v>
      </c>
      <c r="AB162" s="251" t="s">
        <v>909</v>
      </c>
      <c r="AC162" s="251" t="s">
        <v>909</v>
      </c>
      <c r="AD162" s="251" t="s">
        <v>909</v>
      </c>
      <c r="AE162" s="251" t="s">
        <v>909</v>
      </c>
      <c r="AF162" s="251" t="s">
        <v>909</v>
      </c>
      <c r="AG162" s="251" t="s">
        <v>853</v>
      </c>
      <c r="AH162" s="251"/>
      <c r="AI162" s="251"/>
      <c r="AJ162" s="251"/>
      <c r="AK162" s="251"/>
      <c r="AL162" s="251"/>
      <c r="AM162" s="251"/>
      <c r="AN162" s="251"/>
      <c r="AO162" s="251"/>
      <c r="AP162" s="251"/>
      <c r="AQ162" s="251"/>
      <c r="AR162" s="251"/>
      <c r="AS162" s="251"/>
      <c r="AT162" s="259"/>
      <c r="AU162" s="259"/>
      <c r="AV162" s="259"/>
      <c r="AW162" s="259"/>
      <c r="AX162" s="259"/>
      <c r="AY162" s="259"/>
      <c r="AZ162" s="259"/>
      <c r="BA162" s="251"/>
      <c r="BB162" s="251"/>
      <c r="BC162" s="251"/>
      <c r="BD162" s="251"/>
      <c r="BE162" s="251"/>
      <c r="BF162" s="251"/>
      <c r="BG162" s="251"/>
      <c r="BH162" s="251"/>
      <c r="BI162" s="251"/>
      <c r="BJ162" s="251"/>
      <c r="BK162" s="251"/>
      <c r="BL162" s="251"/>
      <c r="BM162" s="781">
        <v>45145</v>
      </c>
      <c r="BN162" s="791"/>
    </row>
    <row r="163" spans="1:66" s="260" customFormat="1" ht="26.4" x14ac:dyDescent="0.3">
      <c r="A163" s="258" t="s">
        <v>1703</v>
      </c>
      <c r="B163" s="251" t="s">
        <v>1704</v>
      </c>
      <c r="C163" s="258">
        <v>168110529</v>
      </c>
      <c r="D163" s="312" t="s">
        <v>750</v>
      </c>
      <c r="E163" s="481" t="s">
        <v>750</v>
      </c>
      <c r="F163" s="481" t="s">
        <v>2893</v>
      </c>
      <c r="G163" s="261" t="s">
        <v>3</v>
      </c>
      <c r="H163" s="254" t="s">
        <v>816</v>
      </c>
      <c r="I163" s="254" t="s">
        <v>872</v>
      </c>
      <c r="J163" s="255" t="s">
        <v>917</v>
      </c>
      <c r="K163" s="1282" t="s">
        <v>2894</v>
      </c>
      <c r="L163" s="737" t="s">
        <v>853</v>
      </c>
      <c r="M163" s="1307" t="s">
        <v>3590</v>
      </c>
      <c r="N163" s="782"/>
      <c r="O163" s="1297"/>
      <c r="P163" s="251"/>
      <c r="Q163" s="1297" t="s">
        <v>832</v>
      </c>
      <c r="R163" s="632">
        <f>$B$1</f>
        <v>45388</v>
      </c>
      <c r="S163" s="262" t="s">
        <v>3542</v>
      </c>
      <c r="T163" s="252"/>
      <c r="U163" s="257"/>
      <c r="V163" s="257"/>
      <c r="W163" s="633" t="str">
        <f>IFERROR(IF(AND(BD_PRINCIPAL[[#This Row],[DESDE]]&lt;&gt;"",BD_PRINCIPAL[[#This Row],[HASTA]]&lt;&gt;""),_xlfn.DAYS(BD_PRINCIPAL[[#This Row],[HASTA]],BD_PRINCIPAL[[#This Row],[DESDE]]),"")+1,"")</f>
        <v/>
      </c>
      <c r="X163" s="633">
        <f>VLOOKUP(BD_PRINCIPAL[[#This Row],[ENCUADRE. ESC.]],ORDEN1,2,FALSE)</f>
        <v>1</v>
      </c>
      <c r="Y163" s="633">
        <f>VLOOKUP(BD_PRINCIPAL[[#This Row],[DOTACIÓN ACTUAL]],ORDEN2,4,FALSE)</f>
        <v>136</v>
      </c>
      <c r="Z163" s="633">
        <f>VLOOKUP(BD_PRINCIPAL[[#This Row],[GRADO]],ORDEN3,2,FALSE)</f>
        <v>11</v>
      </c>
      <c r="AA163" s="633">
        <f>IFERROR(VLOOKUP(BD_PRINCIPAL[[#This Row],[DOTACIÓN ACTUAL]],ORDEN2,3,FALSE),0)</f>
        <v>0</v>
      </c>
      <c r="AB163" s="251" t="s">
        <v>853</v>
      </c>
      <c r="AC163" s="251" t="s">
        <v>853</v>
      </c>
      <c r="AD163" s="251" t="s">
        <v>853</v>
      </c>
      <c r="AE163" s="251" t="s">
        <v>853</v>
      </c>
      <c r="AF163" s="251" t="s">
        <v>1</v>
      </c>
      <c r="AG163" s="251" t="s">
        <v>853</v>
      </c>
      <c r="AH163" s="251"/>
      <c r="AI163" s="251"/>
      <c r="AJ163" s="251"/>
      <c r="AK163" s="251"/>
      <c r="AL163" s="251"/>
      <c r="AM163" s="251"/>
      <c r="AN163" s="251"/>
      <c r="AO163" s="251"/>
      <c r="AP163" s="251"/>
      <c r="AQ163" s="251"/>
      <c r="AR163" s="251"/>
      <c r="AS163" s="251"/>
      <c r="AT163" s="259"/>
      <c r="AU163" s="259"/>
      <c r="AV163" s="259"/>
      <c r="AW163" s="259"/>
      <c r="AX163" s="259"/>
      <c r="AY163" s="259"/>
      <c r="AZ163" s="259"/>
      <c r="BA163" s="251"/>
      <c r="BB163" s="251"/>
      <c r="BC163" s="251"/>
      <c r="BD163" s="251"/>
      <c r="BE163" s="251"/>
      <c r="BF163" s="251"/>
      <c r="BG163" s="251"/>
      <c r="BH163" s="251"/>
      <c r="BI163" s="251"/>
      <c r="BJ163" s="251"/>
      <c r="BK163" s="251"/>
      <c r="BL163" s="251"/>
      <c r="BM163" s="781">
        <v>45070</v>
      </c>
      <c r="BN163" s="791"/>
    </row>
    <row r="164" spans="1:66" s="260" customFormat="1" ht="26.4" x14ac:dyDescent="0.3">
      <c r="A164" s="258" t="s">
        <v>2679</v>
      </c>
      <c r="B164" s="634" t="s">
        <v>2681</v>
      </c>
      <c r="C164" s="258" t="s">
        <v>2680</v>
      </c>
      <c r="D164" s="312" t="s">
        <v>750</v>
      </c>
      <c r="E164" s="481" t="s">
        <v>750</v>
      </c>
      <c r="F164" s="481" t="s">
        <v>2681</v>
      </c>
      <c r="G164" s="261" t="s">
        <v>3</v>
      </c>
      <c r="H164" s="254" t="s">
        <v>816</v>
      </c>
      <c r="I164" s="254" t="s">
        <v>872</v>
      </c>
      <c r="J164" s="255" t="s">
        <v>917</v>
      </c>
      <c r="K164" s="1282" t="s">
        <v>2290</v>
      </c>
      <c r="L164" s="737" t="s">
        <v>853</v>
      </c>
      <c r="M164" s="1307" t="s">
        <v>3590</v>
      </c>
      <c r="N164" s="782"/>
      <c r="O164" s="1297"/>
      <c r="P164" s="251"/>
      <c r="Q164" s="1297" t="s">
        <v>832</v>
      </c>
      <c r="R164" s="632" t="s">
        <v>2449</v>
      </c>
      <c r="S164" s="262" t="s">
        <v>3558</v>
      </c>
      <c r="T164" s="252" t="s">
        <v>2919</v>
      </c>
      <c r="U164" s="870"/>
      <c r="V164" s="870"/>
      <c r="W164" s="633" t="str">
        <f>IFERROR(IF(AND(BD_PRINCIPAL[[#This Row],[DESDE]]&lt;&gt;"",BD_PRINCIPAL[[#This Row],[HASTA]]&lt;&gt;""),_xlfn.DAYS(BD_PRINCIPAL[[#This Row],[HASTA]],BD_PRINCIPAL[[#This Row],[DESDE]]),"")+1,"")</f>
        <v/>
      </c>
      <c r="X164" s="633">
        <f>VLOOKUP(BD_PRINCIPAL[[#This Row],[ENCUADRE. ESC.]],ORDEN1,2,FALSE)</f>
        <v>1</v>
      </c>
      <c r="Y164" s="633">
        <f>VLOOKUP(BD_PRINCIPAL[[#This Row],[DOTACIÓN ACTUAL]],ORDEN2,4,FALSE)</f>
        <v>136</v>
      </c>
      <c r="Z164" s="633">
        <f>VLOOKUP(BD_PRINCIPAL[[#This Row],[GRADO]],ORDEN3,2,FALSE)</f>
        <v>11</v>
      </c>
      <c r="AA164" s="633">
        <f>IFERROR(VLOOKUP(BD_PRINCIPAL[[#This Row],[DOTACIÓN ACTUAL]],ORDEN2,3,FALSE),0)</f>
        <v>0</v>
      </c>
      <c r="AB164" s="251" t="s">
        <v>6</v>
      </c>
      <c r="AC164" s="251" t="s">
        <v>2125</v>
      </c>
      <c r="AD164" s="251" t="s">
        <v>1</v>
      </c>
      <c r="AE164" s="251" t="s">
        <v>884</v>
      </c>
      <c r="AF164" s="251" t="s">
        <v>1</v>
      </c>
      <c r="AG164" s="251" t="s">
        <v>853</v>
      </c>
      <c r="AH164" s="259"/>
      <c r="AI164" s="259"/>
      <c r="AJ164" s="259"/>
      <c r="AK164" s="259"/>
      <c r="AL164" s="259"/>
      <c r="AM164" s="259"/>
      <c r="AN164" s="259"/>
      <c r="AO164" s="259"/>
      <c r="AP164" s="259"/>
      <c r="AQ164" s="259"/>
      <c r="AR164" s="259"/>
      <c r="AS164" s="259"/>
      <c r="AT164" s="259"/>
      <c r="AU164" s="259"/>
      <c r="AV164" s="259"/>
      <c r="AW164" s="259"/>
      <c r="AX164" s="259"/>
      <c r="AY164" s="259"/>
      <c r="AZ164" s="259"/>
      <c r="BA164" s="251"/>
      <c r="BB164" s="251"/>
      <c r="BC164" s="251"/>
      <c r="BD164" s="251"/>
      <c r="BE164" s="251"/>
      <c r="BF164" s="251"/>
      <c r="BG164" s="251"/>
      <c r="BH164" s="251"/>
      <c r="BI164" s="251"/>
      <c r="BJ164" s="251"/>
      <c r="BK164" s="251"/>
      <c r="BL164" s="251"/>
      <c r="BM164" s="948"/>
      <c r="BN164" s="948"/>
    </row>
    <row r="165" spans="1:66" s="1020" customFormat="1" ht="52.8" x14ac:dyDescent="0.3">
      <c r="A165" s="258" t="s">
        <v>2338</v>
      </c>
      <c r="B165" s="634" t="s">
        <v>2339</v>
      </c>
      <c r="C165" s="258">
        <v>167368840</v>
      </c>
      <c r="D165" s="312" t="s">
        <v>750</v>
      </c>
      <c r="E165" s="481" t="s">
        <v>750</v>
      </c>
      <c r="F165" s="481" t="s">
        <v>2558</v>
      </c>
      <c r="G165" s="261" t="s">
        <v>3</v>
      </c>
      <c r="H165" s="254" t="s">
        <v>816</v>
      </c>
      <c r="I165" s="254" t="s">
        <v>872</v>
      </c>
      <c r="J165" s="255" t="s">
        <v>917</v>
      </c>
      <c r="K165" s="1282" t="s">
        <v>2559</v>
      </c>
      <c r="L165" s="737" t="s">
        <v>853</v>
      </c>
      <c r="M165" s="1307" t="s">
        <v>3590</v>
      </c>
      <c r="N165" s="782"/>
      <c r="O165" s="1297"/>
      <c r="P165" s="251"/>
      <c r="Q165" s="1297" t="s">
        <v>832</v>
      </c>
      <c r="R165" s="632">
        <f>$B$1</f>
        <v>45388</v>
      </c>
      <c r="S165" s="262"/>
      <c r="T165" s="262" t="s">
        <v>3320</v>
      </c>
      <c r="U165" s="870"/>
      <c r="V165" s="870"/>
      <c r="W165" s="633" t="str">
        <f>IFERROR(IF(AND(BD_PRINCIPAL[[#This Row],[DESDE]]&lt;&gt;"",BD_PRINCIPAL[[#This Row],[HASTA]]&lt;&gt;""),_xlfn.DAYS(BD_PRINCIPAL[[#This Row],[HASTA]],BD_PRINCIPAL[[#This Row],[DESDE]]),"")+1,"")</f>
        <v/>
      </c>
      <c r="X165" s="633">
        <f>VLOOKUP(BD_PRINCIPAL[[#This Row],[ENCUADRE. ESC.]],ORDEN1,2,FALSE)</f>
        <v>1</v>
      </c>
      <c r="Y165" s="633">
        <f>VLOOKUP(BD_PRINCIPAL[[#This Row],[DOTACIÓN ACTUAL]],ORDEN2,4,FALSE)</f>
        <v>136</v>
      </c>
      <c r="Z165" s="633">
        <f>VLOOKUP(BD_PRINCIPAL[[#This Row],[GRADO]],ORDEN3,2,FALSE)</f>
        <v>11</v>
      </c>
      <c r="AA165" s="633">
        <f>IFERROR(VLOOKUP(BD_PRINCIPAL[[#This Row],[DOTACIÓN ACTUAL]],ORDEN2,3,FALSE),0)</f>
        <v>0</v>
      </c>
      <c r="AB165" s="251" t="s">
        <v>884</v>
      </c>
      <c r="AC165" s="251" t="s">
        <v>884</v>
      </c>
      <c r="AD165" s="251" t="s">
        <v>1</v>
      </c>
      <c r="AE165" s="251" t="s">
        <v>853</v>
      </c>
      <c r="AF165" s="251" t="s">
        <v>2</v>
      </c>
      <c r="AG165" s="251" t="s">
        <v>853</v>
      </c>
      <c r="AH165" s="251"/>
      <c r="AI165" s="251"/>
      <c r="AJ165" s="251"/>
      <c r="AK165" s="251"/>
      <c r="AL165" s="251"/>
      <c r="AM165" s="251"/>
      <c r="AN165" s="251"/>
      <c r="AO165" s="251"/>
      <c r="AP165" s="251"/>
      <c r="AQ165" s="251"/>
      <c r="AR165" s="251"/>
      <c r="AS165" s="251"/>
      <c r="AT165" s="259"/>
      <c r="AU165" s="259"/>
      <c r="AV165" s="259"/>
      <c r="AW165" s="259"/>
      <c r="AX165" s="259"/>
      <c r="AY165" s="259"/>
      <c r="AZ165" s="259"/>
      <c r="BA165" s="251"/>
      <c r="BB165" s="251"/>
      <c r="BC165" s="251"/>
      <c r="BD165" s="251"/>
      <c r="BE165" s="251"/>
      <c r="BF165" s="251"/>
      <c r="BG165" s="251"/>
      <c r="BH165" s="251"/>
      <c r="BI165" s="251"/>
      <c r="BJ165" s="251"/>
      <c r="BK165" s="251"/>
      <c r="BL165" s="251"/>
      <c r="BM165" s="781">
        <v>45132</v>
      </c>
      <c r="BN165" s="791"/>
    </row>
    <row r="166" spans="1:66" s="260" customFormat="1" x14ac:dyDescent="0.3">
      <c r="A166" s="258" t="s">
        <v>326</v>
      </c>
      <c r="B166" s="251" t="s">
        <v>1864</v>
      </c>
      <c r="C166" s="258">
        <v>205697225</v>
      </c>
      <c r="D166" s="312" t="s">
        <v>750</v>
      </c>
      <c r="E166" s="487" t="s">
        <v>750</v>
      </c>
      <c r="F166" s="481" t="s">
        <v>1864</v>
      </c>
      <c r="G166" s="253" t="s">
        <v>4</v>
      </c>
      <c r="H166" s="254" t="s">
        <v>816</v>
      </c>
      <c r="I166" s="254" t="s">
        <v>872</v>
      </c>
      <c r="J166" s="255" t="s">
        <v>917</v>
      </c>
      <c r="K166" s="1282" t="s">
        <v>2290</v>
      </c>
      <c r="L166" s="737" t="s">
        <v>853</v>
      </c>
      <c r="M166" s="1307" t="s">
        <v>3590</v>
      </c>
      <c r="N166" s="781"/>
      <c r="O166" s="1297"/>
      <c r="P166" s="251"/>
      <c r="Q166" s="1297" t="s">
        <v>832</v>
      </c>
      <c r="R166" s="256">
        <f>$B$1</f>
        <v>45388</v>
      </c>
      <c r="S166" s="262"/>
      <c r="T166" s="252" t="s">
        <v>2919</v>
      </c>
      <c r="U166" s="257"/>
      <c r="V166" s="257"/>
      <c r="W166" s="258" t="str">
        <f>IFERROR(IF(AND(BD_PRINCIPAL[[#This Row],[DESDE]]&lt;&gt;"",BD_PRINCIPAL[[#This Row],[HASTA]]&lt;&gt;""),_xlfn.DAYS(BD_PRINCIPAL[[#This Row],[HASTA]],BD_PRINCIPAL[[#This Row],[DESDE]]),"")+1,"")</f>
        <v/>
      </c>
      <c r="X166" s="258">
        <f>VLOOKUP(BD_PRINCIPAL[[#This Row],[ENCUADRE. ESC.]],ORDEN1,2,FALSE)</f>
        <v>1</v>
      </c>
      <c r="Y166" s="258">
        <f>VLOOKUP(BD_PRINCIPAL[[#This Row],[DOTACIÓN ACTUAL]],ORDEN2,4,FALSE)</f>
        <v>136</v>
      </c>
      <c r="Z166" s="258">
        <f>VLOOKUP(BD_PRINCIPAL[[#This Row],[GRADO]],ORDEN3,2,FALSE)</f>
        <v>12</v>
      </c>
      <c r="AA166" s="258">
        <f>IFERROR(VLOOKUP(BD_PRINCIPAL[[#This Row],[DOTACIÓN ACTUAL]],ORDEN2,3,FALSE),0)</f>
        <v>0</v>
      </c>
      <c r="AB166" s="251" t="s">
        <v>6</v>
      </c>
      <c r="AC166" s="251" t="s">
        <v>2125</v>
      </c>
      <c r="AD166" s="251" t="s">
        <v>1</v>
      </c>
      <c r="AE166" s="251" t="s">
        <v>853</v>
      </c>
      <c r="AF166" s="251" t="s">
        <v>1</v>
      </c>
      <c r="AG166" s="251" t="s">
        <v>853</v>
      </c>
      <c r="AH166" s="251"/>
      <c r="AI166" s="251"/>
      <c r="AJ166" s="251"/>
      <c r="AK166" s="251"/>
      <c r="AL166" s="251"/>
      <c r="AM166" s="251"/>
      <c r="AN166" s="251"/>
      <c r="AO166" s="251"/>
      <c r="AP166" s="251"/>
      <c r="AQ166" s="251"/>
      <c r="AR166" s="251"/>
      <c r="AS166" s="251"/>
      <c r="AT166" s="259"/>
      <c r="AU166" s="259"/>
      <c r="AV166" s="259"/>
      <c r="AW166" s="259"/>
      <c r="AX166" s="259"/>
      <c r="AY166" s="259"/>
      <c r="AZ166" s="259"/>
      <c r="BA166" s="251"/>
      <c r="BB166" s="251"/>
      <c r="BC166" s="251"/>
      <c r="BD166" s="251"/>
      <c r="BE166" s="251"/>
      <c r="BF166" s="251"/>
      <c r="BG166" s="251"/>
      <c r="BH166" s="251"/>
      <c r="BI166" s="251"/>
      <c r="BJ166" s="251"/>
      <c r="BK166" s="251"/>
      <c r="BL166" s="251"/>
      <c r="BM166" s="781">
        <v>45042</v>
      </c>
      <c r="BN166" s="791"/>
    </row>
    <row r="167" spans="1:66" s="260" customFormat="1" x14ac:dyDescent="0.3">
      <c r="A167" s="258" t="s">
        <v>345</v>
      </c>
      <c r="B167" s="251" t="s">
        <v>170</v>
      </c>
      <c r="C167" s="258">
        <v>203735928</v>
      </c>
      <c r="D167" s="312" t="s">
        <v>750</v>
      </c>
      <c r="E167" s="487" t="s">
        <v>750</v>
      </c>
      <c r="F167" s="481" t="s">
        <v>170</v>
      </c>
      <c r="G167" s="253" t="s">
        <v>4</v>
      </c>
      <c r="H167" s="254" t="s">
        <v>816</v>
      </c>
      <c r="I167" s="254" t="s">
        <v>872</v>
      </c>
      <c r="J167" s="255" t="s">
        <v>917</v>
      </c>
      <c r="K167" s="1282" t="s">
        <v>2290</v>
      </c>
      <c r="L167" s="737" t="s">
        <v>853</v>
      </c>
      <c r="M167" s="1307" t="s">
        <v>3590</v>
      </c>
      <c r="N167" s="783"/>
      <c r="O167" s="1297"/>
      <c r="P167" s="251"/>
      <c r="Q167" s="1297" t="s">
        <v>832</v>
      </c>
      <c r="R167" s="256">
        <f>$B$1</f>
        <v>45388</v>
      </c>
      <c r="S167" s="252"/>
      <c r="T167" s="262" t="s">
        <v>2919</v>
      </c>
      <c r="U167" s="257"/>
      <c r="V167" s="257"/>
      <c r="W167" s="258" t="str">
        <f>IFERROR(IF(AND(BD_PRINCIPAL[[#This Row],[DESDE]]&lt;&gt;"",BD_PRINCIPAL[[#This Row],[HASTA]]&lt;&gt;""),_xlfn.DAYS(BD_PRINCIPAL[[#This Row],[HASTA]],BD_PRINCIPAL[[#This Row],[DESDE]]),"")+1,"")</f>
        <v/>
      </c>
      <c r="X167" s="258">
        <f>VLOOKUP(BD_PRINCIPAL[[#This Row],[ENCUADRE. ESC.]],ORDEN1,2,FALSE)</f>
        <v>1</v>
      </c>
      <c r="Y167" s="258">
        <f>VLOOKUP(BD_PRINCIPAL[[#This Row],[DOTACIÓN ACTUAL]],ORDEN2,4,FALSE)</f>
        <v>136</v>
      </c>
      <c r="Z167" s="258">
        <f>VLOOKUP(BD_PRINCIPAL[[#This Row],[GRADO]],ORDEN3,2,FALSE)</f>
        <v>12</v>
      </c>
      <c r="AA167" s="258">
        <f>IFERROR(VLOOKUP(BD_PRINCIPAL[[#This Row],[DOTACIÓN ACTUAL]],ORDEN2,3,FALSE),0)</f>
        <v>0</v>
      </c>
      <c r="AB167" s="251" t="s">
        <v>6</v>
      </c>
      <c r="AC167" s="251" t="s">
        <v>2125</v>
      </c>
      <c r="AD167" s="251" t="s">
        <v>1</v>
      </c>
      <c r="AE167" s="251" t="s">
        <v>853</v>
      </c>
      <c r="AF167" s="251" t="s">
        <v>2</v>
      </c>
      <c r="AG167" s="251" t="s">
        <v>853</v>
      </c>
      <c r="AH167" s="251"/>
      <c r="AI167" s="251"/>
      <c r="AJ167" s="251"/>
      <c r="AK167" s="251"/>
      <c r="AL167" s="251"/>
      <c r="AM167" s="251"/>
      <c r="AN167" s="251"/>
      <c r="AO167" s="251"/>
      <c r="AP167" s="251"/>
      <c r="AQ167" s="251"/>
      <c r="AR167" s="251"/>
      <c r="AS167" s="251"/>
      <c r="AT167" s="259"/>
      <c r="AU167" s="259"/>
      <c r="AV167" s="259"/>
      <c r="AW167" s="259"/>
      <c r="AX167" s="259"/>
      <c r="AY167" s="259"/>
      <c r="AZ167" s="259"/>
      <c r="BA167" s="251"/>
      <c r="BB167" s="251"/>
      <c r="BC167" s="251"/>
      <c r="BD167" s="251"/>
      <c r="BE167" s="251"/>
      <c r="BF167" s="251"/>
      <c r="BG167" s="251"/>
      <c r="BH167" s="251"/>
      <c r="BI167" s="251"/>
      <c r="BJ167" s="251"/>
      <c r="BK167" s="251"/>
      <c r="BL167" s="251"/>
      <c r="BM167" s="783">
        <v>45034</v>
      </c>
      <c r="BN167" s="791"/>
    </row>
    <row r="168" spans="1:66" s="260" customFormat="1" x14ac:dyDescent="0.3">
      <c r="A168" s="258" t="s">
        <v>390</v>
      </c>
      <c r="B168" s="251" t="s">
        <v>153</v>
      </c>
      <c r="C168" s="258">
        <v>185575721</v>
      </c>
      <c r="D168" s="312" t="s">
        <v>750</v>
      </c>
      <c r="E168" s="487" t="s">
        <v>750</v>
      </c>
      <c r="F168" s="481" t="s">
        <v>2274</v>
      </c>
      <c r="G168" s="253" t="s">
        <v>4</v>
      </c>
      <c r="H168" s="254" t="s">
        <v>816</v>
      </c>
      <c r="I168" s="254" t="s">
        <v>872</v>
      </c>
      <c r="J168" s="255" t="s">
        <v>917</v>
      </c>
      <c r="K168" s="1282" t="s">
        <v>2301</v>
      </c>
      <c r="L168" s="737" t="s">
        <v>853</v>
      </c>
      <c r="M168" s="1307" t="s">
        <v>3590</v>
      </c>
      <c r="N168" s="781"/>
      <c r="O168" s="1297"/>
      <c r="P168" s="251"/>
      <c r="Q168" s="1297" t="s">
        <v>832</v>
      </c>
      <c r="R168" s="256">
        <f>$B$1</f>
        <v>45388</v>
      </c>
      <c r="S168" s="262"/>
      <c r="T168" s="262" t="s">
        <v>2919</v>
      </c>
      <c r="U168" s="257"/>
      <c r="V168" s="257"/>
      <c r="W168" s="258" t="str">
        <f>IFERROR(IF(AND(BD_PRINCIPAL[[#This Row],[DESDE]]&lt;&gt;"",BD_PRINCIPAL[[#This Row],[HASTA]]&lt;&gt;""),_xlfn.DAYS(BD_PRINCIPAL[[#This Row],[HASTA]],BD_PRINCIPAL[[#This Row],[DESDE]]),"")+1,"")</f>
        <v/>
      </c>
      <c r="X168" s="258">
        <f>VLOOKUP(BD_PRINCIPAL[[#This Row],[ENCUADRE. ESC.]],ORDEN1,2,FALSE)</f>
        <v>1</v>
      </c>
      <c r="Y168" s="258">
        <f>VLOOKUP(BD_PRINCIPAL[[#This Row],[DOTACIÓN ACTUAL]],ORDEN2,4,FALSE)</f>
        <v>136</v>
      </c>
      <c r="Z168" s="258">
        <f>VLOOKUP(BD_PRINCIPAL[[#This Row],[GRADO]],ORDEN3,2,FALSE)</f>
        <v>12</v>
      </c>
      <c r="AA168" s="258">
        <f>IFERROR(VLOOKUP(BD_PRINCIPAL[[#This Row],[DOTACIÓN ACTUAL]],ORDEN2,3,FALSE),0)</f>
        <v>0</v>
      </c>
      <c r="AB168" s="251" t="s">
        <v>6</v>
      </c>
      <c r="AC168" s="251" t="s">
        <v>2125</v>
      </c>
      <c r="AD168" s="251" t="s">
        <v>1</v>
      </c>
      <c r="AE168" s="251" t="s">
        <v>853</v>
      </c>
      <c r="AF168" s="251" t="s">
        <v>2</v>
      </c>
      <c r="AG168" s="251" t="s">
        <v>853</v>
      </c>
      <c r="AH168" s="251"/>
      <c r="AI168" s="251"/>
      <c r="AJ168" s="251"/>
      <c r="AK168" s="251"/>
      <c r="AL168" s="251"/>
      <c r="AM168" s="251"/>
      <c r="AN168" s="251"/>
      <c r="AO168" s="251"/>
      <c r="AP168" s="251"/>
      <c r="AQ168" s="251"/>
      <c r="AR168" s="251"/>
      <c r="AS168" s="251"/>
      <c r="AT168" s="259"/>
      <c r="AU168" s="259"/>
      <c r="AV168" s="259"/>
      <c r="AW168" s="259"/>
      <c r="AX168" s="259"/>
      <c r="AY168" s="259"/>
      <c r="AZ168" s="259"/>
      <c r="BA168" s="251"/>
      <c r="BB168" s="251"/>
      <c r="BC168" s="251"/>
      <c r="BD168" s="251"/>
      <c r="BE168" s="251"/>
      <c r="BF168" s="251"/>
      <c r="BG168" s="251"/>
      <c r="BH168" s="251"/>
      <c r="BI168" s="251"/>
      <c r="BJ168" s="251"/>
      <c r="BK168" s="251"/>
      <c r="BL168" s="251"/>
      <c r="BM168" s="781">
        <v>45044</v>
      </c>
      <c r="BN168" s="791"/>
    </row>
    <row r="169" spans="1:66" s="260" customFormat="1" x14ac:dyDescent="0.3">
      <c r="A169" s="258" t="s">
        <v>389</v>
      </c>
      <c r="B169" s="896" t="s">
        <v>1857</v>
      </c>
      <c r="C169" s="258">
        <v>194365527</v>
      </c>
      <c r="D169" s="312" t="s">
        <v>750</v>
      </c>
      <c r="E169" s="487" t="s">
        <v>750</v>
      </c>
      <c r="F169" s="481" t="s">
        <v>2549</v>
      </c>
      <c r="G169" s="253" t="s">
        <v>4</v>
      </c>
      <c r="H169" s="254" t="s">
        <v>816</v>
      </c>
      <c r="I169" s="254" t="s">
        <v>872</v>
      </c>
      <c r="J169" s="255" t="s">
        <v>917</v>
      </c>
      <c r="K169" s="1282" t="s">
        <v>2550</v>
      </c>
      <c r="L169" s="737" t="s">
        <v>853</v>
      </c>
      <c r="M169" s="1307" t="s">
        <v>3590</v>
      </c>
      <c r="N169" s="783"/>
      <c r="O169" s="1297"/>
      <c r="P169" s="251"/>
      <c r="Q169" s="1297" t="s">
        <v>832</v>
      </c>
      <c r="R169" s="256">
        <f>$B$1</f>
        <v>45388</v>
      </c>
      <c r="S169" s="262" t="s">
        <v>1483</v>
      </c>
      <c r="T169" s="262" t="s">
        <v>2919</v>
      </c>
      <c r="U169" s="257"/>
      <c r="V169" s="257"/>
      <c r="W169" s="258" t="str">
        <f>IFERROR(IF(AND(BD_PRINCIPAL[[#This Row],[DESDE]]&lt;&gt;"",BD_PRINCIPAL[[#This Row],[HASTA]]&lt;&gt;""),_xlfn.DAYS(BD_PRINCIPAL[[#This Row],[HASTA]],BD_PRINCIPAL[[#This Row],[DESDE]]),"")+1,"")</f>
        <v/>
      </c>
      <c r="X169" s="258">
        <f>VLOOKUP(BD_PRINCIPAL[[#This Row],[ENCUADRE. ESC.]],ORDEN1,2,FALSE)</f>
        <v>1</v>
      </c>
      <c r="Y169" s="258">
        <f>VLOOKUP(BD_PRINCIPAL[[#This Row],[DOTACIÓN ACTUAL]],ORDEN2,4,FALSE)</f>
        <v>136</v>
      </c>
      <c r="Z169" s="258">
        <f>VLOOKUP(BD_PRINCIPAL[[#This Row],[GRADO]],ORDEN3,2,FALSE)</f>
        <v>12</v>
      </c>
      <c r="AA169" s="258">
        <f>IFERROR(VLOOKUP(BD_PRINCIPAL[[#This Row],[DOTACIÓN ACTUAL]],ORDEN2,3,FALSE),0)</f>
        <v>0</v>
      </c>
      <c r="AB169" s="251" t="s">
        <v>6</v>
      </c>
      <c r="AC169" s="251" t="s">
        <v>2125</v>
      </c>
      <c r="AD169" s="251" t="s">
        <v>1</v>
      </c>
      <c r="AE169" s="251" t="s">
        <v>853</v>
      </c>
      <c r="AF169" s="251" t="s">
        <v>1</v>
      </c>
      <c r="AG169" s="251" t="s">
        <v>853</v>
      </c>
      <c r="AH169" s="251"/>
      <c r="AI169" s="251"/>
      <c r="AJ169" s="251"/>
      <c r="AK169" s="251"/>
      <c r="AL169" s="251"/>
      <c r="AM169" s="251"/>
      <c r="AN169" s="251"/>
      <c r="AO169" s="251"/>
      <c r="AP169" s="251"/>
      <c r="AQ169" s="251"/>
      <c r="AR169" s="251"/>
      <c r="AS169" s="251"/>
      <c r="AT169" s="259"/>
      <c r="AU169" s="259"/>
      <c r="AV169" s="259"/>
      <c r="AW169" s="259"/>
      <c r="AX169" s="259"/>
      <c r="AY169" s="259"/>
      <c r="AZ169" s="259"/>
      <c r="BA169" s="251"/>
      <c r="BB169" s="251"/>
      <c r="BC169" s="251"/>
      <c r="BD169" s="251"/>
      <c r="BE169" s="251"/>
      <c r="BF169" s="251"/>
      <c r="BG169" s="251"/>
      <c r="BH169" s="251"/>
      <c r="BI169" s="251"/>
      <c r="BJ169" s="251"/>
      <c r="BK169" s="251"/>
      <c r="BL169" s="251"/>
      <c r="BM169" s="783">
        <v>45041</v>
      </c>
      <c r="BN169" s="791"/>
    </row>
    <row r="170" spans="1:66" s="260" customFormat="1" x14ac:dyDescent="0.3">
      <c r="A170" s="258" t="s">
        <v>2196</v>
      </c>
      <c r="B170" s="634" t="s">
        <v>2198</v>
      </c>
      <c r="C170" s="258" t="s">
        <v>2197</v>
      </c>
      <c r="D170" s="312" t="s">
        <v>750</v>
      </c>
      <c r="E170" s="481" t="s">
        <v>750</v>
      </c>
      <c r="F170" s="481" t="s">
        <v>2198</v>
      </c>
      <c r="G170" s="261" t="s">
        <v>14</v>
      </c>
      <c r="H170" s="254" t="s">
        <v>817</v>
      </c>
      <c r="I170" s="254" t="s">
        <v>872</v>
      </c>
      <c r="J170" s="255" t="s">
        <v>917</v>
      </c>
      <c r="K170" s="1282" t="s">
        <v>2290</v>
      </c>
      <c r="L170" s="737" t="s">
        <v>853</v>
      </c>
      <c r="M170" s="1307" t="s">
        <v>3590</v>
      </c>
      <c r="N170" s="782"/>
      <c r="O170" s="1297"/>
      <c r="P170" s="251"/>
      <c r="Q170" s="1297" t="s">
        <v>832</v>
      </c>
      <c r="R170" s="632">
        <f>$B$1</f>
        <v>45388</v>
      </c>
      <c r="S170" s="262" t="s">
        <v>1483</v>
      </c>
      <c r="T170" s="262" t="s">
        <v>2919</v>
      </c>
      <c r="U170" s="257"/>
      <c r="V170" s="257"/>
      <c r="W170" s="633" t="str">
        <f>IFERROR(IF(AND(BD_PRINCIPAL[[#This Row],[DESDE]]&lt;&gt;"",BD_PRINCIPAL[[#This Row],[HASTA]]&lt;&gt;""),_xlfn.DAYS(BD_PRINCIPAL[[#This Row],[HASTA]],BD_PRINCIPAL[[#This Row],[DESDE]]),"")+1,"")</f>
        <v/>
      </c>
      <c r="X170" s="633">
        <f>VLOOKUP(BD_PRINCIPAL[[#This Row],[ENCUADRE. ESC.]],ORDEN1,2,FALSE)</f>
        <v>1</v>
      </c>
      <c r="Y170" s="633">
        <f>VLOOKUP(BD_PRINCIPAL[[#This Row],[DOTACIÓN ACTUAL]],ORDEN2,4,FALSE)</f>
        <v>136</v>
      </c>
      <c r="Z170" s="633">
        <f>VLOOKUP(BD_PRINCIPAL[[#This Row],[GRADO]],ORDEN3,2,FALSE)</f>
        <v>13</v>
      </c>
      <c r="AA170" s="633">
        <f>IFERROR(VLOOKUP(BD_PRINCIPAL[[#This Row],[DOTACIÓN ACTUAL]],ORDEN2,3,FALSE),0)</f>
        <v>0</v>
      </c>
      <c r="AB170" s="251" t="s">
        <v>6</v>
      </c>
      <c r="AC170" s="251" t="s">
        <v>2125</v>
      </c>
      <c r="AD170" s="251" t="s">
        <v>1</v>
      </c>
      <c r="AE170" s="251" t="s">
        <v>853</v>
      </c>
      <c r="AF170" s="251" t="s">
        <v>1</v>
      </c>
      <c r="AG170" s="251" t="s">
        <v>853</v>
      </c>
      <c r="AH170" s="251"/>
      <c r="AI170" s="251"/>
      <c r="AJ170" s="251"/>
      <c r="AK170" s="251"/>
      <c r="AL170" s="251"/>
      <c r="AM170" s="251"/>
      <c r="AN170" s="251"/>
      <c r="AO170" s="251"/>
      <c r="AP170" s="251"/>
      <c r="AQ170" s="251"/>
      <c r="AR170" s="251"/>
      <c r="AS170" s="251"/>
      <c r="AT170" s="259"/>
      <c r="AU170" s="259"/>
      <c r="AV170" s="259"/>
      <c r="AW170" s="259"/>
      <c r="AX170" s="259"/>
      <c r="AY170" s="259"/>
      <c r="AZ170" s="259"/>
      <c r="BA170" s="251"/>
      <c r="BB170" s="251"/>
      <c r="BC170" s="251"/>
      <c r="BD170" s="251"/>
      <c r="BE170" s="251"/>
      <c r="BF170" s="251"/>
      <c r="BG170" s="251"/>
      <c r="BH170" s="251"/>
      <c r="BI170" s="251"/>
      <c r="BJ170" s="251"/>
      <c r="BK170" s="251"/>
      <c r="BL170" s="251"/>
      <c r="BM170" s="781">
        <v>45124</v>
      </c>
      <c r="BN170" s="791"/>
    </row>
    <row r="171" spans="1:66" s="221" customFormat="1" x14ac:dyDescent="0.3">
      <c r="A171" s="219" t="s">
        <v>402</v>
      </c>
      <c r="B171" s="212" t="s">
        <v>1895</v>
      </c>
      <c r="C171" s="219">
        <v>125054404</v>
      </c>
      <c r="D171" s="480" t="s">
        <v>751</v>
      </c>
      <c r="E171" s="480" t="s">
        <v>751</v>
      </c>
      <c r="F171" s="480" t="s">
        <v>3064</v>
      </c>
      <c r="G171" s="214" t="s">
        <v>17</v>
      </c>
      <c r="H171" s="215" t="s">
        <v>816</v>
      </c>
      <c r="I171" s="215" t="s">
        <v>872</v>
      </c>
      <c r="J171" s="216" t="s">
        <v>917</v>
      </c>
      <c r="K171" s="1279" t="s">
        <v>2290</v>
      </c>
      <c r="L171" s="733" t="s">
        <v>853</v>
      </c>
      <c r="M171" s="1304" t="s">
        <v>3590</v>
      </c>
      <c r="N171" s="771"/>
      <c r="O171" s="1294"/>
      <c r="P171" s="212"/>
      <c r="Q171" s="1294" t="s">
        <v>832</v>
      </c>
      <c r="R171" s="217">
        <f>$B$1</f>
        <v>45388</v>
      </c>
      <c r="S171" s="223"/>
      <c r="T171" s="213" t="s">
        <v>2919</v>
      </c>
      <c r="U171" s="218"/>
      <c r="V171" s="218"/>
      <c r="W171" s="219" t="str">
        <f>IFERROR(IF(AND(BD_PRINCIPAL[[#This Row],[DESDE]]&lt;&gt;"",BD_PRINCIPAL[[#This Row],[HASTA]]&lt;&gt;""),_xlfn.DAYS(BD_PRINCIPAL[[#This Row],[HASTA]],BD_PRINCIPAL[[#This Row],[DESDE]]),"")+1,"")</f>
        <v/>
      </c>
      <c r="X171" s="219">
        <f>VLOOKUP(BD_PRINCIPAL[[#This Row],[ENCUADRE. ESC.]],ORDEN1,2,FALSE)</f>
        <v>1</v>
      </c>
      <c r="Y171" s="219">
        <f>VLOOKUP(BD_PRINCIPAL[[#This Row],[DOTACIÓN ACTUAL]],ORDEN2,4,FALSE)</f>
        <v>139</v>
      </c>
      <c r="Z171" s="219">
        <f>VLOOKUP(BD_PRINCIPAL[[#This Row],[GRADO]],ORDEN3,2,FALSE)</f>
        <v>8</v>
      </c>
      <c r="AA171" s="219">
        <f>IFERROR(VLOOKUP(BD_PRINCIPAL[[#This Row],[DOTACIÓN ACTUAL]],ORDEN2,3,FALSE),0)</f>
        <v>0</v>
      </c>
      <c r="AB171" s="212" t="s">
        <v>6</v>
      </c>
      <c r="AC171" s="212" t="s">
        <v>2125</v>
      </c>
      <c r="AD171" s="212" t="s">
        <v>1</v>
      </c>
      <c r="AE171" s="212" t="s">
        <v>1</v>
      </c>
      <c r="AF171" s="212" t="s">
        <v>1</v>
      </c>
      <c r="AG171" s="212" t="s">
        <v>853</v>
      </c>
      <c r="AH171" s="212"/>
      <c r="AI171" s="212"/>
      <c r="AJ171" s="212"/>
      <c r="AK171" s="212"/>
      <c r="AL171" s="212"/>
      <c r="AM171" s="212"/>
      <c r="AN171" s="212"/>
      <c r="AO171" s="212"/>
      <c r="AP171" s="212"/>
      <c r="AQ171" s="212"/>
      <c r="AR171" s="212"/>
      <c r="AS171" s="212"/>
      <c r="AT171" s="220"/>
      <c r="AU171" s="220"/>
      <c r="AV171" s="220"/>
      <c r="AW171" s="220"/>
      <c r="AX171" s="220"/>
      <c r="AY171" s="220"/>
      <c r="AZ171" s="220"/>
      <c r="BA171" s="212"/>
      <c r="BB171" s="212"/>
      <c r="BC171" s="212"/>
      <c r="BD171" s="212"/>
      <c r="BE171" s="212"/>
      <c r="BF171" s="212"/>
      <c r="BG171" s="212"/>
      <c r="BH171" s="212"/>
      <c r="BI171" s="212"/>
      <c r="BJ171" s="212"/>
      <c r="BK171" s="212"/>
      <c r="BL171" s="212"/>
      <c r="BM171" s="771">
        <v>45043</v>
      </c>
      <c r="BN171" s="789"/>
    </row>
    <row r="172" spans="1:66" s="221" customFormat="1" x14ac:dyDescent="0.3">
      <c r="A172" s="219" t="s">
        <v>327</v>
      </c>
      <c r="B172" s="212" t="s">
        <v>9</v>
      </c>
      <c r="C172" s="219">
        <v>125957269</v>
      </c>
      <c r="D172" s="309" t="s">
        <v>715</v>
      </c>
      <c r="E172" s="480" t="s">
        <v>715</v>
      </c>
      <c r="F172" s="480" t="s">
        <v>9</v>
      </c>
      <c r="G172" s="214" t="s">
        <v>89</v>
      </c>
      <c r="H172" s="215" t="s">
        <v>816</v>
      </c>
      <c r="I172" s="215" t="s">
        <v>872</v>
      </c>
      <c r="J172" s="216" t="s">
        <v>917</v>
      </c>
      <c r="K172" s="1279" t="s">
        <v>2290</v>
      </c>
      <c r="L172" s="733" t="s">
        <v>853</v>
      </c>
      <c r="M172" s="1304" t="s">
        <v>3590</v>
      </c>
      <c r="N172" s="772"/>
      <c r="O172" s="1294"/>
      <c r="P172" s="212"/>
      <c r="Q172" s="1294" t="s">
        <v>832</v>
      </c>
      <c r="R172" s="217">
        <f>$B$1</f>
        <v>45388</v>
      </c>
      <c r="S172" s="223"/>
      <c r="T172" s="223" t="s">
        <v>2919</v>
      </c>
      <c r="U172" s="218"/>
      <c r="V172" s="218"/>
      <c r="W172" s="219" t="str">
        <f>IFERROR(IF(AND(BD_PRINCIPAL[[#This Row],[DESDE]]&lt;&gt;"",BD_PRINCIPAL[[#This Row],[HASTA]]&lt;&gt;""),_xlfn.DAYS(BD_PRINCIPAL[[#This Row],[HASTA]],BD_PRINCIPAL[[#This Row],[DESDE]]),"")+1,"")</f>
        <v/>
      </c>
      <c r="X172" s="219">
        <f>VLOOKUP(BD_PRINCIPAL[[#This Row],[ENCUADRE. ESC.]],ORDEN1,2,FALSE)</f>
        <v>1</v>
      </c>
      <c r="Y172" s="219">
        <f>VLOOKUP(BD_PRINCIPAL[[#This Row],[DOTACIÓN ACTUAL]],ORDEN2,4,FALSE)</f>
        <v>140</v>
      </c>
      <c r="Z172" s="219">
        <f>VLOOKUP(BD_PRINCIPAL[[#This Row],[GRADO]],ORDEN3,2,FALSE)</f>
        <v>9</v>
      </c>
      <c r="AA172" s="219">
        <f>IFERROR(VLOOKUP(BD_PRINCIPAL[[#This Row],[DOTACIÓN ACTUAL]],ORDEN2,3,FALSE),0)</f>
        <v>0</v>
      </c>
      <c r="AB172" s="212" t="s">
        <v>6</v>
      </c>
      <c r="AC172" s="212" t="s">
        <v>2125</v>
      </c>
      <c r="AD172" s="212" t="s">
        <v>1</v>
      </c>
      <c r="AE172" s="212" t="s">
        <v>1</v>
      </c>
      <c r="AF172" s="212" t="s">
        <v>1</v>
      </c>
      <c r="AG172" s="212" t="s">
        <v>853</v>
      </c>
      <c r="AH172" s="212"/>
      <c r="AI172" s="212"/>
      <c r="AJ172" s="212"/>
      <c r="AK172" s="212"/>
      <c r="AL172" s="212"/>
      <c r="AM172" s="212"/>
      <c r="AN172" s="212"/>
      <c r="AO172" s="212"/>
      <c r="AP172" s="212"/>
      <c r="AQ172" s="212"/>
      <c r="AR172" s="212"/>
      <c r="AS172" s="212"/>
      <c r="AT172" s="220"/>
      <c r="AU172" s="220"/>
      <c r="AV172" s="220"/>
      <c r="AW172" s="220"/>
      <c r="AX172" s="220"/>
      <c r="AY172" s="220"/>
      <c r="AZ172" s="220"/>
      <c r="BA172" s="212"/>
      <c r="BB172" s="212"/>
      <c r="BC172" s="212"/>
      <c r="BD172" s="212"/>
      <c r="BE172" s="212"/>
      <c r="BF172" s="212"/>
      <c r="BG172" s="212"/>
      <c r="BH172" s="212"/>
      <c r="BI172" s="212"/>
      <c r="BJ172" s="212"/>
      <c r="BK172" s="212"/>
      <c r="BL172" s="212"/>
      <c r="BM172" s="772">
        <v>45069</v>
      </c>
      <c r="BN172" s="789"/>
    </row>
    <row r="173" spans="1:66" s="221" customFormat="1" x14ac:dyDescent="0.3">
      <c r="A173" s="219" t="s">
        <v>2027</v>
      </c>
      <c r="B173" s="728" t="s">
        <v>2029</v>
      </c>
      <c r="C173" s="219" t="s">
        <v>2028</v>
      </c>
      <c r="D173" s="309" t="s">
        <v>715</v>
      </c>
      <c r="E173" s="480" t="s">
        <v>715</v>
      </c>
      <c r="F173" s="480" t="s">
        <v>2140</v>
      </c>
      <c r="G173" s="222" t="s">
        <v>209</v>
      </c>
      <c r="H173" s="215" t="s">
        <v>816</v>
      </c>
      <c r="I173" s="215" t="s">
        <v>872</v>
      </c>
      <c r="J173" s="216" t="s">
        <v>917</v>
      </c>
      <c r="K173" s="1279" t="s">
        <v>2290</v>
      </c>
      <c r="L173" s="733" t="s">
        <v>853</v>
      </c>
      <c r="M173" s="1304" t="s">
        <v>3590</v>
      </c>
      <c r="N173" s="787"/>
      <c r="O173" s="1294"/>
      <c r="P173" s="212"/>
      <c r="Q173" s="1294" t="s">
        <v>832</v>
      </c>
      <c r="R173" s="498">
        <f>$B$1</f>
        <v>45388</v>
      </c>
      <c r="S173" s="223"/>
      <c r="T173" s="213" t="s">
        <v>2919</v>
      </c>
      <c r="U173" s="218"/>
      <c r="V173" s="218"/>
      <c r="W173" s="499" t="str">
        <f>IFERROR(IF(AND(BD_PRINCIPAL[[#This Row],[DESDE]]&lt;&gt;"",BD_PRINCIPAL[[#This Row],[HASTA]]&lt;&gt;""),_xlfn.DAYS(BD_PRINCIPAL[[#This Row],[HASTA]],BD_PRINCIPAL[[#This Row],[DESDE]]),"")+1,"")</f>
        <v/>
      </c>
      <c r="X173" s="499">
        <f>VLOOKUP(BD_PRINCIPAL[[#This Row],[ENCUADRE. ESC.]],ORDEN1,2,FALSE)</f>
        <v>1</v>
      </c>
      <c r="Y173" s="499">
        <f>VLOOKUP(BD_PRINCIPAL[[#This Row],[DOTACIÓN ACTUAL]],ORDEN2,4,FALSE)</f>
        <v>140</v>
      </c>
      <c r="Z173" s="499">
        <f>VLOOKUP(BD_PRINCIPAL[[#This Row],[GRADO]],ORDEN3,2,FALSE)</f>
        <v>10</v>
      </c>
      <c r="AA173" s="499">
        <f>IFERROR(VLOOKUP(BD_PRINCIPAL[[#This Row],[DOTACIÓN ACTUAL]],ORDEN2,3,FALSE),0)</f>
        <v>0</v>
      </c>
      <c r="AB173" s="212" t="s">
        <v>6</v>
      </c>
      <c r="AC173" s="212" t="s">
        <v>2125</v>
      </c>
      <c r="AD173" s="212" t="s">
        <v>1</v>
      </c>
      <c r="AE173" s="212" t="s">
        <v>1</v>
      </c>
      <c r="AF173" s="212" t="s">
        <v>1</v>
      </c>
      <c r="AG173" s="212" t="s">
        <v>853</v>
      </c>
      <c r="AH173" s="212"/>
      <c r="AI173" s="212"/>
      <c r="AJ173" s="212"/>
      <c r="AK173" s="212"/>
      <c r="AL173" s="212"/>
      <c r="AM173" s="212"/>
      <c r="AN173" s="212"/>
      <c r="AO173" s="212"/>
      <c r="AP173" s="212"/>
      <c r="AQ173" s="212"/>
      <c r="AR173" s="212"/>
      <c r="AS173" s="212"/>
      <c r="AT173" s="220"/>
      <c r="AU173" s="220"/>
      <c r="AV173" s="220"/>
      <c r="AW173" s="220"/>
      <c r="AX173" s="220"/>
      <c r="AY173" s="220"/>
      <c r="AZ173" s="220"/>
      <c r="BA173" s="212"/>
      <c r="BB173" s="212"/>
      <c r="BC173" s="212"/>
      <c r="BD173" s="212"/>
      <c r="BE173" s="212"/>
      <c r="BF173" s="212"/>
      <c r="BG173" s="212"/>
      <c r="BH173" s="212"/>
      <c r="BI173" s="212"/>
      <c r="BJ173" s="212"/>
      <c r="BK173" s="212"/>
      <c r="BL173" s="212"/>
      <c r="BM173" s="772">
        <v>45093</v>
      </c>
      <c r="BN173" s="789"/>
    </row>
    <row r="174" spans="1:66" s="221" customFormat="1" x14ac:dyDescent="0.3">
      <c r="A174" s="219" t="s">
        <v>2769</v>
      </c>
      <c r="B174" s="728" t="s">
        <v>2770</v>
      </c>
      <c r="C174" s="219">
        <v>135788767</v>
      </c>
      <c r="D174" s="309" t="s">
        <v>715</v>
      </c>
      <c r="E174" s="480" t="s">
        <v>715</v>
      </c>
      <c r="F174" s="480" t="s">
        <v>3071</v>
      </c>
      <c r="G174" s="222" t="s">
        <v>209</v>
      </c>
      <c r="H174" s="215" t="s">
        <v>816</v>
      </c>
      <c r="I174" s="215" t="s">
        <v>872</v>
      </c>
      <c r="J174" s="216" t="s">
        <v>917</v>
      </c>
      <c r="K174" s="1279" t="s">
        <v>2772</v>
      </c>
      <c r="L174" s="733" t="s">
        <v>853</v>
      </c>
      <c r="M174" s="1304" t="s">
        <v>3590</v>
      </c>
      <c r="N174" s="787"/>
      <c r="O174" s="1294"/>
      <c r="P174" s="212"/>
      <c r="Q174" s="1294" t="s">
        <v>832</v>
      </c>
      <c r="R174" s="498">
        <v>29033</v>
      </c>
      <c r="S174" s="213" t="s">
        <v>1483</v>
      </c>
      <c r="T174" s="213" t="s">
        <v>3299</v>
      </c>
      <c r="U174" s="747"/>
      <c r="V174" s="747"/>
      <c r="W174" s="499" t="str">
        <f>IFERROR(IF(AND(BD_PRINCIPAL[[#This Row],[DESDE]]&lt;&gt;"",BD_PRINCIPAL[[#This Row],[HASTA]]&lt;&gt;""),_xlfn.DAYS(BD_PRINCIPAL[[#This Row],[HASTA]],BD_PRINCIPAL[[#This Row],[DESDE]]),"")+1,"")</f>
        <v/>
      </c>
      <c r="X174" s="499">
        <f>VLOOKUP(BD_PRINCIPAL[[#This Row],[ENCUADRE. ESC.]],ORDEN1,2,FALSE)</f>
        <v>1</v>
      </c>
      <c r="Y174" s="499">
        <f>VLOOKUP(BD_PRINCIPAL[[#This Row],[DOTACIÓN ACTUAL]],ORDEN2,4,FALSE)</f>
        <v>140</v>
      </c>
      <c r="Z174" s="499">
        <f>VLOOKUP(BD_PRINCIPAL[[#This Row],[GRADO]],ORDEN3,2,FALSE)</f>
        <v>10</v>
      </c>
      <c r="AA174" s="499">
        <f>IFERROR(VLOOKUP(BD_PRINCIPAL[[#This Row],[DOTACIÓN ACTUAL]],ORDEN2,3,FALSE),0)</f>
        <v>0</v>
      </c>
      <c r="AB174" s="220" t="s">
        <v>6</v>
      </c>
      <c r="AC174" s="220" t="s">
        <v>2125</v>
      </c>
      <c r="AD174" s="220" t="s">
        <v>1</v>
      </c>
      <c r="AE174" s="220" t="s">
        <v>1</v>
      </c>
      <c r="AF174" s="220" t="s">
        <v>1</v>
      </c>
      <c r="AG174" s="220" t="s">
        <v>853</v>
      </c>
      <c r="AH174" s="220"/>
      <c r="AI174" s="220"/>
      <c r="AJ174" s="220"/>
      <c r="AK174" s="220"/>
      <c r="AL174" s="220"/>
      <c r="AM174" s="220"/>
      <c r="AN174" s="220"/>
      <c r="AO174" s="220"/>
      <c r="AP174" s="220"/>
      <c r="AQ174" s="220"/>
      <c r="AR174" s="220"/>
      <c r="AS174" s="220"/>
      <c r="AT174" s="220"/>
      <c r="AU174" s="220"/>
      <c r="AV174" s="220"/>
      <c r="AW174" s="220"/>
      <c r="AX174" s="220"/>
      <c r="AY174" s="220"/>
      <c r="AZ174" s="220"/>
      <c r="BA174" s="212"/>
      <c r="BB174" s="212"/>
      <c r="BC174" s="212"/>
      <c r="BD174" s="212"/>
      <c r="BE174" s="212"/>
      <c r="BF174" s="212"/>
      <c r="BG174" s="212"/>
      <c r="BH174" s="212"/>
      <c r="BI174" s="212"/>
      <c r="BJ174" s="212"/>
      <c r="BK174" s="212"/>
      <c r="BL174" s="212"/>
      <c r="BM174" s="890"/>
      <c r="BN174" s="890"/>
    </row>
    <row r="175" spans="1:66" s="221" customFormat="1" x14ac:dyDescent="0.3">
      <c r="A175" s="219" t="s">
        <v>2206</v>
      </c>
      <c r="B175" s="728" t="s">
        <v>2208</v>
      </c>
      <c r="C175" s="219" t="s">
        <v>2207</v>
      </c>
      <c r="D175" s="309" t="s">
        <v>715</v>
      </c>
      <c r="E175" s="480" t="s">
        <v>715</v>
      </c>
      <c r="F175" s="480" t="s">
        <v>2208</v>
      </c>
      <c r="G175" s="222" t="s">
        <v>4</v>
      </c>
      <c r="H175" s="215" t="s">
        <v>816</v>
      </c>
      <c r="I175" s="215" t="s">
        <v>872</v>
      </c>
      <c r="J175" s="216" t="s">
        <v>917</v>
      </c>
      <c r="K175" s="1279" t="s">
        <v>2290</v>
      </c>
      <c r="L175" s="733" t="s">
        <v>853</v>
      </c>
      <c r="M175" s="1304" t="s">
        <v>3590</v>
      </c>
      <c r="N175" s="787"/>
      <c r="O175" s="1294"/>
      <c r="P175" s="212"/>
      <c r="Q175" s="1294" t="s">
        <v>832</v>
      </c>
      <c r="R175" s="498">
        <f>$B$1</f>
        <v>45388</v>
      </c>
      <c r="S175" s="223"/>
      <c r="T175" s="223" t="s">
        <v>2919</v>
      </c>
      <c r="U175" s="218"/>
      <c r="V175" s="218"/>
      <c r="W175" s="499" t="str">
        <f>IFERROR(IF(AND(BD_PRINCIPAL[[#This Row],[DESDE]]&lt;&gt;"",BD_PRINCIPAL[[#This Row],[HASTA]]&lt;&gt;""),_xlfn.DAYS(BD_PRINCIPAL[[#This Row],[HASTA]],BD_PRINCIPAL[[#This Row],[DESDE]]),"")+1,"")</f>
        <v/>
      </c>
      <c r="X175" s="499">
        <f>VLOOKUP(BD_PRINCIPAL[[#This Row],[ENCUADRE. ESC.]],ORDEN1,2,FALSE)</f>
        <v>1</v>
      </c>
      <c r="Y175" s="499">
        <f>VLOOKUP(BD_PRINCIPAL[[#This Row],[DOTACIÓN ACTUAL]],ORDEN2,4,FALSE)</f>
        <v>140</v>
      </c>
      <c r="Z175" s="499">
        <f>VLOOKUP(BD_PRINCIPAL[[#This Row],[GRADO]],ORDEN3,2,FALSE)</f>
        <v>12</v>
      </c>
      <c r="AA175" s="499">
        <f>IFERROR(VLOOKUP(BD_PRINCIPAL[[#This Row],[DOTACIÓN ACTUAL]],ORDEN2,3,FALSE),0)</f>
        <v>0</v>
      </c>
      <c r="AB175" s="212" t="s">
        <v>6</v>
      </c>
      <c r="AC175" s="212" t="s">
        <v>2125</v>
      </c>
      <c r="AD175" s="212" t="s">
        <v>1</v>
      </c>
      <c r="AE175" s="212" t="s">
        <v>1</v>
      </c>
      <c r="AF175" s="212" t="s">
        <v>1</v>
      </c>
      <c r="AG175" s="212" t="s">
        <v>853</v>
      </c>
      <c r="AH175" s="212"/>
      <c r="AI175" s="212"/>
      <c r="AJ175" s="212"/>
      <c r="AK175" s="212"/>
      <c r="AL175" s="212"/>
      <c r="AM175" s="212"/>
      <c r="AN175" s="212"/>
      <c r="AO175" s="212"/>
      <c r="AP175" s="212"/>
      <c r="AQ175" s="212"/>
      <c r="AR175" s="212"/>
      <c r="AS175" s="212"/>
      <c r="AT175" s="220"/>
      <c r="AU175" s="220"/>
      <c r="AV175" s="220"/>
      <c r="AW175" s="220"/>
      <c r="AX175" s="220"/>
      <c r="AY175" s="220"/>
      <c r="AZ175" s="220"/>
      <c r="BA175" s="212"/>
      <c r="BB175" s="212"/>
      <c r="BC175" s="212"/>
      <c r="BD175" s="212"/>
      <c r="BE175" s="212"/>
      <c r="BF175" s="212"/>
      <c r="BG175" s="212"/>
      <c r="BH175" s="212"/>
      <c r="BI175" s="212"/>
      <c r="BJ175" s="212"/>
      <c r="BK175" s="212"/>
      <c r="BL175" s="212"/>
      <c r="BM175" s="772">
        <v>44524</v>
      </c>
      <c r="BN175" s="789"/>
    </row>
    <row r="176" spans="1:66" s="221" customFormat="1" x14ac:dyDescent="0.3">
      <c r="A176" s="219" t="s">
        <v>331</v>
      </c>
      <c r="B176" s="212" t="s">
        <v>150</v>
      </c>
      <c r="C176" s="219">
        <v>202199976</v>
      </c>
      <c r="D176" s="309" t="s">
        <v>715</v>
      </c>
      <c r="E176" s="485" t="s">
        <v>715</v>
      </c>
      <c r="F176" s="480" t="s">
        <v>2856</v>
      </c>
      <c r="G176" s="214" t="s">
        <v>4</v>
      </c>
      <c r="H176" s="215" t="s">
        <v>816</v>
      </c>
      <c r="I176" s="215" t="s">
        <v>872</v>
      </c>
      <c r="J176" s="216" t="s">
        <v>917</v>
      </c>
      <c r="K176" s="1279" t="s">
        <v>2290</v>
      </c>
      <c r="L176" s="733" t="s">
        <v>853</v>
      </c>
      <c r="M176" s="1304" t="s">
        <v>3590</v>
      </c>
      <c r="N176" s="771"/>
      <c r="O176" s="1294"/>
      <c r="P176" s="212"/>
      <c r="Q176" s="1294" t="s">
        <v>832</v>
      </c>
      <c r="R176" s="217">
        <f>$B$1</f>
        <v>45388</v>
      </c>
      <c r="S176" s="213"/>
      <c r="T176" s="223" t="s">
        <v>2919</v>
      </c>
      <c r="U176" s="224"/>
      <c r="V176" s="224"/>
      <c r="W176" s="219" t="str">
        <f>IFERROR(IF(AND(BD_PRINCIPAL[[#This Row],[DESDE]]&lt;&gt;"",BD_PRINCIPAL[[#This Row],[HASTA]]&lt;&gt;""),_xlfn.DAYS(BD_PRINCIPAL[[#This Row],[HASTA]],BD_PRINCIPAL[[#This Row],[DESDE]]),"")+1,"")</f>
        <v/>
      </c>
      <c r="X176" s="219">
        <f>VLOOKUP(BD_PRINCIPAL[[#This Row],[ENCUADRE. ESC.]],ORDEN1,2,FALSE)</f>
        <v>1</v>
      </c>
      <c r="Y176" s="219">
        <f>VLOOKUP(BD_PRINCIPAL[[#This Row],[DOTACIÓN ACTUAL]],ORDEN2,4,FALSE)</f>
        <v>140</v>
      </c>
      <c r="Z176" s="219">
        <f>VLOOKUP(BD_PRINCIPAL[[#This Row],[GRADO]],ORDEN3,2,FALSE)</f>
        <v>12</v>
      </c>
      <c r="AA176" s="219">
        <f>IFERROR(VLOOKUP(BD_PRINCIPAL[[#This Row],[DOTACIÓN ACTUAL]],ORDEN2,3,FALSE),0)</f>
        <v>0</v>
      </c>
      <c r="AB176" s="212" t="s">
        <v>6</v>
      </c>
      <c r="AC176" s="212" t="s">
        <v>2125</v>
      </c>
      <c r="AD176" s="212" t="s">
        <v>1</v>
      </c>
      <c r="AE176" s="212" t="s">
        <v>2</v>
      </c>
      <c r="AF176" s="212" t="s">
        <v>1</v>
      </c>
      <c r="AG176" s="212" t="s">
        <v>853</v>
      </c>
      <c r="AH176" s="212"/>
      <c r="AI176" s="212"/>
      <c r="AJ176" s="212"/>
      <c r="AK176" s="212"/>
      <c r="AL176" s="212"/>
      <c r="AM176" s="212"/>
      <c r="AN176" s="212"/>
      <c r="AO176" s="212"/>
      <c r="AP176" s="212"/>
      <c r="AQ176" s="212"/>
      <c r="AR176" s="212"/>
      <c r="AS176" s="212"/>
      <c r="AT176" s="220"/>
      <c r="AU176" s="220"/>
      <c r="AV176" s="220"/>
      <c r="AW176" s="220"/>
      <c r="AX176" s="220"/>
      <c r="AY176" s="220"/>
      <c r="AZ176" s="220"/>
      <c r="BA176" s="212"/>
      <c r="BB176" s="212"/>
      <c r="BC176" s="212"/>
      <c r="BD176" s="212"/>
      <c r="BE176" s="212"/>
      <c r="BF176" s="212"/>
      <c r="BG176" s="212"/>
      <c r="BH176" s="212"/>
      <c r="BI176" s="212"/>
      <c r="BJ176" s="212"/>
      <c r="BK176" s="212"/>
      <c r="BL176" s="212"/>
      <c r="BM176" s="771">
        <v>45040</v>
      </c>
      <c r="BN176" s="789"/>
    </row>
    <row r="177" spans="1:66" s="221" customFormat="1" x14ac:dyDescent="0.3">
      <c r="A177" s="219" t="s">
        <v>286</v>
      </c>
      <c r="B177" s="212" t="s">
        <v>135</v>
      </c>
      <c r="C177" s="219">
        <v>205170529</v>
      </c>
      <c r="D177" s="309" t="s">
        <v>715</v>
      </c>
      <c r="E177" s="485" t="s">
        <v>715</v>
      </c>
      <c r="F177" s="480" t="s">
        <v>135</v>
      </c>
      <c r="G177" s="214" t="s">
        <v>4</v>
      </c>
      <c r="H177" s="215" t="s">
        <v>816</v>
      </c>
      <c r="I177" s="215" t="s">
        <v>872</v>
      </c>
      <c r="J177" s="216" t="s">
        <v>917</v>
      </c>
      <c r="K177" s="1279" t="s">
        <v>2290</v>
      </c>
      <c r="L177" s="733" t="s">
        <v>853</v>
      </c>
      <c r="M177" s="1304" t="s">
        <v>3590</v>
      </c>
      <c r="N177" s="771"/>
      <c r="O177" s="1294"/>
      <c r="P177" s="212"/>
      <c r="Q177" s="1294" t="s">
        <v>832</v>
      </c>
      <c r="R177" s="217">
        <f>$B$1</f>
        <v>45388</v>
      </c>
      <c r="S177" s="223"/>
      <c r="T177" s="213" t="s">
        <v>2919</v>
      </c>
      <c r="U177" s="218"/>
      <c r="V177" s="218"/>
      <c r="W177" s="219" t="str">
        <f>IFERROR(IF(AND(BD_PRINCIPAL[[#This Row],[DESDE]]&lt;&gt;"",BD_PRINCIPAL[[#This Row],[HASTA]]&lt;&gt;""),_xlfn.DAYS(BD_PRINCIPAL[[#This Row],[HASTA]],BD_PRINCIPAL[[#This Row],[DESDE]]),"")+1,"")</f>
        <v/>
      </c>
      <c r="X177" s="219">
        <f>VLOOKUP(BD_PRINCIPAL[[#This Row],[ENCUADRE. ESC.]],ORDEN1,2,FALSE)</f>
        <v>1</v>
      </c>
      <c r="Y177" s="219">
        <f>VLOOKUP(BD_PRINCIPAL[[#This Row],[DOTACIÓN ACTUAL]],ORDEN2,4,FALSE)</f>
        <v>140</v>
      </c>
      <c r="Z177" s="219">
        <f>VLOOKUP(BD_PRINCIPAL[[#This Row],[GRADO]],ORDEN3,2,FALSE)</f>
        <v>12</v>
      </c>
      <c r="AA177" s="219">
        <f>IFERROR(VLOOKUP(BD_PRINCIPAL[[#This Row],[DOTACIÓN ACTUAL]],ORDEN2,3,FALSE),0)</f>
        <v>0</v>
      </c>
      <c r="AB177" s="212" t="s">
        <v>6</v>
      </c>
      <c r="AC177" s="212" t="s">
        <v>2125</v>
      </c>
      <c r="AD177" s="212" t="s">
        <v>1</v>
      </c>
      <c r="AE177" s="212" t="s">
        <v>2</v>
      </c>
      <c r="AF177" s="212" t="s">
        <v>1</v>
      </c>
      <c r="AG177" s="212" t="s">
        <v>853</v>
      </c>
      <c r="AH177" s="212"/>
      <c r="AI177" s="212"/>
      <c r="AJ177" s="212"/>
      <c r="AK177" s="212"/>
      <c r="AL177" s="212"/>
      <c r="AM177" s="212"/>
      <c r="AN177" s="212"/>
      <c r="AO177" s="212"/>
      <c r="AP177" s="212"/>
      <c r="AQ177" s="212"/>
      <c r="AR177" s="212"/>
      <c r="AS177" s="212"/>
      <c r="AT177" s="220"/>
      <c r="AU177" s="220"/>
      <c r="AV177" s="220"/>
      <c r="AW177" s="220"/>
      <c r="AX177" s="220"/>
      <c r="AY177" s="220"/>
      <c r="AZ177" s="220"/>
      <c r="BA177" s="212"/>
      <c r="BB177" s="212"/>
      <c r="BC177" s="212"/>
      <c r="BD177" s="212"/>
      <c r="BE177" s="212"/>
      <c r="BF177" s="212"/>
      <c r="BG177" s="212"/>
      <c r="BH177" s="212"/>
      <c r="BI177" s="212"/>
      <c r="BJ177" s="212"/>
      <c r="BK177" s="212"/>
      <c r="BL177" s="212"/>
      <c r="BM177" s="771">
        <v>45075</v>
      </c>
      <c r="BN177" s="789"/>
    </row>
    <row r="178" spans="1:66" s="221" customFormat="1" x14ac:dyDescent="0.3">
      <c r="A178" s="219" t="s">
        <v>328</v>
      </c>
      <c r="B178" s="212" t="s">
        <v>1853</v>
      </c>
      <c r="C178" s="219">
        <v>201904641</v>
      </c>
      <c r="D178" s="309" t="s">
        <v>715</v>
      </c>
      <c r="E178" s="485" t="s">
        <v>715</v>
      </c>
      <c r="F178" s="480" t="s">
        <v>2276</v>
      </c>
      <c r="G178" s="214" t="s">
        <v>4</v>
      </c>
      <c r="H178" s="215" t="s">
        <v>817</v>
      </c>
      <c r="I178" s="215" t="s">
        <v>872</v>
      </c>
      <c r="J178" s="216" t="s">
        <v>917</v>
      </c>
      <c r="K178" s="1279" t="s">
        <v>2301</v>
      </c>
      <c r="L178" s="733" t="s">
        <v>853</v>
      </c>
      <c r="M178" s="1304" t="s">
        <v>3590</v>
      </c>
      <c r="N178" s="772"/>
      <c r="O178" s="1294"/>
      <c r="P178" s="212"/>
      <c r="Q178" s="1294" t="s">
        <v>832</v>
      </c>
      <c r="R178" s="217">
        <f>$B$1</f>
        <v>45388</v>
      </c>
      <c r="S178" s="223"/>
      <c r="T178" s="223" t="s">
        <v>2919</v>
      </c>
      <c r="U178" s="218"/>
      <c r="V178" s="218"/>
      <c r="W178" s="219" t="str">
        <f>IFERROR(IF(AND(BD_PRINCIPAL[[#This Row],[DESDE]]&lt;&gt;"",BD_PRINCIPAL[[#This Row],[HASTA]]&lt;&gt;""),_xlfn.DAYS(BD_PRINCIPAL[[#This Row],[HASTA]],BD_PRINCIPAL[[#This Row],[DESDE]]),"")+1,"")</f>
        <v/>
      </c>
      <c r="X178" s="219">
        <f>VLOOKUP(BD_PRINCIPAL[[#This Row],[ENCUADRE. ESC.]],ORDEN1,2,FALSE)</f>
        <v>1</v>
      </c>
      <c r="Y178" s="219">
        <f>VLOOKUP(BD_PRINCIPAL[[#This Row],[DOTACIÓN ACTUAL]],ORDEN2,4,FALSE)</f>
        <v>140</v>
      </c>
      <c r="Z178" s="219">
        <f>VLOOKUP(BD_PRINCIPAL[[#This Row],[GRADO]],ORDEN3,2,FALSE)</f>
        <v>12</v>
      </c>
      <c r="AA178" s="219">
        <f>IFERROR(VLOOKUP(BD_PRINCIPAL[[#This Row],[DOTACIÓN ACTUAL]],ORDEN2,3,FALSE),0)</f>
        <v>0</v>
      </c>
      <c r="AB178" s="212" t="s">
        <v>6</v>
      </c>
      <c r="AC178" s="212" t="s">
        <v>2125</v>
      </c>
      <c r="AD178" s="212" t="s">
        <v>1</v>
      </c>
      <c r="AE178" s="212" t="s">
        <v>2</v>
      </c>
      <c r="AF178" s="212" t="s">
        <v>1</v>
      </c>
      <c r="AG178" s="212" t="s">
        <v>853</v>
      </c>
      <c r="AH178" s="212"/>
      <c r="AI178" s="212"/>
      <c r="AJ178" s="212"/>
      <c r="AK178" s="212"/>
      <c r="AL178" s="212"/>
      <c r="AM178" s="212"/>
      <c r="AN178" s="212"/>
      <c r="AO178" s="212"/>
      <c r="AP178" s="212"/>
      <c r="AQ178" s="212"/>
      <c r="AR178" s="212"/>
      <c r="AS178" s="212"/>
      <c r="AT178" s="220"/>
      <c r="AU178" s="220"/>
      <c r="AV178" s="220"/>
      <c r="AW178" s="220"/>
      <c r="AX178" s="220"/>
      <c r="AY178" s="220"/>
      <c r="AZ178" s="220"/>
      <c r="BA178" s="212"/>
      <c r="BB178" s="212"/>
      <c r="BC178" s="212"/>
      <c r="BD178" s="212"/>
      <c r="BE178" s="212"/>
      <c r="BF178" s="212"/>
      <c r="BG178" s="212"/>
      <c r="BH178" s="212"/>
      <c r="BI178" s="212"/>
      <c r="BJ178" s="212"/>
      <c r="BK178" s="212"/>
      <c r="BL178" s="212"/>
      <c r="BM178" s="772">
        <v>45044</v>
      </c>
      <c r="BN178" s="789"/>
    </row>
    <row r="179" spans="1:66" s="247" customFormat="1" x14ac:dyDescent="0.3">
      <c r="A179" s="245" t="s">
        <v>381</v>
      </c>
      <c r="B179" s="238" t="s">
        <v>1849</v>
      </c>
      <c r="C179" s="245">
        <v>145606039</v>
      </c>
      <c r="D179" s="953" t="s">
        <v>733</v>
      </c>
      <c r="E179" s="953" t="s">
        <v>733</v>
      </c>
      <c r="F179" s="478" t="s">
        <v>1849</v>
      </c>
      <c r="G179" s="240" t="s">
        <v>17</v>
      </c>
      <c r="H179" s="241" t="s">
        <v>816</v>
      </c>
      <c r="I179" s="241" t="s">
        <v>872</v>
      </c>
      <c r="J179" s="242" t="s">
        <v>917</v>
      </c>
      <c r="K179" s="1278" t="s">
        <v>2290</v>
      </c>
      <c r="L179" s="735" t="s">
        <v>853</v>
      </c>
      <c r="M179" s="1311" t="s">
        <v>3591</v>
      </c>
      <c r="N179" s="786"/>
      <c r="O179" s="1296"/>
      <c r="P179" s="238"/>
      <c r="Q179" s="1296" t="s">
        <v>832</v>
      </c>
      <c r="R179" s="243">
        <f>$B$1</f>
        <v>45388</v>
      </c>
      <c r="S179" s="249"/>
      <c r="T179" s="249" t="s">
        <v>2919</v>
      </c>
      <c r="U179" s="244"/>
      <c r="V179" s="244"/>
      <c r="W179" s="245" t="str">
        <f>IFERROR(IF(AND(BD_PRINCIPAL[[#This Row],[DESDE]]&lt;&gt;"",BD_PRINCIPAL[[#This Row],[HASTA]]&lt;&gt;""),_xlfn.DAYS(BD_PRINCIPAL[[#This Row],[HASTA]],BD_PRINCIPAL[[#This Row],[DESDE]]),"")+1,"")</f>
        <v/>
      </c>
      <c r="X179" s="245">
        <f>VLOOKUP(BD_PRINCIPAL[[#This Row],[ENCUADRE. ESC.]],ORDEN1,2,FALSE)</f>
        <v>1</v>
      </c>
      <c r="Y179" s="245">
        <f>VLOOKUP(BD_PRINCIPAL[[#This Row],[DOTACIÓN ACTUAL]],ORDEN2,4,FALSE)</f>
        <v>143</v>
      </c>
      <c r="Z179" s="245">
        <f>VLOOKUP(BD_PRINCIPAL[[#This Row],[GRADO]],ORDEN3,2,FALSE)</f>
        <v>8</v>
      </c>
      <c r="AA179" s="245">
        <f>IFERROR(VLOOKUP(BD_PRINCIPAL[[#This Row],[DOTACIÓN ACTUAL]],ORDEN2,3,FALSE),0)</f>
        <v>0</v>
      </c>
      <c r="AB179" s="238" t="s">
        <v>6</v>
      </c>
      <c r="AC179" s="238" t="s">
        <v>2125</v>
      </c>
      <c r="AD179" s="238" t="s">
        <v>1</v>
      </c>
      <c r="AE179" s="238" t="s">
        <v>1</v>
      </c>
      <c r="AF179" s="238" t="s">
        <v>2</v>
      </c>
      <c r="AG179" s="238" t="s">
        <v>853</v>
      </c>
      <c r="AH179" s="238"/>
      <c r="AI179" s="238"/>
      <c r="AJ179" s="238"/>
      <c r="AK179" s="238"/>
      <c r="AL179" s="238"/>
      <c r="AM179" s="238"/>
      <c r="AN179" s="238"/>
      <c r="AO179" s="238"/>
      <c r="AP179" s="238"/>
      <c r="AQ179" s="238"/>
      <c r="AR179" s="238"/>
      <c r="AS179" s="238"/>
      <c r="AT179" s="246"/>
      <c r="AU179" s="246"/>
      <c r="AV179" s="246"/>
      <c r="AW179" s="246"/>
      <c r="AX179" s="246"/>
      <c r="AY179" s="246"/>
      <c r="AZ179" s="246"/>
      <c r="BA179" s="238"/>
      <c r="BB179" s="238"/>
      <c r="BC179" s="238"/>
      <c r="BD179" s="238"/>
      <c r="BE179" s="238"/>
      <c r="BF179" s="238"/>
      <c r="BG179" s="238"/>
      <c r="BH179" s="238"/>
      <c r="BI179" s="238"/>
      <c r="BJ179" s="238"/>
      <c r="BK179" s="238"/>
      <c r="BL179" s="238"/>
      <c r="BM179" s="786">
        <v>45079</v>
      </c>
      <c r="BN179" s="788"/>
    </row>
    <row r="180" spans="1:66" s="247" customFormat="1" x14ac:dyDescent="0.3">
      <c r="A180" s="245" t="s">
        <v>545</v>
      </c>
      <c r="B180" s="238" t="s">
        <v>237</v>
      </c>
      <c r="C180" s="245">
        <v>159832120</v>
      </c>
      <c r="D180" s="311" t="s">
        <v>711</v>
      </c>
      <c r="E180" s="486" t="s">
        <v>711</v>
      </c>
      <c r="F180" s="478" t="s">
        <v>2503</v>
      </c>
      <c r="G180" s="240" t="s">
        <v>209</v>
      </c>
      <c r="H180" s="241" t="s">
        <v>816</v>
      </c>
      <c r="I180" s="241" t="s">
        <v>872</v>
      </c>
      <c r="J180" s="242" t="s">
        <v>917</v>
      </c>
      <c r="K180" s="1281" t="s">
        <v>2302</v>
      </c>
      <c r="L180" s="735" t="s">
        <v>853</v>
      </c>
      <c r="M180" s="1306" t="s">
        <v>3591</v>
      </c>
      <c r="N180" s="775"/>
      <c r="O180" s="1296"/>
      <c r="P180" s="238"/>
      <c r="Q180" s="1296" t="s">
        <v>832</v>
      </c>
      <c r="R180" s="243">
        <f>$B$1</f>
        <v>45388</v>
      </c>
      <c r="S180" s="249"/>
      <c r="T180" s="249" t="s">
        <v>2919</v>
      </c>
      <c r="U180" s="244"/>
      <c r="V180" s="244"/>
      <c r="W180" s="245" t="str">
        <f>IFERROR(IF(AND(BD_PRINCIPAL[[#This Row],[DESDE]]&lt;&gt;"",BD_PRINCIPAL[[#This Row],[HASTA]]&lt;&gt;""),_xlfn.DAYS(BD_PRINCIPAL[[#This Row],[HASTA]],BD_PRINCIPAL[[#This Row],[DESDE]]),"")+1,"")</f>
        <v/>
      </c>
      <c r="X180" s="245">
        <f>VLOOKUP(BD_PRINCIPAL[[#This Row],[ENCUADRE. ESC.]],ORDEN1,2,FALSE)</f>
        <v>1</v>
      </c>
      <c r="Y180" s="245">
        <f>VLOOKUP(BD_PRINCIPAL[[#This Row],[DOTACIÓN ACTUAL]],ORDEN2,4,FALSE)</f>
        <v>144</v>
      </c>
      <c r="Z180" s="245">
        <f>VLOOKUP(BD_PRINCIPAL[[#This Row],[GRADO]],ORDEN3,2,FALSE)</f>
        <v>10</v>
      </c>
      <c r="AA180" s="245">
        <f>IFERROR(VLOOKUP(BD_PRINCIPAL[[#This Row],[DOTACIÓN ACTUAL]],ORDEN2,3,FALSE),0)</f>
        <v>0</v>
      </c>
      <c r="AB180" s="238" t="s">
        <v>6</v>
      </c>
      <c r="AC180" s="238" t="s">
        <v>2125</v>
      </c>
      <c r="AD180" s="238" t="s">
        <v>1</v>
      </c>
      <c r="AE180" s="238" t="s">
        <v>1</v>
      </c>
      <c r="AF180" s="238" t="s">
        <v>2</v>
      </c>
      <c r="AG180" s="238" t="s">
        <v>853</v>
      </c>
      <c r="AH180" s="238"/>
      <c r="AI180" s="238"/>
      <c r="AJ180" s="238"/>
      <c r="AK180" s="238"/>
      <c r="AL180" s="238"/>
      <c r="AM180" s="238"/>
      <c r="AN180" s="238"/>
      <c r="AO180" s="238"/>
      <c r="AP180" s="238"/>
      <c r="AQ180" s="238"/>
      <c r="AR180" s="238"/>
      <c r="AS180" s="238"/>
      <c r="AT180" s="246"/>
      <c r="AU180" s="246"/>
      <c r="AV180" s="246"/>
      <c r="AW180" s="246"/>
      <c r="AX180" s="246"/>
      <c r="AY180" s="246"/>
      <c r="AZ180" s="246"/>
      <c r="BA180" s="238"/>
      <c r="BB180" s="238"/>
      <c r="BC180" s="238"/>
      <c r="BD180" s="238"/>
      <c r="BE180" s="238"/>
      <c r="BF180" s="238"/>
      <c r="BG180" s="238"/>
      <c r="BH180" s="238"/>
      <c r="BI180" s="238"/>
      <c r="BJ180" s="238"/>
      <c r="BK180" s="238"/>
      <c r="BL180" s="238"/>
      <c r="BM180" s="775">
        <v>45069</v>
      </c>
      <c r="BN180" s="788"/>
    </row>
    <row r="181" spans="1:66" s="247" customFormat="1" x14ac:dyDescent="0.3">
      <c r="A181" s="245" t="s">
        <v>313</v>
      </c>
      <c r="B181" s="238" t="s">
        <v>264</v>
      </c>
      <c r="C181" s="245">
        <v>175140468</v>
      </c>
      <c r="D181" s="311" t="s">
        <v>711</v>
      </c>
      <c r="E181" s="486" t="s">
        <v>711</v>
      </c>
      <c r="F181" s="478" t="s">
        <v>1982</v>
      </c>
      <c r="G181" s="240" t="s">
        <v>3</v>
      </c>
      <c r="H181" s="241" t="s">
        <v>816</v>
      </c>
      <c r="I181" s="241" t="s">
        <v>872</v>
      </c>
      <c r="J181" s="242" t="s">
        <v>917</v>
      </c>
      <c r="K181" s="1281" t="s">
        <v>2290</v>
      </c>
      <c r="L181" s="735" t="s">
        <v>853</v>
      </c>
      <c r="M181" s="1306" t="s">
        <v>3591</v>
      </c>
      <c r="N181" s="786"/>
      <c r="O181" s="1296"/>
      <c r="P181" s="238"/>
      <c r="Q181" s="1296" t="s">
        <v>832</v>
      </c>
      <c r="R181" s="243">
        <f>$B$1</f>
        <v>45388</v>
      </c>
      <c r="S181" s="249"/>
      <c r="T181" s="249" t="s">
        <v>2919</v>
      </c>
      <c r="U181" s="244"/>
      <c r="V181" s="244"/>
      <c r="W181" s="245" t="str">
        <f>IFERROR(IF(AND(BD_PRINCIPAL[[#This Row],[DESDE]]&lt;&gt;"",BD_PRINCIPAL[[#This Row],[HASTA]]&lt;&gt;""),_xlfn.DAYS(BD_PRINCIPAL[[#This Row],[HASTA]],BD_PRINCIPAL[[#This Row],[DESDE]]),"")+1,"")</f>
        <v/>
      </c>
      <c r="X181" s="245">
        <f>VLOOKUP(BD_PRINCIPAL[[#This Row],[ENCUADRE. ESC.]],ORDEN1,2,FALSE)</f>
        <v>1</v>
      </c>
      <c r="Y181" s="245">
        <f>VLOOKUP(BD_PRINCIPAL[[#This Row],[DOTACIÓN ACTUAL]],ORDEN2,4,FALSE)</f>
        <v>144</v>
      </c>
      <c r="Z181" s="245">
        <f>VLOOKUP(BD_PRINCIPAL[[#This Row],[GRADO]],ORDEN3,2,FALSE)</f>
        <v>11</v>
      </c>
      <c r="AA181" s="245">
        <f>IFERROR(VLOOKUP(BD_PRINCIPAL[[#This Row],[DOTACIÓN ACTUAL]],ORDEN2,3,FALSE),0)</f>
        <v>0</v>
      </c>
      <c r="AB181" s="238" t="s">
        <v>6</v>
      </c>
      <c r="AC181" s="238" t="s">
        <v>2125</v>
      </c>
      <c r="AD181" s="238" t="s">
        <v>1</v>
      </c>
      <c r="AE181" s="238" t="s">
        <v>1</v>
      </c>
      <c r="AF181" s="238" t="s">
        <v>2</v>
      </c>
      <c r="AG181" s="238" t="s">
        <v>853</v>
      </c>
      <c r="AH181" s="238"/>
      <c r="AI181" s="238"/>
      <c r="AJ181" s="238"/>
      <c r="AK181" s="238"/>
      <c r="AL181" s="238"/>
      <c r="AM181" s="238"/>
      <c r="AN181" s="238"/>
      <c r="AO181" s="238"/>
      <c r="AP181" s="238"/>
      <c r="AQ181" s="238"/>
      <c r="AR181" s="238"/>
      <c r="AS181" s="238"/>
      <c r="AT181" s="246"/>
      <c r="AU181" s="246"/>
      <c r="AV181" s="246"/>
      <c r="AW181" s="246"/>
      <c r="AX181" s="246"/>
      <c r="AY181" s="246"/>
      <c r="AZ181" s="246"/>
      <c r="BA181" s="238"/>
      <c r="BB181" s="238"/>
      <c r="BC181" s="238"/>
      <c r="BD181" s="238"/>
      <c r="BE181" s="238"/>
      <c r="BF181" s="238"/>
      <c r="BG181" s="238"/>
      <c r="BH181" s="238"/>
      <c r="BI181" s="238"/>
      <c r="BJ181" s="238"/>
      <c r="BK181" s="238"/>
      <c r="BL181" s="238"/>
      <c r="BM181" s="786">
        <v>45177</v>
      </c>
      <c r="BN181" s="788"/>
    </row>
    <row r="182" spans="1:66" s="247" customFormat="1" x14ac:dyDescent="0.3">
      <c r="A182" s="245" t="s">
        <v>454</v>
      </c>
      <c r="B182" s="238" t="s">
        <v>226</v>
      </c>
      <c r="C182" s="245">
        <v>192840449</v>
      </c>
      <c r="D182" s="311" t="s">
        <v>711</v>
      </c>
      <c r="E182" s="486" t="s">
        <v>711</v>
      </c>
      <c r="F182" s="478" t="s">
        <v>226</v>
      </c>
      <c r="G182" s="240" t="s">
        <v>4</v>
      </c>
      <c r="H182" s="241" t="s">
        <v>816</v>
      </c>
      <c r="I182" s="241" t="s">
        <v>872</v>
      </c>
      <c r="J182" s="242" t="s">
        <v>917</v>
      </c>
      <c r="K182" s="1281" t="s">
        <v>2290</v>
      </c>
      <c r="L182" s="735" t="s">
        <v>853</v>
      </c>
      <c r="M182" s="1306" t="s">
        <v>3591</v>
      </c>
      <c r="N182" s="786"/>
      <c r="O182" s="1296"/>
      <c r="P182" s="238"/>
      <c r="Q182" s="1296" t="s">
        <v>832</v>
      </c>
      <c r="R182" s="243">
        <f>$B$1</f>
        <v>45388</v>
      </c>
      <c r="S182" s="249"/>
      <c r="T182" s="239" t="s">
        <v>2919</v>
      </c>
      <c r="U182" s="244"/>
      <c r="V182" s="244"/>
      <c r="W182" s="245" t="str">
        <f>IFERROR(IF(AND(BD_PRINCIPAL[[#This Row],[DESDE]]&lt;&gt;"",BD_PRINCIPAL[[#This Row],[HASTA]]&lt;&gt;""),_xlfn.DAYS(BD_PRINCIPAL[[#This Row],[HASTA]],BD_PRINCIPAL[[#This Row],[DESDE]]),"")+1,"")</f>
        <v/>
      </c>
      <c r="X182" s="245">
        <f>VLOOKUP(BD_PRINCIPAL[[#This Row],[ENCUADRE. ESC.]],ORDEN1,2,FALSE)</f>
        <v>1</v>
      </c>
      <c r="Y182" s="245">
        <f>VLOOKUP(BD_PRINCIPAL[[#This Row],[DOTACIÓN ACTUAL]],ORDEN2,4,FALSE)</f>
        <v>144</v>
      </c>
      <c r="Z182" s="245">
        <f>VLOOKUP(BD_PRINCIPAL[[#This Row],[GRADO]],ORDEN3,2,FALSE)</f>
        <v>12</v>
      </c>
      <c r="AA182" s="245">
        <f>IFERROR(VLOOKUP(BD_PRINCIPAL[[#This Row],[DOTACIÓN ACTUAL]],ORDEN2,3,FALSE),0)</f>
        <v>0</v>
      </c>
      <c r="AB182" s="238" t="s">
        <v>885</v>
      </c>
      <c r="AC182" s="238" t="s">
        <v>885</v>
      </c>
      <c r="AD182" s="238" t="s">
        <v>885</v>
      </c>
      <c r="AE182" s="238" t="s">
        <v>1</v>
      </c>
      <c r="AF182" s="238" t="s">
        <v>2</v>
      </c>
      <c r="AG182" s="238" t="s">
        <v>853</v>
      </c>
      <c r="AH182" s="238"/>
      <c r="AI182" s="238"/>
      <c r="AJ182" s="238"/>
      <c r="AK182" s="238"/>
      <c r="AL182" s="238"/>
      <c r="AM182" s="238"/>
      <c r="AN182" s="238"/>
      <c r="AO182" s="238"/>
      <c r="AP182" s="238"/>
      <c r="AQ182" s="238"/>
      <c r="AR182" s="238"/>
      <c r="AS182" s="238"/>
      <c r="AT182" s="246"/>
      <c r="AU182" s="246"/>
      <c r="AV182" s="246"/>
      <c r="AW182" s="246"/>
      <c r="AX182" s="246"/>
      <c r="AY182" s="246"/>
      <c r="AZ182" s="246"/>
      <c r="BA182" s="238"/>
      <c r="BB182" s="238"/>
      <c r="BC182" s="238"/>
      <c r="BD182" s="238"/>
      <c r="BE182" s="238"/>
      <c r="BF182" s="238"/>
      <c r="BG182" s="238"/>
      <c r="BH182" s="238"/>
      <c r="BI182" s="238"/>
      <c r="BJ182" s="238"/>
      <c r="BK182" s="238"/>
      <c r="BL182" s="238"/>
      <c r="BM182" s="786">
        <v>45085</v>
      </c>
      <c r="BN182" s="788"/>
    </row>
    <row r="183" spans="1:66" s="247" customFormat="1" x14ac:dyDescent="0.3">
      <c r="A183" s="245" t="s">
        <v>337</v>
      </c>
      <c r="B183" s="238" t="s">
        <v>111</v>
      </c>
      <c r="C183" s="245">
        <v>197250631</v>
      </c>
      <c r="D183" s="311" t="s">
        <v>711</v>
      </c>
      <c r="E183" s="486" t="s">
        <v>711</v>
      </c>
      <c r="F183" s="478" t="s">
        <v>111</v>
      </c>
      <c r="G183" s="240" t="s">
        <v>4</v>
      </c>
      <c r="H183" s="241" t="s">
        <v>816</v>
      </c>
      <c r="I183" s="241" t="s">
        <v>872</v>
      </c>
      <c r="J183" s="242" t="s">
        <v>917</v>
      </c>
      <c r="K183" s="1281" t="s">
        <v>2290</v>
      </c>
      <c r="L183" s="735" t="s">
        <v>853</v>
      </c>
      <c r="M183" s="1306" t="s">
        <v>3591</v>
      </c>
      <c r="N183" s="775"/>
      <c r="O183" s="1296"/>
      <c r="P183" s="238"/>
      <c r="Q183" s="1296" t="s">
        <v>832</v>
      </c>
      <c r="R183" s="243">
        <f>$B$1</f>
        <v>45388</v>
      </c>
      <c r="S183" s="239"/>
      <c r="T183" s="249" t="s">
        <v>2919</v>
      </c>
      <c r="U183" s="244"/>
      <c r="V183" s="244"/>
      <c r="W183" s="245" t="str">
        <f>IFERROR(IF(AND(BD_PRINCIPAL[[#This Row],[DESDE]]&lt;&gt;"",BD_PRINCIPAL[[#This Row],[HASTA]]&lt;&gt;""),_xlfn.DAYS(BD_PRINCIPAL[[#This Row],[HASTA]],BD_PRINCIPAL[[#This Row],[DESDE]]),"")+1,"")</f>
        <v/>
      </c>
      <c r="X183" s="245">
        <f>VLOOKUP(BD_PRINCIPAL[[#This Row],[ENCUADRE. ESC.]],ORDEN1,2,FALSE)</f>
        <v>1</v>
      </c>
      <c r="Y183" s="245">
        <f>VLOOKUP(BD_PRINCIPAL[[#This Row],[DOTACIÓN ACTUAL]],ORDEN2,4,FALSE)</f>
        <v>144</v>
      </c>
      <c r="Z183" s="245">
        <f>VLOOKUP(BD_PRINCIPAL[[#This Row],[GRADO]],ORDEN3,2,FALSE)</f>
        <v>12</v>
      </c>
      <c r="AA183" s="245">
        <f>IFERROR(VLOOKUP(BD_PRINCIPAL[[#This Row],[DOTACIÓN ACTUAL]],ORDEN2,3,FALSE),0)</f>
        <v>0</v>
      </c>
      <c r="AB183" s="238" t="s">
        <v>6</v>
      </c>
      <c r="AC183" s="238" t="s">
        <v>2125</v>
      </c>
      <c r="AD183" s="238" t="s">
        <v>1</v>
      </c>
      <c r="AE183" s="238" t="s">
        <v>1</v>
      </c>
      <c r="AF183" s="238" t="s">
        <v>2</v>
      </c>
      <c r="AG183" s="238" t="s">
        <v>853</v>
      </c>
      <c r="AH183" s="238"/>
      <c r="AI183" s="238"/>
      <c r="AJ183" s="238"/>
      <c r="AK183" s="238"/>
      <c r="AL183" s="238"/>
      <c r="AM183" s="238"/>
      <c r="AN183" s="238"/>
      <c r="AO183" s="238"/>
      <c r="AP183" s="238"/>
      <c r="AQ183" s="238"/>
      <c r="AR183" s="238"/>
      <c r="AS183" s="238"/>
      <c r="AT183" s="246"/>
      <c r="AU183" s="246"/>
      <c r="AV183" s="246"/>
      <c r="AW183" s="246"/>
      <c r="AX183" s="246"/>
      <c r="AY183" s="246"/>
      <c r="AZ183" s="246"/>
      <c r="BA183" s="238"/>
      <c r="BB183" s="238"/>
      <c r="BC183" s="238"/>
      <c r="BD183" s="238"/>
      <c r="BE183" s="238"/>
      <c r="BF183" s="238"/>
      <c r="BG183" s="238"/>
      <c r="BH183" s="238"/>
      <c r="BI183" s="238"/>
      <c r="BJ183" s="238"/>
      <c r="BK183" s="238"/>
      <c r="BL183" s="238"/>
      <c r="BM183" s="775">
        <v>45044</v>
      </c>
      <c r="BN183" s="788"/>
    </row>
    <row r="184" spans="1:66" s="247" customFormat="1" x14ac:dyDescent="0.3">
      <c r="A184" s="245" t="s">
        <v>285</v>
      </c>
      <c r="B184" s="238" t="s">
        <v>225</v>
      </c>
      <c r="C184" s="245">
        <v>197633824</v>
      </c>
      <c r="D184" s="311" t="s">
        <v>711</v>
      </c>
      <c r="E184" s="486" t="s">
        <v>711</v>
      </c>
      <c r="F184" s="478" t="s">
        <v>225</v>
      </c>
      <c r="G184" s="240" t="s">
        <v>4</v>
      </c>
      <c r="H184" s="241" t="s">
        <v>817</v>
      </c>
      <c r="I184" s="241" t="s">
        <v>872</v>
      </c>
      <c r="J184" s="242" t="s">
        <v>917</v>
      </c>
      <c r="K184" s="1281" t="s">
        <v>2290</v>
      </c>
      <c r="L184" s="735" t="s">
        <v>853</v>
      </c>
      <c r="M184" s="1306" t="s">
        <v>3591</v>
      </c>
      <c r="N184" s="775"/>
      <c r="O184" s="1296"/>
      <c r="P184" s="238"/>
      <c r="Q184" s="1296" t="s">
        <v>832</v>
      </c>
      <c r="R184" s="243">
        <f>$B$1</f>
        <v>45388</v>
      </c>
      <c r="S184" s="249" t="s">
        <v>1483</v>
      </c>
      <c r="T184" s="239" t="s">
        <v>2919</v>
      </c>
      <c r="U184" s="244"/>
      <c r="V184" s="244"/>
      <c r="W184" s="245" t="str">
        <f>IFERROR(IF(AND(BD_PRINCIPAL[[#This Row],[DESDE]]&lt;&gt;"",BD_PRINCIPAL[[#This Row],[HASTA]]&lt;&gt;""),_xlfn.DAYS(BD_PRINCIPAL[[#This Row],[HASTA]],BD_PRINCIPAL[[#This Row],[DESDE]]),"")+1,"")</f>
        <v/>
      </c>
      <c r="X184" s="245">
        <f>VLOOKUP(BD_PRINCIPAL[[#This Row],[ENCUADRE. ESC.]],ORDEN1,2,FALSE)</f>
        <v>1</v>
      </c>
      <c r="Y184" s="245">
        <f>VLOOKUP(BD_PRINCIPAL[[#This Row],[DOTACIÓN ACTUAL]],ORDEN2,4,FALSE)</f>
        <v>144</v>
      </c>
      <c r="Z184" s="245">
        <f>VLOOKUP(BD_PRINCIPAL[[#This Row],[GRADO]],ORDEN3,2,FALSE)</f>
        <v>12</v>
      </c>
      <c r="AA184" s="245">
        <f>IFERROR(VLOOKUP(BD_PRINCIPAL[[#This Row],[DOTACIÓN ACTUAL]],ORDEN2,3,FALSE),0)</f>
        <v>0</v>
      </c>
      <c r="AB184" s="238" t="s">
        <v>6</v>
      </c>
      <c r="AC184" s="238" t="s">
        <v>2125</v>
      </c>
      <c r="AD184" s="238" t="s">
        <v>1</v>
      </c>
      <c r="AE184" s="238" t="s">
        <v>2</v>
      </c>
      <c r="AF184" s="758" t="s">
        <v>2</v>
      </c>
      <c r="AG184" s="758" t="s">
        <v>853</v>
      </c>
      <c r="AH184" s="238"/>
      <c r="AI184" s="238"/>
      <c r="AJ184" s="238"/>
      <c r="AK184" s="238"/>
      <c r="AL184" s="238"/>
      <c r="AM184" s="238"/>
      <c r="AN184" s="238"/>
      <c r="AO184" s="238"/>
      <c r="AP184" s="238"/>
      <c r="AQ184" s="238"/>
      <c r="AR184" s="238"/>
      <c r="AS184" s="238"/>
      <c r="AT184" s="246"/>
      <c r="AU184" s="246"/>
      <c r="AV184" s="246"/>
      <c r="AW184" s="246"/>
      <c r="AX184" s="246"/>
      <c r="AY184" s="246"/>
      <c r="AZ184" s="246"/>
      <c r="BA184" s="238"/>
      <c r="BB184" s="238"/>
      <c r="BC184" s="238"/>
      <c r="BD184" s="238"/>
      <c r="BE184" s="238"/>
      <c r="BF184" s="238"/>
      <c r="BG184" s="238"/>
      <c r="BH184" s="238"/>
      <c r="BI184" s="238"/>
      <c r="BJ184" s="238"/>
      <c r="BK184" s="758"/>
      <c r="BL184" s="758"/>
      <c r="BM184" s="775">
        <v>45146</v>
      </c>
      <c r="BN184" s="788"/>
    </row>
    <row r="185" spans="1:66" s="247" customFormat="1" x14ac:dyDescent="0.3">
      <c r="A185" s="245" t="s">
        <v>420</v>
      </c>
      <c r="B185" s="238" t="s">
        <v>107</v>
      </c>
      <c r="C185" s="245">
        <v>198448788</v>
      </c>
      <c r="D185" s="311" t="s">
        <v>711</v>
      </c>
      <c r="E185" s="486" t="s">
        <v>711</v>
      </c>
      <c r="F185" s="478" t="s">
        <v>107</v>
      </c>
      <c r="G185" s="240" t="s">
        <v>4</v>
      </c>
      <c r="H185" s="241" t="s">
        <v>816</v>
      </c>
      <c r="I185" s="241" t="s">
        <v>872</v>
      </c>
      <c r="J185" s="242" t="s">
        <v>917</v>
      </c>
      <c r="K185" s="1281" t="s">
        <v>2290</v>
      </c>
      <c r="L185" s="735" t="s">
        <v>853</v>
      </c>
      <c r="M185" s="1306" t="s">
        <v>3591</v>
      </c>
      <c r="N185" s="775"/>
      <c r="O185" s="1296"/>
      <c r="P185" s="238"/>
      <c r="Q185" s="1296" t="s">
        <v>832</v>
      </c>
      <c r="R185" s="243">
        <f>$B$1</f>
        <v>45388</v>
      </c>
      <c r="S185" s="249" t="s">
        <v>1483</v>
      </c>
      <c r="T185" s="249" t="s">
        <v>2919</v>
      </c>
      <c r="U185" s="244"/>
      <c r="V185" s="244"/>
      <c r="W185" s="245" t="str">
        <f>IFERROR(IF(AND(BD_PRINCIPAL[[#This Row],[DESDE]]&lt;&gt;"",BD_PRINCIPAL[[#This Row],[HASTA]]&lt;&gt;""),_xlfn.DAYS(BD_PRINCIPAL[[#This Row],[HASTA]],BD_PRINCIPAL[[#This Row],[DESDE]]),"")+1,"")</f>
        <v/>
      </c>
      <c r="X185" s="245">
        <f>VLOOKUP(BD_PRINCIPAL[[#This Row],[ENCUADRE. ESC.]],ORDEN1,2,FALSE)</f>
        <v>1</v>
      </c>
      <c r="Y185" s="245">
        <f>VLOOKUP(BD_PRINCIPAL[[#This Row],[DOTACIÓN ACTUAL]],ORDEN2,4,FALSE)</f>
        <v>144</v>
      </c>
      <c r="Z185" s="245">
        <f>VLOOKUP(BD_PRINCIPAL[[#This Row],[GRADO]],ORDEN3,2,FALSE)</f>
        <v>12</v>
      </c>
      <c r="AA185" s="245">
        <f>IFERROR(VLOOKUP(BD_PRINCIPAL[[#This Row],[DOTACIÓN ACTUAL]],ORDEN2,3,FALSE),0)</f>
        <v>0</v>
      </c>
      <c r="AB185" s="238" t="s">
        <v>6</v>
      </c>
      <c r="AC185" s="238" t="s">
        <v>2125</v>
      </c>
      <c r="AD185" s="238" t="s">
        <v>1</v>
      </c>
      <c r="AE185" s="238" t="s">
        <v>2</v>
      </c>
      <c r="AF185" s="758" t="s">
        <v>2</v>
      </c>
      <c r="AG185" s="758" t="s">
        <v>853</v>
      </c>
      <c r="AH185" s="238"/>
      <c r="AI185" s="238"/>
      <c r="AJ185" s="238"/>
      <c r="AK185" s="238"/>
      <c r="AL185" s="238"/>
      <c r="AM185" s="238"/>
      <c r="AN185" s="238"/>
      <c r="AO185" s="238"/>
      <c r="AP185" s="238"/>
      <c r="AQ185" s="238"/>
      <c r="AR185" s="238"/>
      <c r="AS185" s="238"/>
      <c r="AT185" s="246"/>
      <c r="AU185" s="246"/>
      <c r="AV185" s="246"/>
      <c r="AW185" s="246"/>
      <c r="AX185" s="246"/>
      <c r="AY185" s="246"/>
      <c r="AZ185" s="246"/>
      <c r="BA185" s="238"/>
      <c r="BB185" s="238"/>
      <c r="BC185" s="238"/>
      <c r="BD185" s="238"/>
      <c r="BE185" s="238"/>
      <c r="BF185" s="238"/>
      <c r="BG185" s="238"/>
      <c r="BH185" s="238"/>
      <c r="BI185" s="238"/>
      <c r="BJ185" s="238"/>
      <c r="BK185" s="758"/>
      <c r="BL185" s="758"/>
      <c r="BM185" s="775">
        <v>45372</v>
      </c>
      <c r="BN185" s="788"/>
    </row>
    <row r="186" spans="1:66" s="189" customFormat="1" x14ac:dyDescent="0.3">
      <c r="A186" s="188" t="s">
        <v>323</v>
      </c>
      <c r="B186" s="181" t="s">
        <v>1567</v>
      </c>
      <c r="C186" s="188">
        <v>134920173</v>
      </c>
      <c r="D186" s="488" t="s">
        <v>725</v>
      </c>
      <c r="E186" s="488" t="s">
        <v>725</v>
      </c>
      <c r="F186" s="479" t="s">
        <v>2652</v>
      </c>
      <c r="G186" s="183" t="s">
        <v>17</v>
      </c>
      <c r="H186" s="184" t="s">
        <v>816</v>
      </c>
      <c r="I186" s="184" t="s">
        <v>872</v>
      </c>
      <c r="J186" s="185" t="s">
        <v>917</v>
      </c>
      <c r="K186" s="1283" t="s">
        <v>2653</v>
      </c>
      <c r="L186" s="736" t="s">
        <v>2</v>
      </c>
      <c r="M186" s="1308" t="s">
        <v>2456</v>
      </c>
      <c r="N186" s="778"/>
      <c r="O186" s="1298"/>
      <c r="P186" s="181"/>
      <c r="Q186" s="1298" t="s">
        <v>832</v>
      </c>
      <c r="R186" s="186">
        <f>$B$1</f>
        <v>45388</v>
      </c>
      <c r="S186" s="190"/>
      <c r="T186" s="182"/>
      <c r="U186" s="192"/>
      <c r="V186" s="192"/>
      <c r="W186" s="188" t="str">
        <f>IFERROR(IF(AND(BD_PRINCIPAL[[#This Row],[DESDE]]&lt;&gt;"",BD_PRINCIPAL[[#This Row],[HASTA]]&lt;&gt;""),_xlfn.DAYS(BD_PRINCIPAL[[#This Row],[HASTA]],BD_PRINCIPAL[[#This Row],[DESDE]]),"")+1,"")</f>
        <v/>
      </c>
      <c r="X186" s="188">
        <f>VLOOKUP(BD_PRINCIPAL[[#This Row],[ENCUADRE. ESC.]],ORDEN1,2,FALSE)</f>
        <v>1</v>
      </c>
      <c r="Y186" s="188">
        <f>VLOOKUP(BD_PRINCIPAL[[#This Row],[DOTACIÓN ACTUAL]],ORDEN2,4,FALSE)</f>
        <v>147</v>
      </c>
      <c r="Z186" s="188">
        <f>VLOOKUP(BD_PRINCIPAL[[#This Row],[GRADO]],ORDEN3,2,FALSE)</f>
        <v>8</v>
      </c>
      <c r="AA186" s="188">
        <f>IFERROR(VLOOKUP(BD_PRINCIPAL[[#This Row],[DOTACIÓN ACTUAL]],ORDEN2,3,FALSE),0)</f>
        <v>0</v>
      </c>
      <c r="AB186" s="181" t="s">
        <v>853</v>
      </c>
      <c r="AC186" s="181" t="s">
        <v>2</v>
      </c>
      <c r="AD186" s="181" t="s">
        <v>853</v>
      </c>
      <c r="AE186" s="181" t="s">
        <v>6</v>
      </c>
      <c r="AF186" s="181" t="s">
        <v>2125</v>
      </c>
      <c r="AG186" s="181" t="s">
        <v>2</v>
      </c>
      <c r="AH186" s="181"/>
      <c r="AI186" s="181"/>
      <c r="AJ186" s="181"/>
      <c r="AK186" s="181"/>
      <c r="AL186" s="181"/>
      <c r="AM186" s="181"/>
      <c r="AN186" s="181"/>
      <c r="AO186" s="181"/>
      <c r="AP186" s="181"/>
      <c r="AQ186" s="181"/>
      <c r="AR186" s="181"/>
      <c r="AS186" s="181"/>
      <c r="AT186" s="187"/>
      <c r="AU186" s="187"/>
      <c r="AV186" s="187"/>
      <c r="AW186" s="187"/>
      <c r="AX186" s="187"/>
      <c r="AY186" s="187"/>
      <c r="AZ186" s="187"/>
      <c r="BA186" s="181"/>
      <c r="BB186" s="181"/>
      <c r="BC186" s="181"/>
      <c r="BD186" s="181"/>
      <c r="BE186" s="181"/>
      <c r="BF186" s="181"/>
      <c r="BG186" s="181"/>
      <c r="BH186" s="181"/>
      <c r="BI186" s="181"/>
      <c r="BJ186" s="181"/>
      <c r="BK186" s="181"/>
      <c r="BL186" s="181"/>
      <c r="BM186" s="778">
        <v>45026</v>
      </c>
      <c r="BN186" s="792"/>
    </row>
    <row r="187" spans="1:66" s="189" customFormat="1" x14ac:dyDescent="0.3">
      <c r="A187" s="188" t="s">
        <v>562</v>
      </c>
      <c r="B187" s="181" t="s">
        <v>114</v>
      </c>
      <c r="C187" s="188">
        <v>126412053</v>
      </c>
      <c r="D187" s="313" t="s">
        <v>700</v>
      </c>
      <c r="E187" s="488" t="s">
        <v>700</v>
      </c>
      <c r="F187" s="479" t="s">
        <v>114</v>
      </c>
      <c r="G187" s="183" t="s">
        <v>89</v>
      </c>
      <c r="H187" s="184" t="s">
        <v>816</v>
      </c>
      <c r="I187" s="184" t="s">
        <v>872</v>
      </c>
      <c r="J187" s="185" t="s">
        <v>917</v>
      </c>
      <c r="K187" s="1283" t="s">
        <v>2290</v>
      </c>
      <c r="L187" s="736" t="s">
        <v>2</v>
      </c>
      <c r="M187" s="1308" t="s">
        <v>2456</v>
      </c>
      <c r="N187" s="777"/>
      <c r="O187" s="1298"/>
      <c r="P187" s="181"/>
      <c r="Q187" s="1298" t="s">
        <v>832</v>
      </c>
      <c r="R187" s="186">
        <f>$B$1</f>
        <v>45388</v>
      </c>
      <c r="S187" s="190"/>
      <c r="T187" s="182"/>
      <c r="U187" s="192"/>
      <c r="V187" s="192"/>
      <c r="W187" s="188" t="str">
        <f>IFERROR(IF(AND(BD_PRINCIPAL[[#This Row],[DESDE]]&lt;&gt;"",BD_PRINCIPAL[[#This Row],[HASTA]]&lt;&gt;""),_xlfn.DAYS(BD_PRINCIPAL[[#This Row],[HASTA]],BD_PRINCIPAL[[#This Row],[DESDE]]),"")+1,"")</f>
        <v/>
      </c>
      <c r="X187" s="188">
        <f>VLOOKUP(BD_PRINCIPAL[[#This Row],[ENCUADRE. ESC.]],ORDEN1,2,FALSE)</f>
        <v>1</v>
      </c>
      <c r="Y187" s="188">
        <f>VLOOKUP(BD_PRINCIPAL[[#This Row],[DOTACIÓN ACTUAL]],ORDEN2,4,FALSE)</f>
        <v>148</v>
      </c>
      <c r="Z187" s="188">
        <f>VLOOKUP(BD_PRINCIPAL[[#This Row],[GRADO]],ORDEN3,2,FALSE)</f>
        <v>9</v>
      </c>
      <c r="AA187" s="188">
        <f>IFERROR(VLOOKUP(BD_PRINCIPAL[[#This Row],[DOTACIÓN ACTUAL]],ORDEN2,3,FALSE),0)</f>
        <v>0</v>
      </c>
      <c r="AB187" s="181" t="s">
        <v>853</v>
      </c>
      <c r="AC187" s="181" t="s">
        <v>2</v>
      </c>
      <c r="AD187" s="181" t="s">
        <v>853</v>
      </c>
      <c r="AE187" s="181" t="s">
        <v>6</v>
      </c>
      <c r="AF187" s="181" t="s">
        <v>2125</v>
      </c>
      <c r="AG187" s="181" t="s">
        <v>2</v>
      </c>
      <c r="AH187" s="181"/>
      <c r="AI187" s="181"/>
      <c r="AJ187" s="181"/>
      <c r="AK187" s="181"/>
      <c r="AL187" s="181"/>
      <c r="AM187" s="181"/>
      <c r="AN187" s="181"/>
      <c r="AO187" s="181"/>
      <c r="AP187" s="181"/>
      <c r="AQ187" s="181"/>
      <c r="AR187" s="181"/>
      <c r="AS187" s="181"/>
      <c r="AT187" s="187"/>
      <c r="AU187" s="187"/>
      <c r="AV187" s="187"/>
      <c r="AW187" s="187"/>
      <c r="AX187" s="187"/>
      <c r="AY187" s="187"/>
      <c r="AZ187" s="187"/>
      <c r="BA187" s="181"/>
      <c r="BB187" s="181"/>
      <c r="BC187" s="181"/>
      <c r="BD187" s="181"/>
      <c r="BE187" s="181"/>
      <c r="BF187" s="181"/>
      <c r="BG187" s="181"/>
      <c r="BH187" s="181"/>
      <c r="BI187" s="181"/>
      <c r="BJ187" s="181"/>
      <c r="BK187" s="181"/>
      <c r="BL187" s="181"/>
      <c r="BM187" s="777">
        <v>45119</v>
      </c>
      <c r="BN187" s="792"/>
    </row>
    <row r="188" spans="1:66" s="189" customFormat="1" x14ac:dyDescent="0.3">
      <c r="A188" s="188" t="s">
        <v>307</v>
      </c>
      <c r="B188" s="181" t="s">
        <v>62</v>
      </c>
      <c r="C188" s="188">
        <v>160459107</v>
      </c>
      <c r="D188" s="488" t="s">
        <v>700</v>
      </c>
      <c r="E188" s="488" t="s">
        <v>700</v>
      </c>
      <c r="F188" s="479" t="s">
        <v>62</v>
      </c>
      <c r="G188" s="183" t="s">
        <v>209</v>
      </c>
      <c r="H188" s="184" t="s">
        <v>816</v>
      </c>
      <c r="I188" s="184" t="s">
        <v>872</v>
      </c>
      <c r="J188" s="185" t="s">
        <v>917</v>
      </c>
      <c r="K188" s="1283" t="s">
        <v>2290</v>
      </c>
      <c r="L188" s="736" t="s">
        <v>2</v>
      </c>
      <c r="M188" s="1308" t="s">
        <v>2456</v>
      </c>
      <c r="N188" s="777"/>
      <c r="O188" s="1298"/>
      <c r="P188" s="181"/>
      <c r="Q188" s="1298" t="s">
        <v>832</v>
      </c>
      <c r="R188" s="186">
        <f>$B$1</f>
        <v>45388</v>
      </c>
      <c r="S188" s="190"/>
      <c r="T188" s="190"/>
      <c r="U188" s="196"/>
      <c r="V188" s="196"/>
      <c r="W188" s="188" t="str">
        <f>IFERROR(IF(AND(BD_PRINCIPAL[[#This Row],[DESDE]]&lt;&gt;"",BD_PRINCIPAL[[#This Row],[HASTA]]&lt;&gt;""),_xlfn.DAYS(BD_PRINCIPAL[[#This Row],[HASTA]],BD_PRINCIPAL[[#This Row],[DESDE]]),"")+1,"")</f>
        <v/>
      </c>
      <c r="X188" s="188">
        <f>VLOOKUP(BD_PRINCIPAL[[#This Row],[ENCUADRE. ESC.]],ORDEN1,2,FALSE)</f>
        <v>1</v>
      </c>
      <c r="Y188" s="188">
        <f>VLOOKUP(BD_PRINCIPAL[[#This Row],[DOTACIÓN ACTUAL]],ORDEN2,4,FALSE)</f>
        <v>148</v>
      </c>
      <c r="Z188" s="188">
        <f>VLOOKUP(BD_PRINCIPAL[[#This Row],[GRADO]],ORDEN3,2,FALSE)</f>
        <v>10</v>
      </c>
      <c r="AA188" s="188">
        <f>IFERROR(VLOOKUP(BD_PRINCIPAL[[#This Row],[DOTACIÓN ACTUAL]],ORDEN2,3,FALSE),0)</f>
        <v>0</v>
      </c>
      <c r="AB188" s="181" t="s">
        <v>853</v>
      </c>
      <c r="AC188" s="181" t="s">
        <v>2</v>
      </c>
      <c r="AD188" s="181" t="s">
        <v>853</v>
      </c>
      <c r="AE188" s="181" t="s">
        <v>6</v>
      </c>
      <c r="AF188" s="181" t="s">
        <v>2125</v>
      </c>
      <c r="AG188" s="181" t="s">
        <v>2</v>
      </c>
      <c r="AH188" s="181"/>
      <c r="AI188" s="181"/>
      <c r="AJ188" s="181"/>
      <c r="AK188" s="181"/>
      <c r="AL188" s="181"/>
      <c r="AM188" s="181"/>
      <c r="AN188" s="181"/>
      <c r="AO188" s="181"/>
      <c r="AP188" s="181"/>
      <c r="AQ188" s="181"/>
      <c r="AR188" s="181"/>
      <c r="AS188" s="181"/>
      <c r="AT188" s="187"/>
      <c r="AU188" s="187"/>
      <c r="AV188" s="187"/>
      <c r="AW188" s="187"/>
      <c r="AX188" s="187"/>
      <c r="AY188" s="187"/>
      <c r="AZ188" s="187"/>
      <c r="BA188" s="181"/>
      <c r="BB188" s="181"/>
      <c r="BC188" s="181"/>
      <c r="BD188" s="181"/>
      <c r="BE188" s="181"/>
      <c r="BF188" s="181"/>
      <c r="BG188" s="181"/>
      <c r="BH188" s="181"/>
      <c r="BI188" s="181"/>
      <c r="BJ188" s="181"/>
      <c r="BK188" s="181"/>
      <c r="BL188" s="181"/>
      <c r="BM188" s="777">
        <v>45156</v>
      </c>
      <c r="BN188" s="792"/>
    </row>
    <row r="189" spans="1:66" s="189" customFormat="1" x14ac:dyDescent="0.3">
      <c r="A189" s="188" t="s">
        <v>451</v>
      </c>
      <c r="B189" s="181" t="s">
        <v>238</v>
      </c>
      <c r="C189" s="188">
        <v>171773245</v>
      </c>
      <c r="D189" s="313" t="s">
        <v>700</v>
      </c>
      <c r="E189" s="488" t="s">
        <v>700</v>
      </c>
      <c r="F189" s="479" t="s">
        <v>238</v>
      </c>
      <c r="G189" s="183" t="s">
        <v>209</v>
      </c>
      <c r="H189" s="184" t="s">
        <v>816</v>
      </c>
      <c r="I189" s="184" t="s">
        <v>872</v>
      </c>
      <c r="J189" s="185" t="s">
        <v>917</v>
      </c>
      <c r="K189" s="1283" t="s">
        <v>2290</v>
      </c>
      <c r="L189" s="736" t="s">
        <v>2</v>
      </c>
      <c r="M189" s="1308" t="s">
        <v>2456</v>
      </c>
      <c r="N189" s="777"/>
      <c r="O189" s="1298"/>
      <c r="P189" s="181"/>
      <c r="Q189" s="1298" t="s">
        <v>832</v>
      </c>
      <c r="R189" s="186">
        <f>$B$1</f>
        <v>45388</v>
      </c>
      <c r="S189" s="190"/>
      <c r="T189" s="190"/>
      <c r="U189" s="196"/>
      <c r="V189" s="196"/>
      <c r="W189" s="188" t="str">
        <f>IFERROR(IF(AND(BD_PRINCIPAL[[#This Row],[DESDE]]&lt;&gt;"",BD_PRINCIPAL[[#This Row],[HASTA]]&lt;&gt;""),_xlfn.DAYS(BD_PRINCIPAL[[#This Row],[HASTA]],BD_PRINCIPAL[[#This Row],[DESDE]]),"")+1,"")</f>
        <v/>
      </c>
      <c r="X189" s="188">
        <f>VLOOKUP(BD_PRINCIPAL[[#This Row],[ENCUADRE. ESC.]],ORDEN1,2,FALSE)</f>
        <v>1</v>
      </c>
      <c r="Y189" s="188">
        <f>VLOOKUP(BD_PRINCIPAL[[#This Row],[DOTACIÓN ACTUAL]],ORDEN2,4,FALSE)</f>
        <v>148</v>
      </c>
      <c r="Z189" s="188">
        <f>VLOOKUP(BD_PRINCIPAL[[#This Row],[GRADO]],ORDEN3,2,FALSE)</f>
        <v>10</v>
      </c>
      <c r="AA189" s="188">
        <f>IFERROR(VLOOKUP(BD_PRINCIPAL[[#This Row],[DOTACIÓN ACTUAL]],ORDEN2,3,FALSE),0)</f>
        <v>0</v>
      </c>
      <c r="AB189" s="181" t="s">
        <v>853</v>
      </c>
      <c r="AC189" s="181" t="s">
        <v>2</v>
      </c>
      <c r="AD189" s="181" t="s">
        <v>853</v>
      </c>
      <c r="AE189" s="181" t="s">
        <v>6</v>
      </c>
      <c r="AF189" s="181" t="s">
        <v>2125</v>
      </c>
      <c r="AG189" s="181" t="s">
        <v>2</v>
      </c>
      <c r="AH189" s="181"/>
      <c r="AI189" s="181"/>
      <c r="AJ189" s="181"/>
      <c r="AK189" s="181"/>
      <c r="AL189" s="181"/>
      <c r="AM189" s="181"/>
      <c r="AN189" s="181"/>
      <c r="AO189" s="181"/>
      <c r="AP189" s="181"/>
      <c r="AQ189" s="181"/>
      <c r="AR189" s="181"/>
      <c r="AS189" s="181"/>
      <c r="AT189" s="187"/>
      <c r="AU189" s="187"/>
      <c r="AV189" s="187"/>
      <c r="AW189" s="187"/>
      <c r="AX189" s="187"/>
      <c r="AY189" s="187"/>
      <c r="AZ189" s="187"/>
      <c r="BA189" s="181"/>
      <c r="BB189" s="181"/>
      <c r="BC189" s="181"/>
      <c r="BD189" s="181"/>
      <c r="BE189" s="181"/>
      <c r="BF189" s="181"/>
      <c r="BG189" s="181"/>
      <c r="BH189" s="181"/>
      <c r="BI189" s="181"/>
      <c r="BJ189" s="181"/>
      <c r="BK189" s="181"/>
      <c r="BL189" s="181"/>
      <c r="BM189" s="777">
        <v>45373</v>
      </c>
      <c r="BN189" s="792"/>
    </row>
    <row r="190" spans="1:66" s="189" customFormat="1" x14ac:dyDescent="0.3">
      <c r="A190" s="188" t="s">
        <v>453</v>
      </c>
      <c r="B190" s="181" t="s">
        <v>112</v>
      </c>
      <c r="C190" s="188">
        <v>176954485</v>
      </c>
      <c r="D190" s="313" t="s">
        <v>700</v>
      </c>
      <c r="E190" s="479" t="s">
        <v>700</v>
      </c>
      <c r="F190" s="479" t="s">
        <v>2281</v>
      </c>
      <c r="G190" s="183" t="s">
        <v>4</v>
      </c>
      <c r="H190" s="184" t="s">
        <v>817</v>
      </c>
      <c r="I190" s="184" t="s">
        <v>872</v>
      </c>
      <c r="J190" s="185" t="s">
        <v>917</v>
      </c>
      <c r="K190" s="1283" t="s">
        <v>2301</v>
      </c>
      <c r="L190" s="736" t="s">
        <v>2</v>
      </c>
      <c r="M190" s="1308" t="s">
        <v>2456</v>
      </c>
      <c r="N190" s="777"/>
      <c r="O190" s="1298"/>
      <c r="P190" s="181"/>
      <c r="Q190" s="1298" t="s">
        <v>832</v>
      </c>
      <c r="R190" s="186">
        <f>$B$1</f>
        <v>45388</v>
      </c>
      <c r="S190" s="190" t="s">
        <v>1483</v>
      </c>
      <c r="T190" s="190"/>
      <c r="U190" s="196"/>
      <c r="V190" s="196"/>
      <c r="W190" s="188" t="str">
        <f>IFERROR(IF(AND(BD_PRINCIPAL[[#This Row],[DESDE]]&lt;&gt;"",BD_PRINCIPAL[[#This Row],[HASTA]]&lt;&gt;""),_xlfn.DAYS(BD_PRINCIPAL[[#This Row],[HASTA]],BD_PRINCIPAL[[#This Row],[DESDE]]),"")+1,"")</f>
        <v/>
      </c>
      <c r="X190" s="188">
        <f>VLOOKUP(BD_PRINCIPAL[[#This Row],[ENCUADRE. ESC.]],ORDEN1,2,FALSE)</f>
        <v>1</v>
      </c>
      <c r="Y190" s="188">
        <f>VLOOKUP(BD_PRINCIPAL[[#This Row],[DOTACIÓN ACTUAL]],ORDEN2,4,FALSE)</f>
        <v>148</v>
      </c>
      <c r="Z190" s="188">
        <f>VLOOKUP(BD_PRINCIPAL[[#This Row],[GRADO]],ORDEN3,2,FALSE)</f>
        <v>12</v>
      </c>
      <c r="AA190" s="188">
        <f>IFERROR(VLOOKUP(BD_PRINCIPAL[[#This Row],[DOTACIÓN ACTUAL]],ORDEN2,3,FALSE),0)</f>
        <v>0</v>
      </c>
      <c r="AB190" s="181" t="s">
        <v>885</v>
      </c>
      <c r="AC190" s="181" t="s">
        <v>909</v>
      </c>
      <c r="AD190" s="181" t="s">
        <v>853</v>
      </c>
      <c r="AE190" s="181" t="s">
        <v>909</v>
      </c>
      <c r="AF190" s="181" t="s">
        <v>1</v>
      </c>
      <c r="AG190" s="181" t="s">
        <v>2</v>
      </c>
      <c r="AH190" s="181"/>
      <c r="AI190" s="181"/>
      <c r="AJ190" s="181"/>
      <c r="AK190" s="181"/>
      <c r="AL190" s="181"/>
      <c r="AM190" s="181"/>
      <c r="AN190" s="181"/>
      <c r="AO190" s="181"/>
      <c r="AP190" s="181"/>
      <c r="AQ190" s="181"/>
      <c r="AR190" s="181"/>
      <c r="AS190" s="181"/>
      <c r="AT190" s="187"/>
      <c r="AU190" s="187"/>
      <c r="AV190" s="187"/>
      <c r="AW190" s="187"/>
      <c r="AX190" s="187"/>
      <c r="AY190" s="187"/>
      <c r="AZ190" s="187"/>
      <c r="BA190" s="181"/>
      <c r="BB190" s="181"/>
      <c r="BC190" s="181"/>
      <c r="BD190" s="181"/>
      <c r="BE190" s="181"/>
      <c r="BF190" s="181"/>
      <c r="BG190" s="181"/>
      <c r="BH190" s="181"/>
      <c r="BI190" s="181"/>
      <c r="BJ190" s="181"/>
      <c r="BK190" s="181"/>
      <c r="BL190" s="181"/>
      <c r="BM190" s="777">
        <v>45077</v>
      </c>
      <c r="BN190" s="792"/>
    </row>
    <row r="191" spans="1:66" s="189" customFormat="1" x14ac:dyDescent="0.3">
      <c r="A191" s="188" t="s">
        <v>362</v>
      </c>
      <c r="B191" s="181" t="s">
        <v>189</v>
      </c>
      <c r="C191" s="188">
        <v>205414703</v>
      </c>
      <c r="D191" s="313" t="s">
        <v>700</v>
      </c>
      <c r="E191" s="488" t="s">
        <v>700</v>
      </c>
      <c r="F191" s="479" t="s">
        <v>2895</v>
      </c>
      <c r="G191" s="183" t="s">
        <v>4</v>
      </c>
      <c r="H191" s="184" t="s">
        <v>816</v>
      </c>
      <c r="I191" s="184" t="s">
        <v>872</v>
      </c>
      <c r="J191" s="185" t="s">
        <v>917</v>
      </c>
      <c r="K191" s="1283" t="s">
        <v>2305</v>
      </c>
      <c r="L191" s="736" t="s">
        <v>2</v>
      </c>
      <c r="M191" s="1308" t="s">
        <v>2456</v>
      </c>
      <c r="N191" s="777"/>
      <c r="O191" s="1298"/>
      <c r="P191" s="181"/>
      <c r="Q191" s="1298" t="s">
        <v>832</v>
      </c>
      <c r="R191" s="186">
        <f>$B$1</f>
        <v>45388</v>
      </c>
      <c r="S191" s="190"/>
      <c r="T191" s="182" t="s">
        <v>3323</v>
      </c>
      <c r="U191" s="192"/>
      <c r="V191" s="192"/>
      <c r="W191" s="188" t="str">
        <f>IFERROR(IF(AND(BD_PRINCIPAL[[#This Row],[DESDE]]&lt;&gt;"",BD_PRINCIPAL[[#This Row],[HASTA]]&lt;&gt;""),_xlfn.DAYS(BD_PRINCIPAL[[#This Row],[HASTA]],BD_PRINCIPAL[[#This Row],[DESDE]]),"")+1,"")</f>
        <v/>
      </c>
      <c r="X191" s="188">
        <f>VLOOKUP(BD_PRINCIPAL[[#This Row],[ENCUADRE. ESC.]],ORDEN1,2,FALSE)</f>
        <v>1</v>
      </c>
      <c r="Y191" s="188">
        <f>VLOOKUP(BD_PRINCIPAL[[#This Row],[DOTACIÓN ACTUAL]],ORDEN2,4,FALSE)</f>
        <v>148</v>
      </c>
      <c r="Z191" s="188">
        <f>VLOOKUP(BD_PRINCIPAL[[#This Row],[GRADO]],ORDEN3,2,FALSE)</f>
        <v>12</v>
      </c>
      <c r="AA191" s="188">
        <f>IFERROR(VLOOKUP(BD_PRINCIPAL[[#This Row],[DOTACIÓN ACTUAL]],ORDEN2,3,FALSE),0)</f>
        <v>0</v>
      </c>
      <c r="AB191" s="181" t="s">
        <v>6</v>
      </c>
      <c r="AC191" s="181" t="s">
        <v>2125</v>
      </c>
      <c r="AD191" s="181" t="s">
        <v>1</v>
      </c>
      <c r="AE191" s="181" t="s">
        <v>6</v>
      </c>
      <c r="AF191" s="181" t="s">
        <v>2125</v>
      </c>
      <c r="AG191" s="181" t="s">
        <v>2</v>
      </c>
      <c r="AH191" s="181"/>
      <c r="AI191" s="181"/>
      <c r="AJ191" s="181"/>
      <c r="AK191" s="181"/>
      <c r="AL191" s="181"/>
      <c r="AM191" s="181"/>
      <c r="AN191" s="181"/>
      <c r="AO191" s="181"/>
      <c r="AP191" s="181"/>
      <c r="AQ191" s="181"/>
      <c r="AR191" s="181"/>
      <c r="AS191" s="181"/>
      <c r="AT191" s="187"/>
      <c r="AU191" s="187"/>
      <c r="AV191" s="187"/>
      <c r="AW191" s="187"/>
      <c r="AX191" s="187"/>
      <c r="AY191" s="187"/>
      <c r="AZ191" s="187"/>
      <c r="BA191" s="181"/>
      <c r="BB191" s="181"/>
      <c r="BC191" s="181"/>
      <c r="BD191" s="181"/>
      <c r="BE191" s="181"/>
      <c r="BF191" s="181"/>
      <c r="BG191" s="181"/>
      <c r="BH191" s="181"/>
      <c r="BI191" s="181"/>
      <c r="BJ191" s="181"/>
      <c r="BK191" s="181"/>
      <c r="BL191" s="181"/>
      <c r="BM191" s="777">
        <v>45034</v>
      </c>
      <c r="BN191" s="792"/>
    </row>
    <row r="192" spans="1:66" s="189" customFormat="1" x14ac:dyDescent="0.3">
      <c r="A192" s="188" t="s">
        <v>329</v>
      </c>
      <c r="B192" s="181" t="s">
        <v>215</v>
      </c>
      <c r="C192" s="188">
        <v>190248534</v>
      </c>
      <c r="D192" s="313" t="s">
        <v>700</v>
      </c>
      <c r="E192" s="488" t="s">
        <v>700</v>
      </c>
      <c r="F192" s="479" t="s">
        <v>215</v>
      </c>
      <c r="G192" s="183" t="s">
        <v>4</v>
      </c>
      <c r="H192" s="184" t="s">
        <v>816</v>
      </c>
      <c r="I192" s="184" t="s">
        <v>872</v>
      </c>
      <c r="J192" s="185" t="s">
        <v>917</v>
      </c>
      <c r="K192" s="1283" t="s">
        <v>2290</v>
      </c>
      <c r="L192" s="736" t="s">
        <v>2</v>
      </c>
      <c r="M192" s="1308" t="s">
        <v>2456</v>
      </c>
      <c r="N192" s="777"/>
      <c r="O192" s="1298"/>
      <c r="P192" s="181"/>
      <c r="Q192" s="1298" t="s">
        <v>832</v>
      </c>
      <c r="R192" s="186">
        <f>$B$1</f>
        <v>45388</v>
      </c>
      <c r="S192" s="190"/>
      <c r="T192" s="190"/>
      <c r="U192" s="196"/>
      <c r="V192" s="196"/>
      <c r="W192" s="188" t="str">
        <f>IFERROR(IF(AND(BD_PRINCIPAL[[#This Row],[DESDE]]&lt;&gt;"",BD_PRINCIPAL[[#This Row],[HASTA]]&lt;&gt;""),_xlfn.DAYS(BD_PRINCIPAL[[#This Row],[HASTA]],BD_PRINCIPAL[[#This Row],[DESDE]]),"")+1,"")</f>
        <v/>
      </c>
      <c r="X192" s="188">
        <f>VLOOKUP(BD_PRINCIPAL[[#This Row],[ENCUADRE. ESC.]],ORDEN1,2,FALSE)</f>
        <v>1</v>
      </c>
      <c r="Y192" s="188">
        <f>VLOOKUP(BD_PRINCIPAL[[#This Row],[DOTACIÓN ACTUAL]],ORDEN2,4,FALSE)</f>
        <v>148</v>
      </c>
      <c r="Z192" s="188">
        <f>VLOOKUP(BD_PRINCIPAL[[#This Row],[GRADO]],ORDEN3,2,FALSE)</f>
        <v>12</v>
      </c>
      <c r="AA192" s="188">
        <f>IFERROR(VLOOKUP(BD_PRINCIPAL[[#This Row],[DOTACIÓN ACTUAL]],ORDEN2,3,FALSE),0)</f>
        <v>0</v>
      </c>
      <c r="AB192" s="181" t="s">
        <v>853</v>
      </c>
      <c r="AC192" s="181" t="s">
        <v>2</v>
      </c>
      <c r="AD192" s="181" t="s">
        <v>853</v>
      </c>
      <c r="AE192" s="181" t="s">
        <v>6</v>
      </c>
      <c r="AF192" s="181" t="s">
        <v>2125</v>
      </c>
      <c r="AG192" s="181" t="s">
        <v>2</v>
      </c>
      <c r="AH192" s="181"/>
      <c r="AI192" s="181"/>
      <c r="AJ192" s="181"/>
      <c r="AK192" s="181"/>
      <c r="AL192" s="181"/>
      <c r="AM192" s="181"/>
      <c r="AN192" s="181"/>
      <c r="AO192" s="181"/>
      <c r="AP192" s="181"/>
      <c r="AQ192" s="181"/>
      <c r="AR192" s="181"/>
      <c r="AS192" s="181"/>
      <c r="AT192" s="187"/>
      <c r="AU192" s="187"/>
      <c r="AV192" s="187"/>
      <c r="AW192" s="187"/>
      <c r="AX192" s="187"/>
      <c r="AY192" s="187"/>
      <c r="AZ192" s="187"/>
      <c r="BA192" s="181"/>
      <c r="BB192" s="181"/>
      <c r="BC192" s="181"/>
      <c r="BD192" s="181"/>
      <c r="BE192" s="181"/>
      <c r="BF192" s="181"/>
      <c r="BG192" s="181"/>
      <c r="BH192" s="181"/>
      <c r="BI192" s="181"/>
      <c r="BJ192" s="181"/>
      <c r="BK192" s="181"/>
      <c r="BL192" s="181"/>
      <c r="BM192" s="777">
        <v>45041</v>
      </c>
      <c r="BN192" s="792"/>
    </row>
    <row r="193" spans="1:66" s="189" customFormat="1" x14ac:dyDescent="0.3">
      <c r="A193" s="188" t="s">
        <v>424</v>
      </c>
      <c r="B193" s="181" t="s">
        <v>192</v>
      </c>
      <c r="C193" s="188">
        <v>205702962</v>
      </c>
      <c r="D193" s="313" t="s">
        <v>700</v>
      </c>
      <c r="E193" s="488" t="s">
        <v>700</v>
      </c>
      <c r="F193" s="479" t="s">
        <v>192</v>
      </c>
      <c r="G193" s="183" t="s">
        <v>4</v>
      </c>
      <c r="H193" s="184" t="s">
        <v>816</v>
      </c>
      <c r="I193" s="184" t="s">
        <v>872</v>
      </c>
      <c r="J193" s="185" t="s">
        <v>917</v>
      </c>
      <c r="K193" s="1283" t="s">
        <v>2290</v>
      </c>
      <c r="L193" s="736" t="s">
        <v>2</v>
      </c>
      <c r="M193" s="1308" t="s">
        <v>2456</v>
      </c>
      <c r="N193" s="777"/>
      <c r="O193" s="1298"/>
      <c r="P193" s="181"/>
      <c r="Q193" s="1298" t="s">
        <v>832</v>
      </c>
      <c r="R193" s="186">
        <f>$B$1</f>
        <v>45388</v>
      </c>
      <c r="S193" s="190"/>
      <c r="T193" s="190"/>
      <c r="U193" s="192"/>
      <c r="V193" s="192"/>
      <c r="W193" s="188" t="str">
        <f>IFERROR(IF(AND(BD_PRINCIPAL[[#This Row],[DESDE]]&lt;&gt;"",BD_PRINCIPAL[[#This Row],[HASTA]]&lt;&gt;""),_xlfn.DAYS(BD_PRINCIPAL[[#This Row],[HASTA]],BD_PRINCIPAL[[#This Row],[DESDE]]),"")+1,"")</f>
        <v/>
      </c>
      <c r="X193" s="188">
        <f>VLOOKUP(BD_PRINCIPAL[[#This Row],[ENCUADRE. ESC.]],ORDEN1,2,FALSE)</f>
        <v>1</v>
      </c>
      <c r="Y193" s="188">
        <f>VLOOKUP(BD_PRINCIPAL[[#This Row],[DOTACIÓN ACTUAL]],ORDEN2,4,FALSE)</f>
        <v>148</v>
      </c>
      <c r="Z193" s="188">
        <f>VLOOKUP(BD_PRINCIPAL[[#This Row],[GRADO]],ORDEN3,2,FALSE)</f>
        <v>12</v>
      </c>
      <c r="AA193" s="188">
        <f>IFERROR(VLOOKUP(BD_PRINCIPAL[[#This Row],[DOTACIÓN ACTUAL]],ORDEN2,3,FALSE),0)</f>
        <v>0</v>
      </c>
      <c r="AB193" s="181" t="s">
        <v>853</v>
      </c>
      <c r="AC193" s="181" t="s">
        <v>2</v>
      </c>
      <c r="AD193" s="181" t="s">
        <v>853</v>
      </c>
      <c r="AE193" s="181" t="s">
        <v>6</v>
      </c>
      <c r="AF193" s="181" t="s">
        <v>2125</v>
      </c>
      <c r="AG193" s="181" t="s">
        <v>2</v>
      </c>
      <c r="AH193" s="181"/>
      <c r="AI193" s="181"/>
      <c r="AJ193" s="181"/>
      <c r="AK193" s="181"/>
      <c r="AL193" s="181"/>
      <c r="AM193" s="181"/>
      <c r="AN193" s="181"/>
      <c r="AO193" s="181"/>
      <c r="AP193" s="181"/>
      <c r="AQ193" s="181"/>
      <c r="AR193" s="181"/>
      <c r="AS193" s="181"/>
      <c r="AT193" s="187"/>
      <c r="AU193" s="187"/>
      <c r="AV193" s="187"/>
      <c r="AW193" s="187"/>
      <c r="AX193" s="187"/>
      <c r="AY193" s="187"/>
      <c r="AZ193" s="187"/>
      <c r="BA193" s="181"/>
      <c r="BB193" s="181"/>
      <c r="BC193" s="181"/>
      <c r="BD193" s="181"/>
      <c r="BE193" s="181"/>
      <c r="BF193" s="181"/>
      <c r="BG193" s="181"/>
      <c r="BH193" s="181"/>
      <c r="BI193" s="181"/>
      <c r="BJ193" s="181"/>
      <c r="BK193" s="181"/>
      <c r="BL193" s="181"/>
      <c r="BM193" s="777">
        <v>45072</v>
      </c>
      <c r="BN193" s="792"/>
    </row>
    <row r="194" spans="1:66" s="189" customFormat="1" x14ac:dyDescent="0.3">
      <c r="A194" s="188" t="s">
        <v>396</v>
      </c>
      <c r="B194" s="181" t="s">
        <v>256</v>
      </c>
      <c r="C194" s="188">
        <v>202696503</v>
      </c>
      <c r="D194" s="313" t="s">
        <v>700</v>
      </c>
      <c r="E194" s="488" t="s">
        <v>700</v>
      </c>
      <c r="F194" s="479" t="s">
        <v>256</v>
      </c>
      <c r="G194" s="191" t="s">
        <v>4</v>
      </c>
      <c r="H194" s="184" t="s">
        <v>816</v>
      </c>
      <c r="I194" s="184" t="s">
        <v>872</v>
      </c>
      <c r="J194" s="185" t="s">
        <v>917</v>
      </c>
      <c r="K194" s="1283" t="s">
        <v>2290</v>
      </c>
      <c r="L194" s="736" t="s">
        <v>2</v>
      </c>
      <c r="M194" s="1308" t="s">
        <v>2456</v>
      </c>
      <c r="N194" s="777"/>
      <c r="O194" s="1298"/>
      <c r="P194" s="181"/>
      <c r="Q194" s="1298" t="s">
        <v>832</v>
      </c>
      <c r="R194" s="186">
        <f>$B$1</f>
        <v>45388</v>
      </c>
      <c r="S194" s="190"/>
      <c r="T194" s="190"/>
      <c r="U194" s="192"/>
      <c r="V194" s="192"/>
      <c r="W194" s="188" t="str">
        <f>IFERROR(IF(AND(BD_PRINCIPAL[[#This Row],[DESDE]]&lt;&gt;"",BD_PRINCIPAL[[#This Row],[HASTA]]&lt;&gt;""),_xlfn.DAYS(BD_PRINCIPAL[[#This Row],[HASTA]],BD_PRINCIPAL[[#This Row],[DESDE]]),"")+1,"")</f>
        <v/>
      </c>
      <c r="X194" s="188">
        <f>VLOOKUP(BD_PRINCIPAL[[#This Row],[ENCUADRE. ESC.]],ORDEN1,2,FALSE)</f>
        <v>1</v>
      </c>
      <c r="Y194" s="188">
        <f>VLOOKUP(BD_PRINCIPAL[[#This Row],[DOTACIÓN ACTUAL]],ORDEN2,4,FALSE)</f>
        <v>148</v>
      </c>
      <c r="Z194" s="188">
        <f>VLOOKUP(BD_PRINCIPAL[[#This Row],[GRADO]],ORDEN3,2,FALSE)</f>
        <v>12</v>
      </c>
      <c r="AA194" s="188">
        <f>IFERROR(VLOOKUP(BD_PRINCIPAL[[#This Row],[DOTACIÓN ACTUAL]],ORDEN2,3,FALSE),0)</f>
        <v>0</v>
      </c>
      <c r="AB194" s="181" t="s">
        <v>853</v>
      </c>
      <c r="AC194" s="181" t="s">
        <v>2</v>
      </c>
      <c r="AD194" s="181" t="s">
        <v>853</v>
      </c>
      <c r="AE194" s="181" t="s">
        <v>6</v>
      </c>
      <c r="AF194" s="181" t="s">
        <v>2125</v>
      </c>
      <c r="AG194" s="181" t="s">
        <v>2</v>
      </c>
      <c r="AH194" s="1029"/>
      <c r="AI194" s="1029"/>
      <c r="AJ194" s="1029"/>
      <c r="AK194" s="1029"/>
      <c r="AL194" s="1029"/>
      <c r="AM194" s="1029"/>
      <c r="AN194" s="1029"/>
      <c r="AO194" s="181"/>
      <c r="AP194" s="181"/>
      <c r="AQ194" s="181"/>
      <c r="AR194" s="181"/>
      <c r="AS194" s="181"/>
      <c r="AT194" s="187"/>
      <c r="AU194" s="187"/>
      <c r="AV194" s="187"/>
      <c r="AW194" s="187"/>
      <c r="AX194" s="187"/>
      <c r="AY194" s="187"/>
      <c r="AZ194" s="187"/>
      <c r="BA194" s="181"/>
      <c r="BB194" s="181"/>
      <c r="BC194" s="181"/>
      <c r="BD194" s="181"/>
      <c r="BE194" s="181"/>
      <c r="BF194" s="181"/>
      <c r="BG194" s="181"/>
      <c r="BH194" s="181"/>
      <c r="BI194" s="181"/>
      <c r="BJ194" s="181"/>
      <c r="BK194" s="181"/>
      <c r="BL194" s="181"/>
      <c r="BM194" s="777">
        <v>45378</v>
      </c>
      <c r="BN194" s="792"/>
    </row>
    <row r="195" spans="1:66" s="233" customFormat="1" ht="26.4" x14ac:dyDescent="0.3">
      <c r="A195" s="231" t="s">
        <v>683</v>
      </c>
      <c r="B195" s="225" t="s">
        <v>1600</v>
      </c>
      <c r="C195" s="231" t="s">
        <v>533</v>
      </c>
      <c r="D195" s="715" t="s">
        <v>716</v>
      </c>
      <c r="E195" s="477" t="s">
        <v>745</v>
      </c>
      <c r="F195" s="477" t="s">
        <v>1600</v>
      </c>
      <c r="G195" s="227" t="s">
        <v>89</v>
      </c>
      <c r="H195" s="228" t="s">
        <v>816</v>
      </c>
      <c r="I195" s="228" t="s">
        <v>872</v>
      </c>
      <c r="J195" s="229" t="s">
        <v>917</v>
      </c>
      <c r="K195" s="1280" t="s">
        <v>2290</v>
      </c>
      <c r="L195" s="734" t="s">
        <v>2</v>
      </c>
      <c r="M195" s="1305" t="s">
        <v>2049</v>
      </c>
      <c r="N195" s="780"/>
      <c r="O195" s="1295"/>
      <c r="P195" s="225"/>
      <c r="Q195" s="1295" t="s">
        <v>832</v>
      </c>
      <c r="R195" s="234">
        <f>$B$1</f>
        <v>45388</v>
      </c>
      <c r="S195" s="236" t="s">
        <v>3360</v>
      </c>
      <c r="T195" s="226" t="s">
        <v>2919</v>
      </c>
      <c r="U195" s="230"/>
      <c r="V195" s="230"/>
      <c r="W195" s="231" t="str">
        <f>IFERROR(IF(AND(BD_PRINCIPAL[[#This Row],[DESDE]]&lt;&gt;"",BD_PRINCIPAL[[#This Row],[HASTA]]&lt;&gt;""),_xlfn.DAYS(BD_PRINCIPAL[[#This Row],[HASTA]],BD_PRINCIPAL[[#This Row],[DESDE]]),"")+1,"")</f>
        <v/>
      </c>
      <c r="X195" s="231">
        <f>VLOOKUP(BD_PRINCIPAL[[#This Row],[ENCUADRE. ESC.]],ORDEN1,2,FALSE)</f>
        <v>1</v>
      </c>
      <c r="Y195" s="231">
        <f>VLOOKUP(BD_PRINCIPAL[[#This Row],[DOTACIÓN ACTUAL]],ORDEN2,4,FALSE)</f>
        <v>151</v>
      </c>
      <c r="Z195" s="231">
        <f>VLOOKUP(BD_PRINCIPAL[[#This Row],[GRADO]],ORDEN3,2,FALSE)</f>
        <v>9</v>
      </c>
      <c r="AA195" s="231">
        <f>IFERROR(VLOOKUP(BD_PRINCIPAL[[#This Row],[DOTACIÓN ACTUAL]],ORDEN2,3,FALSE),0)</f>
        <v>0</v>
      </c>
      <c r="AB195" s="225" t="s">
        <v>2</v>
      </c>
      <c r="AC195" s="225" t="s">
        <v>2</v>
      </c>
      <c r="AD195" s="225" t="s">
        <v>853</v>
      </c>
      <c r="AE195" s="225" t="s">
        <v>6</v>
      </c>
      <c r="AF195" s="225" t="s">
        <v>2125</v>
      </c>
      <c r="AG195" s="225" t="s">
        <v>2</v>
      </c>
      <c r="AH195" s="225"/>
      <c r="AI195" s="225"/>
      <c r="AJ195" s="225"/>
      <c r="AK195" s="225"/>
      <c r="AL195" s="225"/>
      <c r="AM195" s="225"/>
      <c r="AN195" s="225"/>
      <c r="AO195" s="225"/>
      <c r="AP195" s="225"/>
      <c r="AQ195" s="225"/>
      <c r="AR195" s="225"/>
      <c r="AS195" s="225"/>
      <c r="AT195" s="232"/>
      <c r="AU195" s="232"/>
      <c r="AV195" s="232"/>
      <c r="AW195" s="232"/>
      <c r="AX195" s="232"/>
      <c r="AY195" s="232"/>
      <c r="AZ195" s="232"/>
      <c r="BA195" s="225"/>
      <c r="BB195" s="225"/>
      <c r="BC195" s="225"/>
      <c r="BD195" s="225"/>
      <c r="BE195" s="225"/>
      <c r="BF195" s="225"/>
      <c r="BG195" s="225"/>
      <c r="BH195" s="225"/>
      <c r="BI195" s="225"/>
      <c r="BJ195" s="225"/>
      <c r="BK195" s="225"/>
      <c r="BL195" s="225"/>
      <c r="BM195" s="780">
        <v>45092</v>
      </c>
      <c r="BN195" s="790"/>
    </row>
    <row r="196" spans="1:66" s="233" customFormat="1" x14ac:dyDescent="0.3">
      <c r="A196" s="231" t="s">
        <v>387</v>
      </c>
      <c r="B196" s="225" t="s">
        <v>1855</v>
      </c>
      <c r="C196" s="231">
        <v>153746427</v>
      </c>
      <c r="D196" s="310" t="s">
        <v>716</v>
      </c>
      <c r="E196" s="484" t="s">
        <v>716</v>
      </c>
      <c r="F196" s="477" t="s">
        <v>2278</v>
      </c>
      <c r="G196" s="227" t="s">
        <v>209</v>
      </c>
      <c r="H196" s="228" t="s">
        <v>816</v>
      </c>
      <c r="I196" s="228" t="s">
        <v>872</v>
      </c>
      <c r="J196" s="229" t="s">
        <v>917</v>
      </c>
      <c r="K196" s="1280" t="s">
        <v>2301</v>
      </c>
      <c r="L196" s="734" t="s">
        <v>2</v>
      </c>
      <c r="M196" s="1305" t="s">
        <v>2049</v>
      </c>
      <c r="N196" s="773"/>
      <c r="O196" s="1295"/>
      <c r="P196" s="225"/>
      <c r="Q196" s="1295" t="s">
        <v>832</v>
      </c>
      <c r="R196" s="1041">
        <f>$B$1</f>
        <v>45388</v>
      </c>
      <c r="S196" s="236"/>
      <c r="T196" s="226" t="s">
        <v>2919</v>
      </c>
      <c r="U196" s="230"/>
      <c r="V196" s="230"/>
      <c r="W196" s="231" t="str">
        <f>IFERROR(IF(AND(BD_PRINCIPAL[[#This Row],[DESDE]]&lt;&gt;"",BD_PRINCIPAL[[#This Row],[HASTA]]&lt;&gt;""),_xlfn.DAYS(BD_PRINCIPAL[[#This Row],[HASTA]],BD_PRINCIPAL[[#This Row],[DESDE]]),"")+1,"")</f>
        <v/>
      </c>
      <c r="X196" s="231">
        <f>VLOOKUP(BD_PRINCIPAL[[#This Row],[ENCUADRE. ESC.]],ORDEN1,2,FALSE)</f>
        <v>1</v>
      </c>
      <c r="Y196" s="231">
        <f>VLOOKUP(BD_PRINCIPAL[[#This Row],[DOTACIÓN ACTUAL]],ORDEN2,4,FALSE)</f>
        <v>152</v>
      </c>
      <c r="Z196" s="231">
        <f>VLOOKUP(BD_PRINCIPAL[[#This Row],[GRADO]],ORDEN3,2,FALSE)</f>
        <v>10</v>
      </c>
      <c r="AA196" s="231">
        <f>IFERROR(VLOOKUP(BD_PRINCIPAL[[#This Row],[DOTACIÓN ACTUAL]],ORDEN2,3,FALSE),0)</f>
        <v>0</v>
      </c>
      <c r="AB196" s="225" t="s">
        <v>1</v>
      </c>
      <c r="AC196" s="225" t="s">
        <v>2</v>
      </c>
      <c r="AD196" s="225" t="s">
        <v>853</v>
      </c>
      <c r="AE196" s="225" t="s">
        <v>6</v>
      </c>
      <c r="AF196" s="225" t="s">
        <v>2125</v>
      </c>
      <c r="AG196" s="225" t="s">
        <v>2</v>
      </c>
      <c r="AH196" s="225"/>
      <c r="AI196" s="225"/>
      <c r="AJ196" s="225"/>
      <c r="AK196" s="225"/>
      <c r="AL196" s="225"/>
      <c r="AM196" s="225"/>
      <c r="AN196" s="225"/>
      <c r="AO196" s="225"/>
      <c r="AP196" s="225"/>
      <c r="AQ196" s="225"/>
      <c r="AR196" s="225"/>
      <c r="AS196" s="225"/>
      <c r="AT196" s="232"/>
      <c r="AU196" s="232"/>
      <c r="AV196" s="232"/>
      <c r="AW196" s="232"/>
      <c r="AX196" s="232"/>
      <c r="AY196" s="232"/>
      <c r="AZ196" s="232"/>
      <c r="BA196" s="225"/>
      <c r="BB196" s="225"/>
      <c r="BC196" s="225"/>
      <c r="BD196" s="225"/>
      <c r="BE196" s="225"/>
      <c r="BF196" s="225"/>
      <c r="BG196" s="225"/>
      <c r="BH196" s="225"/>
      <c r="BI196" s="225"/>
      <c r="BJ196" s="225"/>
      <c r="BK196" s="225"/>
      <c r="BL196" s="225"/>
      <c r="BM196" s="773">
        <v>45027</v>
      </c>
      <c r="BN196" s="790"/>
    </row>
    <row r="197" spans="1:66" s="233" customFormat="1" x14ac:dyDescent="0.3">
      <c r="A197" s="231" t="s">
        <v>1709</v>
      </c>
      <c r="B197" s="225" t="s">
        <v>1904</v>
      </c>
      <c r="C197" s="231">
        <v>159882322</v>
      </c>
      <c r="D197" s="310" t="s">
        <v>716</v>
      </c>
      <c r="E197" s="484" t="s">
        <v>716</v>
      </c>
      <c r="F197" s="477" t="s">
        <v>2541</v>
      </c>
      <c r="G197" s="235" t="s">
        <v>209</v>
      </c>
      <c r="H197" s="228" t="s">
        <v>816</v>
      </c>
      <c r="I197" s="228" t="s">
        <v>872</v>
      </c>
      <c r="J197" s="229" t="s">
        <v>917</v>
      </c>
      <c r="K197" s="1280" t="s">
        <v>2300</v>
      </c>
      <c r="L197" s="734" t="s">
        <v>2</v>
      </c>
      <c r="M197" s="1305" t="s">
        <v>2049</v>
      </c>
      <c r="N197" s="779"/>
      <c r="O197" s="1295"/>
      <c r="P197" s="225"/>
      <c r="Q197" s="1295" t="s">
        <v>832</v>
      </c>
      <c r="R197" s="386">
        <f>$B$1</f>
        <v>45388</v>
      </c>
      <c r="S197" s="236"/>
      <c r="T197" s="236"/>
      <c r="U197" s="230"/>
      <c r="V197" s="230"/>
      <c r="W197" s="387" t="str">
        <f>IFERROR(IF(AND(BD_PRINCIPAL[[#This Row],[DESDE]]&lt;&gt;"",BD_PRINCIPAL[[#This Row],[HASTA]]&lt;&gt;""),_xlfn.DAYS(BD_PRINCIPAL[[#This Row],[HASTA]],BD_PRINCIPAL[[#This Row],[DESDE]]),"")+1,"")</f>
        <v/>
      </c>
      <c r="X197" s="387">
        <f>VLOOKUP(BD_PRINCIPAL[[#This Row],[ENCUADRE. ESC.]],ORDEN1,2,FALSE)</f>
        <v>1</v>
      </c>
      <c r="Y197" s="387">
        <f>VLOOKUP(BD_PRINCIPAL[[#This Row],[DOTACIÓN ACTUAL]],ORDEN2,4,FALSE)</f>
        <v>152</v>
      </c>
      <c r="Z197" s="387">
        <f>VLOOKUP(BD_PRINCIPAL[[#This Row],[GRADO]],ORDEN3,2,FALSE)</f>
        <v>10</v>
      </c>
      <c r="AA197" s="387">
        <f>IFERROR(VLOOKUP(BD_PRINCIPAL[[#This Row],[DOTACIÓN ACTUAL]],ORDEN2,3,FALSE),0)</f>
        <v>0</v>
      </c>
      <c r="AB197" s="225" t="s">
        <v>2</v>
      </c>
      <c r="AC197" s="225" t="s">
        <v>2</v>
      </c>
      <c r="AD197" s="225" t="s">
        <v>853</v>
      </c>
      <c r="AE197" s="225" t="s">
        <v>6</v>
      </c>
      <c r="AF197" s="225" t="s">
        <v>2125</v>
      </c>
      <c r="AG197" s="225" t="s">
        <v>2</v>
      </c>
      <c r="AH197" s="225"/>
      <c r="AI197" s="225"/>
      <c r="AJ197" s="225"/>
      <c r="AK197" s="225"/>
      <c r="AL197" s="225"/>
      <c r="AM197" s="225"/>
      <c r="AN197" s="225"/>
      <c r="AO197" s="225"/>
      <c r="AP197" s="225"/>
      <c r="AQ197" s="225"/>
      <c r="AR197" s="225"/>
      <c r="AS197" s="225"/>
      <c r="AT197" s="232"/>
      <c r="AU197" s="232"/>
      <c r="AV197" s="232"/>
      <c r="AW197" s="232"/>
      <c r="AX197" s="232"/>
      <c r="AY197" s="232"/>
      <c r="AZ197" s="232"/>
      <c r="BA197" s="225"/>
      <c r="BB197" s="225"/>
      <c r="BC197" s="225"/>
      <c r="BD197" s="225"/>
      <c r="BE197" s="225"/>
      <c r="BF197" s="225"/>
      <c r="BG197" s="225"/>
      <c r="BH197" s="225"/>
      <c r="BI197" s="225"/>
      <c r="BJ197" s="225"/>
      <c r="BK197" s="225"/>
      <c r="BL197" s="225"/>
      <c r="BM197" s="773">
        <v>45378</v>
      </c>
      <c r="BN197" s="790"/>
    </row>
    <row r="198" spans="1:66" s="233" customFormat="1" x14ac:dyDescent="0.3">
      <c r="A198" s="231" t="s">
        <v>1711</v>
      </c>
      <c r="B198" s="225" t="s">
        <v>1712</v>
      </c>
      <c r="C198" s="231">
        <v>182303119</v>
      </c>
      <c r="D198" s="310" t="s">
        <v>716</v>
      </c>
      <c r="E198" s="477" t="s">
        <v>716</v>
      </c>
      <c r="F198" s="477" t="s">
        <v>1712</v>
      </c>
      <c r="G198" s="235" t="s">
        <v>3</v>
      </c>
      <c r="H198" s="228" t="s">
        <v>817</v>
      </c>
      <c r="I198" s="228" t="s">
        <v>872</v>
      </c>
      <c r="J198" s="229" t="s">
        <v>917</v>
      </c>
      <c r="K198" s="1280" t="s">
        <v>2290</v>
      </c>
      <c r="L198" s="734" t="s">
        <v>2</v>
      </c>
      <c r="M198" s="1305" t="s">
        <v>2049</v>
      </c>
      <c r="N198" s="779"/>
      <c r="O198" s="1295"/>
      <c r="P198" s="225"/>
      <c r="Q198" s="1295" t="s">
        <v>832</v>
      </c>
      <c r="R198" s="386">
        <f>$B$1</f>
        <v>45388</v>
      </c>
      <c r="S198" s="236"/>
      <c r="T198" s="236" t="s">
        <v>2919</v>
      </c>
      <c r="U198" s="230"/>
      <c r="V198" s="230"/>
      <c r="W198" s="387" t="str">
        <f>IFERROR(IF(AND(BD_PRINCIPAL[[#This Row],[DESDE]]&lt;&gt;"",BD_PRINCIPAL[[#This Row],[HASTA]]&lt;&gt;""),_xlfn.DAYS(BD_PRINCIPAL[[#This Row],[HASTA]],BD_PRINCIPAL[[#This Row],[DESDE]]),"")+1,"")</f>
        <v/>
      </c>
      <c r="X198" s="387">
        <f>VLOOKUP(BD_PRINCIPAL[[#This Row],[ENCUADRE. ESC.]],ORDEN1,2,FALSE)</f>
        <v>1</v>
      </c>
      <c r="Y198" s="387">
        <f>VLOOKUP(BD_PRINCIPAL[[#This Row],[DOTACIÓN ACTUAL]],ORDEN2,4,FALSE)</f>
        <v>152</v>
      </c>
      <c r="Z198" s="387">
        <f>VLOOKUP(BD_PRINCIPAL[[#This Row],[GRADO]],ORDEN3,2,FALSE)</f>
        <v>11</v>
      </c>
      <c r="AA198" s="387">
        <f>IFERROR(VLOOKUP(BD_PRINCIPAL[[#This Row],[DOTACIÓN ACTUAL]],ORDEN2,3,FALSE),0)</f>
        <v>0</v>
      </c>
      <c r="AB198" s="225" t="s">
        <v>2</v>
      </c>
      <c r="AC198" s="225" t="s">
        <v>2</v>
      </c>
      <c r="AD198" s="225" t="s">
        <v>853</v>
      </c>
      <c r="AE198" s="225" t="s">
        <v>6</v>
      </c>
      <c r="AF198" s="225" t="s">
        <v>2125</v>
      </c>
      <c r="AG198" s="225" t="s">
        <v>2</v>
      </c>
      <c r="AH198" s="225"/>
      <c r="AI198" s="225"/>
      <c r="AJ198" s="225"/>
      <c r="AK198" s="225"/>
      <c r="AL198" s="225"/>
      <c r="AM198" s="225"/>
      <c r="AN198" s="225"/>
      <c r="AO198" s="225"/>
      <c r="AP198" s="225"/>
      <c r="AQ198" s="225"/>
      <c r="AR198" s="225"/>
      <c r="AS198" s="225"/>
      <c r="AT198" s="232"/>
      <c r="AU198" s="232"/>
      <c r="AV198" s="232"/>
      <c r="AW198" s="232"/>
      <c r="AX198" s="232"/>
      <c r="AY198" s="232"/>
      <c r="AZ198" s="232"/>
      <c r="BA198" s="225"/>
      <c r="BB198" s="225"/>
      <c r="BC198" s="225"/>
      <c r="BD198" s="225"/>
      <c r="BE198" s="225"/>
      <c r="BF198" s="225"/>
      <c r="BG198" s="225"/>
      <c r="BH198" s="225"/>
      <c r="BI198" s="225"/>
      <c r="BJ198" s="225"/>
      <c r="BK198" s="225"/>
      <c r="BL198" s="225"/>
      <c r="BM198" s="773">
        <v>45118</v>
      </c>
      <c r="BN198" s="790"/>
    </row>
    <row r="199" spans="1:66" s="233" customFormat="1" x14ac:dyDescent="0.3">
      <c r="A199" s="231" t="s">
        <v>487</v>
      </c>
      <c r="B199" s="225" t="s">
        <v>1863</v>
      </c>
      <c r="C199" s="231">
        <v>198240702</v>
      </c>
      <c r="D199" s="310" t="s">
        <v>716</v>
      </c>
      <c r="E199" s="477" t="s">
        <v>716</v>
      </c>
      <c r="F199" s="477" t="s">
        <v>2279</v>
      </c>
      <c r="G199" s="227" t="s">
        <v>4</v>
      </c>
      <c r="H199" s="228" t="s">
        <v>816</v>
      </c>
      <c r="I199" s="228" t="s">
        <v>872</v>
      </c>
      <c r="J199" s="229" t="s">
        <v>917</v>
      </c>
      <c r="K199" s="1280" t="s">
        <v>2301</v>
      </c>
      <c r="L199" s="734" t="s">
        <v>2</v>
      </c>
      <c r="M199" s="1305" t="s">
        <v>2049</v>
      </c>
      <c r="N199" s="773"/>
      <c r="O199" s="1295"/>
      <c r="P199" s="225"/>
      <c r="Q199" s="1295" t="s">
        <v>832</v>
      </c>
      <c r="R199" s="234">
        <f>$B$1</f>
        <v>45388</v>
      </c>
      <c r="S199" s="236"/>
      <c r="T199" s="226" t="s">
        <v>2919</v>
      </c>
      <c r="U199" s="230"/>
      <c r="V199" s="230"/>
      <c r="W199" s="231" t="str">
        <f>IFERROR(IF(AND(BD_PRINCIPAL[[#This Row],[DESDE]]&lt;&gt;"",BD_PRINCIPAL[[#This Row],[HASTA]]&lt;&gt;""),_xlfn.DAYS(BD_PRINCIPAL[[#This Row],[HASTA]],BD_PRINCIPAL[[#This Row],[DESDE]]),"")+1,"")</f>
        <v/>
      </c>
      <c r="X199" s="231">
        <f>VLOOKUP(BD_PRINCIPAL[[#This Row],[ENCUADRE. ESC.]],ORDEN1,2,FALSE)</f>
        <v>1</v>
      </c>
      <c r="Y199" s="231">
        <f>VLOOKUP(BD_PRINCIPAL[[#This Row],[DOTACIÓN ACTUAL]],ORDEN2,4,FALSE)</f>
        <v>152</v>
      </c>
      <c r="Z199" s="231">
        <f>VLOOKUP(BD_PRINCIPAL[[#This Row],[GRADO]],ORDEN3,2,FALSE)</f>
        <v>12</v>
      </c>
      <c r="AA199" s="231">
        <f>IFERROR(VLOOKUP(BD_PRINCIPAL[[#This Row],[DOTACIÓN ACTUAL]],ORDEN2,3,FALSE),0)</f>
        <v>0</v>
      </c>
      <c r="AB199" s="225" t="s">
        <v>2</v>
      </c>
      <c r="AC199" s="225" t="s">
        <v>2</v>
      </c>
      <c r="AD199" s="225" t="s">
        <v>853</v>
      </c>
      <c r="AE199" s="225" t="s">
        <v>6</v>
      </c>
      <c r="AF199" s="225" t="s">
        <v>2125</v>
      </c>
      <c r="AG199" s="225" t="s">
        <v>2</v>
      </c>
      <c r="AH199" s="225"/>
      <c r="AI199" s="225"/>
      <c r="AJ199" s="225"/>
      <c r="AK199" s="225"/>
      <c r="AL199" s="225"/>
      <c r="AM199" s="225"/>
      <c r="AN199" s="225"/>
      <c r="AO199" s="225"/>
      <c r="AP199" s="225"/>
      <c r="AQ199" s="225"/>
      <c r="AR199" s="225"/>
      <c r="AS199" s="225"/>
      <c r="AT199" s="232"/>
      <c r="AU199" s="232"/>
      <c r="AV199" s="232"/>
      <c r="AW199" s="232"/>
      <c r="AX199" s="232"/>
      <c r="AY199" s="232"/>
      <c r="AZ199" s="232"/>
      <c r="BA199" s="225"/>
      <c r="BB199" s="225"/>
      <c r="BC199" s="225"/>
      <c r="BD199" s="225"/>
      <c r="BE199" s="225"/>
      <c r="BF199" s="225"/>
      <c r="BG199" s="225"/>
      <c r="BH199" s="225"/>
      <c r="BI199" s="225"/>
      <c r="BJ199" s="225"/>
      <c r="BK199" s="225"/>
      <c r="BL199" s="225"/>
      <c r="BM199" s="773">
        <v>45373</v>
      </c>
      <c r="BN199" s="790"/>
    </row>
    <row r="200" spans="1:66" s="233" customFormat="1" x14ac:dyDescent="0.3">
      <c r="A200" s="231" t="s">
        <v>292</v>
      </c>
      <c r="B200" s="225" t="s">
        <v>165</v>
      </c>
      <c r="C200" s="231">
        <v>193923305</v>
      </c>
      <c r="D200" s="310" t="s">
        <v>716</v>
      </c>
      <c r="E200" s="477" t="s">
        <v>716</v>
      </c>
      <c r="F200" s="477" t="s">
        <v>165</v>
      </c>
      <c r="G200" s="227" t="s">
        <v>4</v>
      </c>
      <c r="H200" s="228" t="s">
        <v>816</v>
      </c>
      <c r="I200" s="228" t="s">
        <v>872</v>
      </c>
      <c r="J200" s="229" t="s">
        <v>917</v>
      </c>
      <c r="K200" s="1280" t="s">
        <v>2290</v>
      </c>
      <c r="L200" s="734" t="s">
        <v>2</v>
      </c>
      <c r="M200" s="1305" t="s">
        <v>2049</v>
      </c>
      <c r="N200" s="773"/>
      <c r="O200" s="1295"/>
      <c r="P200" s="225"/>
      <c r="Q200" s="1295" t="s">
        <v>832</v>
      </c>
      <c r="R200" s="234">
        <f>$B$1</f>
        <v>45388</v>
      </c>
      <c r="S200" s="226"/>
      <c r="T200" s="236" t="s">
        <v>2919</v>
      </c>
      <c r="U200" s="230"/>
      <c r="V200" s="230"/>
      <c r="W200" s="231" t="str">
        <f>IFERROR(IF(AND(BD_PRINCIPAL[[#This Row],[DESDE]]&lt;&gt;"",BD_PRINCIPAL[[#This Row],[HASTA]]&lt;&gt;""),_xlfn.DAYS(BD_PRINCIPAL[[#This Row],[HASTA]],BD_PRINCIPAL[[#This Row],[DESDE]]),"")+1,"")</f>
        <v/>
      </c>
      <c r="X200" s="231">
        <f>VLOOKUP(BD_PRINCIPAL[[#This Row],[ENCUADRE. ESC.]],ORDEN1,2,FALSE)</f>
        <v>1</v>
      </c>
      <c r="Y200" s="231">
        <f>VLOOKUP(BD_PRINCIPAL[[#This Row],[DOTACIÓN ACTUAL]],ORDEN2,4,FALSE)</f>
        <v>152</v>
      </c>
      <c r="Z200" s="231">
        <f>VLOOKUP(BD_PRINCIPAL[[#This Row],[GRADO]],ORDEN3,2,FALSE)</f>
        <v>12</v>
      </c>
      <c r="AA200" s="231">
        <f>IFERROR(VLOOKUP(BD_PRINCIPAL[[#This Row],[DOTACIÓN ACTUAL]],ORDEN2,3,FALSE),0)</f>
        <v>0</v>
      </c>
      <c r="AB200" s="225" t="s">
        <v>2</v>
      </c>
      <c r="AC200" s="225" t="s">
        <v>2</v>
      </c>
      <c r="AD200" s="225" t="s">
        <v>853</v>
      </c>
      <c r="AE200" s="225" t="s">
        <v>6</v>
      </c>
      <c r="AF200" s="225" t="s">
        <v>2125</v>
      </c>
      <c r="AG200" s="225" t="s">
        <v>2</v>
      </c>
      <c r="AH200" s="225"/>
      <c r="AI200" s="225"/>
      <c r="AJ200" s="225"/>
      <c r="AK200" s="225"/>
      <c r="AL200" s="225"/>
      <c r="AM200" s="225"/>
      <c r="AN200" s="225"/>
      <c r="AO200" s="225"/>
      <c r="AP200" s="225"/>
      <c r="AQ200" s="225"/>
      <c r="AR200" s="225"/>
      <c r="AS200" s="225"/>
      <c r="AT200" s="232"/>
      <c r="AU200" s="232"/>
      <c r="AV200" s="232"/>
      <c r="AW200" s="232"/>
      <c r="AX200" s="232"/>
      <c r="AY200" s="232"/>
      <c r="AZ200" s="232"/>
      <c r="BA200" s="225"/>
      <c r="BB200" s="225"/>
      <c r="BC200" s="225"/>
      <c r="BD200" s="225"/>
      <c r="BE200" s="225"/>
      <c r="BF200" s="225"/>
      <c r="BG200" s="225"/>
      <c r="BH200" s="225"/>
      <c r="BI200" s="225"/>
      <c r="BJ200" s="225"/>
      <c r="BK200" s="225"/>
      <c r="BL200" s="225"/>
      <c r="BM200" s="773">
        <v>45091</v>
      </c>
      <c r="BN200" s="790"/>
    </row>
    <row r="201" spans="1:66" s="233" customFormat="1" x14ac:dyDescent="0.3">
      <c r="A201" s="231" t="s">
        <v>376</v>
      </c>
      <c r="B201" s="225" t="s">
        <v>161</v>
      </c>
      <c r="C201" s="231">
        <v>196654917</v>
      </c>
      <c r="D201" s="310" t="s">
        <v>716</v>
      </c>
      <c r="E201" s="484" t="s">
        <v>716</v>
      </c>
      <c r="F201" s="477" t="s">
        <v>161</v>
      </c>
      <c r="G201" s="227" t="s">
        <v>4</v>
      </c>
      <c r="H201" s="228" t="s">
        <v>816</v>
      </c>
      <c r="I201" s="228" t="s">
        <v>872</v>
      </c>
      <c r="J201" s="229" t="s">
        <v>917</v>
      </c>
      <c r="K201" s="1280" t="s">
        <v>2290</v>
      </c>
      <c r="L201" s="734" t="s">
        <v>2</v>
      </c>
      <c r="M201" s="1305" t="s">
        <v>2049</v>
      </c>
      <c r="N201" s="773"/>
      <c r="O201" s="1295"/>
      <c r="P201" s="225"/>
      <c r="Q201" s="1295" t="s">
        <v>832</v>
      </c>
      <c r="R201" s="234">
        <f>$B$1</f>
        <v>45388</v>
      </c>
      <c r="S201" s="236"/>
      <c r="T201" s="236" t="s">
        <v>2919</v>
      </c>
      <c r="U201" s="230"/>
      <c r="V201" s="230"/>
      <c r="W201" s="231" t="str">
        <f>IFERROR(IF(AND(BD_PRINCIPAL[[#This Row],[DESDE]]&lt;&gt;"",BD_PRINCIPAL[[#This Row],[HASTA]]&lt;&gt;""),_xlfn.DAYS(BD_PRINCIPAL[[#This Row],[HASTA]],BD_PRINCIPAL[[#This Row],[DESDE]]),"")+1,"")</f>
        <v/>
      </c>
      <c r="X201" s="231">
        <f>VLOOKUP(BD_PRINCIPAL[[#This Row],[ENCUADRE. ESC.]],ORDEN1,2,FALSE)</f>
        <v>1</v>
      </c>
      <c r="Y201" s="231">
        <f>VLOOKUP(BD_PRINCIPAL[[#This Row],[DOTACIÓN ACTUAL]],ORDEN2,4,FALSE)</f>
        <v>152</v>
      </c>
      <c r="Z201" s="231">
        <f>VLOOKUP(BD_PRINCIPAL[[#This Row],[GRADO]],ORDEN3,2,FALSE)</f>
        <v>12</v>
      </c>
      <c r="AA201" s="231">
        <f>IFERROR(VLOOKUP(BD_PRINCIPAL[[#This Row],[DOTACIÓN ACTUAL]],ORDEN2,3,FALSE),0)</f>
        <v>0</v>
      </c>
      <c r="AB201" s="225" t="s">
        <v>2</v>
      </c>
      <c r="AC201" s="225" t="s">
        <v>2</v>
      </c>
      <c r="AD201" s="225" t="s">
        <v>853</v>
      </c>
      <c r="AE201" s="225" t="s">
        <v>6</v>
      </c>
      <c r="AF201" s="225" t="s">
        <v>2125</v>
      </c>
      <c r="AG201" s="225" t="s">
        <v>2</v>
      </c>
      <c r="AH201" s="225"/>
      <c r="AI201" s="225"/>
      <c r="AJ201" s="225"/>
      <c r="AK201" s="225"/>
      <c r="AL201" s="225"/>
      <c r="AM201" s="225"/>
      <c r="AN201" s="225"/>
      <c r="AO201" s="225"/>
      <c r="AP201" s="225"/>
      <c r="AQ201" s="225"/>
      <c r="AR201" s="225"/>
      <c r="AS201" s="225"/>
      <c r="AT201" s="232"/>
      <c r="AU201" s="232"/>
      <c r="AV201" s="232"/>
      <c r="AW201" s="232"/>
      <c r="AX201" s="232"/>
      <c r="AY201" s="232"/>
      <c r="AZ201" s="232"/>
      <c r="BA201" s="225"/>
      <c r="BB201" s="225"/>
      <c r="BC201" s="225"/>
      <c r="BD201" s="225"/>
      <c r="BE201" s="225"/>
      <c r="BF201" s="225"/>
      <c r="BG201" s="225"/>
      <c r="BH201" s="225"/>
      <c r="BI201" s="225"/>
      <c r="BJ201" s="225"/>
      <c r="BK201" s="225"/>
      <c r="BL201" s="225"/>
      <c r="BM201" s="773">
        <v>45146</v>
      </c>
      <c r="BN201" s="790"/>
    </row>
    <row r="202" spans="1:66" s="233" customFormat="1" x14ac:dyDescent="0.3">
      <c r="A202" s="231" t="s">
        <v>325</v>
      </c>
      <c r="B202" s="225" t="s">
        <v>156</v>
      </c>
      <c r="C202" s="231">
        <v>186540859</v>
      </c>
      <c r="D202" s="310" t="s">
        <v>716</v>
      </c>
      <c r="E202" s="484" t="s">
        <v>716</v>
      </c>
      <c r="F202" s="477" t="s">
        <v>156</v>
      </c>
      <c r="G202" s="227" t="s">
        <v>4</v>
      </c>
      <c r="H202" s="228" t="s">
        <v>816</v>
      </c>
      <c r="I202" s="228" t="s">
        <v>872</v>
      </c>
      <c r="J202" s="229" t="s">
        <v>917</v>
      </c>
      <c r="K202" s="1280" t="s">
        <v>2290</v>
      </c>
      <c r="L202" s="734" t="s">
        <v>2</v>
      </c>
      <c r="M202" s="1305" t="s">
        <v>2049</v>
      </c>
      <c r="N202" s="773"/>
      <c r="O202" s="1295"/>
      <c r="P202" s="225"/>
      <c r="Q202" s="1295" t="s">
        <v>832</v>
      </c>
      <c r="R202" s="234">
        <f>$B$1</f>
        <v>45388</v>
      </c>
      <c r="S202" s="236"/>
      <c r="T202" s="236" t="s">
        <v>2919</v>
      </c>
      <c r="U202" s="230"/>
      <c r="V202" s="230"/>
      <c r="W202" s="231" t="str">
        <f>IFERROR(IF(AND(BD_PRINCIPAL[[#This Row],[DESDE]]&lt;&gt;"",BD_PRINCIPAL[[#This Row],[HASTA]]&lt;&gt;""),_xlfn.DAYS(BD_PRINCIPAL[[#This Row],[HASTA]],BD_PRINCIPAL[[#This Row],[DESDE]]),"")+1,"")</f>
        <v/>
      </c>
      <c r="X202" s="231">
        <f>VLOOKUP(BD_PRINCIPAL[[#This Row],[ENCUADRE. ESC.]],ORDEN1,2,FALSE)</f>
        <v>1</v>
      </c>
      <c r="Y202" s="231">
        <f>VLOOKUP(BD_PRINCIPAL[[#This Row],[DOTACIÓN ACTUAL]],ORDEN2,4,FALSE)</f>
        <v>152</v>
      </c>
      <c r="Z202" s="231">
        <f>VLOOKUP(BD_PRINCIPAL[[#This Row],[GRADO]],ORDEN3,2,FALSE)</f>
        <v>12</v>
      </c>
      <c r="AA202" s="231">
        <f>IFERROR(VLOOKUP(BD_PRINCIPAL[[#This Row],[DOTACIÓN ACTUAL]],ORDEN2,3,FALSE),0)</f>
        <v>0</v>
      </c>
      <c r="AB202" s="1012" t="s">
        <v>2</v>
      </c>
      <c r="AC202" s="1012" t="s">
        <v>2</v>
      </c>
      <c r="AD202" s="1012" t="s">
        <v>853</v>
      </c>
      <c r="AE202" s="1013" t="s">
        <v>6</v>
      </c>
      <c r="AF202" s="225" t="s">
        <v>2125</v>
      </c>
      <c r="AG202" s="225" t="s">
        <v>2</v>
      </c>
      <c r="AH202" s="225"/>
      <c r="AI202" s="225"/>
      <c r="AJ202" s="225"/>
      <c r="AK202" s="225"/>
      <c r="AL202" s="225"/>
      <c r="AM202" s="225"/>
      <c r="AN202" s="225"/>
      <c r="AO202" s="225"/>
      <c r="AP202" s="225"/>
      <c r="AQ202" s="225"/>
      <c r="AR202" s="225"/>
      <c r="AS202" s="225"/>
      <c r="AT202" s="232"/>
      <c r="AU202" s="232"/>
      <c r="AV202" s="232"/>
      <c r="AW202" s="232"/>
      <c r="AX202" s="232"/>
      <c r="AY202" s="232"/>
      <c r="AZ202" s="232"/>
      <c r="BA202" s="225"/>
      <c r="BB202" s="225"/>
      <c r="BC202" s="225"/>
      <c r="BD202" s="225"/>
      <c r="BE202" s="225"/>
      <c r="BF202" s="1012"/>
      <c r="BG202" s="1012"/>
      <c r="BH202" s="1012"/>
      <c r="BI202" s="1012"/>
      <c r="BJ202" s="1013"/>
      <c r="BK202" s="225"/>
      <c r="BL202" s="225"/>
      <c r="BM202" s="773">
        <v>45366</v>
      </c>
      <c r="BN202" s="1014"/>
    </row>
    <row r="203" spans="1:66" s="260" customFormat="1" x14ac:dyDescent="0.3">
      <c r="A203" s="258" t="s">
        <v>442</v>
      </c>
      <c r="B203" s="251" t="s">
        <v>59</v>
      </c>
      <c r="C203" s="258">
        <v>142559439</v>
      </c>
      <c r="D203" s="481" t="s">
        <v>741</v>
      </c>
      <c r="E203" s="481" t="s">
        <v>741</v>
      </c>
      <c r="F203" s="481" t="s">
        <v>59</v>
      </c>
      <c r="G203" s="253" t="s">
        <v>17</v>
      </c>
      <c r="H203" s="254" t="s">
        <v>816</v>
      </c>
      <c r="I203" s="254" t="s">
        <v>872</v>
      </c>
      <c r="J203" s="255" t="s">
        <v>917</v>
      </c>
      <c r="K203" s="1282" t="s">
        <v>2290</v>
      </c>
      <c r="L203" s="737" t="s">
        <v>2</v>
      </c>
      <c r="M203" s="1307" t="s">
        <v>2372</v>
      </c>
      <c r="N203" s="781"/>
      <c r="O203" s="1297"/>
      <c r="P203" s="251"/>
      <c r="Q203" s="1297" t="s">
        <v>832</v>
      </c>
      <c r="R203" s="256">
        <f>$B$1</f>
        <v>45388</v>
      </c>
      <c r="S203" s="262"/>
      <c r="T203" s="252" t="s">
        <v>2919</v>
      </c>
      <c r="U203" s="257"/>
      <c r="V203" s="257"/>
      <c r="W203" s="258" t="str">
        <f>IFERROR(IF(AND(BD_PRINCIPAL[[#This Row],[DESDE]]&lt;&gt;"",BD_PRINCIPAL[[#This Row],[HASTA]]&lt;&gt;""),_xlfn.DAYS(BD_PRINCIPAL[[#This Row],[HASTA]],BD_PRINCIPAL[[#This Row],[DESDE]]),"")+1,"")</f>
        <v/>
      </c>
      <c r="X203" s="258">
        <f>VLOOKUP(BD_PRINCIPAL[[#This Row],[ENCUADRE. ESC.]],ORDEN1,2,FALSE)</f>
        <v>1</v>
      </c>
      <c r="Y203" s="258">
        <f>VLOOKUP(BD_PRINCIPAL[[#This Row],[DOTACIÓN ACTUAL]],ORDEN2,4,FALSE)</f>
        <v>155</v>
      </c>
      <c r="Z203" s="258">
        <f>VLOOKUP(BD_PRINCIPAL[[#This Row],[GRADO]],ORDEN3,2,FALSE)</f>
        <v>8</v>
      </c>
      <c r="AA203" s="258">
        <f>IFERROR(VLOOKUP(BD_PRINCIPAL[[#This Row],[DOTACIÓN ACTUAL]],ORDEN2,3,FALSE),0)</f>
        <v>0</v>
      </c>
      <c r="AB203" s="251" t="s">
        <v>1</v>
      </c>
      <c r="AC203" s="251" t="s">
        <v>2</v>
      </c>
      <c r="AD203" s="251" t="s">
        <v>853</v>
      </c>
      <c r="AE203" s="251" t="s">
        <v>854</v>
      </c>
      <c r="AF203" s="251" t="s">
        <v>2125</v>
      </c>
      <c r="AG203" s="251" t="s">
        <v>2</v>
      </c>
      <c r="AH203" s="251"/>
      <c r="AI203" s="251"/>
      <c r="AJ203" s="251"/>
      <c r="AK203" s="251"/>
      <c r="AL203" s="251"/>
      <c r="AM203" s="251"/>
      <c r="AN203" s="251"/>
      <c r="AO203" s="251"/>
      <c r="AP203" s="251"/>
      <c r="AQ203" s="251"/>
      <c r="AR203" s="251"/>
      <c r="AS203" s="251"/>
      <c r="AT203" s="259"/>
      <c r="AU203" s="259"/>
      <c r="AV203" s="259"/>
      <c r="AW203" s="259"/>
      <c r="AX203" s="259"/>
      <c r="AY203" s="259"/>
      <c r="AZ203" s="259"/>
      <c r="BA203" s="251"/>
      <c r="BB203" s="251"/>
      <c r="BC203" s="251"/>
      <c r="BD203" s="251"/>
      <c r="BE203" s="251"/>
      <c r="BF203" s="251"/>
      <c r="BG203" s="251"/>
      <c r="BH203" s="251"/>
      <c r="BI203" s="251"/>
      <c r="BJ203" s="251"/>
      <c r="BK203" s="251"/>
      <c r="BL203" s="251"/>
      <c r="BM203" s="781">
        <v>45051</v>
      </c>
      <c r="BN203" s="791"/>
    </row>
    <row r="204" spans="1:66" s="260" customFormat="1" x14ac:dyDescent="0.3">
      <c r="A204" s="258" t="s">
        <v>2251</v>
      </c>
      <c r="B204" s="634" t="s">
        <v>2253</v>
      </c>
      <c r="C204" s="258" t="s">
        <v>2252</v>
      </c>
      <c r="D204" s="312" t="s">
        <v>752</v>
      </c>
      <c r="E204" s="481" t="s">
        <v>752</v>
      </c>
      <c r="F204" s="481" t="s">
        <v>2627</v>
      </c>
      <c r="G204" s="261" t="s">
        <v>209</v>
      </c>
      <c r="H204" s="254" t="s">
        <v>816</v>
      </c>
      <c r="I204" s="254" t="s">
        <v>872</v>
      </c>
      <c r="J204" s="255" t="s">
        <v>917</v>
      </c>
      <c r="K204" s="1282" t="s">
        <v>2300</v>
      </c>
      <c r="L204" s="737" t="s">
        <v>2</v>
      </c>
      <c r="M204" s="1307" t="s">
        <v>2372</v>
      </c>
      <c r="N204" s="782"/>
      <c r="O204" s="1297"/>
      <c r="P204" s="251"/>
      <c r="Q204" s="1297" t="s">
        <v>832</v>
      </c>
      <c r="R204" s="632">
        <f>$B$1</f>
        <v>45388</v>
      </c>
      <c r="S204" s="262"/>
      <c r="T204" s="262" t="s">
        <v>3358</v>
      </c>
      <c r="U204" s="257"/>
      <c r="V204" s="257"/>
      <c r="W204" s="633" t="str">
        <f>IFERROR(IF(AND(BD_PRINCIPAL[[#This Row],[DESDE]]&lt;&gt;"",BD_PRINCIPAL[[#This Row],[HASTA]]&lt;&gt;""),_xlfn.DAYS(BD_PRINCIPAL[[#This Row],[HASTA]],BD_PRINCIPAL[[#This Row],[DESDE]]),"")+1,"")</f>
        <v/>
      </c>
      <c r="X204" s="633">
        <f>VLOOKUP(BD_PRINCIPAL[[#This Row],[ENCUADRE. ESC.]],ORDEN1,2,FALSE)</f>
        <v>1</v>
      </c>
      <c r="Y204" s="633">
        <f>VLOOKUP(BD_PRINCIPAL[[#This Row],[DOTACIÓN ACTUAL]],ORDEN2,4,FALSE)</f>
        <v>156</v>
      </c>
      <c r="Z204" s="633">
        <f>VLOOKUP(BD_PRINCIPAL[[#This Row],[GRADO]],ORDEN3,2,FALSE)</f>
        <v>10</v>
      </c>
      <c r="AA204" s="633">
        <f>IFERROR(VLOOKUP(BD_PRINCIPAL[[#This Row],[DOTACIÓN ACTUAL]],ORDEN2,3,FALSE),0)</f>
        <v>0</v>
      </c>
      <c r="AB204" s="251" t="s">
        <v>1</v>
      </c>
      <c r="AC204" s="251" t="s">
        <v>2</v>
      </c>
      <c r="AD204" s="251" t="s">
        <v>853</v>
      </c>
      <c r="AE204" s="251" t="s">
        <v>884</v>
      </c>
      <c r="AF204" s="251" t="s">
        <v>884</v>
      </c>
      <c r="AG204" s="251" t="s">
        <v>2</v>
      </c>
      <c r="AH204" s="251"/>
      <c r="AI204" s="251"/>
      <c r="AJ204" s="251"/>
      <c r="AK204" s="251"/>
      <c r="AL204" s="251"/>
      <c r="AM204" s="251"/>
      <c r="AN204" s="251"/>
      <c r="AO204" s="251"/>
      <c r="AP204" s="251"/>
      <c r="AQ204" s="251"/>
      <c r="AR204" s="251"/>
      <c r="AS204" s="251"/>
      <c r="AT204" s="259"/>
      <c r="AU204" s="259"/>
      <c r="AV204" s="259"/>
      <c r="AW204" s="259"/>
      <c r="AX204" s="259"/>
      <c r="AY204" s="259"/>
      <c r="AZ204" s="259"/>
      <c r="BA204" s="251"/>
      <c r="BB204" s="251"/>
      <c r="BC204" s="251"/>
      <c r="BD204" s="251"/>
      <c r="BE204" s="251"/>
      <c r="BF204" s="251"/>
      <c r="BG204" s="251"/>
      <c r="BH204" s="251"/>
      <c r="BI204" s="251"/>
      <c r="BJ204" s="251"/>
      <c r="BK204" s="251"/>
      <c r="BL204" s="251"/>
      <c r="BM204" s="781">
        <v>45027</v>
      </c>
      <c r="BN204" s="791"/>
    </row>
    <row r="205" spans="1:66" s="260" customFormat="1" x14ac:dyDescent="0.3">
      <c r="A205" s="258" t="s">
        <v>653</v>
      </c>
      <c r="B205" s="251" t="s">
        <v>654</v>
      </c>
      <c r="C205" s="258">
        <v>185901262</v>
      </c>
      <c r="D205" s="312" t="s">
        <v>752</v>
      </c>
      <c r="E205" s="487" t="s">
        <v>752</v>
      </c>
      <c r="F205" s="481" t="s">
        <v>2280</v>
      </c>
      <c r="G205" s="253" t="s">
        <v>3</v>
      </c>
      <c r="H205" s="254" t="s">
        <v>816</v>
      </c>
      <c r="I205" s="254" t="s">
        <v>872</v>
      </c>
      <c r="J205" s="255" t="s">
        <v>917</v>
      </c>
      <c r="K205" s="1282" t="s">
        <v>2301</v>
      </c>
      <c r="L205" s="737" t="s">
        <v>2</v>
      </c>
      <c r="M205" s="1307" t="s">
        <v>2372</v>
      </c>
      <c r="N205" s="781"/>
      <c r="O205" s="1297"/>
      <c r="P205" s="251"/>
      <c r="Q205" s="1297" t="s">
        <v>832</v>
      </c>
      <c r="R205" s="256">
        <f>$B$1</f>
        <v>45388</v>
      </c>
      <c r="S205" s="252" t="s">
        <v>1483</v>
      </c>
      <c r="T205" s="262" t="s">
        <v>2919</v>
      </c>
      <c r="U205" s="257"/>
      <c r="V205" s="257"/>
      <c r="W205" s="258" t="str">
        <f>IFERROR(IF(AND(BD_PRINCIPAL[[#This Row],[DESDE]]&lt;&gt;"",BD_PRINCIPAL[[#This Row],[HASTA]]&lt;&gt;""),_xlfn.DAYS(BD_PRINCIPAL[[#This Row],[HASTA]],BD_PRINCIPAL[[#This Row],[DESDE]]),"")+1,"")</f>
        <v/>
      </c>
      <c r="X205" s="258">
        <f>VLOOKUP(BD_PRINCIPAL[[#This Row],[ENCUADRE. ESC.]],ORDEN1,2,FALSE)</f>
        <v>1</v>
      </c>
      <c r="Y205" s="258">
        <f>VLOOKUP(BD_PRINCIPAL[[#This Row],[DOTACIÓN ACTUAL]],ORDEN2,4,FALSE)</f>
        <v>156</v>
      </c>
      <c r="Z205" s="258">
        <f>VLOOKUP(BD_PRINCIPAL[[#This Row],[GRADO]],ORDEN3,2,FALSE)</f>
        <v>11</v>
      </c>
      <c r="AA205" s="258">
        <f>IFERROR(VLOOKUP(BD_PRINCIPAL[[#This Row],[DOTACIÓN ACTUAL]],ORDEN2,3,FALSE),0)</f>
        <v>0</v>
      </c>
      <c r="AB205" s="251" t="s">
        <v>1</v>
      </c>
      <c r="AC205" s="251" t="s">
        <v>2</v>
      </c>
      <c r="AD205" s="251" t="s">
        <v>909</v>
      </c>
      <c r="AE205" s="251" t="s">
        <v>854</v>
      </c>
      <c r="AF205" s="251" t="s">
        <v>2125</v>
      </c>
      <c r="AG205" s="251" t="s">
        <v>2</v>
      </c>
      <c r="AH205" s="251"/>
      <c r="AI205" s="251"/>
      <c r="AJ205" s="251"/>
      <c r="AK205" s="251"/>
      <c r="AL205" s="251"/>
      <c r="AM205" s="251"/>
      <c r="AN205" s="251"/>
      <c r="AO205" s="251"/>
      <c r="AP205" s="251"/>
      <c r="AQ205" s="251"/>
      <c r="AR205" s="251"/>
      <c r="AS205" s="251"/>
      <c r="AT205" s="259"/>
      <c r="AU205" s="259"/>
      <c r="AV205" s="259"/>
      <c r="AW205" s="259"/>
      <c r="AX205" s="259"/>
      <c r="AY205" s="259"/>
      <c r="AZ205" s="259"/>
      <c r="BA205" s="251"/>
      <c r="BB205" s="251"/>
      <c r="BC205" s="251"/>
      <c r="BD205" s="251"/>
      <c r="BE205" s="251"/>
      <c r="BF205" s="251"/>
      <c r="BG205" s="251"/>
      <c r="BH205" s="251"/>
      <c r="BI205" s="251"/>
      <c r="BJ205" s="251"/>
      <c r="BK205" s="251"/>
      <c r="BL205" s="251"/>
      <c r="BM205" s="781">
        <v>45033</v>
      </c>
      <c r="BN205" s="791"/>
    </row>
    <row r="206" spans="1:66" s="260" customFormat="1" ht="26.4" x14ac:dyDescent="0.3">
      <c r="A206" s="258" t="s">
        <v>273</v>
      </c>
      <c r="B206" s="251" t="s">
        <v>164</v>
      </c>
      <c r="C206" s="258" t="s">
        <v>274</v>
      </c>
      <c r="D206" s="312" t="s">
        <v>752</v>
      </c>
      <c r="E206" s="481" t="s">
        <v>752</v>
      </c>
      <c r="F206" s="481" t="s">
        <v>164</v>
      </c>
      <c r="G206" s="253" t="s">
        <v>4</v>
      </c>
      <c r="H206" s="254" t="s">
        <v>816</v>
      </c>
      <c r="I206" s="254" t="s">
        <v>872</v>
      </c>
      <c r="J206" s="255" t="s">
        <v>917</v>
      </c>
      <c r="K206" s="1282" t="s">
        <v>2290</v>
      </c>
      <c r="L206" s="737" t="s">
        <v>2</v>
      </c>
      <c r="M206" s="1307" t="s">
        <v>2372</v>
      </c>
      <c r="N206" s="781"/>
      <c r="O206" s="1297"/>
      <c r="P206" s="251"/>
      <c r="Q206" s="1297" t="s">
        <v>832</v>
      </c>
      <c r="R206" s="256">
        <f>$B$1</f>
        <v>45388</v>
      </c>
      <c r="S206" s="262"/>
      <c r="T206" s="262" t="s">
        <v>3333</v>
      </c>
      <c r="U206" s="257">
        <v>45373</v>
      </c>
      <c r="V206" s="257">
        <v>45432</v>
      </c>
      <c r="W206" s="258">
        <f>IFERROR(IF(AND(BD_PRINCIPAL[[#This Row],[DESDE]]&lt;&gt;"",BD_PRINCIPAL[[#This Row],[HASTA]]&lt;&gt;""),_xlfn.DAYS(BD_PRINCIPAL[[#This Row],[HASTA]],BD_PRINCIPAL[[#This Row],[DESDE]]),"")+1,"")</f>
        <v>60</v>
      </c>
      <c r="X206" s="258">
        <f>VLOOKUP(BD_PRINCIPAL[[#This Row],[ENCUADRE. ESC.]],ORDEN1,2,FALSE)</f>
        <v>1</v>
      </c>
      <c r="Y206" s="258">
        <f>VLOOKUP(BD_PRINCIPAL[[#This Row],[DOTACIÓN ACTUAL]],ORDEN2,4,FALSE)</f>
        <v>156</v>
      </c>
      <c r="Z206" s="258">
        <f>VLOOKUP(BD_PRINCIPAL[[#This Row],[GRADO]],ORDEN3,2,FALSE)</f>
        <v>12</v>
      </c>
      <c r="AA206" s="258">
        <f>IFERROR(VLOOKUP(BD_PRINCIPAL[[#This Row],[DOTACIÓN ACTUAL]],ORDEN2,3,FALSE),0)</f>
        <v>0</v>
      </c>
      <c r="AB206" s="251" t="s">
        <v>1</v>
      </c>
      <c r="AC206" s="251" t="s">
        <v>2</v>
      </c>
      <c r="AD206" s="251" t="s">
        <v>853</v>
      </c>
      <c r="AE206" s="251" t="s">
        <v>854</v>
      </c>
      <c r="AF206" s="251" t="s">
        <v>2125</v>
      </c>
      <c r="AG206" s="251" t="s">
        <v>2</v>
      </c>
      <c r="AH206" s="251"/>
      <c r="AI206" s="251"/>
      <c r="AJ206" s="251"/>
      <c r="AK206" s="251"/>
      <c r="AL206" s="251"/>
      <c r="AM206" s="251"/>
      <c r="AN206" s="251"/>
      <c r="AO206" s="251"/>
      <c r="AP206" s="251"/>
      <c r="AQ206" s="251"/>
      <c r="AR206" s="251"/>
      <c r="AS206" s="251"/>
      <c r="AT206" s="259"/>
      <c r="AU206" s="259"/>
      <c r="AV206" s="259"/>
      <c r="AW206" s="259"/>
      <c r="AX206" s="259"/>
      <c r="AY206" s="259"/>
      <c r="AZ206" s="259"/>
      <c r="BA206" s="251"/>
      <c r="BB206" s="251"/>
      <c r="BC206" s="251"/>
      <c r="BD206" s="251"/>
      <c r="BE206" s="251"/>
      <c r="BF206" s="251"/>
      <c r="BG206" s="251"/>
      <c r="BH206" s="251"/>
      <c r="BI206" s="251"/>
      <c r="BJ206" s="251"/>
      <c r="BK206" s="251"/>
      <c r="BL206" s="251"/>
      <c r="BM206" s="781">
        <v>45050</v>
      </c>
      <c r="BN206" s="791"/>
    </row>
    <row r="207" spans="1:66" s="260" customFormat="1" x14ac:dyDescent="0.3">
      <c r="A207" s="258" t="s">
        <v>464</v>
      </c>
      <c r="B207" s="251" t="s">
        <v>266</v>
      </c>
      <c r="C207" s="258">
        <v>187186498</v>
      </c>
      <c r="D207" s="312" t="s">
        <v>752</v>
      </c>
      <c r="E207" s="487" t="s">
        <v>752</v>
      </c>
      <c r="F207" s="481" t="s">
        <v>266</v>
      </c>
      <c r="G207" s="253" t="s">
        <v>4</v>
      </c>
      <c r="H207" s="254" t="s">
        <v>816</v>
      </c>
      <c r="I207" s="254" t="s">
        <v>872</v>
      </c>
      <c r="J207" s="255" t="s">
        <v>917</v>
      </c>
      <c r="K207" s="1282" t="s">
        <v>2290</v>
      </c>
      <c r="L207" s="737" t="s">
        <v>2</v>
      </c>
      <c r="M207" s="1307" t="s">
        <v>2372</v>
      </c>
      <c r="N207" s="781"/>
      <c r="O207" s="1297"/>
      <c r="P207" s="251"/>
      <c r="Q207" s="1297" t="s">
        <v>832</v>
      </c>
      <c r="R207" s="256">
        <f>$B$1</f>
        <v>45388</v>
      </c>
      <c r="S207" s="262"/>
      <c r="T207" s="252" t="s">
        <v>2919</v>
      </c>
      <c r="U207" s="257"/>
      <c r="V207" s="257"/>
      <c r="W207" s="258" t="str">
        <f>IFERROR(IF(AND(BD_PRINCIPAL[[#This Row],[DESDE]]&lt;&gt;"",BD_PRINCIPAL[[#This Row],[HASTA]]&lt;&gt;""),_xlfn.DAYS(BD_PRINCIPAL[[#This Row],[HASTA]],BD_PRINCIPAL[[#This Row],[DESDE]]),"")+1,"")</f>
        <v/>
      </c>
      <c r="X207" s="258">
        <f>VLOOKUP(BD_PRINCIPAL[[#This Row],[ENCUADRE. ESC.]],ORDEN1,2,FALSE)</f>
        <v>1</v>
      </c>
      <c r="Y207" s="258">
        <f>VLOOKUP(BD_PRINCIPAL[[#This Row],[DOTACIÓN ACTUAL]],ORDEN2,4,FALSE)</f>
        <v>156</v>
      </c>
      <c r="Z207" s="258">
        <f>VLOOKUP(BD_PRINCIPAL[[#This Row],[GRADO]],ORDEN3,2,FALSE)</f>
        <v>12</v>
      </c>
      <c r="AA207" s="258">
        <f>IFERROR(VLOOKUP(BD_PRINCIPAL[[#This Row],[DOTACIÓN ACTUAL]],ORDEN2,3,FALSE),0)</f>
        <v>0</v>
      </c>
      <c r="AB207" s="251" t="s">
        <v>1</v>
      </c>
      <c r="AC207" s="251" t="s">
        <v>2</v>
      </c>
      <c r="AD207" s="251" t="s">
        <v>853</v>
      </c>
      <c r="AE207" s="251" t="s">
        <v>854</v>
      </c>
      <c r="AF207" s="251" t="s">
        <v>2125</v>
      </c>
      <c r="AG207" s="251" t="s">
        <v>2</v>
      </c>
      <c r="AH207" s="251"/>
      <c r="AI207" s="251"/>
      <c r="AJ207" s="251"/>
      <c r="AK207" s="251"/>
      <c r="AL207" s="251"/>
      <c r="AM207" s="251"/>
      <c r="AN207" s="251"/>
      <c r="AO207" s="251"/>
      <c r="AP207" s="251"/>
      <c r="AQ207" s="251"/>
      <c r="AR207" s="251"/>
      <c r="AS207" s="251"/>
      <c r="AT207" s="259"/>
      <c r="AU207" s="259"/>
      <c r="AV207" s="259"/>
      <c r="AW207" s="259"/>
      <c r="AX207" s="259"/>
      <c r="AY207" s="259"/>
      <c r="AZ207" s="259"/>
      <c r="BA207" s="251"/>
      <c r="BB207" s="251"/>
      <c r="BC207" s="251"/>
      <c r="BD207" s="251"/>
      <c r="BE207" s="251"/>
      <c r="BF207" s="251"/>
      <c r="BG207" s="251"/>
      <c r="BH207" s="251"/>
      <c r="BI207" s="251"/>
      <c r="BJ207" s="251"/>
      <c r="BK207" s="251"/>
      <c r="BL207" s="251"/>
      <c r="BM207" s="781">
        <v>45029</v>
      </c>
      <c r="BN207" s="791"/>
    </row>
    <row r="208" spans="1:66" s="260" customFormat="1" x14ac:dyDescent="0.3">
      <c r="A208" s="258" t="s">
        <v>282</v>
      </c>
      <c r="B208" s="251" t="s">
        <v>204</v>
      </c>
      <c r="C208" s="258" t="s">
        <v>283</v>
      </c>
      <c r="D208" s="312" t="s">
        <v>752</v>
      </c>
      <c r="E208" s="487" t="s">
        <v>752</v>
      </c>
      <c r="F208" s="481" t="s">
        <v>204</v>
      </c>
      <c r="G208" s="253" t="s">
        <v>4</v>
      </c>
      <c r="H208" s="254" t="s">
        <v>816</v>
      </c>
      <c r="I208" s="254" t="s">
        <v>872</v>
      </c>
      <c r="J208" s="255" t="s">
        <v>917</v>
      </c>
      <c r="K208" s="1282" t="s">
        <v>2290</v>
      </c>
      <c r="L208" s="737" t="s">
        <v>2</v>
      </c>
      <c r="M208" s="1307" t="s">
        <v>2372</v>
      </c>
      <c r="N208" s="783"/>
      <c r="O208" s="1297"/>
      <c r="P208" s="251"/>
      <c r="Q208" s="1297" t="s">
        <v>832</v>
      </c>
      <c r="R208" s="256">
        <f>$B$1</f>
        <v>45388</v>
      </c>
      <c r="S208" s="262"/>
      <c r="T208" s="252" t="s">
        <v>2919</v>
      </c>
      <c r="U208" s="257"/>
      <c r="V208" s="257"/>
      <c r="W208" s="258" t="str">
        <f>IFERROR(IF(AND(BD_PRINCIPAL[[#This Row],[DESDE]]&lt;&gt;"",BD_PRINCIPAL[[#This Row],[HASTA]]&lt;&gt;""),_xlfn.DAYS(BD_PRINCIPAL[[#This Row],[HASTA]],BD_PRINCIPAL[[#This Row],[DESDE]]),"")+1,"")</f>
        <v/>
      </c>
      <c r="X208" s="258">
        <f>VLOOKUP(BD_PRINCIPAL[[#This Row],[ENCUADRE. ESC.]],ORDEN1,2,FALSE)</f>
        <v>1</v>
      </c>
      <c r="Y208" s="258">
        <f>VLOOKUP(BD_PRINCIPAL[[#This Row],[DOTACIÓN ACTUAL]],ORDEN2,4,FALSE)</f>
        <v>156</v>
      </c>
      <c r="Z208" s="258">
        <f>VLOOKUP(BD_PRINCIPAL[[#This Row],[GRADO]],ORDEN3,2,FALSE)</f>
        <v>12</v>
      </c>
      <c r="AA208" s="258">
        <f>IFERROR(VLOOKUP(BD_PRINCIPAL[[#This Row],[DOTACIÓN ACTUAL]],ORDEN2,3,FALSE),0)</f>
        <v>0</v>
      </c>
      <c r="AB208" s="251" t="s">
        <v>1</v>
      </c>
      <c r="AC208" s="251" t="s">
        <v>2</v>
      </c>
      <c r="AD208" s="251" t="s">
        <v>853</v>
      </c>
      <c r="AE208" s="251" t="s">
        <v>854</v>
      </c>
      <c r="AF208" s="251" t="s">
        <v>2125</v>
      </c>
      <c r="AG208" s="251" t="s">
        <v>2</v>
      </c>
      <c r="AH208" s="251"/>
      <c r="AI208" s="251"/>
      <c r="AJ208" s="251"/>
      <c r="AK208" s="251"/>
      <c r="AL208" s="251"/>
      <c r="AM208" s="251"/>
      <c r="AN208" s="251"/>
      <c r="AO208" s="251"/>
      <c r="AP208" s="251"/>
      <c r="AQ208" s="251"/>
      <c r="AR208" s="251"/>
      <c r="AS208" s="251"/>
      <c r="AT208" s="259"/>
      <c r="AU208" s="259"/>
      <c r="AV208" s="259"/>
      <c r="AW208" s="259"/>
      <c r="AX208" s="259"/>
      <c r="AY208" s="259"/>
      <c r="AZ208" s="259"/>
      <c r="BA208" s="251"/>
      <c r="BB208" s="251"/>
      <c r="BC208" s="251"/>
      <c r="BD208" s="251"/>
      <c r="BE208" s="251"/>
      <c r="BF208" s="251"/>
      <c r="BG208" s="251"/>
      <c r="BH208" s="251"/>
      <c r="BI208" s="251"/>
      <c r="BJ208" s="251"/>
      <c r="BK208" s="251"/>
      <c r="BL208" s="251"/>
      <c r="BM208" s="783">
        <v>45099</v>
      </c>
      <c r="BN208" s="791"/>
    </row>
    <row r="209" spans="1:66" s="260" customFormat="1" x14ac:dyDescent="0.3">
      <c r="A209" s="258" t="s">
        <v>379</v>
      </c>
      <c r="B209" s="251" t="s">
        <v>201</v>
      </c>
      <c r="C209" s="258">
        <v>186201353</v>
      </c>
      <c r="D209" s="312" t="s">
        <v>752</v>
      </c>
      <c r="E209" s="481" t="s">
        <v>752</v>
      </c>
      <c r="F209" s="481" t="s">
        <v>201</v>
      </c>
      <c r="G209" s="253" t="s">
        <v>4</v>
      </c>
      <c r="H209" s="254" t="s">
        <v>817</v>
      </c>
      <c r="I209" s="254" t="s">
        <v>872</v>
      </c>
      <c r="J209" s="255" t="s">
        <v>917</v>
      </c>
      <c r="K209" s="1282" t="s">
        <v>2290</v>
      </c>
      <c r="L209" s="737" t="s">
        <v>2</v>
      </c>
      <c r="M209" s="1307" t="s">
        <v>2372</v>
      </c>
      <c r="N209" s="781"/>
      <c r="O209" s="1297"/>
      <c r="P209" s="251"/>
      <c r="Q209" s="1297" t="s">
        <v>832</v>
      </c>
      <c r="R209" s="256">
        <f>$B$1</f>
        <v>45388</v>
      </c>
      <c r="S209" s="262"/>
      <c r="T209" s="262" t="s">
        <v>2919</v>
      </c>
      <c r="U209" s="257"/>
      <c r="V209" s="257"/>
      <c r="W209" s="258" t="str">
        <f>IFERROR(IF(AND(BD_PRINCIPAL[[#This Row],[DESDE]]&lt;&gt;"",BD_PRINCIPAL[[#This Row],[HASTA]]&lt;&gt;""),_xlfn.DAYS(BD_PRINCIPAL[[#This Row],[HASTA]],BD_PRINCIPAL[[#This Row],[DESDE]]),"")+1,"")</f>
        <v/>
      </c>
      <c r="X209" s="258">
        <f>VLOOKUP(BD_PRINCIPAL[[#This Row],[ENCUADRE. ESC.]],ORDEN1,2,FALSE)</f>
        <v>1</v>
      </c>
      <c r="Y209" s="258">
        <f>VLOOKUP(BD_PRINCIPAL[[#This Row],[DOTACIÓN ACTUAL]],ORDEN2,4,FALSE)</f>
        <v>156</v>
      </c>
      <c r="Z209" s="258">
        <f>VLOOKUP(BD_PRINCIPAL[[#This Row],[GRADO]],ORDEN3,2,FALSE)</f>
        <v>12</v>
      </c>
      <c r="AA209" s="258">
        <f>IFERROR(VLOOKUP(BD_PRINCIPAL[[#This Row],[DOTACIÓN ACTUAL]],ORDEN2,3,FALSE),0)</f>
        <v>0</v>
      </c>
      <c r="AB209" s="251" t="s">
        <v>1</v>
      </c>
      <c r="AC209" s="251" t="s">
        <v>2</v>
      </c>
      <c r="AD209" s="251" t="s">
        <v>853</v>
      </c>
      <c r="AE209" s="251" t="s">
        <v>854</v>
      </c>
      <c r="AF209" s="251" t="s">
        <v>2125</v>
      </c>
      <c r="AG209" s="251" t="s">
        <v>2</v>
      </c>
      <c r="AH209" s="251"/>
      <c r="AI209" s="251"/>
      <c r="AJ209" s="251"/>
      <c r="AK209" s="251"/>
      <c r="AL209" s="251"/>
      <c r="AM209" s="251"/>
      <c r="AN209" s="251"/>
      <c r="AO209" s="251"/>
      <c r="AP209" s="251"/>
      <c r="AQ209" s="251"/>
      <c r="AR209" s="251"/>
      <c r="AS209" s="251"/>
      <c r="AT209" s="259"/>
      <c r="AU209" s="259"/>
      <c r="AV209" s="259"/>
      <c r="AW209" s="259"/>
      <c r="AX209" s="259"/>
      <c r="AY209" s="259"/>
      <c r="AZ209" s="259"/>
      <c r="BA209" s="251"/>
      <c r="BB209" s="251"/>
      <c r="BC209" s="251"/>
      <c r="BD209" s="251"/>
      <c r="BE209" s="251"/>
      <c r="BF209" s="251"/>
      <c r="BG209" s="251"/>
      <c r="BH209" s="251"/>
      <c r="BI209" s="251"/>
      <c r="BJ209" s="251"/>
      <c r="BK209" s="251"/>
      <c r="BL209" s="251"/>
      <c r="BM209" s="781">
        <v>45373</v>
      </c>
      <c r="BN209" s="791"/>
    </row>
    <row r="210" spans="1:66" s="221" customFormat="1" x14ac:dyDescent="0.3">
      <c r="A210" s="219" t="s">
        <v>457</v>
      </c>
      <c r="B210" s="212" t="s">
        <v>36</v>
      </c>
      <c r="C210" s="219" t="s">
        <v>458</v>
      </c>
      <c r="D210" s="867" t="s">
        <v>731</v>
      </c>
      <c r="E210" s="485" t="s">
        <v>732</v>
      </c>
      <c r="F210" s="480" t="s">
        <v>36</v>
      </c>
      <c r="G210" s="222" t="s">
        <v>89</v>
      </c>
      <c r="H210" s="215" t="s">
        <v>816</v>
      </c>
      <c r="I210" s="215" t="s">
        <v>872</v>
      </c>
      <c r="J210" s="216" t="s">
        <v>917</v>
      </c>
      <c r="K210" s="1279" t="s">
        <v>2290</v>
      </c>
      <c r="L210" s="733" t="s">
        <v>855</v>
      </c>
      <c r="M210" s="1304" t="s">
        <v>1220</v>
      </c>
      <c r="N210" s="771"/>
      <c r="O210" s="1294"/>
      <c r="P210" s="212"/>
      <c r="Q210" s="1294" t="s">
        <v>832</v>
      </c>
      <c r="R210" s="217">
        <f>$B$1</f>
        <v>45388</v>
      </c>
      <c r="S210" s="223"/>
      <c r="T210" s="223"/>
      <c r="U210" s="218"/>
      <c r="V210" s="218"/>
      <c r="W210" s="219" t="str">
        <f>IFERROR(IF(AND(BD_PRINCIPAL[[#This Row],[DESDE]]&lt;&gt;"",BD_PRINCIPAL[[#This Row],[HASTA]]&lt;&gt;""),_xlfn.DAYS(BD_PRINCIPAL[[#This Row],[HASTA]],BD_PRINCIPAL[[#This Row],[DESDE]]),"")+1,"")</f>
        <v/>
      </c>
      <c r="X210" s="219">
        <f>VLOOKUP(BD_PRINCIPAL[[#This Row],[ENCUADRE. ESC.]],ORDEN1,2,FALSE)</f>
        <v>1</v>
      </c>
      <c r="Y210" s="219">
        <f>VLOOKUP(BD_PRINCIPAL[[#This Row],[DOTACIÓN ACTUAL]],ORDEN2,4,FALSE)</f>
        <v>159</v>
      </c>
      <c r="Z210" s="219">
        <f>VLOOKUP(BD_PRINCIPAL[[#This Row],[GRADO]],ORDEN3,2,FALSE)</f>
        <v>9</v>
      </c>
      <c r="AA210" s="219">
        <f>IFERROR(VLOOKUP(BD_PRINCIPAL[[#This Row],[DOTACIÓN ACTUAL]],ORDEN2,3,FALSE),0)</f>
        <v>0</v>
      </c>
      <c r="AB210" s="212" t="s">
        <v>853</v>
      </c>
      <c r="AC210" s="212" t="s">
        <v>6</v>
      </c>
      <c r="AD210" s="212" t="s">
        <v>2125</v>
      </c>
      <c r="AE210" s="212" t="s">
        <v>2</v>
      </c>
      <c r="AF210" s="212" t="s">
        <v>853</v>
      </c>
      <c r="AG210" s="212" t="s">
        <v>855</v>
      </c>
      <c r="AH210" s="212"/>
      <c r="AI210" s="212"/>
      <c r="AJ210" s="212"/>
      <c r="AK210" s="212"/>
      <c r="AL210" s="212"/>
      <c r="AM210" s="212"/>
      <c r="AN210" s="212"/>
      <c r="AO210" s="212"/>
      <c r="AP210" s="212"/>
      <c r="AQ210" s="212"/>
      <c r="AR210" s="212"/>
      <c r="AS210" s="212"/>
      <c r="AT210" s="220"/>
      <c r="AU210" s="220"/>
      <c r="AV210" s="220"/>
      <c r="AW210" s="220"/>
      <c r="AX210" s="220"/>
      <c r="AY210" s="220"/>
      <c r="AZ210" s="220"/>
      <c r="BA210" s="212"/>
      <c r="BB210" s="212"/>
      <c r="BC210" s="212"/>
      <c r="BD210" s="212"/>
      <c r="BE210" s="212"/>
      <c r="BF210" s="212"/>
      <c r="BG210" s="212"/>
      <c r="BH210" s="212"/>
      <c r="BI210" s="212"/>
      <c r="BJ210" s="212"/>
      <c r="BK210" s="212"/>
      <c r="BL210" s="212"/>
      <c r="BM210" s="771">
        <v>45091</v>
      </c>
      <c r="BN210" s="789"/>
    </row>
    <row r="211" spans="1:66" s="221" customFormat="1" x14ac:dyDescent="0.3">
      <c r="A211" s="219" t="s">
        <v>443</v>
      </c>
      <c r="B211" s="212" t="s">
        <v>1862</v>
      </c>
      <c r="C211" s="219">
        <v>151724426</v>
      </c>
      <c r="D211" s="309" t="s">
        <v>731</v>
      </c>
      <c r="E211" s="485" t="s">
        <v>731</v>
      </c>
      <c r="F211" s="480" t="s">
        <v>2508</v>
      </c>
      <c r="G211" s="222" t="s">
        <v>209</v>
      </c>
      <c r="H211" s="215" t="s">
        <v>816</v>
      </c>
      <c r="I211" s="215" t="s">
        <v>872</v>
      </c>
      <c r="J211" s="216" t="s">
        <v>917</v>
      </c>
      <c r="K211" s="1279" t="s">
        <v>2428</v>
      </c>
      <c r="L211" s="733" t="s">
        <v>855</v>
      </c>
      <c r="M211" s="1304" t="s">
        <v>1220</v>
      </c>
      <c r="N211" s="785"/>
      <c r="O211" s="1294"/>
      <c r="P211" s="212"/>
      <c r="Q211" s="1294" t="s">
        <v>832</v>
      </c>
      <c r="R211" s="217">
        <f>$B$1</f>
        <v>45388</v>
      </c>
      <c r="S211" s="223"/>
      <c r="T211" s="213"/>
      <c r="U211" s="218"/>
      <c r="V211" s="218"/>
      <c r="W211" s="219" t="str">
        <f>IFERROR(IF(AND(BD_PRINCIPAL[[#This Row],[DESDE]]&lt;&gt;"",BD_PRINCIPAL[[#This Row],[HASTA]]&lt;&gt;""),_xlfn.DAYS(BD_PRINCIPAL[[#This Row],[HASTA]],BD_PRINCIPAL[[#This Row],[DESDE]]),"")+1,"")</f>
        <v/>
      </c>
      <c r="X211" s="219">
        <f>VLOOKUP(BD_PRINCIPAL[[#This Row],[ENCUADRE. ESC.]],ORDEN1,2,FALSE)</f>
        <v>1</v>
      </c>
      <c r="Y211" s="219">
        <f>VLOOKUP(BD_PRINCIPAL[[#This Row],[DOTACIÓN ACTUAL]],ORDEN2,4,FALSE)</f>
        <v>160</v>
      </c>
      <c r="Z211" s="219">
        <f>VLOOKUP(BD_PRINCIPAL[[#This Row],[GRADO]],ORDEN3,2,FALSE)</f>
        <v>10</v>
      </c>
      <c r="AA211" s="219">
        <f>IFERROR(VLOOKUP(BD_PRINCIPAL[[#This Row],[DOTACIÓN ACTUAL]],ORDEN2,3,FALSE),0)</f>
        <v>0</v>
      </c>
      <c r="AB211" s="212" t="s">
        <v>853</v>
      </c>
      <c r="AC211" s="212" t="s">
        <v>6</v>
      </c>
      <c r="AD211" s="212" t="s">
        <v>2125</v>
      </c>
      <c r="AE211" s="212" t="s">
        <v>2</v>
      </c>
      <c r="AF211" s="212" t="s">
        <v>853</v>
      </c>
      <c r="AG211" s="212" t="s">
        <v>855</v>
      </c>
      <c r="AH211" s="212"/>
      <c r="AI211" s="212"/>
      <c r="AJ211" s="212"/>
      <c r="AK211" s="212"/>
      <c r="AL211" s="212"/>
      <c r="AM211" s="212"/>
      <c r="AN211" s="212"/>
      <c r="AO211" s="212"/>
      <c r="AP211" s="212"/>
      <c r="AQ211" s="212"/>
      <c r="AR211" s="212"/>
      <c r="AS211" s="212"/>
      <c r="AT211" s="220"/>
      <c r="AU211" s="220"/>
      <c r="AV211" s="220"/>
      <c r="AW211" s="220"/>
      <c r="AX211" s="220"/>
      <c r="AY211" s="220"/>
      <c r="AZ211" s="220"/>
      <c r="BA211" s="212"/>
      <c r="BB211" s="212"/>
      <c r="BC211" s="212"/>
      <c r="BD211" s="212"/>
      <c r="BE211" s="212"/>
      <c r="BF211" s="212"/>
      <c r="BG211" s="212"/>
      <c r="BH211" s="212"/>
      <c r="BI211" s="212"/>
      <c r="BJ211" s="212"/>
      <c r="BK211" s="212"/>
      <c r="BL211" s="212"/>
      <c r="BM211" s="785">
        <v>45128</v>
      </c>
      <c r="BN211" s="789"/>
    </row>
    <row r="212" spans="1:66" s="221" customFormat="1" x14ac:dyDescent="0.3">
      <c r="A212" s="219" t="s">
        <v>382</v>
      </c>
      <c r="B212" s="212" t="s">
        <v>1882</v>
      </c>
      <c r="C212" s="219">
        <v>139405595</v>
      </c>
      <c r="D212" s="309" t="s">
        <v>731</v>
      </c>
      <c r="E212" s="480" t="s">
        <v>731</v>
      </c>
      <c r="F212" s="480" t="s">
        <v>1882</v>
      </c>
      <c r="G212" s="222" t="s">
        <v>209</v>
      </c>
      <c r="H212" s="215" t="s">
        <v>816</v>
      </c>
      <c r="I212" s="215" t="s">
        <v>872</v>
      </c>
      <c r="J212" s="216" t="s">
        <v>917</v>
      </c>
      <c r="K212" s="1279" t="s">
        <v>2290</v>
      </c>
      <c r="L212" s="733" t="s">
        <v>855</v>
      </c>
      <c r="M212" s="1304" t="s">
        <v>1220</v>
      </c>
      <c r="N212" s="772"/>
      <c r="O212" s="1294"/>
      <c r="P212" s="212"/>
      <c r="Q212" s="1294" t="s">
        <v>832</v>
      </c>
      <c r="R212" s="217">
        <f>$B$1</f>
        <v>45388</v>
      </c>
      <c r="S212" s="223"/>
      <c r="T212" s="223"/>
      <c r="U212" s="218"/>
      <c r="V212" s="218"/>
      <c r="W212" s="219" t="str">
        <f>IFERROR(IF(AND(BD_PRINCIPAL[[#This Row],[DESDE]]&lt;&gt;"",BD_PRINCIPAL[[#This Row],[HASTA]]&lt;&gt;""),_xlfn.DAYS(BD_PRINCIPAL[[#This Row],[HASTA]],BD_PRINCIPAL[[#This Row],[DESDE]]),"")+1,"")</f>
        <v/>
      </c>
      <c r="X212" s="219">
        <f>VLOOKUP(BD_PRINCIPAL[[#This Row],[ENCUADRE. ESC.]],ORDEN1,2,FALSE)</f>
        <v>1</v>
      </c>
      <c r="Y212" s="219">
        <f>VLOOKUP(BD_PRINCIPAL[[#This Row],[DOTACIÓN ACTUAL]],ORDEN2,4,FALSE)</f>
        <v>160</v>
      </c>
      <c r="Z212" s="219">
        <f>VLOOKUP(BD_PRINCIPAL[[#This Row],[GRADO]],ORDEN3,2,FALSE)</f>
        <v>10</v>
      </c>
      <c r="AA212" s="219">
        <f>IFERROR(VLOOKUP(BD_PRINCIPAL[[#This Row],[DOTACIÓN ACTUAL]],ORDEN2,3,FALSE),0)</f>
        <v>0</v>
      </c>
      <c r="AB212" s="212" t="s">
        <v>853</v>
      </c>
      <c r="AC212" s="212" t="s">
        <v>6</v>
      </c>
      <c r="AD212" s="212" t="s">
        <v>2125</v>
      </c>
      <c r="AE212" s="212" t="s">
        <v>2</v>
      </c>
      <c r="AF212" s="212" t="s">
        <v>853</v>
      </c>
      <c r="AG212" s="212" t="s">
        <v>855</v>
      </c>
      <c r="AH212" s="212"/>
      <c r="AI212" s="212"/>
      <c r="AJ212" s="212"/>
      <c r="AK212" s="212"/>
      <c r="AL212" s="212"/>
      <c r="AM212" s="212"/>
      <c r="AN212" s="212"/>
      <c r="AO212" s="212"/>
      <c r="AP212" s="212"/>
      <c r="AQ212" s="212"/>
      <c r="AR212" s="212"/>
      <c r="AS212" s="212"/>
      <c r="AT212" s="220"/>
      <c r="AU212" s="220"/>
      <c r="AV212" s="220"/>
      <c r="AW212" s="220"/>
      <c r="AX212" s="220"/>
      <c r="AY212" s="220"/>
      <c r="AZ212" s="220"/>
      <c r="BA212" s="212"/>
      <c r="BB212" s="212"/>
      <c r="BC212" s="212"/>
      <c r="BD212" s="212"/>
      <c r="BE212" s="212"/>
      <c r="BF212" s="212"/>
      <c r="BG212" s="212"/>
      <c r="BH212" s="212"/>
      <c r="BI212" s="212"/>
      <c r="BJ212" s="212"/>
      <c r="BK212" s="212"/>
      <c r="BL212" s="212"/>
      <c r="BM212" s="772">
        <v>45079</v>
      </c>
      <c r="BN212" s="789"/>
    </row>
    <row r="213" spans="1:66" s="221" customFormat="1" x14ac:dyDescent="0.3">
      <c r="A213" s="219" t="s">
        <v>484</v>
      </c>
      <c r="B213" s="212" t="s">
        <v>1558</v>
      </c>
      <c r="C213" s="219">
        <v>160606126</v>
      </c>
      <c r="D213" s="309" t="s">
        <v>731</v>
      </c>
      <c r="E213" s="480" t="s">
        <v>731</v>
      </c>
      <c r="F213" s="480" t="s">
        <v>2526</v>
      </c>
      <c r="G213" s="214" t="s">
        <v>209</v>
      </c>
      <c r="H213" s="215" t="s">
        <v>816</v>
      </c>
      <c r="I213" s="215" t="s">
        <v>872</v>
      </c>
      <c r="J213" s="216" t="s">
        <v>917</v>
      </c>
      <c r="K213" s="1279" t="s">
        <v>2298</v>
      </c>
      <c r="L213" s="733" t="s">
        <v>855</v>
      </c>
      <c r="M213" s="1304" t="s">
        <v>1220</v>
      </c>
      <c r="N213" s="772"/>
      <c r="O213" s="1294"/>
      <c r="P213" s="212"/>
      <c r="Q213" s="1294" t="s">
        <v>832</v>
      </c>
      <c r="R213" s="217">
        <f>$B$1</f>
        <v>45388</v>
      </c>
      <c r="S213" s="223" t="s">
        <v>1483</v>
      </c>
      <c r="T213" s="213" t="s">
        <v>3120</v>
      </c>
      <c r="U213" s="218"/>
      <c r="V213" s="218"/>
      <c r="W213" s="219" t="str">
        <f>IFERROR(IF(AND(BD_PRINCIPAL[[#This Row],[DESDE]]&lt;&gt;"",BD_PRINCIPAL[[#This Row],[HASTA]]&lt;&gt;""),_xlfn.DAYS(BD_PRINCIPAL[[#This Row],[HASTA]],BD_PRINCIPAL[[#This Row],[DESDE]]),"")+1,"")</f>
        <v/>
      </c>
      <c r="X213" s="219">
        <f>VLOOKUP(BD_PRINCIPAL[[#This Row],[ENCUADRE. ESC.]],ORDEN1,2,FALSE)</f>
        <v>1</v>
      </c>
      <c r="Y213" s="219">
        <f>VLOOKUP(BD_PRINCIPAL[[#This Row],[DOTACIÓN ACTUAL]],ORDEN2,4,FALSE)</f>
        <v>160</v>
      </c>
      <c r="Z213" s="219">
        <f>VLOOKUP(BD_PRINCIPAL[[#This Row],[GRADO]],ORDEN3,2,FALSE)</f>
        <v>10</v>
      </c>
      <c r="AA213" s="219">
        <f>IFERROR(VLOOKUP(BD_PRINCIPAL[[#This Row],[DOTACIÓN ACTUAL]],ORDEN2,3,FALSE),0)</f>
        <v>0</v>
      </c>
      <c r="AB213" s="212" t="s">
        <v>1</v>
      </c>
      <c r="AC213" s="212" t="s">
        <v>2</v>
      </c>
      <c r="AD213" s="212" t="s">
        <v>853</v>
      </c>
      <c r="AE213" s="212" t="s">
        <v>854</v>
      </c>
      <c r="AF213" s="212" t="s">
        <v>2125</v>
      </c>
      <c r="AG213" s="212" t="s">
        <v>855</v>
      </c>
      <c r="AH213" s="212"/>
      <c r="AI213" s="212"/>
      <c r="AJ213" s="212"/>
      <c r="AK213" s="212"/>
      <c r="AL213" s="212"/>
      <c r="AM213" s="212"/>
      <c r="AN213" s="212"/>
      <c r="AO213" s="212"/>
      <c r="AP213" s="212"/>
      <c r="AQ213" s="212"/>
      <c r="AR213" s="212"/>
      <c r="AS213" s="212"/>
      <c r="AT213" s="220"/>
      <c r="AU213" s="220"/>
      <c r="AV213" s="220"/>
      <c r="AW213" s="220"/>
      <c r="AX213" s="220"/>
      <c r="AY213" s="220"/>
      <c r="AZ213" s="220"/>
      <c r="BA213" s="212"/>
      <c r="BB213" s="212"/>
      <c r="BC213" s="212"/>
      <c r="BD213" s="212"/>
      <c r="BE213" s="212"/>
      <c r="BF213" s="212"/>
      <c r="BG213" s="212"/>
      <c r="BH213" s="212"/>
      <c r="BI213" s="212"/>
      <c r="BJ213" s="212"/>
      <c r="BK213" s="212"/>
      <c r="BL213" s="212"/>
      <c r="BM213" s="772">
        <v>45194</v>
      </c>
      <c r="BN213" s="789"/>
    </row>
    <row r="214" spans="1:66" s="221" customFormat="1" x14ac:dyDescent="0.3">
      <c r="A214" s="219" t="s">
        <v>2360</v>
      </c>
      <c r="B214" s="728" t="s">
        <v>2361</v>
      </c>
      <c r="C214" s="219" t="s">
        <v>2362</v>
      </c>
      <c r="D214" s="309" t="s">
        <v>731</v>
      </c>
      <c r="E214" s="480" t="s">
        <v>731</v>
      </c>
      <c r="F214" s="480" t="s">
        <v>2361</v>
      </c>
      <c r="G214" s="222" t="s">
        <v>3</v>
      </c>
      <c r="H214" s="215" t="s">
        <v>816</v>
      </c>
      <c r="I214" s="215" t="s">
        <v>872</v>
      </c>
      <c r="J214" s="216" t="s">
        <v>917</v>
      </c>
      <c r="K214" s="1279" t="s">
        <v>2290</v>
      </c>
      <c r="L214" s="733" t="s">
        <v>855</v>
      </c>
      <c r="M214" s="1304" t="s">
        <v>1220</v>
      </c>
      <c r="N214" s="787"/>
      <c r="O214" s="1294"/>
      <c r="P214" s="212"/>
      <c r="Q214" s="1294" t="s">
        <v>832</v>
      </c>
      <c r="R214" s="498">
        <f>$B$1</f>
        <v>45388</v>
      </c>
      <c r="S214" s="223"/>
      <c r="T214" s="223"/>
      <c r="U214" s="747"/>
      <c r="V214" s="747"/>
      <c r="W214" s="499" t="str">
        <f>IFERROR(IF(AND(BD_PRINCIPAL[[#This Row],[DESDE]]&lt;&gt;"",BD_PRINCIPAL[[#This Row],[HASTA]]&lt;&gt;""),_xlfn.DAYS(BD_PRINCIPAL[[#This Row],[HASTA]],BD_PRINCIPAL[[#This Row],[DESDE]]),"")+1,"")</f>
        <v/>
      </c>
      <c r="X214" s="499">
        <f>VLOOKUP(BD_PRINCIPAL[[#This Row],[ENCUADRE. ESC.]],ORDEN1,2,FALSE)</f>
        <v>1</v>
      </c>
      <c r="Y214" s="499">
        <f>VLOOKUP(BD_PRINCIPAL[[#This Row],[DOTACIÓN ACTUAL]],ORDEN2,4,FALSE)</f>
        <v>160</v>
      </c>
      <c r="Z214" s="499">
        <f>VLOOKUP(BD_PRINCIPAL[[#This Row],[GRADO]],ORDEN3,2,FALSE)</f>
        <v>11</v>
      </c>
      <c r="AA214" s="499">
        <f>IFERROR(VLOOKUP(BD_PRINCIPAL[[#This Row],[DOTACIÓN ACTUAL]],ORDEN2,3,FALSE),0)</f>
        <v>0</v>
      </c>
      <c r="AB214" s="212" t="s">
        <v>853</v>
      </c>
      <c r="AC214" s="212" t="s">
        <v>6</v>
      </c>
      <c r="AD214" s="212" t="s">
        <v>2125</v>
      </c>
      <c r="AE214" s="212" t="s">
        <v>2</v>
      </c>
      <c r="AF214" s="212" t="s">
        <v>853</v>
      </c>
      <c r="AG214" s="212" t="s">
        <v>855</v>
      </c>
      <c r="AH214" s="212"/>
      <c r="AI214" s="212"/>
      <c r="AJ214" s="212"/>
      <c r="AK214" s="212"/>
      <c r="AL214" s="212"/>
      <c r="AM214" s="212"/>
      <c r="AN214" s="212"/>
      <c r="AO214" s="212"/>
      <c r="AP214" s="212"/>
      <c r="AQ214" s="212"/>
      <c r="AR214" s="212"/>
      <c r="AS214" s="212"/>
      <c r="AT214" s="220"/>
      <c r="AU214" s="220"/>
      <c r="AV214" s="220"/>
      <c r="AW214" s="220"/>
      <c r="AX214" s="220"/>
      <c r="AY214" s="220"/>
      <c r="AZ214" s="220"/>
      <c r="BA214" s="212"/>
      <c r="BB214" s="212"/>
      <c r="BC214" s="212"/>
      <c r="BD214" s="212"/>
      <c r="BE214" s="212"/>
      <c r="BF214" s="212"/>
      <c r="BG214" s="212"/>
      <c r="BH214" s="212"/>
      <c r="BI214" s="212"/>
      <c r="BJ214" s="212"/>
      <c r="BK214" s="212"/>
      <c r="BL214" s="212"/>
      <c r="BM214" s="772">
        <v>45174</v>
      </c>
      <c r="BN214" s="789"/>
    </row>
    <row r="215" spans="1:66" s="221" customFormat="1" x14ac:dyDescent="0.3">
      <c r="A215" s="219" t="s">
        <v>2182</v>
      </c>
      <c r="B215" s="728" t="s">
        <v>2184</v>
      </c>
      <c r="C215" s="219" t="s">
        <v>2183</v>
      </c>
      <c r="D215" s="309" t="s">
        <v>731</v>
      </c>
      <c r="E215" s="480" t="s">
        <v>731</v>
      </c>
      <c r="F215" s="480" t="s">
        <v>2184</v>
      </c>
      <c r="G215" s="222" t="s">
        <v>3</v>
      </c>
      <c r="H215" s="215" t="s">
        <v>817</v>
      </c>
      <c r="I215" s="215" t="s">
        <v>872</v>
      </c>
      <c r="J215" s="216" t="s">
        <v>917</v>
      </c>
      <c r="K215" s="1279" t="s">
        <v>2290</v>
      </c>
      <c r="L215" s="733" t="s">
        <v>855</v>
      </c>
      <c r="M215" s="1304" t="s">
        <v>1220</v>
      </c>
      <c r="N215" s="787"/>
      <c r="O215" s="1294"/>
      <c r="P215" s="212"/>
      <c r="Q215" s="1294" t="s">
        <v>832</v>
      </c>
      <c r="R215" s="498">
        <f>$B$1</f>
        <v>45388</v>
      </c>
      <c r="S215" s="223"/>
      <c r="T215" s="223"/>
      <c r="U215" s="218"/>
      <c r="V215" s="218"/>
      <c r="W215" s="499" t="str">
        <f>IFERROR(IF(AND(BD_PRINCIPAL[[#This Row],[DESDE]]&lt;&gt;"",BD_PRINCIPAL[[#This Row],[HASTA]]&lt;&gt;""),_xlfn.DAYS(BD_PRINCIPAL[[#This Row],[HASTA]],BD_PRINCIPAL[[#This Row],[DESDE]]),"")+1,"")</f>
        <v/>
      </c>
      <c r="X215" s="499">
        <f>VLOOKUP(BD_PRINCIPAL[[#This Row],[ENCUADRE. ESC.]],ORDEN1,2,FALSE)</f>
        <v>1</v>
      </c>
      <c r="Y215" s="499">
        <f>VLOOKUP(BD_PRINCIPAL[[#This Row],[DOTACIÓN ACTUAL]],ORDEN2,4,FALSE)</f>
        <v>160</v>
      </c>
      <c r="Z215" s="499">
        <f>VLOOKUP(BD_PRINCIPAL[[#This Row],[GRADO]],ORDEN3,2,FALSE)</f>
        <v>11</v>
      </c>
      <c r="AA215" s="499">
        <f>IFERROR(VLOOKUP(BD_PRINCIPAL[[#This Row],[DOTACIÓN ACTUAL]],ORDEN2,3,FALSE),0)</f>
        <v>0</v>
      </c>
      <c r="AB215" s="212" t="s">
        <v>853</v>
      </c>
      <c r="AC215" s="212" t="s">
        <v>6</v>
      </c>
      <c r="AD215" s="212" t="s">
        <v>2125</v>
      </c>
      <c r="AE215" s="212" t="s">
        <v>2</v>
      </c>
      <c r="AF215" s="212" t="s">
        <v>853</v>
      </c>
      <c r="AG215" s="212" t="s">
        <v>855</v>
      </c>
      <c r="AH215" s="212"/>
      <c r="AI215" s="212"/>
      <c r="AJ215" s="212"/>
      <c r="AK215" s="212"/>
      <c r="AL215" s="212"/>
      <c r="AM215" s="212"/>
      <c r="AN215" s="212"/>
      <c r="AO215" s="212"/>
      <c r="AP215" s="212"/>
      <c r="AQ215" s="212"/>
      <c r="AR215" s="212"/>
      <c r="AS215" s="212"/>
      <c r="AT215" s="220"/>
      <c r="AU215" s="220"/>
      <c r="AV215" s="220"/>
      <c r="AW215" s="220"/>
      <c r="AX215" s="220"/>
      <c r="AY215" s="220"/>
      <c r="AZ215" s="220"/>
      <c r="BA215" s="212"/>
      <c r="BB215" s="212"/>
      <c r="BC215" s="212"/>
      <c r="BD215" s="212"/>
      <c r="BE215" s="212"/>
      <c r="BF215" s="212"/>
      <c r="BG215" s="212"/>
      <c r="BH215" s="212"/>
      <c r="BI215" s="212"/>
      <c r="BJ215" s="212"/>
      <c r="BK215" s="212"/>
      <c r="BL215" s="212"/>
      <c r="BM215" s="772">
        <v>45112</v>
      </c>
      <c r="BN215" s="789"/>
    </row>
    <row r="216" spans="1:66" s="221" customFormat="1" x14ac:dyDescent="0.3">
      <c r="A216" s="219" t="s">
        <v>430</v>
      </c>
      <c r="B216" s="212" t="s">
        <v>29</v>
      </c>
      <c r="C216" s="219">
        <v>173613350</v>
      </c>
      <c r="D216" s="308" t="s">
        <v>731</v>
      </c>
      <c r="E216" s="480" t="s">
        <v>731</v>
      </c>
      <c r="F216" s="480" t="s">
        <v>29</v>
      </c>
      <c r="G216" s="214" t="s">
        <v>3</v>
      </c>
      <c r="H216" s="215" t="s">
        <v>816</v>
      </c>
      <c r="I216" s="215" t="s">
        <v>872</v>
      </c>
      <c r="J216" s="216" t="s">
        <v>917</v>
      </c>
      <c r="K216" s="1279" t="s">
        <v>2290</v>
      </c>
      <c r="L216" s="733" t="s">
        <v>855</v>
      </c>
      <c r="M216" s="1304" t="s">
        <v>1220</v>
      </c>
      <c r="N216" s="772"/>
      <c r="O216" s="1294"/>
      <c r="P216" s="212"/>
      <c r="Q216" s="1294" t="s">
        <v>832</v>
      </c>
      <c r="R216" s="217">
        <f>$B$1</f>
        <v>45388</v>
      </c>
      <c r="S216" s="223"/>
      <c r="T216" s="213"/>
      <c r="U216" s="218"/>
      <c r="V216" s="218"/>
      <c r="W216" s="219" t="str">
        <f>IFERROR(IF(AND(BD_PRINCIPAL[[#This Row],[DESDE]]&lt;&gt;"",BD_PRINCIPAL[[#This Row],[HASTA]]&lt;&gt;""),_xlfn.DAYS(BD_PRINCIPAL[[#This Row],[HASTA]],BD_PRINCIPAL[[#This Row],[DESDE]]),"")+1,"")</f>
        <v/>
      </c>
      <c r="X216" s="219">
        <f>VLOOKUP(BD_PRINCIPAL[[#This Row],[ENCUADRE. ESC.]],ORDEN1,2,FALSE)</f>
        <v>1</v>
      </c>
      <c r="Y216" s="219">
        <f>VLOOKUP(BD_PRINCIPAL[[#This Row],[DOTACIÓN ACTUAL]],ORDEN2,4,FALSE)</f>
        <v>160</v>
      </c>
      <c r="Z216" s="219">
        <f>VLOOKUP(BD_PRINCIPAL[[#This Row],[GRADO]],ORDEN3,2,FALSE)</f>
        <v>11</v>
      </c>
      <c r="AA216" s="219">
        <f>IFERROR(VLOOKUP(BD_PRINCIPAL[[#This Row],[DOTACIÓN ACTUAL]],ORDEN2,3,FALSE),0)</f>
        <v>0</v>
      </c>
      <c r="AB216" s="212" t="s">
        <v>853</v>
      </c>
      <c r="AC216" s="212" t="s">
        <v>6</v>
      </c>
      <c r="AD216" s="212" t="s">
        <v>2125</v>
      </c>
      <c r="AE216" s="212" t="s">
        <v>2</v>
      </c>
      <c r="AF216" s="212" t="s">
        <v>853</v>
      </c>
      <c r="AG216" s="212" t="s">
        <v>855</v>
      </c>
      <c r="AH216" s="212"/>
      <c r="AI216" s="212"/>
      <c r="AJ216" s="212"/>
      <c r="AK216" s="212"/>
      <c r="AL216" s="212"/>
      <c r="AM216" s="212"/>
      <c r="AN216" s="212"/>
      <c r="AO216" s="212"/>
      <c r="AP216" s="212"/>
      <c r="AQ216" s="212"/>
      <c r="AR216" s="212"/>
      <c r="AS216" s="212"/>
      <c r="AT216" s="220"/>
      <c r="AU216" s="220"/>
      <c r="AV216" s="220"/>
      <c r="AW216" s="220"/>
      <c r="AX216" s="220"/>
      <c r="AY216" s="220"/>
      <c r="AZ216" s="220"/>
      <c r="BA216" s="212"/>
      <c r="BB216" s="212"/>
      <c r="BC216" s="212"/>
      <c r="BD216" s="212"/>
      <c r="BE216" s="212"/>
      <c r="BF216" s="212"/>
      <c r="BG216" s="212"/>
      <c r="BH216" s="212"/>
      <c r="BI216" s="212"/>
      <c r="BJ216" s="212"/>
      <c r="BK216" s="212"/>
      <c r="BL216" s="212"/>
      <c r="BM216" s="772">
        <v>45146</v>
      </c>
      <c r="BN216" s="789"/>
    </row>
    <row r="217" spans="1:66" s="221" customFormat="1" ht="26.4" x14ac:dyDescent="0.3">
      <c r="A217" s="219" t="s">
        <v>2344</v>
      </c>
      <c r="B217" s="728" t="s">
        <v>2346</v>
      </c>
      <c r="C217" s="219" t="s">
        <v>2345</v>
      </c>
      <c r="D217" s="309" t="s">
        <v>731</v>
      </c>
      <c r="E217" s="480" t="s">
        <v>731</v>
      </c>
      <c r="F217" s="480" t="s">
        <v>2346</v>
      </c>
      <c r="G217" s="222" t="s">
        <v>4</v>
      </c>
      <c r="H217" s="215" t="s">
        <v>816</v>
      </c>
      <c r="I217" s="215" t="s">
        <v>872</v>
      </c>
      <c r="J217" s="216" t="s">
        <v>917</v>
      </c>
      <c r="K217" s="1279" t="s">
        <v>2290</v>
      </c>
      <c r="L217" s="733" t="s">
        <v>855</v>
      </c>
      <c r="M217" s="1304" t="s">
        <v>1220</v>
      </c>
      <c r="N217" s="787"/>
      <c r="O217" s="1294"/>
      <c r="P217" s="212"/>
      <c r="Q217" s="1294" t="s">
        <v>832</v>
      </c>
      <c r="R217" s="498">
        <f>$B$1</f>
        <v>45388</v>
      </c>
      <c r="S217" s="223"/>
      <c r="T217" s="223" t="s">
        <v>2925</v>
      </c>
      <c r="U217" s="747">
        <v>45384</v>
      </c>
      <c r="V217" s="747"/>
      <c r="W217" s="499" t="str">
        <f>IFERROR(IF(AND(BD_PRINCIPAL[[#This Row],[DESDE]]&lt;&gt;"",BD_PRINCIPAL[[#This Row],[HASTA]]&lt;&gt;""),_xlfn.DAYS(BD_PRINCIPAL[[#This Row],[HASTA]],BD_PRINCIPAL[[#This Row],[DESDE]]),"")+1,"")</f>
        <v/>
      </c>
      <c r="X217" s="499">
        <f>VLOOKUP(BD_PRINCIPAL[[#This Row],[ENCUADRE. ESC.]],ORDEN1,2,FALSE)</f>
        <v>1</v>
      </c>
      <c r="Y217" s="499">
        <f>VLOOKUP(BD_PRINCIPAL[[#This Row],[DOTACIÓN ACTUAL]],ORDEN2,4,FALSE)</f>
        <v>160</v>
      </c>
      <c r="Z217" s="499">
        <f>VLOOKUP(BD_PRINCIPAL[[#This Row],[GRADO]],ORDEN3,2,FALSE)</f>
        <v>12</v>
      </c>
      <c r="AA217" s="499">
        <f>IFERROR(VLOOKUP(BD_PRINCIPAL[[#This Row],[DOTACIÓN ACTUAL]],ORDEN2,3,FALSE),0)</f>
        <v>0</v>
      </c>
      <c r="AB217" s="212" t="s">
        <v>909</v>
      </c>
      <c r="AC217" s="212" t="s">
        <v>909</v>
      </c>
      <c r="AD217" s="212" t="s">
        <v>1</v>
      </c>
      <c r="AE217" s="212" t="s">
        <v>1</v>
      </c>
      <c r="AF217" s="212" t="s">
        <v>853</v>
      </c>
      <c r="AG217" s="212" t="s">
        <v>855</v>
      </c>
      <c r="AH217" s="212"/>
      <c r="AI217" s="212"/>
      <c r="AJ217" s="212"/>
      <c r="AK217" s="212"/>
      <c r="AL217" s="212"/>
      <c r="AM217" s="212"/>
      <c r="AN217" s="212"/>
      <c r="AO217" s="212"/>
      <c r="AP217" s="212"/>
      <c r="AQ217" s="212"/>
      <c r="AR217" s="212"/>
      <c r="AS217" s="212"/>
      <c r="AT217" s="220"/>
      <c r="AU217" s="220"/>
      <c r="AV217" s="220"/>
      <c r="AW217" s="220"/>
      <c r="AX217" s="220"/>
      <c r="AY217" s="220"/>
      <c r="AZ217" s="220"/>
      <c r="BA217" s="212"/>
      <c r="BB217" s="212"/>
      <c r="BC217" s="212"/>
      <c r="BD217" s="212"/>
      <c r="BE217" s="212"/>
      <c r="BF217" s="212"/>
      <c r="BG217" s="212"/>
      <c r="BH217" s="212"/>
      <c r="BI217" s="212"/>
      <c r="BJ217" s="212"/>
      <c r="BK217" s="212"/>
      <c r="BL217" s="212"/>
      <c r="BM217" s="772">
        <v>45030</v>
      </c>
      <c r="BN217" s="789"/>
    </row>
    <row r="218" spans="1:66" s="221" customFormat="1" x14ac:dyDescent="0.3">
      <c r="A218" s="219" t="s">
        <v>586</v>
      </c>
      <c r="B218" s="212" t="s">
        <v>139</v>
      </c>
      <c r="C218" s="219">
        <v>186251113</v>
      </c>
      <c r="D218" s="309" t="s">
        <v>731</v>
      </c>
      <c r="E218" s="480" t="s">
        <v>731</v>
      </c>
      <c r="F218" s="480" t="s">
        <v>139</v>
      </c>
      <c r="G218" s="214" t="s">
        <v>4</v>
      </c>
      <c r="H218" s="215" t="s">
        <v>816</v>
      </c>
      <c r="I218" s="215" t="s">
        <v>872</v>
      </c>
      <c r="J218" s="216" t="s">
        <v>917</v>
      </c>
      <c r="K218" s="1279" t="s">
        <v>2290</v>
      </c>
      <c r="L218" s="733" t="s">
        <v>855</v>
      </c>
      <c r="M218" s="1304" t="s">
        <v>1220</v>
      </c>
      <c r="N218" s="771"/>
      <c r="O218" s="1294"/>
      <c r="P218" s="212"/>
      <c r="Q218" s="1294" t="s">
        <v>832</v>
      </c>
      <c r="R218" s="217">
        <f>$B$1</f>
        <v>45388</v>
      </c>
      <c r="S218" s="223"/>
      <c r="T218" s="213"/>
      <c r="U218" s="218"/>
      <c r="V218" s="218"/>
      <c r="W218" s="219" t="str">
        <f>IFERROR(IF(AND(BD_PRINCIPAL[[#This Row],[DESDE]]&lt;&gt;"",BD_PRINCIPAL[[#This Row],[HASTA]]&lt;&gt;""),_xlfn.DAYS(BD_PRINCIPAL[[#This Row],[HASTA]],BD_PRINCIPAL[[#This Row],[DESDE]]),"")+1,"")</f>
        <v/>
      </c>
      <c r="X218" s="219">
        <f>VLOOKUP(BD_PRINCIPAL[[#This Row],[ENCUADRE. ESC.]],ORDEN1,2,FALSE)</f>
        <v>1</v>
      </c>
      <c r="Y218" s="219">
        <f>VLOOKUP(BD_PRINCIPAL[[#This Row],[DOTACIÓN ACTUAL]],ORDEN2,4,FALSE)</f>
        <v>160</v>
      </c>
      <c r="Z218" s="219">
        <f>VLOOKUP(BD_PRINCIPAL[[#This Row],[GRADO]],ORDEN3,2,FALSE)</f>
        <v>12</v>
      </c>
      <c r="AA218" s="219">
        <f>IFERROR(VLOOKUP(BD_PRINCIPAL[[#This Row],[DOTACIÓN ACTUAL]],ORDEN2,3,FALSE),0)</f>
        <v>0</v>
      </c>
      <c r="AB218" s="212" t="s">
        <v>853</v>
      </c>
      <c r="AC218" s="212" t="s">
        <v>6</v>
      </c>
      <c r="AD218" s="212" t="s">
        <v>2125</v>
      </c>
      <c r="AE218" s="212" t="s">
        <v>2</v>
      </c>
      <c r="AF218" s="212" t="s">
        <v>853</v>
      </c>
      <c r="AG218" s="212" t="s">
        <v>855</v>
      </c>
      <c r="AH218" s="212"/>
      <c r="AI218" s="212"/>
      <c r="AJ218" s="212"/>
      <c r="AK218" s="212"/>
      <c r="AL218" s="212"/>
      <c r="AM218" s="212"/>
      <c r="AN218" s="212"/>
      <c r="AO218" s="212"/>
      <c r="AP218" s="212"/>
      <c r="AQ218" s="212"/>
      <c r="AR218" s="212"/>
      <c r="AS218" s="212"/>
      <c r="AT218" s="220"/>
      <c r="AU218" s="220"/>
      <c r="AV218" s="220"/>
      <c r="AW218" s="220"/>
      <c r="AX218" s="220"/>
      <c r="AY218" s="220"/>
      <c r="AZ218" s="220"/>
      <c r="BA218" s="212"/>
      <c r="BB218" s="212"/>
      <c r="BC218" s="212"/>
      <c r="BD218" s="212"/>
      <c r="BE218" s="212"/>
      <c r="BF218" s="212"/>
      <c r="BG218" s="212"/>
      <c r="BH218" s="212"/>
      <c r="BI218" s="212"/>
      <c r="BJ218" s="212"/>
      <c r="BK218" s="212"/>
      <c r="BL218" s="212"/>
      <c r="BM218" s="771">
        <v>45142</v>
      </c>
      <c r="BN218" s="789"/>
    </row>
    <row r="219" spans="1:66" s="247" customFormat="1" x14ac:dyDescent="0.3">
      <c r="A219" s="245" t="s">
        <v>509</v>
      </c>
      <c r="B219" s="238" t="s">
        <v>1565</v>
      </c>
      <c r="C219" s="245">
        <v>137934833</v>
      </c>
      <c r="D219" s="478" t="s">
        <v>753</v>
      </c>
      <c r="E219" s="478" t="s">
        <v>753</v>
      </c>
      <c r="F219" s="478" t="s">
        <v>2502</v>
      </c>
      <c r="G219" s="240" t="s">
        <v>17</v>
      </c>
      <c r="H219" s="241" t="s">
        <v>816</v>
      </c>
      <c r="I219" s="241" t="s">
        <v>872</v>
      </c>
      <c r="J219" s="242" t="s">
        <v>917</v>
      </c>
      <c r="K219" s="1281" t="s">
        <v>2318</v>
      </c>
      <c r="L219" s="735" t="s">
        <v>855</v>
      </c>
      <c r="M219" s="1306" t="s">
        <v>1220</v>
      </c>
      <c r="N219" s="786"/>
      <c r="O219" s="1296"/>
      <c r="P219" s="238"/>
      <c r="Q219" s="1296" t="s">
        <v>832</v>
      </c>
      <c r="R219" s="243">
        <f>$B$1</f>
        <v>45388</v>
      </c>
      <c r="S219" s="249"/>
      <c r="T219" s="249"/>
      <c r="U219" s="250"/>
      <c r="V219" s="250"/>
      <c r="W219" s="245" t="str">
        <f>IFERROR(IF(AND(BD_PRINCIPAL[[#This Row],[DESDE]]&lt;&gt;"",BD_PRINCIPAL[[#This Row],[HASTA]]&lt;&gt;""),_xlfn.DAYS(BD_PRINCIPAL[[#This Row],[HASTA]],BD_PRINCIPAL[[#This Row],[DESDE]]),"")+1,"")</f>
        <v/>
      </c>
      <c r="X219" s="245">
        <f>VLOOKUP(BD_PRINCIPAL[[#This Row],[ENCUADRE. ESC.]],ORDEN1,2,FALSE)</f>
        <v>1</v>
      </c>
      <c r="Y219" s="245">
        <f>VLOOKUP(BD_PRINCIPAL[[#This Row],[DOTACIÓN ACTUAL]],ORDEN2,4,FALSE)</f>
        <v>163</v>
      </c>
      <c r="Z219" s="245">
        <f>VLOOKUP(BD_PRINCIPAL[[#This Row],[GRADO]],ORDEN3,2,FALSE)</f>
        <v>8</v>
      </c>
      <c r="AA219" s="245">
        <f>IFERROR(VLOOKUP(BD_PRINCIPAL[[#This Row],[DOTACIÓN ACTUAL]],ORDEN2,3,FALSE),0)</f>
        <v>0</v>
      </c>
      <c r="AB219" s="238" t="s">
        <v>853</v>
      </c>
      <c r="AC219" s="238" t="s">
        <v>6</v>
      </c>
      <c r="AD219" s="238" t="s">
        <v>2125</v>
      </c>
      <c r="AE219" s="238" t="s">
        <v>2</v>
      </c>
      <c r="AF219" s="238" t="s">
        <v>853</v>
      </c>
      <c r="AG219" s="238" t="s">
        <v>855</v>
      </c>
      <c r="AH219" s="238"/>
      <c r="AI219" s="238"/>
      <c r="AJ219" s="238"/>
      <c r="AK219" s="238"/>
      <c r="AL219" s="238"/>
      <c r="AM219" s="238"/>
      <c r="AN219" s="238"/>
      <c r="AO219" s="238"/>
      <c r="AP219" s="238"/>
      <c r="AQ219" s="238"/>
      <c r="AR219" s="238"/>
      <c r="AS219" s="238"/>
      <c r="AT219" s="246"/>
      <c r="AU219" s="246"/>
      <c r="AV219" s="246"/>
      <c r="AW219" s="246"/>
      <c r="AX219" s="246"/>
      <c r="AY219" s="246"/>
      <c r="AZ219" s="246"/>
      <c r="BA219" s="238"/>
      <c r="BB219" s="238"/>
      <c r="BC219" s="238"/>
      <c r="BD219" s="238"/>
      <c r="BE219" s="238"/>
      <c r="BF219" s="238"/>
      <c r="BG219" s="238"/>
      <c r="BH219" s="238"/>
      <c r="BI219" s="238"/>
      <c r="BJ219" s="238"/>
      <c r="BK219" s="238"/>
      <c r="BL219" s="238"/>
      <c r="BM219" s="786">
        <v>45131</v>
      </c>
      <c r="BN219" s="788"/>
    </row>
    <row r="220" spans="1:66" s="247" customFormat="1" x14ac:dyDescent="0.3">
      <c r="A220" s="245" t="s">
        <v>446</v>
      </c>
      <c r="B220" s="238" t="s">
        <v>214</v>
      </c>
      <c r="C220" s="245">
        <v>155421304</v>
      </c>
      <c r="D220" s="311" t="s">
        <v>717</v>
      </c>
      <c r="E220" s="478" t="s">
        <v>717</v>
      </c>
      <c r="F220" s="478" t="s">
        <v>214</v>
      </c>
      <c r="G220" s="248" t="s">
        <v>209</v>
      </c>
      <c r="H220" s="241" t="s">
        <v>816</v>
      </c>
      <c r="I220" s="241" t="s">
        <v>872</v>
      </c>
      <c r="J220" s="242" t="s">
        <v>917</v>
      </c>
      <c r="K220" s="1281" t="s">
        <v>2290</v>
      </c>
      <c r="L220" s="735" t="s">
        <v>855</v>
      </c>
      <c r="M220" s="1306" t="s">
        <v>1220</v>
      </c>
      <c r="N220" s="775"/>
      <c r="O220" s="1296"/>
      <c r="P220" s="238"/>
      <c r="Q220" s="1296" t="s">
        <v>832</v>
      </c>
      <c r="R220" s="243">
        <f>$B$1</f>
        <v>45388</v>
      </c>
      <c r="S220" s="239"/>
      <c r="T220" s="249" t="s">
        <v>2919</v>
      </c>
      <c r="U220" s="244"/>
      <c r="V220" s="250"/>
      <c r="W220" s="245" t="str">
        <f>IFERROR(IF(AND(BD_PRINCIPAL[[#This Row],[DESDE]]&lt;&gt;"",BD_PRINCIPAL[[#This Row],[HASTA]]&lt;&gt;""),_xlfn.DAYS(BD_PRINCIPAL[[#This Row],[HASTA]],BD_PRINCIPAL[[#This Row],[DESDE]]),"")+1,"")</f>
        <v/>
      </c>
      <c r="X220" s="245">
        <f>VLOOKUP(BD_PRINCIPAL[[#This Row],[ENCUADRE. ESC.]],ORDEN1,2,FALSE)</f>
        <v>1</v>
      </c>
      <c r="Y220" s="245">
        <f>VLOOKUP(BD_PRINCIPAL[[#This Row],[DOTACIÓN ACTUAL]],ORDEN2,4,FALSE)</f>
        <v>164</v>
      </c>
      <c r="Z220" s="245">
        <f>VLOOKUP(BD_PRINCIPAL[[#This Row],[GRADO]],ORDEN3,2,FALSE)</f>
        <v>10</v>
      </c>
      <c r="AA220" s="245">
        <f>IFERROR(VLOOKUP(BD_PRINCIPAL[[#This Row],[DOTACIÓN ACTUAL]],ORDEN2,3,FALSE),0)</f>
        <v>0</v>
      </c>
      <c r="AB220" s="238" t="s">
        <v>884</v>
      </c>
      <c r="AC220" s="238" t="s">
        <v>884</v>
      </c>
      <c r="AD220" s="238" t="s">
        <v>1</v>
      </c>
      <c r="AE220" s="238" t="s">
        <v>2</v>
      </c>
      <c r="AF220" s="238" t="s">
        <v>853</v>
      </c>
      <c r="AG220" s="238" t="s">
        <v>855</v>
      </c>
      <c r="AH220" s="238"/>
      <c r="AI220" s="238"/>
      <c r="AJ220" s="238"/>
      <c r="AK220" s="238"/>
      <c r="AL220" s="238"/>
      <c r="AM220" s="238"/>
      <c r="AN220" s="238"/>
      <c r="AO220" s="238"/>
      <c r="AP220" s="238"/>
      <c r="AQ220" s="238"/>
      <c r="AR220" s="238"/>
      <c r="AS220" s="238"/>
      <c r="AT220" s="246"/>
      <c r="AU220" s="246"/>
      <c r="AV220" s="246"/>
      <c r="AW220" s="246"/>
      <c r="AX220" s="246"/>
      <c r="AY220" s="246"/>
      <c r="AZ220" s="246"/>
      <c r="BA220" s="238"/>
      <c r="BB220" s="238"/>
      <c r="BC220" s="238"/>
      <c r="BD220" s="238"/>
      <c r="BE220" s="238"/>
      <c r="BF220" s="238"/>
      <c r="BG220" s="238"/>
      <c r="BH220" s="238"/>
      <c r="BI220" s="238"/>
      <c r="BJ220" s="238"/>
      <c r="BK220" s="238"/>
      <c r="BL220" s="238"/>
      <c r="BM220" s="775">
        <v>45132</v>
      </c>
      <c r="BN220" s="788"/>
    </row>
    <row r="221" spans="1:66" s="247" customFormat="1" ht="26.4" x14ac:dyDescent="0.3">
      <c r="A221" s="245" t="s">
        <v>2023</v>
      </c>
      <c r="B221" s="649" t="s">
        <v>2016</v>
      </c>
      <c r="C221" s="245" t="s">
        <v>2024</v>
      </c>
      <c r="D221" s="311" t="s">
        <v>717</v>
      </c>
      <c r="E221" s="478" t="s">
        <v>717</v>
      </c>
      <c r="F221" s="478" t="s">
        <v>2511</v>
      </c>
      <c r="G221" s="248" t="s">
        <v>209</v>
      </c>
      <c r="H221" s="241" t="s">
        <v>816</v>
      </c>
      <c r="I221" s="241" t="s">
        <v>872</v>
      </c>
      <c r="J221" s="242" t="s">
        <v>917</v>
      </c>
      <c r="K221" s="1281" t="s">
        <v>2300</v>
      </c>
      <c r="L221" s="735" t="s">
        <v>855</v>
      </c>
      <c r="M221" s="1306" t="s">
        <v>1220</v>
      </c>
      <c r="N221" s="774"/>
      <c r="O221" s="1296"/>
      <c r="P221" s="238"/>
      <c r="Q221" s="1296" t="s">
        <v>832</v>
      </c>
      <c r="R221" s="337">
        <f>$B$1</f>
        <v>45388</v>
      </c>
      <c r="S221" s="249" t="s">
        <v>3543</v>
      </c>
      <c r="T221" s="249" t="s">
        <v>2919</v>
      </c>
      <c r="U221" s="244"/>
      <c r="V221" s="244"/>
      <c r="W221" s="338" t="str">
        <f>IFERROR(IF(AND(BD_PRINCIPAL[[#This Row],[DESDE]]&lt;&gt;"",BD_PRINCIPAL[[#This Row],[HASTA]]&lt;&gt;""),_xlfn.DAYS(BD_PRINCIPAL[[#This Row],[HASTA]],BD_PRINCIPAL[[#This Row],[DESDE]]),"")+1,"")</f>
        <v/>
      </c>
      <c r="X221" s="338">
        <f>VLOOKUP(BD_PRINCIPAL[[#This Row],[ENCUADRE. ESC.]],ORDEN1,2,FALSE)</f>
        <v>1</v>
      </c>
      <c r="Y221" s="338">
        <f>VLOOKUP(BD_PRINCIPAL[[#This Row],[DOTACIÓN ACTUAL]],ORDEN2,4,FALSE)</f>
        <v>164</v>
      </c>
      <c r="Z221" s="338">
        <f>VLOOKUP(BD_PRINCIPAL[[#This Row],[GRADO]],ORDEN3,2,FALSE)</f>
        <v>10</v>
      </c>
      <c r="AA221" s="338">
        <f>IFERROR(VLOOKUP(BD_PRINCIPAL[[#This Row],[DOTACIÓN ACTUAL]],ORDEN2,3,FALSE),0)</f>
        <v>0</v>
      </c>
      <c r="AB221" s="238" t="s">
        <v>1</v>
      </c>
      <c r="AC221" s="238" t="s">
        <v>2</v>
      </c>
      <c r="AD221" s="238" t="s">
        <v>853</v>
      </c>
      <c r="AE221" s="238" t="s">
        <v>2</v>
      </c>
      <c r="AF221" s="238" t="s">
        <v>853</v>
      </c>
      <c r="AG221" s="238" t="s">
        <v>855</v>
      </c>
      <c r="AH221" s="238"/>
      <c r="AI221" s="238"/>
      <c r="AJ221" s="238"/>
      <c r="AK221" s="238"/>
      <c r="AL221" s="238"/>
      <c r="AM221" s="238"/>
      <c r="AN221" s="238"/>
      <c r="AO221" s="238"/>
      <c r="AP221" s="238"/>
      <c r="AQ221" s="238"/>
      <c r="AR221" s="238"/>
      <c r="AS221" s="238"/>
      <c r="AT221" s="246"/>
      <c r="AU221" s="246"/>
      <c r="AV221" s="246"/>
      <c r="AW221" s="246"/>
      <c r="AX221" s="246"/>
      <c r="AY221" s="246"/>
      <c r="AZ221" s="246"/>
      <c r="BA221" s="238"/>
      <c r="BB221" s="238"/>
      <c r="BC221" s="238"/>
      <c r="BD221" s="238"/>
      <c r="BE221" s="238"/>
      <c r="BF221" s="238"/>
      <c r="BG221" s="238"/>
      <c r="BH221" s="238"/>
      <c r="BI221" s="238"/>
      <c r="BJ221" s="238"/>
      <c r="BK221" s="238"/>
      <c r="BL221" s="238"/>
      <c r="BM221" s="775">
        <v>45386</v>
      </c>
      <c r="BN221" s="788"/>
    </row>
    <row r="222" spans="1:66" s="247" customFormat="1" ht="52.8" x14ac:dyDescent="0.3">
      <c r="A222" s="245" t="s">
        <v>2366</v>
      </c>
      <c r="B222" s="238" t="s">
        <v>2368</v>
      </c>
      <c r="C222" s="245" t="s">
        <v>2367</v>
      </c>
      <c r="D222" s="315" t="s">
        <v>717</v>
      </c>
      <c r="E222" s="478" t="s">
        <v>717</v>
      </c>
      <c r="F222" s="478" t="s">
        <v>2669</v>
      </c>
      <c r="G222" s="240" t="s">
        <v>3</v>
      </c>
      <c r="H222" s="241" t="s">
        <v>816</v>
      </c>
      <c r="I222" s="241" t="s">
        <v>872</v>
      </c>
      <c r="J222" s="241" t="s">
        <v>917</v>
      </c>
      <c r="K222" s="1281" t="s">
        <v>2670</v>
      </c>
      <c r="L222" s="735" t="s">
        <v>855</v>
      </c>
      <c r="M222" s="1306" t="s">
        <v>1220</v>
      </c>
      <c r="N222" s="775"/>
      <c r="O222" s="1296"/>
      <c r="P222" s="238"/>
      <c r="Q222" s="1296" t="s">
        <v>832</v>
      </c>
      <c r="R222" s="243">
        <f>$B$1</f>
        <v>45388</v>
      </c>
      <c r="S222" s="249" t="s">
        <v>3544</v>
      </c>
      <c r="T222" s="239"/>
      <c r="U222" s="244"/>
      <c r="V222" s="244"/>
      <c r="W222" s="245" t="str">
        <f>IFERROR(IF(AND(BD_PRINCIPAL[[#This Row],[DESDE]]&lt;&gt;"",BD_PRINCIPAL[[#This Row],[HASTA]]&lt;&gt;""),_xlfn.DAYS(BD_PRINCIPAL[[#This Row],[HASTA]],BD_PRINCIPAL[[#This Row],[DESDE]]),"")+1,"")</f>
        <v/>
      </c>
      <c r="X222" s="245">
        <f>VLOOKUP(BD_PRINCIPAL[[#This Row],[ENCUADRE. ESC.]],ORDEN1,2,FALSE)</f>
        <v>1</v>
      </c>
      <c r="Y222" s="245">
        <f>VLOOKUP(BD_PRINCIPAL[[#This Row],[DOTACIÓN ACTUAL]],ORDEN2,4,FALSE)</f>
        <v>164</v>
      </c>
      <c r="Z222" s="245">
        <f>VLOOKUP(BD_PRINCIPAL[[#This Row],[GRADO]],ORDEN3,2,FALSE)</f>
        <v>11</v>
      </c>
      <c r="AA222" s="245">
        <f>IFERROR(VLOOKUP(BD_PRINCIPAL[[#This Row],[DOTACIÓN ACTUAL]],ORDEN2,3,FALSE),0)</f>
        <v>0</v>
      </c>
      <c r="AB222" s="238" t="s">
        <v>853</v>
      </c>
      <c r="AC222" s="238" t="s">
        <v>6</v>
      </c>
      <c r="AD222" s="238" t="s">
        <v>2125</v>
      </c>
      <c r="AE222" s="238" t="s">
        <v>2</v>
      </c>
      <c r="AF222" s="238" t="s">
        <v>853</v>
      </c>
      <c r="AG222" s="238" t="s">
        <v>855</v>
      </c>
      <c r="AH222" s="238"/>
      <c r="AI222" s="238"/>
      <c r="AJ222" s="238"/>
      <c r="AK222" s="238"/>
      <c r="AL222" s="238"/>
      <c r="AM222" s="238"/>
      <c r="AN222" s="238"/>
      <c r="AO222" s="238"/>
      <c r="AP222" s="238"/>
      <c r="AQ222" s="238"/>
      <c r="AR222" s="238"/>
      <c r="AS222" s="238"/>
      <c r="AT222" s="246"/>
      <c r="AU222" s="246"/>
      <c r="AV222" s="246"/>
      <c r="AW222" s="246"/>
      <c r="AX222" s="246"/>
      <c r="AY222" s="246"/>
      <c r="AZ222" s="246"/>
      <c r="BA222" s="238"/>
      <c r="BB222" s="238"/>
      <c r="BC222" s="238"/>
      <c r="BD222" s="238"/>
      <c r="BE222" s="238"/>
      <c r="BF222" s="238"/>
      <c r="BG222" s="238"/>
      <c r="BH222" s="238"/>
      <c r="BI222" s="238"/>
      <c r="BJ222" s="238"/>
      <c r="BK222" s="238"/>
      <c r="BL222" s="238"/>
      <c r="BM222" s="775">
        <v>45000</v>
      </c>
      <c r="BN222" s="788"/>
    </row>
    <row r="223" spans="1:66" s="247" customFormat="1" ht="26.4" x14ac:dyDescent="0.3">
      <c r="A223" s="245" t="s">
        <v>436</v>
      </c>
      <c r="B223" s="238" t="s">
        <v>260</v>
      </c>
      <c r="C223" s="245">
        <v>193809979</v>
      </c>
      <c r="D223" s="311" t="s">
        <v>717</v>
      </c>
      <c r="E223" s="486" t="s">
        <v>717</v>
      </c>
      <c r="F223" s="478" t="s">
        <v>3301</v>
      </c>
      <c r="G223" s="240" t="s">
        <v>4</v>
      </c>
      <c r="H223" s="241" t="s">
        <v>816</v>
      </c>
      <c r="I223" s="241" t="s">
        <v>872</v>
      </c>
      <c r="J223" s="242" t="s">
        <v>917</v>
      </c>
      <c r="K223" s="1281" t="s">
        <v>2290</v>
      </c>
      <c r="L223" s="735" t="s">
        <v>855</v>
      </c>
      <c r="M223" s="1306" t="s">
        <v>1220</v>
      </c>
      <c r="N223" s="775"/>
      <c r="O223" s="1296"/>
      <c r="P223" s="238"/>
      <c r="Q223" s="1296" t="s">
        <v>832</v>
      </c>
      <c r="R223" s="243">
        <f>$B$1</f>
        <v>45388</v>
      </c>
      <c r="S223" s="249" t="s">
        <v>3412</v>
      </c>
      <c r="T223" s="249"/>
      <c r="U223" s="244"/>
      <c r="V223" s="244"/>
      <c r="W223" s="245" t="str">
        <f>IFERROR(IF(AND(BD_PRINCIPAL[[#This Row],[DESDE]]&lt;&gt;"",BD_PRINCIPAL[[#This Row],[HASTA]]&lt;&gt;""),_xlfn.DAYS(BD_PRINCIPAL[[#This Row],[HASTA]],BD_PRINCIPAL[[#This Row],[DESDE]]),"")+1,"")</f>
        <v/>
      </c>
      <c r="X223" s="245">
        <f>VLOOKUP(BD_PRINCIPAL[[#This Row],[ENCUADRE. ESC.]],ORDEN1,2,FALSE)</f>
        <v>1</v>
      </c>
      <c r="Y223" s="245">
        <f>VLOOKUP(BD_PRINCIPAL[[#This Row],[DOTACIÓN ACTUAL]],ORDEN2,4,FALSE)</f>
        <v>164</v>
      </c>
      <c r="Z223" s="245">
        <f>VLOOKUP(BD_PRINCIPAL[[#This Row],[GRADO]],ORDEN3,2,FALSE)</f>
        <v>12</v>
      </c>
      <c r="AA223" s="245">
        <f>IFERROR(VLOOKUP(BD_PRINCIPAL[[#This Row],[DOTACIÓN ACTUAL]],ORDEN2,3,FALSE),0)</f>
        <v>0</v>
      </c>
      <c r="AB223" s="238" t="s">
        <v>2</v>
      </c>
      <c r="AC223" s="238" t="s">
        <v>6</v>
      </c>
      <c r="AD223" s="238" t="s">
        <v>2125</v>
      </c>
      <c r="AE223" s="238" t="s">
        <v>2</v>
      </c>
      <c r="AF223" s="238" t="s">
        <v>853</v>
      </c>
      <c r="AG223" s="238" t="s">
        <v>855</v>
      </c>
      <c r="AH223" s="238"/>
      <c r="AI223" s="238"/>
      <c r="AJ223" s="238"/>
      <c r="AK223" s="238"/>
      <c r="AL223" s="238"/>
      <c r="AM223" s="238"/>
      <c r="AN223" s="238"/>
      <c r="AO223" s="238"/>
      <c r="AP223" s="238"/>
      <c r="AQ223" s="238"/>
      <c r="AR223" s="238"/>
      <c r="AS223" s="238"/>
      <c r="AT223" s="246"/>
      <c r="AU223" s="246"/>
      <c r="AV223" s="246"/>
      <c r="AW223" s="246"/>
      <c r="AX223" s="246"/>
      <c r="AY223" s="246"/>
      <c r="AZ223" s="246"/>
      <c r="BA223" s="238"/>
      <c r="BB223" s="238"/>
      <c r="BC223" s="238"/>
      <c r="BD223" s="238"/>
      <c r="BE223" s="238"/>
      <c r="BF223" s="238"/>
      <c r="BG223" s="238"/>
      <c r="BH223" s="238"/>
      <c r="BI223" s="238"/>
      <c r="BJ223" s="238"/>
      <c r="BK223" s="238"/>
      <c r="BL223" s="238"/>
      <c r="BM223" s="775">
        <v>45034</v>
      </c>
      <c r="BN223" s="788"/>
    </row>
    <row r="224" spans="1:66" s="247" customFormat="1" ht="52.8" x14ac:dyDescent="0.3">
      <c r="A224" s="245" t="s">
        <v>365</v>
      </c>
      <c r="B224" s="238" t="s">
        <v>63</v>
      </c>
      <c r="C224" s="245">
        <v>187195047</v>
      </c>
      <c r="D224" s="311" t="s">
        <v>717</v>
      </c>
      <c r="E224" s="486" t="s">
        <v>717</v>
      </c>
      <c r="F224" s="478" t="s">
        <v>63</v>
      </c>
      <c r="G224" s="240" t="s">
        <v>4</v>
      </c>
      <c r="H224" s="241" t="s">
        <v>816</v>
      </c>
      <c r="I224" s="241" t="s">
        <v>872</v>
      </c>
      <c r="J224" s="242" t="s">
        <v>917</v>
      </c>
      <c r="K224" s="1281" t="s">
        <v>2290</v>
      </c>
      <c r="L224" s="735" t="s">
        <v>855</v>
      </c>
      <c r="M224" s="1306" t="s">
        <v>1220</v>
      </c>
      <c r="N224" s="775"/>
      <c r="O224" s="1296"/>
      <c r="P224" s="238"/>
      <c r="Q224" s="1296" t="s">
        <v>832</v>
      </c>
      <c r="R224" s="243">
        <f>$B$1</f>
        <v>45388</v>
      </c>
      <c r="S224" s="249" t="s">
        <v>3321</v>
      </c>
      <c r="T224" s="249"/>
      <c r="U224" s="244"/>
      <c r="V224" s="244"/>
      <c r="W224" s="245" t="str">
        <f>IFERROR(IF(AND(BD_PRINCIPAL[[#This Row],[DESDE]]&lt;&gt;"",BD_PRINCIPAL[[#This Row],[HASTA]]&lt;&gt;""),_xlfn.DAYS(BD_PRINCIPAL[[#This Row],[HASTA]],BD_PRINCIPAL[[#This Row],[DESDE]]),"")+1,"")</f>
        <v/>
      </c>
      <c r="X224" s="245">
        <f>VLOOKUP(BD_PRINCIPAL[[#This Row],[ENCUADRE. ESC.]],ORDEN1,2,FALSE)</f>
        <v>1</v>
      </c>
      <c r="Y224" s="245">
        <f>VLOOKUP(BD_PRINCIPAL[[#This Row],[DOTACIÓN ACTUAL]],ORDEN2,4,FALSE)</f>
        <v>164</v>
      </c>
      <c r="Z224" s="245">
        <f>VLOOKUP(BD_PRINCIPAL[[#This Row],[GRADO]],ORDEN3,2,FALSE)</f>
        <v>12</v>
      </c>
      <c r="AA224" s="245">
        <f>IFERROR(VLOOKUP(BD_PRINCIPAL[[#This Row],[DOTACIÓN ACTUAL]],ORDEN2,3,FALSE),0)</f>
        <v>0</v>
      </c>
      <c r="AB224" s="238" t="s">
        <v>853</v>
      </c>
      <c r="AC224" s="238" t="s">
        <v>6</v>
      </c>
      <c r="AD224" s="238" t="s">
        <v>2125</v>
      </c>
      <c r="AE224" s="238" t="s">
        <v>2</v>
      </c>
      <c r="AF224" s="238" t="s">
        <v>853</v>
      </c>
      <c r="AG224" s="238" t="s">
        <v>855</v>
      </c>
      <c r="AH224" s="238"/>
      <c r="AI224" s="238"/>
      <c r="AJ224" s="238"/>
      <c r="AK224" s="238"/>
      <c r="AL224" s="238"/>
      <c r="AM224" s="238"/>
      <c r="AN224" s="238"/>
      <c r="AO224" s="238"/>
      <c r="AP224" s="238"/>
      <c r="AQ224" s="238"/>
      <c r="AR224" s="238"/>
      <c r="AS224" s="238"/>
      <c r="AT224" s="246"/>
      <c r="AU224" s="246"/>
      <c r="AV224" s="246"/>
      <c r="AW224" s="246"/>
      <c r="AX224" s="246"/>
      <c r="AY224" s="246"/>
      <c r="AZ224" s="246"/>
      <c r="BA224" s="238"/>
      <c r="BB224" s="238"/>
      <c r="BC224" s="238"/>
      <c r="BD224" s="238"/>
      <c r="BE224" s="238"/>
      <c r="BF224" s="238"/>
      <c r="BG224" s="238"/>
      <c r="BH224" s="238"/>
      <c r="BI224" s="238"/>
      <c r="BJ224" s="238"/>
      <c r="BK224" s="238"/>
      <c r="BL224" s="238"/>
      <c r="BM224" s="775">
        <v>45071</v>
      </c>
      <c r="BN224" s="788"/>
    </row>
    <row r="225" spans="1:66" s="247" customFormat="1" x14ac:dyDescent="0.3">
      <c r="A225" s="245" t="s">
        <v>2188</v>
      </c>
      <c r="B225" s="649" t="s">
        <v>2190</v>
      </c>
      <c r="C225" s="245" t="s">
        <v>2189</v>
      </c>
      <c r="D225" s="311" t="s">
        <v>717</v>
      </c>
      <c r="E225" s="478" t="s">
        <v>717</v>
      </c>
      <c r="F225" s="478" t="s">
        <v>2190</v>
      </c>
      <c r="G225" s="248" t="s">
        <v>14</v>
      </c>
      <c r="H225" s="241" t="s">
        <v>816</v>
      </c>
      <c r="I225" s="241" t="s">
        <v>872</v>
      </c>
      <c r="J225" s="242" t="s">
        <v>917</v>
      </c>
      <c r="K225" s="1281" t="s">
        <v>2290</v>
      </c>
      <c r="L225" s="735" t="s">
        <v>855</v>
      </c>
      <c r="M225" s="1306" t="s">
        <v>1220</v>
      </c>
      <c r="N225" s="774"/>
      <c r="O225" s="1296"/>
      <c r="P225" s="238"/>
      <c r="Q225" s="1296" t="s">
        <v>832</v>
      </c>
      <c r="R225" s="337">
        <f>$B$1</f>
        <v>45388</v>
      </c>
      <c r="S225" s="249"/>
      <c r="T225" s="249"/>
      <c r="U225" s="244"/>
      <c r="V225" s="244"/>
      <c r="W225" s="338" t="str">
        <f>IFERROR(IF(AND(BD_PRINCIPAL[[#This Row],[DESDE]]&lt;&gt;"",BD_PRINCIPAL[[#This Row],[HASTA]]&lt;&gt;""),_xlfn.DAYS(BD_PRINCIPAL[[#This Row],[HASTA]],BD_PRINCIPAL[[#This Row],[DESDE]]),"")+1,"")</f>
        <v/>
      </c>
      <c r="X225" s="338">
        <f>VLOOKUP(BD_PRINCIPAL[[#This Row],[ENCUADRE. ESC.]],ORDEN1,2,FALSE)</f>
        <v>1</v>
      </c>
      <c r="Y225" s="338">
        <f>VLOOKUP(BD_PRINCIPAL[[#This Row],[DOTACIÓN ACTUAL]],ORDEN2,4,FALSE)</f>
        <v>164</v>
      </c>
      <c r="Z225" s="338">
        <f>VLOOKUP(BD_PRINCIPAL[[#This Row],[GRADO]],ORDEN3,2,FALSE)</f>
        <v>13</v>
      </c>
      <c r="AA225" s="338">
        <f>IFERROR(VLOOKUP(BD_PRINCIPAL[[#This Row],[DOTACIÓN ACTUAL]],ORDEN2,3,FALSE),0)</f>
        <v>0</v>
      </c>
      <c r="AB225" s="238" t="s">
        <v>853</v>
      </c>
      <c r="AC225" s="238" t="s">
        <v>6</v>
      </c>
      <c r="AD225" s="238" t="s">
        <v>2125</v>
      </c>
      <c r="AE225" s="238" t="s">
        <v>2</v>
      </c>
      <c r="AF225" s="238" t="s">
        <v>853</v>
      </c>
      <c r="AG225" s="238" t="s">
        <v>855</v>
      </c>
      <c r="AH225" s="238"/>
      <c r="AI225" s="238"/>
      <c r="AJ225" s="238"/>
      <c r="AK225" s="238"/>
      <c r="AL225" s="238"/>
      <c r="AM225" s="238"/>
      <c r="AN225" s="238"/>
      <c r="AO225" s="238"/>
      <c r="AP225" s="238"/>
      <c r="AQ225" s="238"/>
      <c r="AR225" s="238"/>
      <c r="AS225" s="238"/>
      <c r="AT225" s="246"/>
      <c r="AU225" s="246"/>
      <c r="AV225" s="246"/>
      <c r="AW225" s="246"/>
      <c r="AX225" s="246"/>
      <c r="AY225" s="246"/>
      <c r="AZ225" s="246"/>
      <c r="BA225" s="238"/>
      <c r="BB225" s="238"/>
      <c r="BC225" s="238"/>
      <c r="BD225" s="238"/>
      <c r="BE225" s="238"/>
      <c r="BF225" s="238"/>
      <c r="BG225" s="238"/>
      <c r="BH225" s="238"/>
      <c r="BI225" s="238"/>
      <c r="BJ225" s="238"/>
      <c r="BK225" s="238"/>
      <c r="BL225" s="238"/>
      <c r="BM225" s="775">
        <v>45365</v>
      </c>
      <c r="BN225" s="788"/>
    </row>
    <row r="226" spans="1:66" s="189" customFormat="1" x14ac:dyDescent="0.3">
      <c r="A226" s="188" t="s">
        <v>434</v>
      </c>
      <c r="B226" s="181" t="s">
        <v>1846</v>
      </c>
      <c r="C226" s="188">
        <v>157680536</v>
      </c>
      <c r="D226" s="313" t="s">
        <v>755</v>
      </c>
      <c r="E226" s="479" t="s">
        <v>755</v>
      </c>
      <c r="F226" s="479" t="s">
        <v>2516</v>
      </c>
      <c r="G226" s="183" t="s">
        <v>17</v>
      </c>
      <c r="H226" s="184" t="s">
        <v>816</v>
      </c>
      <c r="I226" s="184" t="s">
        <v>872</v>
      </c>
      <c r="J226" s="185" t="s">
        <v>917</v>
      </c>
      <c r="K226" s="1283" t="s">
        <v>2307</v>
      </c>
      <c r="L226" s="736" t="s">
        <v>855</v>
      </c>
      <c r="M226" s="1308" t="s">
        <v>1220</v>
      </c>
      <c r="N226" s="777"/>
      <c r="O226" s="1298"/>
      <c r="P226" s="181"/>
      <c r="Q226" s="1298" t="s">
        <v>832</v>
      </c>
      <c r="R226" s="186">
        <f>$B$1</f>
        <v>45388</v>
      </c>
      <c r="S226" s="190"/>
      <c r="T226" s="190"/>
      <c r="U226" s="192"/>
      <c r="V226" s="192"/>
      <c r="W226" s="188" t="str">
        <f>IFERROR(IF(AND(BD_PRINCIPAL[[#This Row],[DESDE]]&lt;&gt;"",BD_PRINCIPAL[[#This Row],[HASTA]]&lt;&gt;""),_xlfn.DAYS(BD_PRINCIPAL[[#This Row],[HASTA]],BD_PRINCIPAL[[#This Row],[DESDE]]),"")+1,"")</f>
        <v/>
      </c>
      <c r="X226" s="188">
        <f>VLOOKUP(BD_PRINCIPAL[[#This Row],[ENCUADRE. ESC.]],ORDEN1,2,FALSE)</f>
        <v>1</v>
      </c>
      <c r="Y226" s="188">
        <f>VLOOKUP(BD_PRINCIPAL[[#This Row],[DOTACIÓN ACTUAL]],ORDEN2,4,FALSE)</f>
        <v>167</v>
      </c>
      <c r="Z226" s="188">
        <f>VLOOKUP(BD_PRINCIPAL[[#This Row],[GRADO]],ORDEN3,2,FALSE)</f>
        <v>8</v>
      </c>
      <c r="AA226" s="188">
        <f>IFERROR(VLOOKUP(BD_PRINCIPAL[[#This Row],[DOTACIÓN ACTUAL]],ORDEN2,3,FALSE),0)</f>
        <v>0</v>
      </c>
      <c r="AB226" s="181" t="s">
        <v>853</v>
      </c>
      <c r="AC226" s="181" t="s">
        <v>6</v>
      </c>
      <c r="AD226" s="181" t="s">
        <v>2125</v>
      </c>
      <c r="AE226" s="181" t="s">
        <v>2</v>
      </c>
      <c r="AF226" s="181" t="s">
        <v>853</v>
      </c>
      <c r="AG226" s="181" t="s">
        <v>855</v>
      </c>
      <c r="AH226" s="181"/>
      <c r="AI226" s="181"/>
      <c r="AJ226" s="181"/>
      <c r="AK226" s="181"/>
      <c r="AL226" s="181"/>
      <c r="AM226" s="181"/>
      <c r="AN226" s="181"/>
      <c r="AO226" s="181"/>
      <c r="AP226" s="181"/>
      <c r="AQ226" s="181"/>
      <c r="AR226" s="181"/>
      <c r="AS226" s="181"/>
      <c r="AT226" s="187"/>
      <c r="AU226" s="187"/>
      <c r="AV226" s="187"/>
      <c r="AW226" s="187"/>
      <c r="AX226" s="187"/>
      <c r="AY226" s="187"/>
      <c r="AZ226" s="187"/>
      <c r="BA226" s="181"/>
      <c r="BB226" s="181"/>
      <c r="BC226" s="181"/>
      <c r="BD226" s="181"/>
      <c r="BE226" s="181"/>
      <c r="BF226" s="181"/>
      <c r="BG226" s="181"/>
      <c r="BH226" s="181"/>
      <c r="BI226" s="181"/>
      <c r="BJ226" s="181"/>
      <c r="BK226" s="181"/>
      <c r="BL226" s="181"/>
      <c r="BM226" s="777">
        <v>45132</v>
      </c>
      <c r="BN226" s="792"/>
    </row>
    <row r="227" spans="1:66" s="189" customFormat="1" ht="18.75" customHeight="1" x14ac:dyDescent="0.3">
      <c r="A227" s="188" t="s">
        <v>642</v>
      </c>
      <c r="B227" s="181" t="s">
        <v>1559</v>
      </c>
      <c r="C227" s="188">
        <v>135066745</v>
      </c>
      <c r="D227" s="313" t="s">
        <v>703</v>
      </c>
      <c r="E227" s="479" t="s">
        <v>703</v>
      </c>
      <c r="F227" s="479" t="s">
        <v>2528</v>
      </c>
      <c r="G227" s="191" t="s">
        <v>89</v>
      </c>
      <c r="H227" s="184" t="s">
        <v>816</v>
      </c>
      <c r="I227" s="184" t="s">
        <v>872</v>
      </c>
      <c r="J227" s="185" t="s">
        <v>917</v>
      </c>
      <c r="K227" s="1283" t="s">
        <v>2300</v>
      </c>
      <c r="L227" s="736" t="s">
        <v>855</v>
      </c>
      <c r="M227" s="1308" t="s">
        <v>1220</v>
      </c>
      <c r="N227" s="777"/>
      <c r="O227" s="1298"/>
      <c r="P227" s="181"/>
      <c r="Q227" s="1298" t="s">
        <v>832</v>
      </c>
      <c r="R227" s="186">
        <f>$B$1</f>
        <v>45388</v>
      </c>
      <c r="S227" s="190" t="s">
        <v>1483</v>
      </c>
      <c r="T227" s="190" t="s">
        <v>3358</v>
      </c>
      <c r="U227" s="192"/>
      <c r="V227" s="192"/>
      <c r="W227" s="188" t="str">
        <f>IFERROR(IF(AND(BD_PRINCIPAL[[#This Row],[DESDE]]&lt;&gt;"",BD_PRINCIPAL[[#This Row],[HASTA]]&lt;&gt;""),_xlfn.DAYS(BD_PRINCIPAL[[#This Row],[HASTA]],BD_PRINCIPAL[[#This Row],[DESDE]]),"")+1,"")</f>
        <v/>
      </c>
      <c r="X227" s="188">
        <f>VLOOKUP(BD_PRINCIPAL[[#This Row],[ENCUADRE. ESC.]],ORDEN1,2,FALSE)</f>
        <v>1</v>
      </c>
      <c r="Y227" s="188">
        <f>VLOOKUP(BD_PRINCIPAL[[#This Row],[DOTACIÓN ACTUAL]],ORDEN2,4,FALSE)</f>
        <v>168</v>
      </c>
      <c r="Z227" s="188">
        <f>VLOOKUP(BD_PRINCIPAL[[#This Row],[GRADO]],ORDEN3,2,FALSE)</f>
        <v>9</v>
      </c>
      <c r="AA227" s="188">
        <f>IFERROR(VLOOKUP(BD_PRINCIPAL[[#This Row],[DOTACIÓN ACTUAL]],ORDEN2,3,FALSE),0)</f>
        <v>0</v>
      </c>
      <c r="AB227" s="181" t="s">
        <v>853</v>
      </c>
      <c r="AC227" s="181" t="s">
        <v>6</v>
      </c>
      <c r="AD227" s="181" t="s">
        <v>2125</v>
      </c>
      <c r="AE227" s="181" t="s">
        <v>2</v>
      </c>
      <c r="AF227" s="181" t="s">
        <v>853</v>
      </c>
      <c r="AG227" s="181" t="s">
        <v>855</v>
      </c>
      <c r="AH227" s="181"/>
      <c r="AI227" s="181"/>
      <c r="AJ227" s="181"/>
      <c r="AK227" s="181"/>
      <c r="AL227" s="181"/>
      <c r="AM227" s="181"/>
      <c r="AN227" s="181"/>
      <c r="AO227" s="181"/>
      <c r="AP227" s="181"/>
      <c r="AQ227" s="181"/>
      <c r="AR227" s="181"/>
      <c r="AS227" s="181"/>
      <c r="AT227" s="187"/>
      <c r="AU227" s="187"/>
      <c r="AV227" s="187"/>
      <c r="AW227" s="187"/>
      <c r="AX227" s="187"/>
      <c r="AY227" s="187"/>
      <c r="AZ227" s="187"/>
      <c r="BA227" s="181"/>
      <c r="BB227" s="181"/>
      <c r="BC227" s="181"/>
      <c r="BD227" s="181"/>
      <c r="BE227" s="181"/>
      <c r="BF227" s="181"/>
      <c r="BG227" s="181"/>
      <c r="BH227" s="181"/>
      <c r="BI227" s="181"/>
      <c r="BJ227" s="181"/>
      <c r="BK227" s="181"/>
      <c r="BL227" s="181"/>
      <c r="BM227" s="777">
        <v>45197</v>
      </c>
      <c r="BN227" s="792"/>
    </row>
    <row r="228" spans="1:66" s="189" customFormat="1" x14ac:dyDescent="0.3">
      <c r="A228" s="188" t="s">
        <v>530</v>
      </c>
      <c r="B228" s="181" t="s">
        <v>44</v>
      </c>
      <c r="C228" s="188">
        <v>155688203</v>
      </c>
      <c r="D228" s="313" t="s">
        <v>703</v>
      </c>
      <c r="E228" s="488" t="s">
        <v>703</v>
      </c>
      <c r="F228" s="479" t="s">
        <v>44</v>
      </c>
      <c r="G228" s="191" t="s">
        <v>209</v>
      </c>
      <c r="H228" s="184" t="s">
        <v>816</v>
      </c>
      <c r="I228" s="184" t="s">
        <v>872</v>
      </c>
      <c r="J228" s="185" t="s">
        <v>917</v>
      </c>
      <c r="K228" s="1283" t="s">
        <v>2290</v>
      </c>
      <c r="L228" s="736" t="s">
        <v>855</v>
      </c>
      <c r="M228" s="1308" t="s">
        <v>1220</v>
      </c>
      <c r="N228" s="777"/>
      <c r="O228" s="1298"/>
      <c r="P228" s="181"/>
      <c r="Q228" s="1298" t="s">
        <v>832</v>
      </c>
      <c r="R228" s="186">
        <f>$B$1</f>
        <v>45388</v>
      </c>
      <c r="S228" s="190"/>
      <c r="T228" s="190"/>
      <c r="U228" s="192"/>
      <c r="V228" s="192"/>
      <c r="W228" s="188" t="str">
        <f>IFERROR(IF(AND(BD_PRINCIPAL[[#This Row],[DESDE]]&lt;&gt;"",BD_PRINCIPAL[[#This Row],[HASTA]]&lt;&gt;""),_xlfn.DAYS(BD_PRINCIPAL[[#This Row],[HASTA]],BD_PRINCIPAL[[#This Row],[DESDE]]),"")+1,"")</f>
        <v/>
      </c>
      <c r="X228" s="188">
        <f>VLOOKUP(BD_PRINCIPAL[[#This Row],[ENCUADRE. ESC.]],ORDEN1,2,FALSE)</f>
        <v>1</v>
      </c>
      <c r="Y228" s="188">
        <f>VLOOKUP(BD_PRINCIPAL[[#This Row],[DOTACIÓN ACTUAL]],ORDEN2,4,FALSE)</f>
        <v>168</v>
      </c>
      <c r="Z228" s="188">
        <f>VLOOKUP(BD_PRINCIPAL[[#This Row],[GRADO]],ORDEN3,2,FALSE)</f>
        <v>10</v>
      </c>
      <c r="AA228" s="188">
        <f>IFERROR(VLOOKUP(BD_PRINCIPAL[[#This Row],[DOTACIÓN ACTUAL]],ORDEN2,3,FALSE),0)</f>
        <v>0</v>
      </c>
      <c r="AB228" s="181" t="s">
        <v>853</v>
      </c>
      <c r="AC228" s="181" t="s">
        <v>6</v>
      </c>
      <c r="AD228" s="181" t="s">
        <v>2125</v>
      </c>
      <c r="AE228" s="181" t="s">
        <v>2</v>
      </c>
      <c r="AF228" s="181" t="s">
        <v>853</v>
      </c>
      <c r="AG228" s="181" t="s">
        <v>855</v>
      </c>
      <c r="AH228" s="181"/>
      <c r="AI228" s="181"/>
      <c r="AJ228" s="181"/>
      <c r="AK228" s="181"/>
      <c r="AL228" s="181"/>
      <c r="AM228" s="181"/>
      <c r="AN228" s="181"/>
      <c r="AO228" s="181"/>
      <c r="AP228" s="181"/>
      <c r="AQ228" s="181"/>
      <c r="AR228" s="181"/>
      <c r="AS228" s="181"/>
      <c r="AT228" s="187"/>
      <c r="AU228" s="187"/>
      <c r="AV228" s="187"/>
      <c r="AW228" s="187"/>
      <c r="AX228" s="187"/>
      <c r="AY228" s="187"/>
      <c r="AZ228" s="187"/>
      <c r="BA228" s="181"/>
      <c r="BB228" s="181"/>
      <c r="BC228" s="181"/>
      <c r="BD228" s="181"/>
      <c r="BE228" s="181"/>
      <c r="BF228" s="181"/>
      <c r="BG228" s="181"/>
      <c r="BH228" s="181"/>
      <c r="BI228" s="181"/>
      <c r="BJ228" s="181"/>
      <c r="BK228" s="181"/>
      <c r="BL228" s="181"/>
      <c r="BM228" s="777">
        <v>45054</v>
      </c>
      <c r="BN228" s="792"/>
    </row>
    <row r="229" spans="1:66" s="189" customFormat="1" x14ac:dyDescent="0.3">
      <c r="A229" s="188" t="s">
        <v>450</v>
      </c>
      <c r="B229" s="181" t="s">
        <v>175</v>
      </c>
      <c r="C229" s="188">
        <v>158448831</v>
      </c>
      <c r="D229" s="313" t="s">
        <v>703</v>
      </c>
      <c r="E229" s="488" t="s">
        <v>703</v>
      </c>
      <c r="F229" s="479" t="s">
        <v>175</v>
      </c>
      <c r="G229" s="191" t="s">
        <v>209</v>
      </c>
      <c r="H229" s="184" t="s">
        <v>816</v>
      </c>
      <c r="I229" s="184" t="s">
        <v>872</v>
      </c>
      <c r="J229" s="185" t="s">
        <v>917</v>
      </c>
      <c r="K229" s="1283" t="s">
        <v>2290</v>
      </c>
      <c r="L229" s="736" t="s">
        <v>855</v>
      </c>
      <c r="M229" s="1308" t="s">
        <v>1220</v>
      </c>
      <c r="N229" s="777"/>
      <c r="O229" s="1298"/>
      <c r="P229" s="181"/>
      <c r="Q229" s="1298" t="s">
        <v>832</v>
      </c>
      <c r="R229" s="186">
        <f>$B$1</f>
        <v>45388</v>
      </c>
      <c r="S229" s="190" t="s">
        <v>1483</v>
      </c>
      <c r="T229" s="190" t="s">
        <v>2919</v>
      </c>
      <c r="U229" s="192"/>
      <c r="V229" s="192"/>
      <c r="W229" s="188" t="str">
        <f>IFERROR(IF(AND(BD_PRINCIPAL[[#This Row],[DESDE]]&lt;&gt;"",BD_PRINCIPAL[[#This Row],[HASTA]]&lt;&gt;""),_xlfn.DAYS(BD_PRINCIPAL[[#This Row],[HASTA]],BD_PRINCIPAL[[#This Row],[DESDE]]),"")+1,"")</f>
        <v/>
      </c>
      <c r="X229" s="188">
        <f>VLOOKUP(BD_PRINCIPAL[[#This Row],[ENCUADRE. ESC.]],ORDEN1,2,FALSE)</f>
        <v>1</v>
      </c>
      <c r="Y229" s="188">
        <f>VLOOKUP(BD_PRINCIPAL[[#This Row],[DOTACIÓN ACTUAL]],ORDEN2,4,FALSE)</f>
        <v>168</v>
      </c>
      <c r="Z229" s="188">
        <f>VLOOKUP(BD_PRINCIPAL[[#This Row],[GRADO]],ORDEN3,2,FALSE)</f>
        <v>10</v>
      </c>
      <c r="AA229" s="188">
        <f>IFERROR(VLOOKUP(BD_PRINCIPAL[[#This Row],[DOTACIÓN ACTUAL]],ORDEN2,3,FALSE),0)</f>
        <v>0</v>
      </c>
      <c r="AB229" s="181" t="s">
        <v>853</v>
      </c>
      <c r="AC229" s="181" t="s">
        <v>6</v>
      </c>
      <c r="AD229" s="181" t="s">
        <v>2125</v>
      </c>
      <c r="AE229" s="181" t="s">
        <v>2</v>
      </c>
      <c r="AF229" s="181" t="s">
        <v>853</v>
      </c>
      <c r="AG229" s="181" t="s">
        <v>855</v>
      </c>
      <c r="AH229" s="181"/>
      <c r="AI229" s="181"/>
      <c r="AJ229" s="181"/>
      <c r="AK229" s="181"/>
      <c r="AL229" s="181"/>
      <c r="AM229" s="181"/>
      <c r="AN229" s="181"/>
      <c r="AO229" s="181"/>
      <c r="AP229" s="181"/>
      <c r="AQ229" s="181"/>
      <c r="AR229" s="181"/>
      <c r="AS229" s="181"/>
      <c r="AT229" s="187"/>
      <c r="AU229" s="187"/>
      <c r="AV229" s="187"/>
      <c r="AW229" s="187"/>
      <c r="AX229" s="187"/>
      <c r="AY229" s="187"/>
      <c r="AZ229" s="187"/>
      <c r="BA229" s="181"/>
      <c r="BB229" s="181"/>
      <c r="BC229" s="181"/>
      <c r="BD229" s="181"/>
      <c r="BE229" s="181"/>
      <c r="BF229" s="181"/>
      <c r="BG229" s="181"/>
      <c r="BH229" s="181"/>
      <c r="BI229" s="181"/>
      <c r="BJ229" s="181"/>
      <c r="BK229" s="181"/>
      <c r="BL229" s="181"/>
      <c r="BM229" s="777">
        <v>45071</v>
      </c>
      <c r="BN229" s="792"/>
    </row>
    <row r="230" spans="1:66" s="189" customFormat="1" x14ac:dyDescent="0.3">
      <c r="A230" s="188" t="s">
        <v>355</v>
      </c>
      <c r="B230" s="181" t="s">
        <v>123</v>
      </c>
      <c r="C230" s="188">
        <v>176478608</v>
      </c>
      <c r="D230" s="313" t="s">
        <v>703</v>
      </c>
      <c r="E230" s="479" t="s">
        <v>703</v>
      </c>
      <c r="F230" s="479" t="s">
        <v>123</v>
      </c>
      <c r="G230" s="183" t="s">
        <v>4</v>
      </c>
      <c r="H230" s="184" t="s">
        <v>816</v>
      </c>
      <c r="I230" s="184" t="s">
        <v>872</v>
      </c>
      <c r="J230" s="185" t="s">
        <v>917</v>
      </c>
      <c r="K230" s="1283" t="s">
        <v>2290</v>
      </c>
      <c r="L230" s="736" t="s">
        <v>855</v>
      </c>
      <c r="M230" s="1308" t="s">
        <v>1220</v>
      </c>
      <c r="N230" s="777"/>
      <c r="O230" s="1298"/>
      <c r="P230" s="181"/>
      <c r="Q230" s="1298" t="s">
        <v>832</v>
      </c>
      <c r="R230" s="186">
        <f>$B$1</f>
        <v>45388</v>
      </c>
      <c r="S230" s="190"/>
      <c r="T230" s="190"/>
      <c r="U230" s="192"/>
      <c r="V230" s="192"/>
      <c r="W230" s="188" t="str">
        <f>IFERROR(IF(AND(BD_PRINCIPAL[[#This Row],[DESDE]]&lt;&gt;"",BD_PRINCIPAL[[#This Row],[HASTA]]&lt;&gt;""),_xlfn.DAYS(BD_PRINCIPAL[[#This Row],[HASTA]],BD_PRINCIPAL[[#This Row],[DESDE]]),"")+1,"")</f>
        <v/>
      </c>
      <c r="X230" s="188">
        <f>VLOOKUP(BD_PRINCIPAL[[#This Row],[ENCUADRE. ESC.]],ORDEN1,2,FALSE)</f>
        <v>1</v>
      </c>
      <c r="Y230" s="188">
        <f>VLOOKUP(BD_PRINCIPAL[[#This Row],[DOTACIÓN ACTUAL]],ORDEN2,4,FALSE)</f>
        <v>168</v>
      </c>
      <c r="Z230" s="188">
        <f>VLOOKUP(BD_PRINCIPAL[[#This Row],[GRADO]],ORDEN3,2,FALSE)</f>
        <v>12</v>
      </c>
      <c r="AA230" s="188">
        <f>IFERROR(VLOOKUP(BD_PRINCIPAL[[#This Row],[DOTACIÓN ACTUAL]],ORDEN2,3,FALSE),0)</f>
        <v>0</v>
      </c>
      <c r="AB230" s="181" t="s">
        <v>853</v>
      </c>
      <c r="AC230" s="181" t="s">
        <v>6</v>
      </c>
      <c r="AD230" s="181" t="s">
        <v>2125</v>
      </c>
      <c r="AE230" s="181" t="s">
        <v>2</v>
      </c>
      <c r="AF230" s="181" t="s">
        <v>853</v>
      </c>
      <c r="AG230" s="181" t="s">
        <v>855</v>
      </c>
      <c r="AH230" s="181"/>
      <c r="AI230" s="181"/>
      <c r="AJ230" s="181"/>
      <c r="AK230" s="181"/>
      <c r="AL230" s="181"/>
      <c r="AM230" s="181"/>
      <c r="AN230" s="181"/>
      <c r="AO230" s="181"/>
      <c r="AP230" s="181"/>
      <c r="AQ230" s="181"/>
      <c r="AR230" s="181"/>
      <c r="AS230" s="181"/>
      <c r="AT230" s="187"/>
      <c r="AU230" s="187"/>
      <c r="AV230" s="187"/>
      <c r="AW230" s="187"/>
      <c r="AX230" s="187"/>
      <c r="AY230" s="187"/>
      <c r="AZ230" s="187"/>
      <c r="BA230" s="181"/>
      <c r="BB230" s="181"/>
      <c r="BC230" s="181"/>
      <c r="BD230" s="181"/>
      <c r="BE230" s="181"/>
      <c r="BF230" s="181"/>
      <c r="BG230" s="181"/>
      <c r="BH230" s="181"/>
      <c r="BI230" s="181"/>
      <c r="BJ230" s="181"/>
      <c r="BK230" s="181"/>
      <c r="BL230" s="181"/>
      <c r="BM230" s="777">
        <v>45141</v>
      </c>
      <c r="BN230" s="792"/>
    </row>
    <row r="231" spans="1:66" s="189" customFormat="1" x14ac:dyDescent="0.3">
      <c r="A231" s="188" t="s">
        <v>348</v>
      </c>
      <c r="B231" s="181" t="s">
        <v>140</v>
      </c>
      <c r="C231" s="188">
        <v>182166197</v>
      </c>
      <c r="D231" s="313" t="s">
        <v>703</v>
      </c>
      <c r="E231" s="488" t="s">
        <v>703</v>
      </c>
      <c r="F231" s="479" t="s">
        <v>2283</v>
      </c>
      <c r="G231" s="183" t="s">
        <v>4</v>
      </c>
      <c r="H231" s="184" t="s">
        <v>816</v>
      </c>
      <c r="I231" s="184" t="s">
        <v>872</v>
      </c>
      <c r="J231" s="185" t="s">
        <v>917</v>
      </c>
      <c r="K231" s="1283" t="s">
        <v>2301</v>
      </c>
      <c r="L231" s="736" t="s">
        <v>855</v>
      </c>
      <c r="M231" s="1308" t="s">
        <v>1220</v>
      </c>
      <c r="N231" s="777"/>
      <c r="O231" s="1298"/>
      <c r="P231" s="181"/>
      <c r="Q231" s="1298" t="s">
        <v>832</v>
      </c>
      <c r="R231" s="186">
        <f>$B$1</f>
        <v>45388</v>
      </c>
      <c r="S231" s="190"/>
      <c r="T231" s="190"/>
      <c r="U231" s="192"/>
      <c r="V231" s="192"/>
      <c r="W231" s="188" t="str">
        <f>IFERROR(IF(AND(BD_PRINCIPAL[[#This Row],[DESDE]]&lt;&gt;"",BD_PRINCIPAL[[#This Row],[HASTA]]&lt;&gt;""),_xlfn.DAYS(BD_PRINCIPAL[[#This Row],[HASTA]],BD_PRINCIPAL[[#This Row],[DESDE]]),"")+1,"")</f>
        <v/>
      </c>
      <c r="X231" s="188">
        <f>VLOOKUP(BD_PRINCIPAL[[#This Row],[ENCUADRE. ESC.]],ORDEN1,2,FALSE)</f>
        <v>1</v>
      </c>
      <c r="Y231" s="188">
        <f>VLOOKUP(BD_PRINCIPAL[[#This Row],[DOTACIÓN ACTUAL]],ORDEN2,4,FALSE)</f>
        <v>168</v>
      </c>
      <c r="Z231" s="188">
        <f>VLOOKUP(BD_PRINCIPAL[[#This Row],[GRADO]],ORDEN3,2,FALSE)</f>
        <v>12</v>
      </c>
      <c r="AA231" s="188">
        <f>IFERROR(VLOOKUP(BD_PRINCIPAL[[#This Row],[DOTACIÓN ACTUAL]],ORDEN2,3,FALSE),0)</f>
        <v>0</v>
      </c>
      <c r="AB231" s="181" t="s">
        <v>853</v>
      </c>
      <c r="AC231" s="181" t="s">
        <v>6</v>
      </c>
      <c r="AD231" s="181" t="s">
        <v>2125</v>
      </c>
      <c r="AE231" s="181" t="s">
        <v>1</v>
      </c>
      <c r="AF231" s="181" t="s">
        <v>853</v>
      </c>
      <c r="AG231" s="181" t="s">
        <v>855</v>
      </c>
      <c r="AH231" s="181"/>
      <c r="AI231" s="181"/>
      <c r="AJ231" s="181"/>
      <c r="AK231" s="181"/>
      <c r="AL231" s="181"/>
      <c r="AM231" s="181"/>
      <c r="AN231" s="181"/>
      <c r="AO231" s="181"/>
      <c r="AP231" s="181"/>
      <c r="AQ231" s="181"/>
      <c r="AR231" s="181"/>
      <c r="AS231" s="181"/>
      <c r="AT231" s="187"/>
      <c r="AU231" s="187"/>
      <c r="AV231" s="187"/>
      <c r="AW231" s="187"/>
      <c r="AX231" s="187"/>
      <c r="AY231" s="187"/>
      <c r="AZ231" s="187"/>
      <c r="BA231" s="181"/>
      <c r="BB231" s="181"/>
      <c r="BC231" s="181"/>
      <c r="BD231" s="181"/>
      <c r="BE231" s="181"/>
      <c r="BF231" s="181"/>
      <c r="BG231" s="181"/>
      <c r="BH231" s="181"/>
      <c r="BI231" s="181"/>
      <c r="BJ231" s="181"/>
      <c r="BK231" s="181"/>
      <c r="BL231" s="181"/>
      <c r="BM231" s="777">
        <v>45386</v>
      </c>
      <c r="BN231" s="792"/>
    </row>
    <row r="232" spans="1:66" s="189" customFormat="1" x14ac:dyDescent="0.3">
      <c r="A232" s="188" t="s">
        <v>677</v>
      </c>
      <c r="B232" s="181" t="s">
        <v>126</v>
      </c>
      <c r="C232" s="188">
        <v>194226551</v>
      </c>
      <c r="D232" s="479" t="s">
        <v>703</v>
      </c>
      <c r="E232" s="479" t="s">
        <v>703</v>
      </c>
      <c r="F232" s="479" t="s">
        <v>126</v>
      </c>
      <c r="G232" s="183" t="s">
        <v>4</v>
      </c>
      <c r="H232" s="184" t="s">
        <v>816</v>
      </c>
      <c r="I232" s="184" t="s">
        <v>872</v>
      </c>
      <c r="J232" s="185" t="s">
        <v>917</v>
      </c>
      <c r="K232" s="1283" t="s">
        <v>2290</v>
      </c>
      <c r="L232" s="736" t="s">
        <v>855</v>
      </c>
      <c r="M232" s="1308" t="s">
        <v>1220</v>
      </c>
      <c r="N232" s="777"/>
      <c r="O232" s="1298"/>
      <c r="P232" s="181"/>
      <c r="Q232" s="1298" t="s">
        <v>832</v>
      </c>
      <c r="R232" s="186">
        <f>$B$1</f>
        <v>45388</v>
      </c>
      <c r="S232" s="190"/>
      <c r="T232" s="190"/>
      <c r="U232" s="192"/>
      <c r="V232" s="192"/>
      <c r="W232" s="188" t="str">
        <f>IFERROR(IF(AND(BD_PRINCIPAL[[#This Row],[DESDE]]&lt;&gt;"",BD_PRINCIPAL[[#This Row],[HASTA]]&lt;&gt;""),_xlfn.DAYS(BD_PRINCIPAL[[#This Row],[HASTA]],BD_PRINCIPAL[[#This Row],[DESDE]]),"")+1,"")</f>
        <v/>
      </c>
      <c r="X232" s="188">
        <f>VLOOKUP(BD_PRINCIPAL[[#This Row],[ENCUADRE. ESC.]],ORDEN1,2,FALSE)</f>
        <v>1</v>
      </c>
      <c r="Y232" s="188">
        <f>VLOOKUP(BD_PRINCIPAL[[#This Row],[DOTACIÓN ACTUAL]],ORDEN2,4,FALSE)</f>
        <v>168</v>
      </c>
      <c r="Z232" s="188">
        <f>VLOOKUP(BD_PRINCIPAL[[#This Row],[GRADO]],ORDEN3,2,FALSE)</f>
        <v>12</v>
      </c>
      <c r="AA232" s="188">
        <f>IFERROR(VLOOKUP(BD_PRINCIPAL[[#This Row],[DOTACIÓN ACTUAL]],ORDEN2,3,FALSE),0)</f>
        <v>0</v>
      </c>
      <c r="AB232" s="181" t="s">
        <v>884</v>
      </c>
      <c r="AC232" s="181" t="s">
        <v>6</v>
      </c>
      <c r="AD232" s="181" t="s">
        <v>2125</v>
      </c>
      <c r="AE232" s="181" t="s">
        <v>1</v>
      </c>
      <c r="AF232" s="181" t="s">
        <v>853</v>
      </c>
      <c r="AG232" s="181" t="s">
        <v>855</v>
      </c>
      <c r="AH232" s="181"/>
      <c r="AI232" s="181"/>
      <c r="AJ232" s="181"/>
      <c r="AK232" s="181"/>
      <c r="AL232" s="181"/>
      <c r="AM232" s="181"/>
      <c r="AN232" s="181"/>
      <c r="AO232" s="181"/>
      <c r="AP232" s="181"/>
      <c r="AQ232" s="181"/>
      <c r="AR232" s="181"/>
      <c r="AS232" s="181"/>
      <c r="AT232" s="187"/>
      <c r="AU232" s="187"/>
      <c r="AV232" s="187"/>
      <c r="AW232" s="187"/>
      <c r="AX232" s="187"/>
      <c r="AY232" s="187"/>
      <c r="AZ232" s="187"/>
      <c r="BA232" s="181"/>
      <c r="BB232" s="181"/>
      <c r="BC232" s="181"/>
      <c r="BD232" s="181"/>
      <c r="BE232" s="181"/>
      <c r="BF232" s="181"/>
      <c r="BG232" s="181"/>
      <c r="BH232" s="181"/>
      <c r="BI232" s="181"/>
      <c r="BJ232" s="181"/>
      <c r="BK232" s="181"/>
      <c r="BL232" s="181"/>
      <c r="BM232" s="777">
        <v>45145</v>
      </c>
      <c r="BN232" s="792"/>
    </row>
    <row r="233" spans="1:66" s="189" customFormat="1" x14ac:dyDescent="0.3">
      <c r="A233" s="188" t="s">
        <v>590</v>
      </c>
      <c r="B233" s="181" t="s">
        <v>268</v>
      </c>
      <c r="C233" s="188">
        <v>192782120</v>
      </c>
      <c r="D233" s="313" t="s">
        <v>703</v>
      </c>
      <c r="E233" s="479" t="s">
        <v>703</v>
      </c>
      <c r="F233" s="479" t="s">
        <v>268</v>
      </c>
      <c r="G233" s="183" t="s">
        <v>14</v>
      </c>
      <c r="H233" s="184" t="s">
        <v>816</v>
      </c>
      <c r="I233" s="184" t="s">
        <v>872</v>
      </c>
      <c r="J233" s="185" t="s">
        <v>917</v>
      </c>
      <c r="K233" s="1283" t="s">
        <v>2290</v>
      </c>
      <c r="L233" s="736" t="s">
        <v>855</v>
      </c>
      <c r="M233" s="1308" t="s">
        <v>1220</v>
      </c>
      <c r="N233" s="1030"/>
      <c r="O233" s="1298"/>
      <c r="P233" s="181"/>
      <c r="Q233" s="1298" t="s">
        <v>832</v>
      </c>
      <c r="R233" s="186">
        <f>$B$1</f>
        <v>45388</v>
      </c>
      <c r="S233" s="190"/>
      <c r="T233" s="190"/>
      <c r="U233" s="192"/>
      <c r="V233" s="192"/>
      <c r="W233" s="188" t="str">
        <f>IFERROR(IF(AND(BD_PRINCIPAL[[#This Row],[DESDE]]&lt;&gt;"",BD_PRINCIPAL[[#This Row],[HASTA]]&lt;&gt;""),_xlfn.DAYS(BD_PRINCIPAL[[#This Row],[HASTA]],BD_PRINCIPAL[[#This Row],[DESDE]]),"")+1,"")</f>
        <v/>
      </c>
      <c r="X233" s="188">
        <f>VLOOKUP(BD_PRINCIPAL[[#This Row],[ENCUADRE. ESC.]],ORDEN1,2,FALSE)</f>
        <v>1</v>
      </c>
      <c r="Y233" s="188">
        <f>VLOOKUP(BD_PRINCIPAL[[#This Row],[DOTACIÓN ACTUAL]],ORDEN2,4,FALSE)</f>
        <v>168</v>
      </c>
      <c r="Z233" s="188">
        <f>VLOOKUP(BD_PRINCIPAL[[#This Row],[GRADO]],ORDEN3,2,FALSE)</f>
        <v>13</v>
      </c>
      <c r="AA233" s="188">
        <f>IFERROR(VLOOKUP(BD_PRINCIPAL[[#This Row],[DOTACIÓN ACTUAL]],ORDEN2,3,FALSE),0)</f>
        <v>0</v>
      </c>
      <c r="AB233" s="181" t="s">
        <v>853</v>
      </c>
      <c r="AC233" s="181" t="s">
        <v>6</v>
      </c>
      <c r="AD233" s="181" t="s">
        <v>2125</v>
      </c>
      <c r="AE233" s="181" t="s">
        <v>2</v>
      </c>
      <c r="AF233" s="181" t="s">
        <v>853</v>
      </c>
      <c r="AG233" s="181" t="s">
        <v>855</v>
      </c>
      <c r="AH233" s="181"/>
      <c r="AI233" s="181"/>
      <c r="AJ233" s="181"/>
      <c r="AK233" s="181"/>
      <c r="AL233" s="181"/>
      <c r="AM233" s="181"/>
      <c r="AN233" s="181"/>
      <c r="AO233" s="181"/>
      <c r="AP233" s="181"/>
      <c r="AQ233" s="181"/>
      <c r="AR233" s="181"/>
      <c r="AS233" s="181"/>
      <c r="AT233" s="187"/>
      <c r="AU233" s="187"/>
      <c r="AV233" s="187"/>
      <c r="AW233" s="187"/>
      <c r="AX233" s="187"/>
      <c r="AY233" s="187"/>
      <c r="AZ233" s="187"/>
      <c r="BA233" s="181"/>
      <c r="BB233" s="181"/>
      <c r="BC233" s="181"/>
      <c r="BD233" s="181"/>
      <c r="BE233" s="181"/>
      <c r="BF233" s="181"/>
      <c r="BG233" s="181"/>
      <c r="BH233" s="181"/>
      <c r="BI233" s="181"/>
      <c r="BJ233" s="181"/>
      <c r="BK233" s="181"/>
      <c r="BL233" s="181"/>
      <c r="BM233" s="1030">
        <v>45367</v>
      </c>
      <c r="BN233" s="792"/>
    </row>
    <row r="234" spans="1:66" s="189" customFormat="1" x14ac:dyDescent="0.3">
      <c r="A234" s="188" t="s">
        <v>346</v>
      </c>
      <c r="B234" s="181" t="s">
        <v>100</v>
      </c>
      <c r="C234" s="188">
        <v>188056555</v>
      </c>
      <c r="D234" s="313" t="s">
        <v>703</v>
      </c>
      <c r="E234" s="488" t="s">
        <v>703</v>
      </c>
      <c r="F234" s="479" t="s">
        <v>3041</v>
      </c>
      <c r="G234" s="183" t="s">
        <v>14</v>
      </c>
      <c r="H234" s="184" t="s">
        <v>816</v>
      </c>
      <c r="I234" s="184" t="s">
        <v>872</v>
      </c>
      <c r="J234" s="185" t="s">
        <v>917</v>
      </c>
      <c r="K234" s="1283" t="s">
        <v>2308</v>
      </c>
      <c r="L234" s="736" t="s">
        <v>855</v>
      </c>
      <c r="M234" s="1308" t="s">
        <v>1220</v>
      </c>
      <c r="N234" s="777"/>
      <c r="O234" s="1298"/>
      <c r="P234" s="181"/>
      <c r="Q234" s="1298" t="s">
        <v>832</v>
      </c>
      <c r="R234" s="186">
        <f>$B$1</f>
        <v>45388</v>
      </c>
      <c r="S234" s="190" t="s">
        <v>1483</v>
      </c>
      <c r="T234" s="190"/>
      <c r="U234" s="192"/>
      <c r="V234" s="192"/>
      <c r="W234" s="188" t="str">
        <f>IFERROR(IF(AND(BD_PRINCIPAL[[#This Row],[DESDE]]&lt;&gt;"",BD_PRINCIPAL[[#This Row],[HASTA]]&lt;&gt;""),_xlfn.DAYS(BD_PRINCIPAL[[#This Row],[HASTA]],BD_PRINCIPAL[[#This Row],[DESDE]]),"")+1,"")</f>
        <v/>
      </c>
      <c r="X234" s="188">
        <f>VLOOKUP(BD_PRINCIPAL[[#This Row],[ENCUADRE. ESC.]],ORDEN1,2,FALSE)</f>
        <v>1</v>
      </c>
      <c r="Y234" s="188">
        <f>VLOOKUP(BD_PRINCIPAL[[#This Row],[DOTACIÓN ACTUAL]],ORDEN2,4,FALSE)</f>
        <v>168</v>
      </c>
      <c r="Z234" s="188">
        <f>VLOOKUP(BD_PRINCIPAL[[#This Row],[GRADO]],ORDEN3,2,FALSE)</f>
        <v>13</v>
      </c>
      <c r="AA234" s="188">
        <f>IFERROR(VLOOKUP(BD_PRINCIPAL[[#This Row],[DOTACIÓN ACTUAL]],ORDEN2,3,FALSE),0)</f>
        <v>0</v>
      </c>
      <c r="AB234" s="181" t="s">
        <v>853</v>
      </c>
      <c r="AC234" s="181" t="s">
        <v>6</v>
      </c>
      <c r="AD234" s="181" t="s">
        <v>2125</v>
      </c>
      <c r="AE234" s="181" t="s">
        <v>2</v>
      </c>
      <c r="AF234" s="181" t="s">
        <v>1</v>
      </c>
      <c r="AG234" s="181" t="s">
        <v>855</v>
      </c>
      <c r="AH234" s="181"/>
      <c r="AI234" s="181"/>
      <c r="AJ234" s="181"/>
      <c r="AK234" s="181"/>
      <c r="AL234" s="181"/>
      <c r="AM234" s="181"/>
      <c r="AN234" s="181"/>
      <c r="AO234" s="181"/>
      <c r="AP234" s="181"/>
      <c r="AQ234" s="181"/>
      <c r="AR234" s="181"/>
      <c r="AS234" s="181"/>
      <c r="AT234" s="187"/>
      <c r="AU234" s="187"/>
      <c r="AV234" s="187"/>
      <c r="AW234" s="187"/>
      <c r="AX234" s="187"/>
      <c r="AY234" s="187"/>
      <c r="AZ234" s="187"/>
      <c r="BA234" s="181"/>
      <c r="BB234" s="181"/>
      <c r="BC234" s="181"/>
      <c r="BD234" s="181"/>
      <c r="BE234" s="181"/>
      <c r="BF234" s="181"/>
      <c r="BG234" s="181"/>
      <c r="BH234" s="181"/>
      <c r="BI234" s="181"/>
      <c r="BJ234" s="181"/>
      <c r="BK234" s="181"/>
      <c r="BL234" s="181"/>
      <c r="BM234" s="777">
        <v>45365</v>
      </c>
      <c r="BN234" s="792"/>
    </row>
    <row r="235" spans="1:66" s="233" customFormat="1" x14ac:dyDescent="0.3">
      <c r="A235" s="231" t="s">
        <v>333</v>
      </c>
      <c r="B235" s="225" t="s">
        <v>185</v>
      </c>
      <c r="C235" s="231">
        <v>157579851</v>
      </c>
      <c r="D235" s="484" t="s">
        <v>756</v>
      </c>
      <c r="E235" s="484" t="s">
        <v>756</v>
      </c>
      <c r="F235" s="477" t="s">
        <v>3336</v>
      </c>
      <c r="G235" s="235" t="s">
        <v>209</v>
      </c>
      <c r="H235" s="228" t="s">
        <v>816</v>
      </c>
      <c r="I235" s="228" t="s">
        <v>872</v>
      </c>
      <c r="J235" s="229" t="s">
        <v>917</v>
      </c>
      <c r="K235" s="1280" t="s">
        <v>2290</v>
      </c>
      <c r="L235" s="734" t="s">
        <v>855</v>
      </c>
      <c r="M235" s="1305" t="s">
        <v>1220</v>
      </c>
      <c r="N235" s="773"/>
      <c r="O235" s="1295"/>
      <c r="P235" s="225"/>
      <c r="Q235" s="1295" t="s">
        <v>832</v>
      </c>
      <c r="R235" s="234">
        <f>$B$1</f>
        <v>45388</v>
      </c>
      <c r="S235" s="236"/>
      <c r="T235" s="226"/>
      <c r="U235" s="230"/>
      <c r="V235" s="230"/>
      <c r="W235" s="231" t="str">
        <f>IFERROR(IF(AND(BD_PRINCIPAL[[#This Row],[DESDE]]&lt;&gt;"",BD_PRINCIPAL[[#This Row],[HASTA]]&lt;&gt;""),_xlfn.DAYS(BD_PRINCIPAL[[#This Row],[HASTA]],BD_PRINCIPAL[[#This Row],[DESDE]]),"")+1,"")</f>
        <v/>
      </c>
      <c r="X235" s="231">
        <f>VLOOKUP(BD_PRINCIPAL[[#This Row],[ENCUADRE. ESC.]],ORDEN1,2,FALSE)</f>
        <v>1</v>
      </c>
      <c r="Y235" s="231">
        <f>VLOOKUP(BD_PRINCIPAL[[#This Row],[DOTACIÓN ACTUAL]],ORDEN2,4,FALSE)</f>
        <v>171</v>
      </c>
      <c r="Z235" s="231">
        <f>VLOOKUP(BD_PRINCIPAL[[#This Row],[GRADO]],ORDEN3,2,FALSE)</f>
        <v>10</v>
      </c>
      <c r="AA235" s="231">
        <f>IFERROR(VLOOKUP(BD_PRINCIPAL[[#This Row],[DOTACIÓN ACTUAL]],ORDEN2,3,FALSE),0)</f>
        <v>0</v>
      </c>
      <c r="AB235" s="225" t="s">
        <v>853</v>
      </c>
      <c r="AC235" s="225" t="s">
        <v>853</v>
      </c>
      <c r="AD235" s="225" t="s">
        <v>853</v>
      </c>
      <c r="AE235" s="225" t="s">
        <v>853</v>
      </c>
      <c r="AF235" s="225" t="s">
        <v>853</v>
      </c>
      <c r="AG235" s="225" t="s">
        <v>855</v>
      </c>
      <c r="AH235" s="225"/>
      <c r="AI235" s="225"/>
      <c r="AJ235" s="225"/>
      <c r="AK235" s="225"/>
      <c r="AL235" s="225"/>
      <c r="AM235" s="225"/>
      <c r="AN235" s="225"/>
      <c r="AO235" s="225"/>
      <c r="AP235" s="225"/>
      <c r="AQ235" s="225"/>
      <c r="AR235" s="225"/>
      <c r="AS235" s="225"/>
      <c r="AT235" s="232"/>
      <c r="AU235" s="232"/>
      <c r="AV235" s="232"/>
      <c r="AW235" s="232"/>
      <c r="AX235" s="232"/>
      <c r="AY235" s="232"/>
      <c r="AZ235" s="232"/>
      <c r="BA235" s="225"/>
      <c r="BB235" s="225"/>
      <c r="BC235" s="225"/>
      <c r="BD235" s="225"/>
      <c r="BE235" s="225"/>
      <c r="BF235" s="225"/>
      <c r="BG235" s="225"/>
      <c r="BH235" s="225"/>
      <c r="BI235" s="225"/>
      <c r="BJ235" s="225"/>
      <c r="BK235" s="225"/>
      <c r="BL235" s="225"/>
      <c r="BM235" s="773">
        <v>45034</v>
      </c>
      <c r="BN235" s="790"/>
    </row>
    <row r="236" spans="1:66" s="233" customFormat="1" x14ac:dyDescent="0.3">
      <c r="A236" s="231" t="s">
        <v>413</v>
      </c>
      <c r="B236" s="225" t="s">
        <v>1564</v>
      </c>
      <c r="C236" s="231" t="s">
        <v>414</v>
      </c>
      <c r="D236" s="484" t="s">
        <v>730</v>
      </c>
      <c r="E236" s="484" t="s">
        <v>730</v>
      </c>
      <c r="F236" s="477" t="s">
        <v>2639</v>
      </c>
      <c r="G236" s="227" t="s">
        <v>3</v>
      </c>
      <c r="H236" s="228" t="s">
        <v>816</v>
      </c>
      <c r="I236" s="228" t="s">
        <v>872</v>
      </c>
      <c r="J236" s="229" t="s">
        <v>917</v>
      </c>
      <c r="K236" s="1280" t="s">
        <v>2640</v>
      </c>
      <c r="L236" s="734" t="s">
        <v>855</v>
      </c>
      <c r="M236" s="1305" t="s">
        <v>1220</v>
      </c>
      <c r="N236" s="780"/>
      <c r="O236" s="1295"/>
      <c r="P236" s="225"/>
      <c r="Q236" s="1295" t="s">
        <v>832</v>
      </c>
      <c r="R236" s="234">
        <f>$B$1</f>
        <v>45388</v>
      </c>
      <c r="S236" s="236"/>
      <c r="T236" s="236" t="s">
        <v>3425</v>
      </c>
      <c r="U236" s="237"/>
      <c r="V236" s="237"/>
      <c r="W236" s="231" t="str">
        <f>IFERROR(IF(AND(BD_PRINCIPAL[[#This Row],[DESDE]]&lt;&gt;"",BD_PRINCIPAL[[#This Row],[HASTA]]&lt;&gt;""),_xlfn.DAYS(BD_PRINCIPAL[[#This Row],[HASTA]],BD_PRINCIPAL[[#This Row],[DESDE]]),"")+1,"")</f>
        <v/>
      </c>
      <c r="X236" s="231">
        <f>VLOOKUP(BD_PRINCIPAL[[#This Row],[ENCUADRE. ESC.]],ORDEN1,2,FALSE)</f>
        <v>1</v>
      </c>
      <c r="Y236" s="231">
        <f>VLOOKUP(BD_PRINCIPAL[[#This Row],[DOTACIÓN ACTUAL]],ORDEN2,4,FALSE)</f>
        <v>172</v>
      </c>
      <c r="Z236" s="231">
        <f>VLOOKUP(BD_PRINCIPAL[[#This Row],[GRADO]],ORDEN3,2,FALSE)</f>
        <v>11</v>
      </c>
      <c r="AA236" s="231">
        <f>IFERROR(VLOOKUP(BD_PRINCIPAL[[#This Row],[DOTACIÓN ACTUAL]],ORDEN2,3,FALSE),0)</f>
        <v>0</v>
      </c>
      <c r="AB236" s="225" t="s">
        <v>853</v>
      </c>
      <c r="AC236" s="225" t="s">
        <v>853</v>
      </c>
      <c r="AD236" s="225" t="s">
        <v>853</v>
      </c>
      <c r="AE236" s="225" t="s">
        <v>853</v>
      </c>
      <c r="AF236" s="225" t="s">
        <v>853</v>
      </c>
      <c r="AG236" s="225" t="s">
        <v>855</v>
      </c>
      <c r="AH236" s="225"/>
      <c r="AI236" s="225"/>
      <c r="AJ236" s="225"/>
      <c r="AK236" s="225"/>
      <c r="AL236" s="225"/>
      <c r="AM236" s="225"/>
      <c r="AN236" s="225"/>
      <c r="AO236" s="225"/>
      <c r="AP236" s="225"/>
      <c r="AQ236" s="225"/>
      <c r="AR236" s="225"/>
      <c r="AS236" s="225"/>
      <c r="AT236" s="232"/>
      <c r="AU236" s="232"/>
      <c r="AV236" s="232"/>
      <c r="AW236" s="232"/>
      <c r="AX236" s="232"/>
      <c r="AY236" s="232"/>
      <c r="AZ236" s="232"/>
      <c r="BA236" s="225"/>
      <c r="BB236" s="225"/>
      <c r="BC236" s="225"/>
      <c r="BD236" s="225"/>
      <c r="BE236" s="225"/>
      <c r="BF236" s="225"/>
      <c r="BG236" s="225"/>
      <c r="BH236" s="225"/>
      <c r="BI236" s="225"/>
      <c r="BJ236" s="225"/>
      <c r="BK236" s="225"/>
      <c r="BL236" s="225"/>
      <c r="BM236" s="780">
        <v>45176</v>
      </c>
      <c r="BN236" s="790"/>
    </row>
    <row r="237" spans="1:66" s="233" customFormat="1" x14ac:dyDescent="0.3">
      <c r="A237" s="231" t="s">
        <v>2773</v>
      </c>
      <c r="B237" s="746" t="s">
        <v>2774</v>
      </c>
      <c r="C237" s="231">
        <v>175640150</v>
      </c>
      <c r="D237" s="477" t="s">
        <v>730</v>
      </c>
      <c r="E237" s="477" t="s">
        <v>730</v>
      </c>
      <c r="F237" s="477" t="s">
        <v>2774</v>
      </c>
      <c r="G237" s="235" t="s">
        <v>3</v>
      </c>
      <c r="H237" s="228" t="s">
        <v>816</v>
      </c>
      <c r="I237" s="228" t="s">
        <v>872</v>
      </c>
      <c r="J237" s="229" t="s">
        <v>917</v>
      </c>
      <c r="K237" s="1280" t="s">
        <v>2290</v>
      </c>
      <c r="L237" s="734" t="s">
        <v>855</v>
      </c>
      <c r="M237" s="1305" t="s">
        <v>1220</v>
      </c>
      <c r="N237" s="779"/>
      <c r="O237" s="1295"/>
      <c r="P237" s="225"/>
      <c r="Q237" s="1295" t="s">
        <v>832</v>
      </c>
      <c r="R237" s="386">
        <v>32975</v>
      </c>
      <c r="S237" s="226"/>
      <c r="T237" s="226"/>
      <c r="U237" s="794"/>
      <c r="V237" s="794"/>
      <c r="W237" s="387" t="str">
        <f>IFERROR(IF(AND(BD_PRINCIPAL[[#This Row],[DESDE]]&lt;&gt;"",BD_PRINCIPAL[[#This Row],[HASTA]]&lt;&gt;""),_xlfn.DAYS(BD_PRINCIPAL[[#This Row],[HASTA]],BD_PRINCIPAL[[#This Row],[DESDE]]),"")+1,"")</f>
        <v/>
      </c>
      <c r="X237" s="387">
        <f>VLOOKUP(BD_PRINCIPAL[[#This Row],[ENCUADRE. ESC.]],ORDEN1,2,FALSE)</f>
        <v>1</v>
      </c>
      <c r="Y237" s="387">
        <f>VLOOKUP(BD_PRINCIPAL[[#This Row],[DOTACIÓN ACTUAL]],ORDEN2,4,FALSE)</f>
        <v>172</v>
      </c>
      <c r="Z237" s="387">
        <f>VLOOKUP(BD_PRINCIPAL[[#This Row],[GRADO]],ORDEN3,2,FALSE)</f>
        <v>11</v>
      </c>
      <c r="AA237" s="387">
        <f>IFERROR(VLOOKUP(BD_PRINCIPAL[[#This Row],[DOTACIÓN ACTUAL]],ORDEN2,3,FALSE),0)</f>
        <v>0</v>
      </c>
      <c r="AB237" s="232" t="s">
        <v>853</v>
      </c>
      <c r="AC237" s="232" t="s">
        <v>853</v>
      </c>
      <c r="AD237" s="232" t="s">
        <v>853</v>
      </c>
      <c r="AE237" s="232" t="s">
        <v>853</v>
      </c>
      <c r="AF237" s="232" t="s">
        <v>853</v>
      </c>
      <c r="AG237" s="232" t="s">
        <v>855</v>
      </c>
      <c r="AH237" s="232"/>
      <c r="AI237" s="232"/>
      <c r="AJ237" s="232"/>
      <c r="AK237" s="232"/>
      <c r="AL237" s="232"/>
      <c r="AM237" s="232"/>
      <c r="AN237" s="232"/>
      <c r="AO237" s="232"/>
      <c r="AP237" s="232"/>
      <c r="AQ237" s="232"/>
      <c r="AR237" s="232"/>
      <c r="AS237" s="232"/>
      <c r="AT237" s="232"/>
      <c r="AU237" s="232"/>
      <c r="AV237" s="232"/>
      <c r="AW237" s="232"/>
      <c r="AX237" s="232"/>
      <c r="AY237" s="232"/>
      <c r="AZ237" s="232"/>
      <c r="BA237" s="225"/>
      <c r="BB237" s="225"/>
      <c r="BC237" s="225"/>
      <c r="BD237" s="225"/>
      <c r="BE237" s="225"/>
      <c r="BF237" s="225"/>
      <c r="BG237" s="225"/>
      <c r="BH237" s="225"/>
      <c r="BI237" s="225"/>
      <c r="BJ237" s="225"/>
      <c r="BK237" s="225"/>
      <c r="BL237" s="225"/>
      <c r="BM237" s="901">
        <v>45162</v>
      </c>
      <c r="BN237" s="901"/>
    </row>
    <row r="238" spans="1:66" s="233" customFormat="1" x14ac:dyDescent="0.3">
      <c r="A238" s="231" t="s">
        <v>423</v>
      </c>
      <c r="B238" s="225" t="s">
        <v>12</v>
      </c>
      <c r="C238" s="231">
        <v>191225953</v>
      </c>
      <c r="D238" s="310" t="s">
        <v>730</v>
      </c>
      <c r="E238" s="484" t="s">
        <v>730</v>
      </c>
      <c r="F238" s="477" t="s">
        <v>12</v>
      </c>
      <c r="G238" s="227" t="s">
        <v>3</v>
      </c>
      <c r="H238" s="228" t="s">
        <v>816</v>
      </c>
      <c r="I238" s="228" t="s">
        <v>872</v>
      </c>
      <c r="J238" s="229" t="s">
        <v>917</v>
      </c>
      <c r="K238" s="1280" t="s">
        <v>2290</v>
      </c>
      <c r="L238" s="734" t="s">
        <v>855</v>
      </c>
      <c r="M238" s="1305" t="s">
        <v>1220</v>
      </c>
      <c r="N238" s="975"/>
      <c r="O238" s="1295"/>
      <c r="P238" s="225"/>
      <c r="Q238" s="1295" t="s">
        <v>832</v>
      </c>
      <c r="R238" s="234">
        <f>$B$1</f>
        <v>45388</v>
      </c>
      <c r="S238" s="236"/>
      <c r="T238" s="236"/>
      <c r="U238" s="230"/>
      <c r="V238" s="230"/>
      <c r="W238" s="231" t="str">
        <f>IFERROR(IF(AND(BD_PRINCIPAL[[#This Row],[DESDE]]&lt;&gt;"",BD_PRINCIPAL[[#This Row],[HASTA]]&lt;&gt;""),_xlfn.DAYS(BD_PRINCIPAL[[#This Row],[HASTA]],BD_PRINCIPAL[[#This Row],[DESDE]]),"")+1,"")</f>
        <v/>
      </c>
      <c r="X238" s="231">
        <f>VLOOKUP(BD_PRINCIPAL[[#This Row],[ENCUADRE. ESC.]],ORDEN1,2,FALSE)</f>
        <v>1</v>
      </c>
      <c r="Y238" s="231">
        <f>VLOOKUP(BD_PRINCIPAL[[#This Row],[DOTACIÓN ACTUAL]],ORDEN2,4,FALSE)</f>
        <v>172</v>
      </c>
      <c r="Z238" s="231">
        <f>VLOOKUP(BD_PRINCIPAL[[#This Row],[GRADO]],ORDEN3,2,FALSE)</f>
        <v>11</v>
      </c>
      <c r="AA238" s="231">
        <f>IFERROR(VLOOKUP(BD_PRINCIPAL[[#This Row],[DOTACIÓN ACTUAL]],ORDEN2,3,FALSE),0)</f>
        <v>0</v>
      </c>
      <c r="AB238" s="225" t="s">
        <v>853</v>
      </c>
      <c r="AC238" s="225" t="s">
        <v>853</v>
      </c>
      <c r="AD238" s="225" t="s">
        <v>853</v>
      </c>
      <c r="AE238" s="225" t="s">
        <v>853</v>
      </c>
      <c r="AF238" s="225" t="s">
        <v>853</v>
      </c>
      <c r="AG238" s="225" t="s">
        <v>855</v>
      </c>
      <c r="AH238" s="225"/>
      <c r="AI238" s="225"/>
      <c r="AJ238" s="225"/>
      <c r="AK238" s="225"/>
      <c r="AL238" s="225"/>
      <c r="AM238" s="225"/>
      <c r="AN238" s="225"/>
      <c r="AO238" s="225"/>
      <c r="AP238" s="225"/>
      <c r="AQ238" s="225"/>
      <c r="AR238" s="225"/>
      <c r="AS238" s="225"/>
      <c r="AT238" s="232"/>
      <c r="AU238" s="232"/>
      <c r="AV238" s="232"/>
      <c r="AW238" s="232"/>
      <c r="AX238" s="232"/>
      <c r="AY238" s="232"/>
      <c r="AZ238" s="232"/>
      <c r="BA238" s="225"/>
      <c r="BB238" s="225"/>
      <c r="BC238" s="225"/>
      <c r="BD238" s="225"/>
      <c r="BE238" s="225"/>
      <c r="BF238" s="225"/>
      <c r="BG238" s="225"/>
      <c r="BH238" s="225"/>
      <c r="BI238" s="225"/>
      <c r="BJ238" s="225"/>
      <c r="BK238" s="225"/>
      <c r="BL238" s="225"/>
      <c r="BM238" s="975">
        <v>45097</v>
      </c>
      <c r="BN238" s="790"/>
    </row>
    <row r="239" spans="1:66" s="233" customFormat="1" x14ac:dyDescent="0.3">
      <c r="A239" s="231" t="s">
        <v>678</v>
      </c>
      <c r="B239" s="225" t="s">
        <v>200</v>
      </c>
      <c r="C239" s="231">
        <v>184542153</v>
      </c>
      <c r="D239" s="310" t="s">
        <v>730</v>
      </c>
      <c r="E239" s="484" t="s">
        <v>730</v>
      </c>
      <c r="F239" s="477" t="s">
        <v>200</v>
      </c>
      <c r="G239" s="227" t="s">
        <v>4</v>
      </c>
      <c r="H239" s="228" t="s">
        <v>816</v>
      </c>
      <c r="I239" s="228" t="s">
        <v>872</v>
      </c>
      <c r="J239" s="229" t="s">
        <v>917</v>
      </c>
      <c r="K239" s="1280" t="s">
        <v>2290</v>
      </c>
      <c r="L239" s="734" t="s">
        <v>855</v>
      </c>
      <c r="M239" s="1305" t="s">
        <v>1220</v>
      </c>
      <c r="N239" s="773"/>
      <c r="O239" s="1295"/>
      <c r="P239" s="225"/>
      <c r="Q239" s="1295" t="s">
        <v>832</v>
      </c>
      <c r="R239" s="234">
        <f>$B$1</f>
        <v>45388</v>
      </c>
      <c r="S239" s="236"/>
      <c r="T239" s="226"/>
      <c r="U239" s="230"/>
      <c r="V239" s="230"/>
      <c r="W239" s="231" t="str">
        <f>IFERROR(IF(AND(BD_PRINCIPAL[[#This Row],[DESDE]]&lt;&gt;"",BD_PRINCIPAL[[#This Row],[HASTA]]&lt;&gt;""),_xlfn.DAYS(BD_PRINCIPAL[[#This Row],[HASTA]],BD_PRINCIPAL[[#This Row],[DESDE]]),"")+1,"")</f>
        <v/>
      </c>
      <c r="X239" s="231">
        <f>VLOOKUP(BD_PRINCIPAL[[#This Row],[ENCUADRE. ESC.]],ORDEN1,2,FALSE)</f>
        <v>1</v>
      </c>
      <c r="Y239" s="231">
        <f>VLOOKUP(BD_PRINCIPAL[[#This Row],[DOTACIÓN ACTUAL]],ORDEN2,4,FALSE)</f>
        <v>172</v>
      </c>
      <c r="Z239" s="231">
        <f>VLOOKUP(BD_PRINCIPAL[[#This Row],[GRADO]],ORDEN3,2,FALSE)</f>
        <v>12</v>
      </c>
      <c r="AA239" s="231">
        <f>IFERROR(VLOOKUP(BD_PRINCIPAL[[#This Row],[DOTACIÓN ACTUAL]],ORDEN2,3,FALSE),0)</f>
        <v>0</v>
      </c>
      <c r="AB239" s="225" t="s">
        <v>853</v>
      </c>
      <c r="AC239" s="225" t="s">
        <v>853</v>
      </c>
      <c r="AD239" s="225" t="s">
        <v>853</v>
      </c>
      <c r="AE239" s="225" t="s">
        <v>853</v>
      </c>
      <c r="AF239" s="225" t="s">
        <v>853</v>
      </c>
      <c r="AG239" s="225" t="s">
        <v>855</v>
      </c>
      <c r="AH239" s="225"/>
      <c r="AI239" s="225"/>
      <c r="AJ239" s="225"/>
      <c r="AK239" s="225"/>
      <c r="AL239" s="225"/>
      <c r="AM239" s="225"/>
      <c r="AN239" s="225"/>
      <c r="AO239" s="225"/>
      <c r="AP239" s="225"/>
      <c r="AQ239" s="225"/>
      <c r="AR239" s="225"/>
      <c r="AS239" s="225"/>
      <c r="AT239" s="232"/>
      <c r="AU239" s="232"/>
      <c r="AV239" s="232"/>
      <c r="AW239" s="232"/>
      <c r="AX239" s="232"/>
      <c r="AY239" s="232"/>
      <c r="AZ239" s="232"/>
      <c r="BA239" s="225"/>
      <c r="BB239" s="225"/>
      <c r="BC239" s="225"/>
      <c r="BD239" s="225"/>
      <c r="BE239" s="225"/>
      <c r="BF239" s="225"/>
      <c r="BG239" s="225"/>
      <c r="BH239" s="225"/>
      <c r="BI239" s="225"/>
      <c r="BJ239" s="225"/>
      <c r="BK239" s="225"/>
      <c r="BL239" s="225"/>
      <c r="BM239" s="773">
        <v>45077</v>
      </c>
      <c r="BN239" s="790"/>
    </row>
    <row r="240" spans="1:66" s="233" customFormat="1" x14ac:dyDescent="0.3">
      <c r="A240" s="231" t="s">
        <v>308</v>
      </c>
      <c r="B240" s="225" t="s">
        <v>5</v>
      </c>
      <c r="C240" s="231">
        <v>190445771</v>
      </c>
      <c r="D240" s="310" t="s">
        <v>730</v>
      </c>
      <c r="E240" s="484" t="s">
        <v>730</v>
      </c>
      <c r="F240" s="477" t="s">
        <v>5</v>
      </c>
      <c r="G240" s="227" t="s">
        <v>4</v>
      </c>
      <c r="H240" s="228" t="s">
        <v>816</v>
      </c>
      <c r="I240" s="228" t="s">
        <v>872</v>
      </c>
      <c r="J240" s="229" t="s">
        <v>917</v>
      </c>
      <c r="K240" s="1280" t="s">
        <v>2290</v>
      </c>
      <c r="L240" s="734" t="s">
        <v>855</v>
      </c>
      <c r="M240" s="1305" t="s">
        <v>1220</v>
      </c>
      <c r="N240" s="975"/>
      <c r="O240" s="1295"/>
      <c r="P240" s="225"/>
      <c r="Q240" s="1295" t="s">
        <v>832</v>
      </c>
      <c r="R240" s="234">
        <f>$B$1</f>
        <v>45388</v>
      </c>
      <c r="S240" s="236"/>
      <c r="T240" s="236" t="s">
        <v>3125</v>
      </c>
      <c r="U240" s="230"/>
      <c r="V240" s="230"/>
      <c r="W240" s="231" t="str">
        <f>IFERROR(IF(AND(BD_PRINCIPAL[[#This Row],[DESDE]]&lt;&gt;"",BD_PRINCIPAL[[#This Row],[HASTA]]&lt;&gt;""),_xlfn.DAYS(BD_PRINCIPAL[[#This Row],[HASTA]],BD_PRINCIPAL[[#This Row],[DESDE]]),"")+1,"")</f>
        <v/>
      </c>
      <c r="X240" s="231">
        <f>VLOOKUP(BD_PRINCIPAL[[#This Row],[ENCUADRE. ESC.]],ORDEN1,2,FALSE)</f>
        <v>1</v>
      </c>
      <c r="Y240" s="231">
        <f>VLOOKUP(BD_PRINCIPAL[[#This Row],[DOTACIÓN ACTUAL]],ORDEN2,4,FALSE)</f>
        <v>172</v>
      </c>
      <c r="Z240" s="231">
        <f>VLOOKUP(BD_PRINCIPAL[[#This Row],[GRADO]],ORDEN3,2,FALSE)</f>
        <v>12</v>
      </c>
      <c r="AA240" s="231">
        <f>IFERROR(VLOOKUP(BD_PRINCIPAL[[#This Row],[DOTACIÓN ACTUAL]],ORDEN2,3,FALSE),0)</f>
        <v>0</v>
      </c>
      <c r="AB240" s="225" t="s">
        <v>2</v>
      </c>
      <c r="AC240" s="225" t="s">
        <v>2</v>
      </c>
      <c r="AD240" s="225" t="s">
        <v>853</v>
      </c>
      <c r="AE240" s="225" t="s">
        <v>853</v>
      </c>
      <c r="AF240" s="225" t="s">
        <v>853</v>
      </c>
      <c r="AG240" s="225" t="s">
        <v>855</v>
      </c>
      <c r="AH240" s="225"/>
      <c r="AI240" s="225"/>
      <c r="AJ240" s="225"/>
      <c r="AK240" s="225"/>
      <c r="AL240" s="225"/>
      <c r="AM240" s="225"/>
      <c r="AN240" s="225"/>
      <c r="AO240" s="225"/>
      <c r="AP240" s="225"/>
      <c r="AQ240" s="225"/>
      <c r="AR240" s="225"/>
      <c r="AS240" s="225"/>
      <c r="AT240" s="232"/>
      <c r="AU240" s="232"/>
      <c r="AV240" s="232"/>
      <c r="AW240" s="232"/>
      <c r="AX240" s="232"/>
      <c r="AY240" s="232"/>
      <c r="AZ240" s="232"/>
      <c r="BA240" s="225"/>
      <c r="BB240" s="225"/>
      <c r="BC240" s="225"/>
      <c r="BD240" s="225"/>
      <c r="BE240" s="225"/>
      <c r="BF240" s="225"/>
      <c r="BG240" s="225"/>
      <c r="BH240" s="225"/>
      <c r="BI240" s="225"/>
      <c r="BJ240" s="225"/>
      <c r="BK240" s="225"/>
      <c r="BL240" s="225"/>
      <c r="BM240" s="975">
        <v>45148</v>
      </c>
      <c r="BN240" s="790"/>
    </row>
    <row r="241" spans="1:66" s="233" customFormat="1" x14ac:dyDescent="0.3">
      <c r="A241" s="231" t="s">
        <v>367</v>
      </c>
      <c r="B241" s="225" t="s">
        <v>110</v>
      </c>
      <c r="C241" s="231">
        <v>201044006</v>
      </c>
      <c r="D241" s="310" t="s">
        <v>730</v>
      </c>
      <c r="E241" s="484" t="s">
        <v>730</v>
      </c>
      <c r="F241" s="477" t="s">
        <v>3253</v>
      </c>
      <c r="G241" s="227" t="s">
        <v>4</v>
      </c>
      <c r="H241" s="228" t="s">
        <v>816</v>
      </c>
      <c r="I241" s="228" t="s">
        <v>872</v>
      </c>
      <c r="J241" s="229" t="s">
        <v>917</v>
      </c>
      <c r="K241" s="1280" t="s">
        <v>2301</v>
      </c>
      <c r="L241" s="734" t="s">
        <v>855</v>
      </c>
      <c r="M241" s="1305" t="s">
        <v>1220</v>
      </c>
      <c r="N241" s="773"/>
      <c r="O241" s="1295"/>
      <c r="P241" s="225"/>
      <c r="Q241" s="1295" t="s">
        <v>832</v>
      </c>
      <c r="R241" s="234">
        <f>$B$1</f>
        <v>45388</v>
      </c>
      <c r="S241" s="236"/>
      <c r="T241" s="236"/>
      <c r="U241" s="237"/>
      <c r="V241" s="237"/>
      <c r="W241" s="231" t="str">
        <f>IFERROR(IF(AND(BD_PRINCIPAL[[#This Row],[DESDE]]&lt;&gt;"",BD_PRINCIPAL[[#This Row],[HASTA]]&lt;&gt;""),_xlfn.DAYS(BD_PRINCIPAL[[#This Row],[HASTA]],BD_PRINCIPAL[[#This Row],[DESDE]]),"")+1,"")</f>
        <v/>
      </c>
      <c r="X241" s="231">
        <f>VLOOKUP(BD_PRINCIPAL[[#This Row],[ENCUADRE. ESC.]],ORDEN1,2,FALSE)</f>
        <v>1</v>
      </c>
      <c r="Y241" s="231">
        <f>VLOOKUP(BD_PRINCIPAL[[#This Row],[DOTACIÓN ACTUAL]],ORDEN2,4,FALSE)</f>
        <v>172</v>
      </c>
      <c r="Z241" s="231">
        <f>VLOOKUP(BD_PRINCIPAL[[#This Row],[GRADO]],ORDEN3,2,FALSE)</f>
        <v>12</v>
      </c>
      <c r="AA241" s="231">
        <f>IFERROR(VLOOKUP(BD_PRINCIPAL[[#This Row],[DOTACIÓN ACTUAL]],ORDEN2,3,FALSE),0)</f>
        <v>0</v>
      </c>
      <c r="AB241" s="225" t="s">
        <v>853</v>
      </c>
      <c r="AC241" s="225" t="s">
        <v>853</v>
      </c>
      <c r="AD241" s="225" t="s">
        <v>853</v>
      </c>
      <c r="AE241" s="225" t="s">
        <v>853</v>
      </c>
      <c r="AF241" s="225" t="s">
        <v>853</v>
      </c>
      <c r="AG241" s="225" t="s">
        <v>855</v>
      </c>
      <c r="AH241" s="225"/>
      <c r="AI241" s="225"/>
      <c r="AJ241" s="225"/>
      <c r="AK241" s="225"/>
      <c r="AL241" s="225"/>
      <c r="AM241" s="225"/>
      <c r="AN241" s="225"/>
      <c r="AO241" s="225"/>
      <c r="AP241" s="225"/>
      <c r="AQ241" s="225"/>
      <c r="AR241" s="225"/>
      <c r="AS241" s="225"/>
      <c r="AT241" s="232"/>
      <c r="AU241" s="232"/>
      <c r="AV241" s="232"/>
      <c r="AW241" s="232"/>
      <c r="AX241" s="232"/>
      <c r="AY241" s="232"/>
      <c r="AZ241" s="232"/>
      <c r="BA241" s="225"/>
      <c r="BB241" s="225"/>
      <c r="BC241" s="225"/>
      <c r="BD241" s="225"/>
      <c r="BE241" s="225"/>
      <c r="BF241" s="225"/>
      <c r="BG241" s="225"/>
      <c r="BH241" s="225"/>
      <c r="BI241" s="225"/>
      <c r="BJ241" s="225"/>
      <c r="BK241" s="225"/>
      <c r="BL241" s="225"/>
      <c r="BM241" s="773">
        <v>45140</v>
      </c>
      <c r="BN241" s="790"/>
    </row>
    <row r="242" spans="1:66" s="233" customFormat="1" x14ac:dyDescent="0.3">
      <c r="A242" s="231" t="s">
        <v>486</v>
      </c>
      <c r="B242" s="225" t="s">
        <v>240</v>
      </c>
      <c r="C242" s="231">
        <v>186601343</v>
      </c>
      <c r="D242" s="310" t="s">
        <v>730</v>
      </c>
      <c r="E242" s="484" t="s">
        <v>730</v>
      </c>
      <c r="F242" s="477" t="s">
        <v>240</v>
      </c>
      <c r="G242" s="227" t="s">
        <v>4</v>
      </c>
      <c r="H242" s="228" t="s">
        <v>817</v>
      </c>
      <c r="I242" s="228" t="s">
        <v>872</v>
      </c>
      <c r="J242" s="229" t="s">
        <v>917</v>
      </c>
      <c r="K242" s="1280" t="s">
        <v>2290</v>
      </c>
      <c r="L242" s="734" t="s">
        <v>855</v>
      </c>
      <c r="M242" s="1305" t="s">
        <v>1220</v>
      </c>
      <c r="N242" s="780"/>
      <c r="O242" s="1295"/>
      <c r="P242" s="225"/>
      <c r="Q242" s="1295" t="s">
        <v>832</v>
      </c>
      <c r="R242" s="234">
        <f>$B$1</f>
        <v>45388</v>
      </c>
      <c r="S242" s="226"/>
      <c r="T242" s="226"/>
      <c r="U242" s="230"/>
      <c r="V242" s="230"/>
      <c r="W242" s="231" t="str">
        <f>IFERROR(IF(AND(BD_PRINCIPAL[[#This Row],[DESDE]]&lt;&gt;"",BD_PRINCIPAL[[#This Row],[HASTA]]&lt;&gt;""),_xlfn.DAYS(BD_PRINCIPAL[[#This Row],[HASTA]],BD_PRINCIPAL[[#This Row],[DESDE]]),"")+1,"")</f>
        <v/>
      </c>
      <c r="X242" s="231">
        <f>VLOOKUP(BD_PRINCIPAL[[#This Row],[ENCUADRE. ESC.]],ORDEN1,2,FALSE)</f>
        <v>1</v>
      </c>
      <c r="Y242" s="231">
        <f>VLOOKUP(BD_PRINCIPAL[[#This Row],[DOTACIÓN ACTUAL]],ORDEN2,4,FALSE)</f>
        <v>172</v>
      </c>
      <c r="Z242" s="231">
        <f>VLOOKUP(BD_PRINCIPAL[[#This Row],[GRADO]],ORDEN3,2,FALSE)</f>
        <v>12</v>
      </c>
      <c r="AA242" s="231">
        <f>IFERROR(VLOOKUP(BD_PRINCIPAL[[#This Row],[DOTACIÓN ACTUAL]],ORDEN2,3,FALSE),0)</f>
        <v>0</v>
      </c>
      <c r="AB242" s="225" t="s">
        <v>853</v>
      </c>
      <c r="AC242" s="225" t="s">
        <v>853</v>
      </c>
      <c r="AD242" s="225" t="s">
        <v>853</v>
      </c>
      <c r="AE242" s="225" t="s">
        <v>853</v>
      </c>
      <c r="AF242" s="225" t="s">
        <v>853</v>
      </c>
      <c r="AG242" s="225" t="s">
        <v>855</v>
      </c>
      <c r="AH242" s="225"/>
      <c r="AI242" s="225"/>
      <c r="AJ242" s="225"/>
      <c r="AK242" s="225"/>
      <c r="AL242" s="225"/>
      <c r="AM242" s="225"/>
      <c r="AN242" s="225"/>
      <c r="AO242" s="225"/>
      <c r="AP242" s="225"/>
      <c r="AQ242" s="225"/>
      <c r="AR242" s="225"/>
      <c r="AS242" s="225"/>
      <c r="AT242" s="232"/>
      <c r="AU242" s="232"/>
      <c r="AV242" s="232"/>
      <c r="AW242" s="232"/>
      <c r="AX242" s="232"/>
      <c r="AY242" s="232"/>
      <c r="AZ242" s="232"/>
      <c r="BA242" s="225"/>
      <c r="BB242" s="225"/>
      <c r="BC242" s="225"/>
      <c r="BD242" s="225"/>
      <c r="BE242" s="225"/>
      <c r="BF242" s="225"/>
      <c r="BG242" s="225"/>
      <c r="BH242" s="225"/>
      <c r="BI242" s="225"/>
      <c r="BJ242" s="225"/>
      <c r="BK242" s="225"/>
      <c r="BL242" s="225"/>
      <c r="BM242" s="780">
        <v>45091</v>
      </c>
      <c r="BN242" s="790"/>
    </row>
    <row r="243" spans="1:66" s="233" customFormat="1" ht="66" x14ac:dyDescent="0.3">
      <c r="A243" s="231" t="s">
        <v>2160</v>
      </c>
      <c r="B243" s="746" t="s">
        <v>2162</v>
      </c>
      <c r="C243" s="231" t="s">
        <v>2161</v>
      </c>
      <c r="D243" s="310" t="s">
        <v>730</v>
      </c>
      <c r="E243" s="477" t="s">
        <v>730</v>
      </c>
      <c r="F243" s="477" t="s">
        <v>2162</v>
      </c>
      <c r="G243" s="235" t="s">
        <v>14</v>
      </c>
      <c r="H243" s="228" t="s">
        <v>816</v>
      </c>
      <c r="I243" s="228" t="s">
        <v>872</v>
      </c>
      <c r="J243" s="229" t="s">
        <v>917</v>
      </c>
      <c r="K243" s="1280" t="s">
        <v>2290</v>
      </c>
      <c r="L243" s="734" t="s">
        <v>855</v>
      </c>
      <c r="M243" s="1305" t="s">
        <v>1220</v>
      </c>
      <c r="N243" s="779"/>
      <c r="O243" s="1295"/>
      <c r="P243" s="225"/>
      <c r="Q243" s="1295" t="s">
        <v>832</v>
      </c>
      <c r="R243" s="386">
        <f>$B$1</f>
        <v>45388</v>
      </c>
      <c r="S243" s="236"/>
      <c r="T243" s="236" t="s">
        <v>3462</v>
      </c>
      <c r="U243" s="230"/>
      <c r="V243" s="230"/>
      <c r="W243" s="387" t="str">
        <f>IFERROR(IF(AND(BD_PRINCIPAL[[#This Row],[DESDE]]&lt;&gt;"",BD_PRINCIPAL[[#This Row],[HASTA]]&lt;&gt;""),_xlfn.DAYS(BD_PRINCIPAL[[#This Row],[HASTA]],BD_PRINCIPAL[[#This Row],[DESDE]]),"")+1,"")</f>
        <v/>
      </c>
      <c r="X243" s="387">
        <f>VLOOKUP(BD_PRINCIPAL[[#This Row],[ENCUADRE. ESC.]],ORDEN1,2,FALSE)</f>
        <v>1</v>
      </c>
      <c r="Y243" s="387">
        <f>VLOOKUP(BD_PRINCIPAL[[#This Row],[DOTACIÓN ACTUAL]],ORDEN2,4,FALSE)</f>
        <v>172</v>
      </c>
      <c r="Z243" s="387">
        <f>VLOOKUP(BD_PRINCIPAL[[#This Row],[GRADO]],ORDEN3,2,FALSE)</f>
        <v>13</v>
      </c>
      <c r="AA243" s="387">
        <f>IFERROR(VLOOKUP(BD_PRINCIPAL[[#This Row],[DOTACIÓN ACTUAL]],ORDEN2,3,FALSE),0)</f>
        <v>0</v>
      </c>
      <c r="AB243" s="225" t="s">
        <v>853</v>
      </c>
      <c r="AC243" s="225" t="s">
        <v>853</v>
      </c>
      <c r="AD243" s="225" t="s">
        <v>853</v>
      </c>
      <c r="AE243" s="225" t="s">
        <v>853</v>
      </c>
      <c r="AF243" s="225" t="s">
        <v>853</v>
      </c>
      <c r="AG243" s="225" t="s">
        <v>855</v>
      </c>
      <c r="AH243" s="225"/>
      <c r="AI243" s="225"/>
      <c r="AJ243" s="225"/>
      <c r="AK243" s="225"/>
      <c r="AL243" s="225"/>
      <c r="AM243" s="225"/>
      <c r="AN243" s="225"/>
      <c r="AO243" s="225"/>
      <c r="AP243" s="225"/>
      <c r="AQ243" s="225"/>
      <c r="AR243" s="225"/>
      <c r="AS243" s="225"/>
      <c r="AT243" s="232"/>
      <c r="AU243" s="232"/>
      <c r="AV243" s="232"/>
      <c r="AW243" s="232"/>
      <c r="AX243" s="232"/>
      <c r="AY243" s="232"/>
      <c r="AZ243" s="232"/>
      <c r="BA243" s="225"/>
      <c r="BB243" s="225"/>
      <c r="BC243" s="225"/>
      <c r="BD243" s="225"/>
      <c r="BE243" s="225"/>
      <c r="BF243" s="225"/>
      <c r="BG243" s="225"/>
      <c r="BH243" s="225"/>
      <c r="BI243" s="225"/>
      <c r="BJ243" s="225"/>
      <c r="BK243" s="225"/>
      <c r="BL243" s="225"/>
      <c r="BM243" s="773">
        <v>45112</v>
      </c>
      <c r="BN243" s="790"/>
    </row>
    <row r="244" spans="1:66" s="233" customFormat="1" x14ac:dyDescent="0.3">
      <c r="A244" s="231" t="s">
        <v>466</v>
      </c>
      <c r="B244" s="225" t="s">
        <v>154</v>
      </c>
      <c r="C244" s="231">
        <v>206554711</v>
      </c>
      <c r="D244" s="310" t="s">
        <v>730</v>
      </c>
      <c r="E244" s="484" t="s">
        <v>730</v>
      </c>
      <c r="F244" s="477" t="s">
        <v>154</v>
      </c>
      <c r="G244" s="227" t="s">
        <v>14</v>
      </c>
      <c r="H244" s="228" t="s">
        <v>816</v>
      </c>
      <c r="I244" s="228" t="s">
        <v>872</v>
      </c>
      <c r="J244" s="229" t="s">
        <v>917</v>
      </c>
      <c r="K244" s="1280" t="s">
        <v>2290</v>
      </c>
      <c r="L244" s="734" t="s">
        <v>855</v>
      </c>
      <c r="M244" s="1305" t="s">
        <v>1220</v>
      </c>
      <c r="N244" s="773"/>
      <c r="O244" s="1295"/>
      <c r="P244" s="225"/>
      <c r="Q244" s="1295" t="s">
        <v>832</v>
      </c>
      <c r="R244" s="234">
        <f>$B$1</f>
        <v>45388</v>
      </c>
      <c r="S244" s="236"/>
      <c r="T244" s="226"/>
      <c r="U244" s="230"/>
      <c r="V244" s="230"/>
      <c r="W244" s="231" t="str">
        <f>IFERROR(IF(AND(BD_PRINCIPAL[[#This Row],[DESDE]]&lt;&gt;"",BD_PRINCIPAL[[#This Row],[HASTA]]&lt;&gt;""),_xlfn.DAYS(BD_PRINCIPAL[[#This Row],[HASTA]],BD_PRINCIPAL[[#This Row],[DESDE]]),"")+1,"")</f>
        <v/>
      </c>
      <c r="X244" s="231">
        <f>VLOOKUP(BD_PRINCIPAL[[#This Row],[ENCUADRE. ESC.]],ORDEN1,2,FALSE)</f>
        <v>1</v>
      </c>
      <c r="Y244" s="231">
        <f>VLOOKUP(BD_PRINCIPAL[[#This Row],[DOTACIÓN ACTUAL]],ORDEN2,4,FALSE)</f>
        <v>172</v>
      </c>
      <c r="Z244" s="231">
        <f>VLOOKUP(BD_PRINCIPAL[[#This Row],[GRADO]],ORDEN3,2,FALSE)</f>
        <v>13</v>
      </c>
      <c r="AA244" s="231">
        <f>IFERROR(VLOOKUP(BD_PRINCIPAL[[#This Row],[DOTACIÓN ACTUAL]],ORDEN2,3,FALSE),0)</f>
        <v>0</v>
      </c>
      <c r="AB244" s="225" t="s">
        <v>853</v>
      </c>
      <c r="AC244" s="225" t="s">
        <v>853</v>
      </c>
      <c r="AD244" s="225" t="s">
        <v>853</v>
      </c>
      <c r="AE244" s="225" t="s">
        <v>853</v>
      </c>
      <c r="AF244" s="225" t="s">
        <v>853</v>
      </c>
      <c r="AG244" s="225" t="s">
        <v>855</v>
      </c>
      <c r="AH244" s="225"/>
      <c r="AI244" s="225"/>
      <c r="AJ244" s="225"/>
      <c r="AK244" s="225"/>
      <c r="AL244" s="225"/>
      <c r="AM244" s="225"/>
      <c r="AN244" s="225"/>
      <c r="AO244" s="225"/>
      <c r="AP244" s="225"/>
      <c r="AQ244" s="225"/>
      <c r="AR244" s="225"/>
      <c r="AS244" s="225"/>
      <c r="AT244" s="232"/>
      <c r="AU244" s="232"/>
      <c r="AV244" s="232"/>
      <c r="AW244" s="232"/>
      <c r="AX244" s="232"/>
      <c r="AY244" s="232"/>
      <c r="AZ244" s="232"/>
      <c r="BA244" s="225"/>
      <c r="BB244" s="225"/>
      <c r="BC244" s="225"/>
      <c r="BD244" s="225"/>
      <c r="BE244" s="225"/>
      <c r="BF244" s="225"/>
      <c r="BG244" s="225"/>
      <c r="BH244" s="225"/>
      <c r="BI244" s="225"/>
      <c r="BJ244" s="225"/>
      <c r="BK244" s="225"/>
      <c r="BL244" s="225"/>
      <c r="BM244" s="773">
        <v>45029</v>
      </c>
      <c r="BN244" s="790"/>
    </row>
    <row r="245" spans="1:66" s="260" customFormat="1" x14ac:dyDescent="0.3">
      <c r="A245" s="258" t="s">
        <v>372</v>
      </c>
      <c r="B245" s="251" t="s">
        <v>45</v>
      </c>
      <c r="C245" s="258">
        <v>137037823</v>
      </c>
      <c r="D245" s="487" t="s">
        <v>758</v>
      </c>
      <c r="E245" s="487" t="s">
        <v>758</v>
      </c>
      <c r="F245" s="481" t="s">
        <v>45</v>
      </c>
      <c r="G245" s="253" t="s">
        <v>89</v>
      </c>
      <c r="H245" s="254" t="s">
        <v>816</v>
      </c>
      <c r="I245" s="254" t="s">
        <v>872</v>
      </c>
      <c r="J245" s="255" t="s">
        <v>917</v>
      </c>
      <c r="K245" s="1282" t="s">
        <v>2290</v>
      </c>
      <c r="L245" s="737" t="s">
        <v>855</v>
      </c>
      <c r="M245" s="1307" t="s">
        <v>1220</v>
      </c>
      <c r="N245" s="781"/>
      <c r="O245" s="1297"/>
      <c r="P245" s="251"/>
      <c r="Q245" s="1297" t="s">
        <v>832</v>
      </c>
      <c r="R245" s="256">
        <f>$B$1</f>
        <v>45388</v>
      </c>
      <c r="S245" s="262"/>
      <c r="T245" s="262"/>
      <c r="U245" s="257"/>
      <c r="V245" s="257"/>
      <c r="W245" s="258" t="str">
        <f>IFERROR(IF(AND(BD_PRINCIPAL[[#This Row],[DESDE]]&lt;&gt;"",BD_PRINCIPAL[[#This Row],[HASTA]]&lt;&gt;""),_xlfn.DAYS(BD_PRINCIPAL[[#This Row],[HASTA]],BD_PRINCIPAL[[#This Row],[DESDE]]),"")+1,"")</f>
        <v/>
      </c>
      <c r="X245" s="258">
        <f>VLOOKUP(BD_PRINCIPAL[[#This Row],[ENCUADRE. ESC.]],ORDEN1,2,FALSE)</f>
        <v>1</v>
      </c>
      <c r="Y245" s="258">
        <f>VLOOKUP(BD_PRINCIPAL[[#This Row],[DOTACIÓN ACTUAL]],ORDEN2,4,FALSE)</f>
        <v>175</v>
      </c>
      <c r="Z245" s="258">
        <f>VLOOKUP(BD_PRINCIPAL[[#This Row],[GRADO]],ORDEN3,2,FALSE)</f>
        <v>9</v>
      </c>
      <c r="AA245" s="258">
        <f>IFERROR(VLOOKUP(BD_PRINCIPAL[[#This Row],[DOTACIÓN ACTUAL]],ORDEN2,3,FALSE),0)</f>
        <v>0</v>
      </c>
      <c r="AB245" s="251" t="s">
        <v>853</v>
      </c>
      <c r="AC245" s="251" t="s">
        <v>853</v>
      </c>
      <c r="AD245" s="251" t="s">
        <v>853</v>
      </c>
      <c r="AE245" s="251" t="s">
        <v>884</v>
      </c>
      <c r="AF245" s="251" t="s">
        <v>884</v>
      </c>
      <c r="AG245" s="251" t="s">
        <v>855</v>
      </c>
      <c r="AH245" s="251"/>
      <c r="AI245" s="251"/>
      <c r="AJ245" s="251"/>
      <c r="AK245" s="251"/>
      <c r="AL245" s="251"/>
      <c r="AM245" s="251"/>
      <c r="AN245" s="251"/>
      <c r="AO245" s="251"/>
      <c r="AP245" s="251"/>
      <c r="AQ245" s="251"/>
      <c r="AR245" s="251"/>
      <c r="AS245" s="251"/>
      <c r="AT245" s="259"/>
      <c r="AU245" s="259"/>
      <c r="AV245" s="259"/>
      <c r="AW245" s="259"/>
      <c r="AX245" s="259"/>
      <c r="AY245" s="259"/>
      <c r="AZ245" s="259"/>
      <c r="BA245" s="251"/>
      <c r="BB245" s="251"/>
      <c r="BC245" s="251"/>
      <c r="BD245" s="251"/>
      <c r="BE245" s="251"/>
      <c r="BF245" s="251"/>
      <c r="BG245" s="251"/>
      <c r="BH245" s="251"/>
      <c r="BI245" s="251"/>
      <c r="BJ245" s="251"/>
      <c r="BK245" s="251"/>
      <c r="BL245" s="251"/>
      <c r="BM245" s="781">
        <v>45126</v>
      </c>
      <c r="BN245" s="791"/>
    </row>
    <row r="246" spans="1:66" s="260" customFormat="1" ht="26.4" x14ac:dyDescent="0.3">
      <c r="A246" s="258" t="s">
        <v>1693</v>
      </c>
      <c r="B246" s="251" t="s">
        <v>1695</v>
      </c>
      <c r="C246" s="258" t="s">
        <v>1694</v>
      </c>
      <c r="D246" s="312" t="s">
        <v>757</v>
      </c>
      <c r="E246" s="487" t="s">
        <v>757</v>
      </c>
      <c r="F246" s="481" t="s">
        <v>3334</v>
      </c>
      <c r="G246" s="261" t="s">
        <v>209</v>
      </c>
      <c r="H246" s="254" t="s">
        <v>816</v>
      </c>
      <c r="I246" s="254" t="s">
        <v>872</v>
      </c>
      <c r="J246" s="255" t="s">
        <v>917</v>
      </c>
      <c r="K246" s="1282" t="s">
        <v>3337</v>
      </c>
      <c r="L246" s="737" t="s">
        <v>855</v>
      </c>
      <c r="M246" s="1307" t="s">
        <v>1220</v>
      </c>
      <c r="N246" s="782"/>
      <c r="O246" s="1297"/>
      <c r="P246" s="251"/>
      <c r="Q246" s="1297" t="s">
        <v>832</v>
      </c>
      <c r="R246" s="632">
        <f>$B$1</f>
        <v>45388</v>
      </c>
      <c r="S246" s="252"/>
      <c r="T246" s="252"/>
      <c r="U246" s="257"/>
      <c r="V246" s="257"/>
      <c r="W246" s="633" t="str">
        <f>IFERROR(IF(AND(BD_PRINCIPAL[[#This Row],[DESDE]]&lt;&gt;"",BD_PRINCIPAL[[#This Row],[HASTA]]&lt;&gt;""),_xlfn.DAYS(BD_PRINCIPAL[[#This Row],[HASTA]],BD_PRINCIPAL[[#This Row],[DESDE]]),"")+1,"")</f>
        <v/>
      </c>
      <c r="X246" s="633">
        <f>VLOOKUP(BD_PRINCIPAL[[#This Row],[ENCUADRE. ESC.]],ORDEN1,2,FALSE)</f>
        <v>1</v>
      </c>
      <c r="Y246" s="633">
        <f>VLOOKUP(BD_PRINCIPAL[[#This Row],[DOTACIÓN ACTUAL]],ORDEN2,4,FALSE)</f>
        <v>176</v>
      </c>
      <c r="Z246" s="633">
        <f>VLOOKUP(BD_PRINCIPAL[[#This Row],[GRADO]],ORDEN3,2,FALSE)</f>
        <v>10</v>
      </c>
      <c r="AA246" s="633">
        <f>IFERROR(VLOOKUP(BD_PRINCIPAL[[#This Row],[DOTACIÓN ACTUAL]],ORDEN2,3,FALSE),0)</f>
        <v>0</v>
      </c>
      <c r="AB246" s="251" t="s">
        <v>853</v>
      </c>
      <c r="AC246" s="251" t="s">
        <v>853</v>
      </c>
      <c r="AD246" s="251" t="s">
        <v>853</v>
      </c>
      <c r="AE246" s="251" t="s">
        <v>853</v>
      </c>
      <c r="AF246" s="251" t="s">
        <v>853</v>
      </c>
      <c r="AG246" s="251" t="s">
        <v>855</v>
      </c>
      <c r="AH246" s="251"/>
      <c r="AI246" s="251"/>
      <c r="AJ246" s="251"/>
      <c r="AK246" s="251"/>
      <c r="AL246" s="251"/>
      <c r="AM246" s="251"/>
      <c r="AN246" s="251"/>
      <c r="AO246" s="251"/>
      <c r="AP246" s="251"/>
      <c r="AQ246" s="251"/>
      <c r="AR246" s="251"/>
      <c r="AS246" s="251"/>
      <c r="AT246" s="259"/>
      <c r="AU246" s="259"/>
      <c r="AV246" s="259"/>
      <c r="AW246" s="259"/>
      <c r="AX246" s="259"/>
      <c r="AY246" s="259"/>
      <c r="AZ246" s="259"/>
      <c r="BA246" s="251"/>
      <c r="BB246" s="251"/>
      <c r="BC246" s="251"/>
      <c r="BD246" s="251"/>
      <c r="BE246" s="251"/>
      <c r="BF246" s="251"/>
      <c r="BG246" s="251"/>
      <c r="BH246" s="251"/>
      <c r="BI246" s="251"/>
      <c r="BJ246" s="251"/>
      <c r="BK246" s="251"/>
      <c r="BL246" s="251"/>
      <c r="BM246" s="781">
        <v>45063</v>
      </c>
      <c r="BN246" s="791"/>
    </row>
    <row r="247" spans="1:66" s="260" customFormat="1" x14ac:dyDescent="0.3">
      <c r="A247" s="258" t="s">
        <v>651</v>
      </c>
      <c r="B247" s="251" t="s">
        <v>652</v>
      </c>
      <c r="C247" s="258">
        <v>169295352</v>
      </c>
      <c r="D247" s="312" t="s">
        <v>757</v>
      </c>
      <c r="E247" s="487" t="s">
        <v>757</v>
      </c>
      <c r="F247" s="481" t="s">
        <v>652</v>
      </c>
      <c r="G247" s="253" t="s">
        <v>3</v>
      </c>
      <c r="H247" s="254" t="s">
        <v>816</v>
      </c>
      <c r="I247" s="254" t="s">
        <v>872</v>
      </c>
      <c r="J247" s="255" t="s">
        <v>917</v>
      </c>
      <c r="K247" s="1282" t="s">
        <v>2290</v>
      </c>
      <c r="L247" s="737" t="s">
        <v>855</v>
      </c>
      <c r="M247" s="1307" t="s">
        <v>1220</v>
      </c>
      <c r="N247" s="781"/>
      <c r="O247" s="1297"/>
      <c r="P247" s="251"/>
      <c r="Q247" s="1297" t="s">
        <v>832</v>
      </c>
      <c r="R247" s="256">
        <f>$B$1</f>
        <v>45388</v>
      </c>
      <c r="S247" s="262"/>
      <c r="T247" s="252"/>
      <c r="U247" s="257"/>
      <c r="V247" s="257"/>
      <c r="W247" s="258" t="str">
        <f>IFERROR(IF(AND(BD_PRINCIPAL[[#This Row],[DESDE]]&lt;&gt;"",BD_PRINCIPAL[[#This Row],[HASTA]]&lt;&gt;""),_xlfn.DAYS(BD_PRINCIPAL[[#This Row],[HASTA]],BD_PRINCIPAL[[#This Row],[DESDE]]),"")+1,"")</f>
        <v/>
      </c>
      <c r="X247" s="258">
        <f>VLOOKUP(BD_PRINCIPAL[[#This Row],[ENCUADRE. ESC.]],ORDEN1,2,FALSE)</f>
        <v>1</v>
      </c>
      <c r="Y247" s="258">
        <f>VLOOKUP(BD_PRINCIPAL[[#This Row],[DOTACIÓN ACTUAL]],ORDEN2,4,FALSE)</f>
        <v>176</v>
      </c>
      <c r="Z247" s="258">
        <f>VLOOKUP(BD_PRINCIPAL[[#This Row],[GRADO]],ORDEN3,2,FALSE)</f>
        <v>11</v>
      </c>
      <c r="AA247" s="258">
        <f>IFERROR(VLOOKUP(BD_PRINCIPAL[[#This Row],[DOTACIÓN ACTUAL]],ORDEN2,3,FALSE),0)</f>
        <v>0</v>
      </c>
      <c r="AB247" s="251" t="s">
        <v>853</v>
      </c>
      <c r="AC247" s="251" t="s">
        <v>853</v>
      </c>
      <c r="AD247" s="251" t="s">
        <v>853</v>
      </c>
      <c r="AE247" s="251" t="s">
        <v>853</v>
      </c>
      <c r="AF247" s="251" t="s">
        <v>853</v>
      </c>
      <c r="AG247" s="251" t="s">
        <v>855</v>
      </c>
      <c r="AH247" s="251"/>
      <c r="AI247" s="251"/>
      <c r="AJ247" s="251"/>
      <c r="AK247" s="251"/>
      <c r="AL247" s="251"/>
      <c r="AM247" s="251"/>
      <c r="AN247" s="251"/>
      <c r="AO247" s="251"/>
      <c r="AP247" s="251"/>
      <c r="AQ247" s="251"/>
      <c r="AR247" s="251"/>
      <c r="AS247" s="251"/>
      <c r="AT247" s="259"/>
      <c r="AU247" s="259"/>
      <c r="AV247" s="259"/>
      <c r="AW247" s="259"/>
      <c r="AX247" s="259"/>
      <c r="AY247" s="259"/>
      <c r="AZ247" s="259"/>
      <c r="BA247" s="251"/>
      <c r="BB247" s="251"/>
      <c r="BC247" s="251"/>
      <c r="BD247" s="251"/>
      <c r="BE247" s="251"/>
      <c r="BF247" s="251"/>
      <c r="BG247" s="251"/>
      <c r="BH247" s="251"/>
      <c r="BI247" s="251"/>
      <c r="BJ247" s="251"/>
      <c r="BK247" s="251"/>
      <c r="BL247" s="251"/>
      <c r="BM247" s="781">
        <v>45110</v>
      </c>
      <c r="BN247" s="791"/>
    </row>
    <row r="248" spans="1:66" s="260" customFormat="1" x14ac:dyDescent="0.3">
      <c r="A248" s="258" t="s">
        <v>278</v>
      </c>
      <c r="B248" s="251" t="s">
        <v>687</v>
      </c>
      <c r="C248" s="258">
        <v>177191450</v>
      </c>
      <c r="D248" s="312" t="s">
        <v>757</v>
      </c>
      <c r="E248" s="487" t="s">
        <v>757</v>
      </c>
      <c r="F248" s="481" t="s">
        <v>687</v>
      </c>
      <c r="G248" s="253" t="s">
        <v>3</v>
      </c>
      <c r="H248" s="254" t="s">
        <v>816</v>
      </c>
      <c r="I248" s="254" t="s">
        <v>872</v>
      </c>
      <c r="J248" s="255" t="s">
        <v>917</v>
      </c>
      <c r="K248" s="1282" t="s">
        <v>2290</v>
      </c>
      <c r="L248" s="737" t="s">
        <v>855</v>
      </c>
      <c r="M248" s="1307" t="s">
        <v>1220</v>
      </c>
      <c r="N248" s="976"/>
      <c r="O248" s="1297"/>
      <c r="P248" s="251"/>
      <c r="Q248" s="1297" t="s">
        <v>832</v>
      </c>
      <c r="R248" s="256">
        <f>$B$1</f>
        <v>45388</v>
      </c>
      <c r="S248" s="262"/>
      <c r="T248" s="262"/>
      <c r="U248" s="257"/>
      <c r="V248" s="257"/>
      <c r="W248" s="258" t="str">
        <f>IFERROR(IF(AND(BD_PRINCIPAL[[#This Row],[DESDE]]&lt;&gt;"",BD_PRINCIPAL[[#This Row],[HASTA]]&lt;&gt;""),_xlfn.DAYS(BD_PRINCIPAL[[#This Row],[HASTA]],BD_PRINCIPAL[[#This Row],[DESDE]]),"")+1,"")</f>
        <v/>
      </c>
      <c r="X248" s="258">
        <f>VLOOKUP(BD_PRINCIPAL[[#This Row],[ENCUADRE. ESC.]],ORDEN1,2,FALSE)</f>
        <v>1</v>
      </c>
      <c r="Y248" s="258">
        <f>VLOOKUP(BD_PRINCIPAL[[#This Row],[DOTACIÓN ACTUAL]],ORDEN2,4,FALSE)</f>
        <v>176</v>
      </c>
      <c r="Z248" s="258">
        <f>VLOOKUP(BD_PRINCIPAL[[#This Row],[GRADO]],ORDEN3,2,FALSE)</f>
        <v>11</v>
      </c>
      <c r="AA248" s="258">
        <f>IFERROR(VLOOKUP(BD_PRINCIPAL[[#This Row],[DOTACIÓN ACTUAL]],ORDEN2,3,FALSE),0)</f>
        <v>0</v>
      </c>
      <c r="AB248" s="251" t="s">
        <v>853</v>
      </c>
      <c r="AC248" s="251" t="s">
        <v>853</v>
      </c>
      <c r="AD248" s="251" t="s">
        <v>853</v>
      </c>
      <c r="AE248" s="251" t="s">
        <v>853</v>
      </c>
      <c r="AF248" s="251" t="s">
        <v>853</v>
      </c>
      <c r="AG248" s="251" t="s">
        <v>855</v>
      </c>
      <c r="AH248" s="251"/>
      <c r="AI248" s="251"/>
      <c r="AJ248" s="251"/>
      <c r="AK248" s="251"/>
      <c r="AL248" s="251"/>
      <c r="AM248" s="251"/>
      <c r="AN248" s="251"/>
      <c r="AO248" s="251"/>
      <c r="AP248" s="251"/>
      <c r="AQ248" s="251"/>
      <c r="AR248" s="251"/>
      <c r="AS248" s="251"/>
      <c r="AT248" s="259"/>
      <c r="AU248" s="259"/>
      <c r="AV248" s="259"/>
      <c r="AW248" s="259"/>
      <c r="AX248" s="259"/>
      <c r="AY248" s="259"/>
      <c r="AZ248" s="259"/>
      <c r="BA248" s="251"/>
      <c r="BB248" s="251"/>
      <c r="BC248" s="251"/>
      <c r="BD248" s="251"/>
      <c r="BE248" s="251"/>
      <c r="BF248" s="251"/>
      <c r="BG248" s="251"/>
      <c r="BH248" s="251"/>
      <c r="BI248" s="251"/>
      <c r="BJ248" s="251"/>
      <c r="BK248" s="251"/>
      <c r="BL248" s="251"/>
      <c r="BM248" s="976">
        <v>45128</v>
      </c>
      <c r="BN248" s="791"/>
    </row>
    <row r="249" spans="1:66" s="260" customFormat="1" ht="26.4" x14ac:dyDescent="0.3">
      <c r="A249" s="258" t="s">
        <v>377</v>
      </c>
      <c r="B249" s="251" t="s">
        <v>102</v>
      </c>
      <c r="C249" s="258">
        <v>196111492</v>
      </c>
      <c r="D249" s="312" t="s">
        <v>757</v>
      </c>
      <c r="E249" s="487" t="s">
        <v>757</v>
      </c>
      <c r="F249" s="481" t="s">
        <v>3335</v>
      </c>
      <c r="G249" s="253" t="s">
        <v>4</v>
      </c>
      <c r="H249" s="254" t="s">
        <v>816</v>
      </c>
      <c r="I249" s="254" t="s">
        <v>872</v>
      </c>
      <c r="J249" s="255" t="s">
        <v>917</v>
      </c>
      <c r="K249" s="1282" t="s">
        <v>3338</v>
      </c>
      <c r="L249" s="737" t="s">
        <v>855</v>
      </c>
      <c r="M249" s="1307" t="s">
        <v>1220</v>
      </c>
      <c r="N249" s="781"/>
      <c r="O249" s="1297"/>
      <c r="P249" s="251"/>
      <c r="Q249" s="1297" t="s">
        <v>832</v>
      </c>
      <c r="R249" s="256">
        <f>$B$1</f>
        <v>45388</v>
      </c>
      <c r="S249" s="262"/>
      <c r="T249" s="262"/>
      <c r="U249" s="257"/>
      <c r="V249" s="257"/>
      <c r="W249" s="258" t="str">
        <f>IFERROR(IF(AND(BD_PRINCIPAL[[#This Row],[DESDE]]&lt;&gt;"",BD_PRINCIPAL[[#This Row],[HASTA]]&lt;&gt;""),_xlfn.DAYS(BD_PRINCIPAL[[#This Row],[HASTA]],BD_PRINCIPAL[[#This Row],[DESDE]]),"")+1,"")</f>
        <v/>
      </c>
      <c r="X249" s="258">
        <f>VLOOKUP(BD_PRINCIPAL[[#This Row],[ENCUADRE. ESC.]],ORDEN1,2,FALSE)</f>
        <v>1</v>
      </c>
      <c r="Y249" s="258">
        <f>VLOOKUP(BD_PRINCIPAL[[#This Row],[DOTACIÓN ACTUAL]],ORDEN2,4,FALSE)</f>
        <v>176</v>
      </c>
      <c r="Z249" s="258">
        <f>VLOOKUP(BD_PRINCIPAL[[#This Row],[GRADO]],ORDEN3,2,FALSE)</f>
        <v>12</v>
      </c>
      <c r="AA249" s="258">
        <f>IFERROR(VLOOKUP(BD_PRINCIPAL[[#This Row],[DOTACIÓN ACTUAL]],ORDEN2,3,FALSE),0)</f>
        <v>0</v>
      </c>
      <c r="AB249" s="251" t="s">
        <v>853</v>
      </c>
      <c r="AC249" s="251" t="s">
        <v>853</v>
      </c>
      <c r="AD249" s="251" t="s">
        <v>853</v>
      </c>
      <c r="AE249" s="251" t="s">
        <v>853</v>
      </c>
      <c r="AF249" s="251" t="s">
        <v>853</v>
      </c>
      <c r="AG249" s="251" t="s">
        <v>855</v>
      </c>
      <c r="AH249" s="251"/>
      <c r="AI249" s="251"/>
      <c r="AJ249" s="251"/>
      <c r="AK249" s="251"/>
      <c r="AL249" s="251"/>
      <c r="AM249" s="251"/>
      <c r="AN249" s="251"/>
      <c r="AO249" s="251"/>
      <c r="AP249" s="251"/>
      <c r="AQ249" s="251"/>
      <c r="AR249" s="251"/>
      <c r="AS249" s="251"/>
      <c r="AT249" s="259"/>
      <c r="AU249" s="259"/>
      <c r="AV249" s="259"/>
      <c r="AW249" s="259"/>
      <c r="AX249" s="259"/>
      <c r="AY249" s="259"/>
      <c r="AZ249" s="259"/>
      <c r="BA249" s="251"/>
      <c r="BB249" s="251"/>
      <c r="BC249" s="251"/>
      <c r="BD249" s="251"/>
      <c r="BE249" s="251"/>
      <c r="BF249" s="251"/>
      <c r="BG249" s="251"/>
      <c r="BH249" s="251"/>
      <c r="BI249" s="251"/>
      <c r="BJ249" s="251"/>
      <c r="BK249" s="251"/>
      <c r="BL249" s="251"/>
      <c r="BM249" s="781">
        <v>45071</v>
      </c>
      <c r="BN249" s="791"/>
    </row>
    <row r="250" spans="1:66" s="260" customFormat="1" x14ac:dyDescent="0.3">
      <c r="A250" s="258" t="s">
        <v>585</v>
      </c>
      <c r="B250" s="251" t="s">
        <v>166</v>
      </c>
      <c r="C250" s="258">
        <v>201505127</v>
      </c>
      <c r="D250" s="312" t="s">
        <v>757</v>
      </c>
      <c r="E250" s="481" t="s">
        <v>757</v>
      </c>
      <c r="F250" s="481" t="s">
        <v>2265</v>
      </c>
      <c r="G250" s="253" t="s">
        <v>4</v>
      </c>
      <c r="H250" s="254" t="s">
        <v>816</v>
      </c>
      <c r="I250" s="254" t="s">
        <v>872</v>
      </c>
      <c r="J250" s="255" t="s">
        <v>917</v>
      </c>
      <c r="K250" s="1282" t="s">
        <v>2301</v>
      </c>
      <c r="L250" s="737" t="s">
        <v>855</v>
      </c>
      <c r="M250" s="1307" t="s">
        <v>1220</v>
      </c>
      <c r="N250" s="781"/>
      <c r="O250" s="1297"/>
      <c r="P250" s="251"/>
      <c r="Q250" s="1297" t="s">
        <v>832</v>
      </c>
      <c r="R250" s="256">
        <f>$B$1</f>
        <v>45388</v>
      </c>
      <c r="S250" s="262"/>
      <c r="T250" s="262"/>
      <c r="U250" s="257"/>
      <c r="V250" s="257"/>
      <c r="W250" s="258" t="str">
        <f>IFERROR(IF(AND(BD_PRINCIPAL[[#This Row],[DESDE]]&lt;&gt;"",BD_PRINCIPAL[[#This Row],[HASTA]]&lt;&gt;""),_xlfn.DAYS(BD_PRINCIPAL[[#This Row],[HASTA]],BD_PRINCIPAL[[#This Row],[DESDE]]),"")+1,"")</f>
        <v/>
      </c>
      <c r="X250" s="258">
        <f>VLOOKUP(BD_PRINCIPAL[[#This Row],[ENCUADRE. ESC.]],ORDEN1,2,FALSE)</f>
        <v>1</v>
      </c>
      <c r="Y250" s="258">
        <f>VLOOKUP(BD_PRINCIPAL[[#This Row],[DOTACIÓN ACTUAL]],ORDEN2,4,FALSE)</f>
        <v>176</v>
      </c>
      <c r="Z250" s="258">
        <f>VLOOKUP(BD_PRINCIPAL[[#This Row],[GRADO]],ORDEN3,2,FALSE)</f>
        <v>12</v>
      </c>
      <c r="AA250" s="258">
        <f>IFERROR(VLOOKUP(BD_PRINCIPAL[[#This Row],[DOTACIÓN ACTUAL]],ORDEN2,3,FALSE),0)</f>
        <v>0</v>
      </c>
      <c r="AB250" s="251" t="s">
        <v>853</v>
      </c>
      <c r="AC250" s="251" t="s">
        <v>853</v>
      </c>
      <c r="AD250" s="251" t="s">
        <v>853</v>
      </c>
      <c r="AE250" s="251" t="s">
        <v>853</v>
      </c>
      <c r="AF250" s="251" t="s">
        <v>853</v>
      </c>
      <c r="AG250" s="251" t="s">
        <v>855</v>
      </c>
      <c r="AH250" s="251"/>
      <c r="AI250" s="251"/>
      <c r="AJ250" s="251"/>
      <c r="AK250" s="251"/>
      <c r="AL250" s="251"/>
      <c r="AM250" s="251"/>
      <c r="AN250" s="251"/>
      <c r="AO250" s="251"/>
      <c r="AP250" s="251"/>
      <c r="AQ250" s="251"/>
      <c r="AR250" s="251"/>
      <c r="AS250" s="251"/>
      <c r="AT250" s="259"/>
      <c r="AU250" s="259"/>
      <c r="AV250" s="259"/>
      <c r="AW250" s="259"/>
      <c r="AX250" s="259"/>
      <c r="AY250" s="259"/>
      <c r="AZ250" s="259"/>
      <c r="BA250" s="251"/>
      <c r="BB250" s="251"/>
      <c r="BC250" s="251"/>
      <c r="BD250" s="251"/>
      <c r="BE250" s="251"/>
      <c r="BF250" s="251"/>
      <c r="BG250" s="251"/>
      <c r="BH250" s="251"/>
      <c r="BI250" s="251"/>
      <c r="BJ250" s="251"/>
      <c r="BK250" s="251"/>
      <c r="BL250" s="251"/>
      <c r="BM250" s="781">
        <v>45126</v>
      </c>
      <c r="BN250" s="791"/>
    </row>
    <row r="251" spans="1:66" s="260" customFormat="1" ht="39.6" x14ac:dyDescent="0.3">
      <c r="A251" s="258" t="s">
        <v>380</v>
      </c>
      <c r="B251" s="251" t="s">
        <v>145</v>
      </c>
      <c r="C251" s="258">
        <v>182698334</v>
      </c>
      <c r="D251" s="312" t="s">
        <v>757</v>
      </c>
      <c r="E251" s="487" t="s">
        <v>757</v>
      </c>
      <c r="F251" s="481" t="s">
        <v>2282</v>
      </c>
      <c r="G251" s="253" t="s">
        <v>4</v>
      </c>
      <c r="H251" s="254" t="s">
        <v>816</v>
      </c>
      <c r="I251" s="254" t="s">
        <v>872</v>
      </c>
      <c r="J251" s="255" t="s">
        <v>917</v>
      </c>
      <c r="K251" s="1282" t="s">
        <v>2301</v>
      </c>
      <c r="L251" s="737" t="s">
        <v>855</v>
      </c>
      <c r="M251" s="1307" t="s">
        <v>1220</v>
      </c>
      <c r="N251" s="783"/>
      <c r="O251" s="1297"/>
      <c r="P251" s="251"/>
      <c r="Q251" s="1297" t="s">
        <v>832</v>
      </c>
      <c r="R251" s="256">
        <f>$B$1</f>
        <v>45388</v>
      </c>
      <c r="S251" s="262"/>
      <c r="T251" s="262" t="s">
        <v>2921</v>
      </c>
      <c r="U251" s="257"/>
      <c r="V251" s="257"/>
      <c r="W251" s="258" t="str">
        <f>IFERROR(IF(AND(BD_PRINCIPAL[[#This Row],[DESDE]]&lt;&gt;"",BD_PRINCIPAL[[#This Row],[HASTA]]&lt;&gt;""),_xlfn.DAYS(BD_PRINCIPAL[[#This Row],[HASTA]],BD_PRINCIPAL[[#This Row],[DESDE]]),"")+1,"")</f>
        <v/>
      </c>
      <c r="X251" s="258">
        <f>VLOOKUP(BD_PRINCIPAL[[#This Row],[ENCUADRE. ESC.]],ORDEN1,2,FALSE)</f>
        <v>1</v>
      </c>
      <c r="Y251" s="258">
        <f>VLOOKUP(BD_PRINCIPAL[[#This Row],[DOTACIÓN ACTUAL]],ORDEN2,4,FALSE)</f>
        <v>176</v>
      </c>
      <c r="Z251" s="258">
        <f>VLOOKUP(BD_PRINCIPAL[[#This Row],[GRADO]],ORDEN3,2,FALSE)</f>
        <v>12</v>
      </c>
      <c r="AA251" s="258">
        <f>IFERROR(VLOOKUP(BD_PRINCIPAL[[#This Row],[DOTACIÓN ACTUAL]],ORDEN2,3,FALSE),0)</f>
        <v>0</v>
      </c>
      <c r="AB251" s="251" t="s">
        <v>853</v>
      </c>
      <c r="AC251" s="251" t="s">
        <v>853</v>
      </c>
      <c r="AD251" s="251" t="s">
        <v>853</v>
      </c>
      <c r="AE251" s="251" t="s">
        <v>853</v>
      </c>
      <c r="AF251" s="251" t="s">
        <v>853</v>
      </c>
      <c r="AG251" s="251" t="s">
        <v>855</v>
      </c>
      <c r="AH251" s="251"/>
      <c r="AI251" s="251"/>
      <c r="AJ251" s="251"/>
      <c r="AK251" s="251"/>
      <c r="AL251" s="251"/>
      <c r="AM251" s="251"/>
      <c r="AN251" s="251"/>
      <c r="AO251" s="251"/>
      <c r="AP251" s="251"/>
      <c r="AQ251" s="251"/>
      <c r="AR251" s="251"/>
      <c r="AS251" s="251"/>
      <c r="AT251" s="259"/>
      <c r="AU251" s="259"/>
      <c r="AV251" s="259"/>
      <c r="AW251" s="259"/>
      <c r="AX251" s="259"/>
      <c r="AY251" s="259"/>
      <c r="AZ251" s="259"/>
      <c r="BA251" s="251"/>
      <c r="BB251" s="251"/>
      <c r="BC251" s="251"/>
      <c r="BD251" s="251"/>
      <c r="BE251" s="251"/>
      <c r="BF251" s="251"/>
      <c r="BG251" s="251"/>
      <c r="BH251" s="251"/>
      <c r="BI251" s="251"/>
      <c r="BJ251" s="251"/>
      <c r="BK251" s="251"/>
      <c r="BL251" s="251"/>
      <c r="BM251" s="783">
        <v>45142</v>
      </c>
      <c r="BN251" s="791"/>
    </row>
    <row r="252" spans="1:66" s="260" customFormat="1" x14ac:dyDescent="0.3">
      <c r="A252" s="258" t="s">
        <v>287</v>
      </c>
      <c r="B252" s="251" t="s">
        <v>168</v>
      </c>
      <c r="C252" s="258">
        <v>203737254</v>
      </c>
      <c r="D252" s="487" t="s">
        <v>757</v>
      </c>
      <c r="E252" s="487" t="s">
        <v>757</v>
      </c>
      <c r="F252" s="481" t="s">
        <v>2888</v>
      </c>
      <c r="G252" s="253" t="s">
        <v>4</v>
      </c>
      <c r="H252" s="254" t="s">
        <v>816</v>
      </c>
      <c r="I252" s="254" t="s">
        <v>872</v>
      </c>
      <c r="J252" s="255" t="s">
        <v>917</v>
      </c>
      <c r="K252" s="1282" t="s">
        <v>2301</v>
      </c>
      <c r="L252" s="737" t="s">
        <v>855</v>
      </c>
      <c r="M252" s="1307" t="s">
        <v>1220</v>
      </c>
      <c r="N252" s="783"/>
      <c r="O252" s="1297"/>
      <c r="P252" s="251"/>
      <c r="Q252" s="1297" t="s">
        <v>832</v>
      </c>
      <c r="R252" s="256">
        <f>$B$1</f>
        <v>45388</v>
      </c>
      <c r="S252" s="262"/>
      <c r="T252" s="252"/>
      <c r="U252" s="257"/>
      <c r="V252" s="257"/>
      <c r="W252" s="258" t="str">
        <f>IFERROR(IF(AND(BD_PRINCIPAL[[#This Row],[DESDE]]&lt;&gt;"",BD_PRINCIPAL[[#This Row],[HASTA]]&lt;&gt;""),_xlfn.DAYS(BD_PRINCIPAL[[#This Row],[HASTA]],BD_PRINCIPAL[[#This Row],[DESDE]]),"")+1,"")</f>
        <v/>
      </c>
      <c r="X252" s="258">
        <f>VLOOKUP(BD_PRINCIPAL[[#This Row],[ENCUADRE. ESC.]],ORDEN1,2,FALSE)</f>
        <v>1</v>
      </c>
      <c r="Y252" s="258">
        <f>VLOOKUP(BD_PRINCIPAL[[#This Row],[DOTACIÓN ACTUAL]],ORDEN2,4,FALSE)</f>
        <v>176</v>
      </c>
      <c r="Z252" s="258">
        <f>VLOOKUP(BD_PRINCIPAL[[#This Row],[GRADO]],ORDEN3,2,FALSE)</f>
        <v>12</v>
      </c>
      <c r="AA252" s="258">
        <f>IFERROR(VLOOKUP(BD_PRINCIPAL[[#This Row],[DOTACIÓN ACTUAL]],ORDEN2,3,FALSE),0)</f>
        <v>0</v>
      </c>
      <c r="AB252" s="251" t="s">
        <v>853</v>
      </c>
      <c r="AC252" s="251" t="s">
        <v>853</v>
      </c>
      <c r="AD252" s="251" t="s">
        <v>853</v>
      </c>
      <c r="AE252" s="251" t="s">
        <v>884</v>
      </c>
      <c r="AF252" s="251" t="s">
        <v>853</v>
      </c>
      <c r="AG252" s="251" t="s">
        <v>855</v>
      </c>
      <c r="AH252" s="251"/>
      <c r="AI252" s="251"/>
      <c r="AJ252" s="251"/>
      <c r="AK252" s="251"/>
      <c r="AL252" s="251"/>
      <c r="AM252" s="251"/>
      <c r="AN252" s="251"/>
      <c r="AO252" s="251"/>
      <c r="AP252" s="251"/>
      <c r="AQ252" s="251"/>
      <c r="AR252" s="251"/>
      <c r="AS252" s="251"/>
      <c r="AT252" s="259"/>
      <c r="AU252" s="259"/>
      <c r="AV252" s="259"/>
      <c r="AW252" s="259"/>
      <c r="AX252" s="259"/>
      <c r="AY252" s="259"/>
      <c r="AZ252" s="259"/>
      <c r="BA252" s="251"/>
      <c r="BB252" s="251"/>
      <c r="BC252" s="251"/>
      <c r="BD252" s="251"/>
      <c r="BE252" s="251"/>
      <c r="BF252" s="251"/>
      <c r="BG252" s="251"/>
      <c r="BH252" s="251"/>
      <c r="BI252" s="251"/>
      <c r="BJ252" s="251"/>
      <c r="BK252" s="251"/>
      <c r="BL252" s="251"/>
      <c r="BM252" s="783">
        <v>45149</v>
      </c>
      <c r="BN252" s="791"/>
    </row>
    <row r="253" spans="1:66" s="260" customFormat="1" x14ac:dyDescent="0.3">
      <c r="A253" s="258" t="s">
        <v>290</v>
      </c>
      <c r="B253" s="251" t="s">
        <v>94</v>
      </c>
      <c r="C253" s="258">
        <v>197694459</v>
      </c>
      <c r="D253" s="312" t="s">
        <v>757</v>
      </c>
      <c r="E253" s="894" t="s">
        <v>757</v>
      </c>
      <c r="F253" s="481" t="s">
        <v>2284</v>
      </c>
      <c r="G253" s="253" t="s">
        <v>4</v>
      </c>
      <c r="H253" s="254" t="s">
        <v>817</v>
      </c>
      <c r="I253" s="254" t="s">
        <v>872</v>
      </c>
      <c r="J253" s="255" t="s">
        <v>917</v>
      </c>
      <c r="K253" s="1282" t="s">
        <v>2310</v>
      </c>
      <c r="L253" s="737" t="s">
        <v>855</v>
      </c>
      <c r="M253" s="1307" t="s">
        <v>1220</v>
      </c>
      <c r="N253" s="781"/>
      <c r="O253" s="1297"/>
      <c r="P253" s="251"/>
      <c r="Q253" s="1297" t="s">
        <v>832</v>
      </c>
      <c r="R253" s="256">
        <f>$B$1</f>
        <v>45388</v>
      </c>
      <c r="S253" s="262"/>
      <c r="T253" s="262"/>
      <c r="U253" s="819"/>
      <c r="V253" s="819"/>
      <c r="W253" s="258" t="str">
        <f>IFERROR(IF(AND(BD_PRINCIPAL[[#This Row],[DESDE]]&lt;&gt;"",BD_PRINCIPAL[[#This Row],[HASTA]]&lt;&gt;""),_xlfn.DAYS(BD_PRINCIPAL[[#This Row],[HASTA]],BD_PRINCIPAL[[#This Row],[DESDE]]),"")+1,"")</f>
        <v/>
      </c>
      <c r="X253" s="258">
        <f>VLOOKUP(BD_PRINCIPAL[[#This Row],[ENCUADRE. ESC.]],ORDEN1,2,FALSE)</f>
        <v>1</v>
      </c>
      <c r="Y253" s="258">
        <f>VLOOKUP(BD_PRINCIPAL[[#This Row],[DOTACIÓN ACTUAL]],ORDEN2,4,FALSE)</f>
        <v>176</v>
      </c>
      <c r="Z253" s="258">
        <f>VLOOKUP(BD_PRINCIPAL[[#This Row],[GRADO]],ORDEN3,2,FALSE)</f>
        <v>12</v>
      </c>
      <c r="AA253" s="258">
        <f>IFERROR(VLOOKUP(BD_PRINCIPAL[[#This Row],[DOTACIÓN ACTUAL]],ORDEN2,3,FALSE),0)</f>
        <v>0</v>
      </c>
      <c r="AB253" s="251" t="s">
        <v>853</v>
      </c>
      <c r="AC253" s="251" t="s">
        <v>853</v>
      </c>
      <c r="AD253" s="251" t="s">
        <v>853</v>
      </c>
      <c r="AE253" s="251" t="s">
        <v>853</v>
      </c>
      <c r="AF253" s="251" t="s">
        <v>853</v>
      </c>
      <c r="AG253" s="251" t="s">
        <v>855</v>
      </c>
      <c r="AH253" s="251"/>
      <c r="AI253" s="251"/>
      <c r="AJ253" s="251"/>
      <c r="AK253" s="251"/>
      <c r="AL253" s="251"/>
      <c r="AM253" s="251"/>
      <c r="AN253" s="251"/>
      <c r="AO253" s="251"/>
      <c r="AP253" s="251"/>
      <c r="AQ253" s="251"/>
      <c r="AR253" s="251"/>
      <c r="AS253" s="251"/>
      <c r="AT253" s="259"/>
      <c r="AU253" s="259"/>
      <c r="AV253" s="259"/>
      <c r="AW253" s="259"/>
      <c r="AX253" s="259"/>
      <c r="AY253" s="259"/>
      <c r="AZ253" s="259"/>
      <c r="BA253" s="251"/>
      <c r="BB253" s="251"/>
      <c r="BC253" s="251"/>
      <c r="BD253" s="251"/>
      <c r="BE253" s="251"/>
      <c r="BF253" s="251"/>
      <c r="BG253" s="251"/>
      <c r="BH253" s="251"/>
      <c r="BI253" s="251"/>
      <c r="BJ253" s="251"/>
      <c r="BK253" s="251"/>
      <c r="BL253" s="251"/>
      <c r="BM253" s="781">
        <v>45148</v>
      </c>
      <c r="BN253" s="791"/>
    </row>
    <row r="254" spans="1:66" s="260" customFormat="1" x14ac:dyDescent="0.3">
      <c r="A254" s="258" t="s">
        <v>338</v>
      </c>
      <c r="B254" s="251" t="s">
        <v>245</v>
      </c>
      <c r="C254" s="258">
        <v>198065900</v>
      </c>
      <c r="D254" s="312" t="s">
        <v>757</v>
      </c>
      <c r="E254" s="487" t="s">
        <v>757</v>
      </c>
      <c r="F254" s="481" t="s">
        <v>245</v>
      </c>
      <c r="G254" s="253" t="s">
        <v>14</v>
      </c>
      <c r="H254" s="254" t="s">
        <v>816</v>
      </c>
      <c r="I254" s="254" t="s">
        <v>872</v>
      </c>
      <c r="J254" s="255" t="s">
        <v>917</v>
      </c>
      <c r="K254" s="1282" t="s">
        <v>2290</v>
      </c>
      <c r="L254" s="737" t="s">
        <v>855</v>
      </c>
      <c r="M254" s="1307" t="s">
        <v>1220</v>
      </c>
      <c r="N254" s="783"/>
      <c r="O254" s="1297"/>
      <c r="P254" s="251"/>
      <c r="Q254" s="1297" t="s">
        <v>832</v>
      </c>
      <c r="R254" s="256">
        <f>$B$1</f>
        <v>45388</v>
      </c>
      <c r="S254" s="262"/>
      <c r="T254" s="252"/>
      <c r="U254" s="257"/>
      <c r="V254" s="257"/>
      <c r="W254" s="258" t="str">
        <f>IFERROR(IF(AND(BD_PRINCIPAL[[#This Row],[DESDE]]&lt;&gt;"",BD_PRINCIPAL[[#This Row],[HASTA]]&lt;&gt;""),_xlfn.DAYS(BD_PRINCIPAL[[#This Row],[HASTA]],BD_PRINCIPAL[[#This Row],[DESDE]]),"")+1,"")</f>
        <v/>
      </c>
      <c r="X254" s="258">
        <f>VLOOKUP(BD_PRINCIPAL[[#This Row],[ENCUADRE. ESC.]],ORDEN1,2,FALSE)</f>
        <v>1</v>
      </c>
      <c r="Y254" s="258">
        <f>VLOOKUP(BD_PRINCIPAL[[#This Row],[DOTACIÓN ACTUAL]],ORDEN2,4,FALSE)</f>
        <v>176</v>
      </c>
      <c r="Z254" s="258">
        <f>VLOOKUP(BD_PRINCIPAL[[#This Row],[GRADO]],ORDEN3,2,FALSE)</f>
        <v>13</v>
      </c>
      <c r="AA254" s="258">
        <f>IFERROR(VLOOKUP(BD_PRINCIPAL[[#This Row],[DOTACIÓN ACTUAL]],ORDEN2,3,FALSE),0)</f>
        <v>0</v>
      </c>
      <c r="AB254" s="251" t="s">
        <v>853</v>
      </c>
      <c r="AC254" s="251" t="s">
        <v>853</v>
      </c>
      <c r="AD254" s="251" t="s">
        <v>853</v>
      </c>
      <c r="AE254" s="251" t="s">
        <v>853</v>
      </c>
      <c r="AF254" s="251" t="s">
        <v>853</v>
      </c>
      <c r="AG254" s="251" t="s">
        <v>855</v>
      </c>
      <c r="AH254" s="251"/>
      <c r="AI254" s="251"/>
      <c r="AJ254" s="251"/>
      <c r="AK254" s="251"/>
      <c r="AL254" s="251"/>
      <c r="AM254" s="251"/>
      <c r="AN254" s="251"/>
      <c r="AO254" s="251"/>
      <c r="AP254" s="251"/>
      <c r="AQ254" s="251"/>
      <c r="AR254" s="251"/>
      <c r="AS254" s="251"/>
      <c r="AT254" s="259"/>
      <c r="AU254" s="259"/>
      <c r="AV254" s="259"/>
      <c r="AW254" s="259"/>
      <c r="AX254" s="259"/>
      <c r="AY254" s="259"/>
      <c r="AZ254" s="259"/>
      <c r="BA254" s="251"/>
      <c r="BB254" s="251"/>
      <c r="BC254" s="251"/>
      <c r="BD254" s="251"/>
      <c r="BE254" s="251"/>
      <c r="BF254" s="251"/>
      <c r="BG254" s="251"/>
      <c r="BH254" s="251"/>
      <c r="BI254" s="251"/>
      <c r="BJ254" s="251"/>
      <c r="BK254" s="251"/>
      <c r="BL254" s="251"/>
      <c r="BM254" s="783">
        <v>45369</v>
      </c>
      <c r="BN254" s="791"/>
    </row>
    <row r="255" spans="1:66" s="189" customFormat="1" ht="26.4" x14ac:dyDescent="0.3">
      <c r="A255" s="188" t="s">
        <v>3215</v>
      </c>
      <c r="B255" s="864" t="s">
        <v>3216</v>
      </c>
      <c r="C255" s="188">
        <v>167071759</v>
      </c>
      <c r="D255" s="873" t="s">
        <v>1676</v>
      </c>
      <c r="E255" s="479" t="s">
        <v>1678</v>
      </c>
      <c r="F255" s="479" t="s">
        <v>3216</v>
      </c>
      <c r="G255" s="191" t="s">
        <v>209</v>
      </c>
      <c r="H255" s="184" t="s">
        <v>816</v>
      </c>
      <c r="I255" s="184" t="s">
        <v>872</v>
      </c>
      <c r="J255" s="185" t="s">
        <v>917</v>
      </c>
      <c r="K255" s="1283" t="s">
        <v>2290</v>
      </c>
      <c r="L255" s="736" t="s">
        <v>1</v>
      </c>
      <c r="M255" s="1308" t="s">
        <v>3474</v>
      </c>
      <c r="N255" s="776"/>
      <c r="O255" s="1298"/>
      <c r="P255" s="181"/>
      <c r="Q255" s="1298" t="s">
        <v>832</v>
      </c>
      <c r="R255" s="865">
        <v>32401</v>
      </c>
      <c r="S255" s="190"/>
      <c r="T255" s="190" t="s">
        <v>3345</v>
      </c>
      <c r="U255" s="887"/>
      <c r="V255" s="887"/>
      <c r="W255" s="339" t="str">
        <f>IFERROR(IF(AND(BD_PRINCIPAL[[#This Row],[DESDE]]&lt;&gt;"",BD_PRINCIPAL[[#This Row],[HASTA]]&lt;&gt;""),_xlfn.DAYS(BD_PRINCIPAL[[#This Row],[HASTA]],BD_PRINCIPAL[[#This Row],[DESDE]]),"")+1,"")</f>
        <v/>
      </c>
      <c r="X255" s="339">
        <f>VLOOKUP(BD_PRINCIPAL[[#This Row],[ENCUADRE. ESC.]],ORDEN1,2,FALSE)</f>
        <v>1</v>
      </c>
      <c r="Y255" s="339">
        <f>VLOOKUP(BD_PRINCIPAL[[#This Row],[DOTACIÓN ACTUAL]],ORDEN2,4,FALSE)</f>
        <v>193</v>
      </c>
      <c r="Z255" s="339">
        <f>VLOOKUP(BD_PRINCIPAL[[#This Row],[GRADO]],ORDEN3,2,FALSE)</f>
        <v>10</v>
      </c>
      <c r="AA255" s="339">
        <f>IFERROR(VLOOKUP(BD_PRINCIPAL[[#This Row],[DOTACIÓN ACTUAL]],ORDEN2,3,FALSE),0)</f>
        <v>0</v>
      </c>
      <c r="AB255" s="187" t="s">
        <v>1</v>
      </c>
      <c r="AC255" s="187" t="s">
        <v>2</v>
      </c>
      <c r="AD255" s="187" t="s">
        <v>853</v>
      </c>
      <c r="AE255" s="187" t="s">
        <v>1</v>
      </c>
      <c r="AF255" s="187" t="s">
        <v>1</v>
      </c>
      <c r="AG255" s="187" t="s">
        <v>1</v>
      </c>
      <c r="AH255" s="187"/>
      <c r="AI255" s="187"/>
      <c r="AJ255" s="187"/>
      <c r="AK255" s="187"/>
      <c r="AL255" s="187"/>
      <c r="AM255" s="187"/>
      <c r="AN255" s="187"/>
      <c r="AO255" s="187"/>
      <c r="AP255" s="187"/>
      <c r="AQ255" s="187"/>
      <c r="AR255" s="187"/>
      <c r="AS255" s="187"/>
      <c r="AT255" s="187"/>
      <c r="AU255" s="187"/>
      <c r="AV255" s="187"/>
      <c r="AW255" s="187"/>
      <c r="AX255" s="187"/>
      <c r="AY255" s="187"/>
      <c r="AZ255" s="187"/>
      <c r="BA255" s="181"/>
      <c r="BB255" s="181"/>
      <c r="BC255" s="181"/>
      <c r="BD255" s="181"/>
      <c r="BE255" s="181"/>
      <c r="BF255" s="181"/>
      <c r="BG255" s="181"/>
      <c r="BH255" s="181"/>
      <c r="BI255" s="181"/>
      <c r="BJ255" s="181"/>
      <c r="BK255" s="181"/>
      <c r="BL255" s="181"/>
      <c r="BM255" s="899"/>
      <c r="BN255" s="899"/>
    </row>
    <row r="256" spans="1:66" s="189" customFormat="1" x14ac:dyDescent="0.3">
      <c r="A256" s="188" t="s">
        <v>3170</v>
      </c>
      <c r="B256" s="864" t="s">
        <v>3171</v>
      </c>
      <c r="C256" s="188">
        <v>162918044</v>
      </c>
      <c r="D256" s="479" t="s">
        <v>1676</v>
      </c>
      <c r="E256" s="479" t="s">
        <v>1676</v>
      </c>
      <c r="F256" s="479" t="s">
        <v>3173</v>
      </c>
      <c r="G256" s="191" t="s">
        <v>209</v>
      </c>
      <c r="H256" s="184" t="s">
        <v>816</v>
      </c>
      <c r="I256" s="184" t="s">
        <v>872</v>
      </c>
      <c r="J256" s="185" t="s">
        <v>917</v>
      </c>
      <c r="K256" s="1283" t="s">
        <v>2305</v>
      </c>
      <c r="L256" s="736" t="s">
        <v>1</v>
      </c>
      <c r="M256" s="1308" t="s">
        <v>3474</v>
      </c>
      <c r="N256" s="776"/>
      <c r="O256" s="1298"/>
      <c r="P256" s="181"/>
      <c r="Q256" s="1298" t="s">
        <v>832</v>
      </c>
      <c r="R256" s="865">
        <v>32401</v>
      </c>
      <c r="S256" s="182" t="s">
        <v>3504</v>
      </c>
      <c r="T256" s="182" t="s">
        <v>3241</v>
      </c>
      <c r="U256" s="887"/>
      <c r="V256" s="887"/>
      <c r="W256" s="339" t="str">
        <f>IFERROR(IF(AND(BD_PRINCIPAL[[#This Row],[DESDE]]&lt;&gt;"",BD_PRINCIPAL[[#This Row],[HASTA]]&lt;&gt;""),_xlfn.DAYS(BD_PRINCIPAL[[#This Row],[HASTA]],BD_PRINCIPAL[[#This Row],[DESDE]]),"")+1,"")</f>
        <v/>
      </c>
      <c r="X256" s="339">
        <f>VLOOKUP(BD_PRINCIPAL[[#This Row],[ENCUADRE. ESC.]],ORDEN1,2,FALSE)</f>
        <v>1</v>
      </c>
      <c r="Y256" s="339">
        <f>VLOOKUP(BD_PRINCIPAL[[#This Row],[DOTACIÓN ACTUAL]],ORDEN2,4,FALSE)</f>
        <v>194</v>
      </c>
      <c r="Z256" s="339">
        <f>VLOOKUP(BD_PRINCIPAL[[#This Row],[GRADO]],ORDEN3,2,FALSE)</f>
        <v>10</v>
      </c>
      <c r="AA256" s="339">
        <f>IFERROR(VLOOKUP(BD_PRINCIPAL[[#This Row],[DOTACIÓN ACTUAL]],ORDEN2,3,FALSE),0)</f>
        <v>0</v>
      </c>
      <c r="AB256" s="187" t="s">
        <v>1</v>
      </c>
      <c r="AC256" s="187" t="s">
        <v>2</v>
      </c>
      <c r="AD256" s="187" t="s">
        <v>853</v>
      </c>
      <c r="AE256" s="187" t="s">
        <v>2</v>
      </c>
      <c r="AF256" s="187" t="s">
        <v>1</v>
      </c>
      <c r="AG256" s="187" t="s">
        <v>1</v>
      </c>
      <c r="AH256" s="187"/>
      <c r="AI256" s="187"/>
      <c r="AJ256" s="187"/>
      <c r="AK256" s="187"/>
      <c r="AL256" s="187"/>
      <c r="AM256" s="187"/>
      <c r="AN256" s="187"/>
      <c r="AO256" s="187"/>
      <c r="AP256" s="187"/>
      <c r="AQ256" s="187"/>
      <c r="AR256" s="187"/>
      <c r="AS256" s="187"/>
      <c r="AT256" s="187"/>
      <c r="AU256" s="187"/>
      <c r="AV256" s="187"/>
      <c r="AW256" s="187"/>
      <c r="AX256" s="187"/>
      <c r="AY256" s="187"/>
      <c r="AZ256" s="187"/>
      <c r="BA256" s="181"/>
      <c r="BB256" s="181"/>
      <c r="BC256" s="181"/>
      <c r="BD256" s="181"/>
      <c r="BE256" s="181"/>
      <c r="BF256" s="181"/>
      <c r="BG256" s="181"/>
      <c r="BH256" s="181"/>
      <c r="BI256" s="181"/>
      <c r="BJ256" s="181"/>
      <c r="BK256" s="181"/>
      <c r="BL256" s="181"/>
      <c r="BM256" s="899"/>
      <c r="BN256" s="899"/>
    </row>
    <row r="257" spans="1:66" s="189" customFormat="1" x14ac:dyDescent="0.3">
      <c r="A257" s="188" t="s">
        <v>3161</v>
      </c>
      <c r="B257" s="864" t="s">
        <v>3162</v>
      </c>
      <c r="C257" s="188">
        <v>166494052</v>
      </c>
      <c r="D257" s="479" t="s">
        <v>1676</v>
      </c>
      <c r="E257" s="479" t="s">
        <v>1676</v>
      </c>
      <c r="F257" s="479" t="s">
        <v>3162</v>
      </c>
      <c r="G257" s="191" t="s">
        <v>209</v>
      </c>
      <c r="H257" s="184" t="s">
        <v>816</v>
      </c>
      <c r="I257" s="184" t="s">
        <v>872</v>
      </c>
      <c r="J257" s="185" t="s">
        <v>917</v>
      </c>
      <c r="K257" s="1283" t="s">
        <v>2290</v>
      </c>
      <c r="L257" s="736" t="s">
        <v>1</v>
      </c>
      <c r="M257" s="1308" t="s">
        <v>3474</v>
      </c>
      <c r="N257" s="776"/>
      <c r="O257" s="1298"/>
      <c r="P257" s="181"/>
      <c r="Q257" s="1298" t="s">
        <v>832</v>
      </c>
      <c r="R257" s="865">
        <v>32401</v>
      </c>
      <c r="S257" s="182"/>
      <c r="T257" s="182" t="s">
        <v>3241</v>
      </c>
      <c r="U257" s="887"/>
      <c r="V257" s="887"/>
      <c r="W257" s="339" t="str">
        <f>IFERROR(IF(AND(BD_PRINCIPAL[[#This Row],[DESDE]]&lt;&gt;"",BD_PRINCIPAL[[#This Row],[HASTA]]&lt;&gt;""),_xlfn.DAYS(BD_PRINCIPAL[[#This Row],[HASTA]],BD_PRINCIPAL[[#This Row],[DESDE]]),"")+1,"")</f>
        <v/>
      </c>
      <c r="X257" s="339">
        <f>VLOOKUP(BD_PRINCIPAL[[#This Row],[ENCUADRE. ESC.]],ORDEN1,2,FALSE)</f>
        <v>1</v>
      </c>
      <c r="Y257" s="339">
        <f>VLOOKUP(BD_PRINCIPAL[[#This Row],[DOTACIÓN ACTUAL]],ORDEN2,4,FALSE)</f>
        <v>194</v>
      </c>
      <c r="Z257" s="339">
        <f>VLOOKUP(BD_PRINCIPAL[[#This Row],[GRADO]],ORDEN3,2,FALSE)</f>
        <v>10</v>
      </c>
      <c r="AA257" s="339">
        <f>IFERROR(VLOOKUP(BD_PRINCIPAL[[#This Row],[DOTACIÓN ACTUAL]],ORDEN2,3,FALSE),0)</f>
        <v>0</v>
      </c>
      <c r="AB257" s="187" t="s">
        <v>1</v>
      </c>
      <c r="AC257" s="187" t="s">
        <v>2</v>
      </c>
      <c r="AD257" s="187" t="s">
        <v>853</v>
      </c>
      <c r="AE257" s="187" t="s">
        <v>1</v>
      </c>
      <c r="AF257" s="187" t="s">
        <v>1</v>
      </c>
      <c r="AG257" s="187" t="s">
        <v>1</v>
      </c>
      <c r="AH257" s="187"/>
      <c r="AI257" s="187"/>
      <c r="AJ257" s="187"/>
      <c r="AK257" s="187"/>
      <c r="AL257" s="187"/>
      <c r="AM257" s="187"/>
      <c r="AN257" s="187"/>
      <c r="AO257" s="187"/>
      <c r="AP257" s="187"/>
      <c r="AQ257" s="187"/>
      <c r="AR257" s="187"/>
      <c r="AS257" s="187"/>
      <c r="AT257" s="187"/>
      <c r="AU257" s="187"/>
      <c r="AV257" s="187"/>
      <c r="AW257" s="187"/>
      <c r="AX257" s="187"/>
      <c r="AY257" s="187"/>
      <c r="AZ257" s="187"/>
      <c r="BA257" s="181"/>
      <c r="BB257" s="181"/>
      <c r="BC257" s="181"/>
      <c r="BD257" s="181"/>
      <c r="BE257" s="181"/>
      <c r="BF257" s="181"/>
      <c r="BG257" s="181"/>
      <c r="BH257" s="181"/>
      <c r="BI257" s="181"/>
      <c r="BJ257" s="181"/>
      <c r="BK257" s="181"/>
      <c r="BL257" s="181"/>
      <c r="BM257" s="899"/>
      <c r="BN257" s="899"/>
    </row>
    <row r="258" spans="1:66" s="189" customFormat="1" x14ac:dyDescent="0.3">
      <c r="A258" s="188" t="s">
        <v>3281</v>
      </c>
      <c r="B258" s="864" t="s">
        <v>3282</v>
      </c>
      <c r="C258" s="188">
        <v>184899752</v>
      </c>
      <c r="D258" s="479" t="s">
        <v>1676</v>
      </c>
      <c r="E258" s="479" t="s">
        <v>1676</v>
      </c>
      <c r="F258" s="479" t="s">
        <v>3282</v>
      </c>
      <c r="G258" s="191" t="s">
        <v>3</v>
      </c>
      <c r="H258" s="184" t="s">
        <v>816</v>
      </c>
      <c r="I258" s="184" t="s">
        <v>872</v>
      </c>
      <c r="J258" s="185" t="s">
        <v>917</v>
      </c>
      <c r="K258" s="1283" t="s">
        <v>2290</v>
      </c>
      <c r="L258" s="736" t="s">
        <v>1</v>
      </c>
      <c r="M258" s="1308" t="s">
        <v>3474</v>
      </c>
      <c r="N258" s="776"/>
      <c r="O258" s="1298"/>
      <c r="P258" s="181"/>
      <c r="Q258" s="1298" t="s">
        <v>832</v>
      </c>
      <c r="R258" s="865">
        <v>32401</v>
      </c>
      <c r="S258" s="182"/>
      <c r="T258" s="182" t="s">
        <v>3241</v>
      </c>
      <c r="U258" s="887"/>
      <c r="V258" s="887"/>
      <c r="W258" s="339" t="str">
        <f>IFERROR(IF(AND(BD_PRINCIPAL[[#This Row],[DESDE]]&lt;&gt;"",BD_PRINCIPAL[[#This Row],[HASTA]]&lt;&gt;""),_xlfn.DAYS(BD_PRINCIPAL[[#This Row],[HASTA]],BD_PRINCIPAL[[#This Row],[DESDE]]),"")+1,"")</f>
        <v/>
      </c>
      <c r="X258" s="339">
        <f>VLOOKUP(BD_PRINCIPAL[[#This Row],[ENCUADRE. ESC.]],ORDEN1,2,FALSE)</f>
        <v>1</v>
      </c>
      <c r="Y258" s="339">
        <f>VLOOKUP(BD_PRINCIPAL[[#This Row],[DOTACIÓN ACTUAL]],ORDEN2,4,FALSE)</f>
        <v>194</v>
      </c>
      <c r="Z258" s="339">
        <f>VLOOKUP(BD_PRINCIPAL[[#This Row],[GRADO]],ORDEN3,2,FALSE)</f>
        <v>11</v>
      </c>
      <c r="AA258" s="339">
        <f>IFERROR(VLOOKUP(BD_PRINCIPAL[[#This Row],[DOTACIÓN ACTUAL]],ORDEN2,3,FALSE),0)</f>
        <v>0</v>
      </c>
      <c r="AB258" s="187" t="s">
        <v>1</v>
      </c>
      <c r="AC258" s="187" t="s">
        <v>2</v>
      </c>
      <c r="AD258" s="187" t="s">
        <v>853</v>
      </c>
      <c r="AE258" s="187" t="s">
        <v>1</v>
      </c>
      <c r="AF258" s="187" t="s">
        <v>1</v>
      </c>
      <c r="AG258" s="187" t="s">
        <v>1</v>
      </c>
      <c r="AH258" s="187"/>
      <c r="AI258" s="187"/>
      <c r="AJ258" s="187"/>
      <c r="AK258" s="187"/>
      <c r="AL258" s="187"/>
      <c r="AM258" s="187"/>
      <c r="AN258" s="187"/>
      <c r="AO258" s="187"/>
      <c r="AP258" s="187"/>
      <c r="AQ258" s="187"/>
      <c r="AR258" s="187"/>
      <c r="AS258" s="187"/>
      <c r="AT258" s="187"/>
      <c r="AU258" s="187"/>
      <c r="AV258" s="187"/>
      <c r="AW258" s="187"/>
      <c r="AX258" s="187"/>
      <c r="AY258" s="187"/>
      <c r="AZ258" s="187"/>
      <c r="BA258" s="181"/>
      <c r="BB258" s="181"/>
      <c r="BC258" s="181"/>
      <c r="BD258" s="181"/>
      <c r="BE258" s="181"/>
      <c r="BF258" s="181"/>
      <c r="BG258" s="181"/>
      <c r="BH258" s="181"/>
      <c r="BI258" s="181"/>
      <c r="BJ258" s="181"/>
      <c r="BK258" s="181"/>
      <c r="BL258" s="181"/>
      <c r="BM258" s="899"/>
      <c r="BN258" s="899"/>
    </row>
    <row r="259" spans="1:66" s="189" customFormat="1" ht="39.6" x14ac:dyDescent="0.3">
      <c r="A259" s="188" t="s">
        <v>3196</v>
      </c>
      <c r="B259" s="864" t="s">
        <v>3197</v>
      </c>
      <c r="C259" s="188">
        <v>184062305</v>
      </c>
      <c r="D259" s="479" t="s">
        <v>1676</v>
      </c>
      <c r="E259" s="479" t="s">
        <v>1676</v>
      </c>
      <c r="F259" s="479" t="s">
        <v>3197</v>
      </c>
      <c r="G259" s="191" t="s">
        <v>3</v>
      </c>
      <c r="H259" s="184" t="s">
        <v>816</v>
      </c>
      <c r="I259" s="184" t="s">
        <v>872</v>
      </c>
      <c r="J259" s="185" t="s">
        <v>917</v>
      </c>
      <c r="K259" s="1283" t="s">
        <v>2290</v>
      </c>
      <c r="L259" s="736" t="s">
        <v>1</v>
      </c>
      <c r="M259" s="1308" t="s">
        <v>3474</v>
      </c>
      <c r="N259" s="776"/>
      <c r="O259" s="1298"/>
      <c r="P259" s="181"/>
      <c r="Q259" s="1298" t="s">
        <v>832</v>
      </c>
      <c r="R259" s="865">
        <v>32401</v>
      </c>
      <c r="S259" s="190"/>
      <c r="T259" s="190" t="s">
        <v>3559</v>
      </c>
      <c r="U259" s="887"/>
      <c r="V259" s="887"/>
      <c r="W259" s="339" t="str">
        <f>IFERROR(IF(AND(BD_PRINCIPAL[[#This Row],[DESDE]]&lt;&gt;"",BD_PRINCIPAL[[#This Row],[HASTA]]&lt;&gt;""),_xlfn.DAYS(BD_PRINCIPAL[[#This Row],[HASTA]],BD_PRINCIPAL[[#This Row],[DESDE]]),"")+1,"")</f>
        <v/>
      </c>
      <c r="X259" s="339">
        <f>VLOOKUP(BD_PRINCIPAL[[#This Row],[ENCUADRE. ESC.]],ORDEN1,2,FALSE)</f>
        <v>1</v>
      </c>
      <c r="Y259" s="339">
        <f>VLOOKUP(BD_PRINCIPAL[[#This Row],[DOTACIÓN ACTUAL]],ORDEN2,4,FALSE)</f>
        <v>194</v>
      </c>
      <c r="Z259" s="339">
        <f>VLOOKUP(BD_PRINCIPAL[[#This Row],[GRADO]],ORDEN3,2,FALSE)</f>
        <v>11</v>
      </c>
      <c r="AA259" s="339">
        <f>IFERROR(VLOOKUP(BD_PRINCIPAL[[#This Row],[DOTACIÓN ACTUAL]],ORDEN2,3,FALSE),0)</f>
        <v>0</v>
      </c>
      <c r="AB259" s="187" t="s">
        <v>1</v>
      </c>
      <c r="AC259" s="187" t="s">
        <v>2</v>
      </c>
      <c r="AD259" s="187" t="s">
        <v>853</v>
      </c>
      <c r="AE259" s="187" t="s">
        <v>1</v>
      </c>
      <c r="AF259" s="187" t="s">
        <v>1</v>
      </c>
      <c r="AG259" s="187" t="s">
        <v>1</v>
      </c>
      <c r="AH259" s="187"/>
      <c r="AI259" s="187"/>
      <c r="AJ259" s="187"/>
      <c r="AK259" s="187"/>
      <c r="AL259" s="187"/>
      <c r="AM259" s="187"/>
      <c r="AN259" s="187"/>
      <c r="AO259" s="187"/>
      <c r="AP259" s="187"/>
      <c r="AQ259" s="187"/>
      <c r="AR259" s="187"/>
      <c r="AS259" s="187"/>
      <c r="AT259" s="187"/>
      <c r="AU259" s="187"/>
      <c r="AV259" s="187"/>
      <c r="AW259" s="187"/>
      <c r="AX259" s="187"/>
      <c r="AY259" s="187"/>
      <c r="AZ259" s="187"/>
      <c r="BA259" s="181"/>
      <c r="BB259" s="181"/>
      <c r="BC259" s="181"/>
      <c r="BD259" s="181"/>
      <c r="BE259" s="181"/>
      <c r="BF259" s="181"/>
      <c r="BG259" s="181"/>
      <c r="BH259" s="181"/>
      <c r="BI259" s="181"/>
      <c r="BJ259" s="181"/>
      <c r="BK259" s="181"/>
      <c r="BL259" s="181"/>
      <c r="BM259" s="899"/>
      <c r="BN259" s="899"/>
    </row>
    <row r="260" spans="1:66" s="189" customFormat="1" x14ac:dyDescent="0.3">
      <c r="A260" s="188" t="s">
        <v>3236</v>
      </c>
      <c r="B260" s="864" t="s">
        <v>3237</v>
      </c>
      <c r="C260" s="188">
        <v>179864231</v>
      </c>
      <c r="D260" s="479" t="s">
        <v>1676</v>
      </c>
      <c r="E260" s="479" t="s">
        <v>1676</v>
      </c>
      <c r="F260" s="479" t="s">
        <v>3237</v>
      </c>
      <c r="G260" s="191" t="s">
        <v>3</v>
      </c>
      <c r="H260" s="184" t="s">
        <v>816</v>
      </c>
      <c r="I260" s="184" t="s">
        <v>872</v>
      </c>
      <c r="J260" s="185" t="s">
        <v>917</v>
      </c>
      <c r="K260" s="1283" t="s">
        <v>2290</v>
      </c>
      <c r="L260" s="736" t="s">
        <v>1</v>
      </c>
      <c r="M260" s="1308" t="s">
        <v>3474</v>
      </c>
      <c r="N260" s="776"/>
      <c r="O260" s="1298"/>
      <c r="P260" s="181"/>
      <c r="Q260" s="1298" t="s">
        <v>832</v>
      </c>
      <c r="R260" s="865">
        <v>32401</v>
      </c>
      <c r="S260" s="182"/>
      <c r="T260" s="182" t="s">
        <v>3241</v>
      </c>
      <c r="U260" s="887"/>
      <c r="V260" s="887"/>
      <c r="W260" s="339" t="str">
        <f>IFERROR(IF(AND(BD_PRINCIPAL[[#This Row],[DESDE]]&lt;&gt;"",BD_PRINCIPAL[[#This Row],[HASTA]]&lt;&gt;""),_xlfn.DAYS(BD_PRINCIPAL[[#This Row],[HASTA]],BD_PRINCIPAL[[#This Row],[DESDE]]),"")+1,"")</f>
        <v/>
      </c>
      <c r="X260" s="339">
        <f>VLOOKUP(BD_PRINCIPAL[[#This Row],[ENCUADRE. ESC.]],ORDEN1,2,FALSE)</f>
        <v>1</v>
      </c>
      <c r="Y260" s="339">
        <f>VLOOKUP(BD_PRINCIPAL[[#This Row],[DOTACIÓN ACTUAL]],ORDEN2,4,FALSE)</f>
        <v>194</v>
      </c>
      <c r="Z260" s="339">
        <f>VLOOKUP(BD_PRINCIPAL[[#This Row],[GRADO]],ORDEN3,2,FALSE)</f>
        <v>11</v>
      </c>
      <c r="AA260" s="339">
        <f>IFERROR(VLOOKUP(BD_PRINCIPAL[[#This Row],[DOTACIÓN ACTUAL]],ORDEN2,3,FALSE),0)</f>
        <v>0</v>
      </c>
      <c r="AB260" s="187" t="s">
        <v>1</v>
      </c>
      <c r="AC260" s="187" t="s">
        <v>2</v>
      </c>
      <c r="AD260" s="187" t="s">
        <v>853</v>
      </c>
      <c r="AE260" s="187" t="s">
        <v>1</v>
      </c>
      <c r="AF260" s="187" t="s">
        <v>1</v>
      </c>
      <c r="AG260" s="187" t="s">
        <v>1</v>
      </c>
      <c r="AH260" s="187"/>
      <c r="AI260" s="187"/>
      <c r="AJ260" s="187"/>
      <c r="AK260" s="187"/>
      <c r="AL260" s="187"/>
      <c r="AM260" s="187"/>
      <c r="AN260" s="187"/>
      <c r="AO260" s="187"/>
      <c r="AP260" s="187"/>
      <c r="AQ260" s="187"/>
      <c r="AR260" s="187"/>
      <c r="AS260" s="187"/>
      <c r="AT260" s="187"/>
      <c r="AU260" s="187"/>
      <c r="AV260" s="187"/>
      <c r="AW260" s="187"/>
      <c r="AX260" s="187"/>
      <c r="AY260" s="187"/>
      <c r="AZ260" s="187"/>
      <c r="BA260" s="181"/>
      <c r="BB260" s="181"/>
      <c r="BC260" s="181"/>
      <c r="BD260" s="181"/>
      <c r="BE260" s="181"/>
      <c r="BF260" s="181"/>
      <c r="BG260" s="181"/>
      <c r="BH260" s="181"/>
      <c r="BI260" s="181"/>
      <c r="BJ260" s="181"/>
      <c r="BK260" s="181"/>
      <c r="BL260" s="181"/>
      <c r="BM260" s="899"/>
      <c r="BN260" s="899"/>
    </row>
    <row r="261" spans="1:66" s="189" customFormat="1" ht="26.4" x14ac:dyDescent="0.3">
      <c r="A261" s="188" t="s">
        <v>405</v>
      </c>
      <c r="B261" s="181" t="s">
        <v>7</v>
      </c>
      <c r="C261" s="188">
        <v>190340066</v>
      </c>
      <c r="D261" s="715" t="s">
        <v>711</v>
      </c>
      <c r="E261" s="488" t="s">
        <v>1676</v>
      </c>
      <c r="F261" s="479" t="s">
        <v>2795</v>
      </c>
      <c r="G261" s="183" t="s">
        <v>3</v>
      </c>
      <c r="H261" s="184" t="s">
        <v>816</v>
      </c>
      <c r="I261" s="184" t="s">
        <v>872</v>
      </c>
      <c r="J261" s="185" t="s">
        <v>917</v>
      </c>
      <c r="K261" s="1283" t="s">
        <v>2798</v>
      </c>
      <c r="L261" s="736" t="s">
        <v>1</v>
      </c>
      <c r="M261" s="1308" t="s">
        <v>3474</v>
      </c>
      <c r="N261" s="777"/>
      <c r="O261" s="1298"/>
      <c r="P261" s="181"/>
      <c r="Q261" s="1298" t="s">
        <v>832</v>
      </c>
      <c r="R261" s="186">
        <f>$B$1</f>
        <v>45388</v>
      </c>
      <c r="S261" s="190"/>
      <c r="T261" s="190" t="s">
        <v>2919</v>
      </c>
      <c r="U261" s="196"/>
      <c r="V261" s="196"/>
      <c r="W261" s="188" t="str">
        <f>IFERROR(IF(AND(BD_PRINCIPAL[[#This Row],[DESDE]]&lt;&gt;"",BD_PRINCIPAL[[#This Row],[HASTA]]&lt;&gt;""),_xlfn.DAYS(BD_PRINCIPAL[[#This Row],[HASTA]],BD_PRINCIPAL[[#This Row],[DESDE]]),"")+1,"")</f>
        <v/>
      </c>
      <c r="X261" s="188">
        <f>VLOOKUP(BD_PRINCIPAL[[#This Row],[ENCUADRE. ESC.]],ORDEN1,2,FALSE)</f>
        <v>1</v>
      </c>
      <c r="Y261" s="188">
        <f>VLOOKUP(BD_PRINCIPAL[[#This Row],[DOTACIÓN ACTUAL]],ORDEN2,4,FALSE)</f>
        <v>194</v>
      </c>
      <c r="Z261" s="188">
        <f>VLOOKUP(BD_PRINCIPAL[[#This Row],[GRADO]],ORDEN3,2,FALSE)</f>
        <v>11</v>
      </c>
      <c r="AA261" s="188">
        <f>IFERROR(VLOOKUP(BD_PRINCIPAL[[#This Row],[DOTACIÓN ACTUAL]],ORDEN2,3,FALSE),0)</f>
        <v>0</v>
      </c>
      <c r="AB261" s="181" t="s">
        <v>6</v>
      </c>
      <c r="AC261" s="181" t="s">
        <v>2125</v>
      </c>
      <c r="AD261" s="181" t="s">
        <v>1</v>
      </c>
      <c r="AE261" s="181" t="s">
        <v>1</v>
      </c>
      <c r="AF261" s="181" t="s">
        <v>1</v>
      </c>
      <c r="AG261" s="181" t="s">
        <v>1</v>
      </c>
      <c r="AH261" s="181"/>
      <c r="AI261" s="181"/>
      <c r="AJ261" s="181"/>
      <c r="AK261" s="181"/>
      <c r="AL261" s="181"/>
      <c r="AM261" s="181"/>
      <c r="AN261" s="181"/>
      <c r="AO261" s="181"/>
      <c r="AP261" s="181"/>
      <c r="AQ261" s="181"/>
      <c r="AR261" s="181"/>
      <c r="AS261" s="181"/>
      <c r="AT261" s="187"/>
      <c r="AU261" s="187"/>
      <c r="AV261" s="187"/>
      <c r="AW261" s="187"/>
      <c r="AX261" s="187"/>
      <c r="AY261" s="187"/>
      <c r="AZ261" s="187"/>
      <c r="BA261" s="181"/>
      <c r="BB261" s="181"/>
      <c r="BC261" s="181"/>
      <c r="BD261" s="181"/>
      <c r="BE261" s="181"/>
      <c r="BF261" s="181"/>
      <c r="BG261" s="181"/>
      <c r="BH261" s="181"/>
      <c r="BI261" s="181"/>
      <c r="BJ261" s="181"/>
      <c r="BK261" s="181"/>
      <c r="BL261" s="181"/>
      <c r="BM261" s="777">
        <v>45070</v>
      </c>
      <c r="BN261" s="792"/>
    </row>
    <row r="262" spans="1:66" s="189" customFormat="1" x14ac:dyDescent="0.3">
      <c r="A262" s="188" t="s">
        <v>3187</v>
      </c>
      <c r="B262" s="864" t="s">
        <v>3188</v>
      </c>
      <c r="C262" s="188">
        <v>186561295</v>
      </c>
      <c r="D262" s="479" t="s">
        <v>1676</v>
      </c>
      <c r="E262" s="479" t="s">
        <v>1676</v>
      </c>
      <c r="F262" s="479" t="s">
        <v>3188</v>
      </c>
      <c r="G262" s="191" t="s">
        <v>3</v>
      </c>
      <c r="H262" s="184" t="s">
        <v>816</v>
      </c>
      <c r="I262" s="184" t="s">
        <v>872</v>
      </c>
      <c r="J262" s="185" t="s">
        <v>917</v>
      </c>
      <c r="K262" s="1283" t="s">
        <v>2290</v>
      </c>
      <c r="L262" s="736" t="s">
        <v>1</v>
      </c>
      <c r="M262" s="1308" t="s">
        <v>3474</v>
      </c>
      <c r="N262" s="776"/>
      <c r="O262" s="1298"/>
      <c r="P262" s="181"/>
      <c r="Q262" s="1298" t="s">
        <v>832</v>
      </c>
      <c r="R262" s="865">
        <v>32401</v>
      </c>
      <c r="S262" s="190"/>
      <c r="T262" s="182" t="s">
        <v>3241</v>
      </c>
      <c r="U262" s="887"/>
      <c r="V262" s="887"/>
      <c r="W262" s="339" t="str">
        <f>IFERROR(IF(AND(BD_PRINCIPAL[[#This Row],[DESDE]]&lt;&gt;"",BD_PRINCIPAL[[#This Row],[HASTA]]&lt;&gt;""),_xlfn.DAYS(BD_PRINCIPAL[[#This Row],[HASTA]],BD_PRINCIPAL[[#This Row],[DESDE]]),"")+1,"")</f>
        <v/>
      </c>
      <c r="X262" s="339">
        <f>VLOOKUP(BD_PRINCIPAL[[#This Row],[ENCUADRE. ESC.]],ORDEN1,2,FALSE)</f>
        <v>1</v>
      </c>
      <c r="Y262" s="339">
        <f>VLOOKUP(BD_PRINCIPAL[[#This Row],[DOTACIÓN ACTUAL]],ORDEN2,4,FALSE)</f>
        <v>194</v>
      </c>
      <c r="Z262" s="339">
        <f>VLOOKUP(BD_PRINCIPAL[[#This Row],[GRADO]],ORDEN3,2,FALSE)</f>
        <v>11</v>
      </c>
      <c r="AA262" s="339">
        <f>IFERROR(VLOOKUP(BD_PRINCIPAL[[#This Row],[DOTACIÓN ACTUAL]],ORDEN2,3,FALSE),0)</f>
        <v>0</v>
      </c>
      <c r="AB262" s="187" t="s">
        <v>1</v>
      </c>
      <c r="AC262" s="187" t="s">
        <v>2</v>
      </c>
      <c r="AD262" s="187" t="s">
        <v>853</v>
      </c>
      <c r="AE262" s="187" t="s">
        <v>1</v>
      </c>
      <c r="AF262" s="187" t="s">
        <v>1</v>
      </c>
      <c r="AG262" s="187" t="s">
        <v>1</v>
      </c>
      <c r="AH262" s="187"/>
      <c r="AI262" s="187"/>
      <c r="AJ262" s="187"/>
      <c r="AK262" s="187"/>
      <c r="AL262" s="187"/>
      <c r="AM262" s="187"/>
      <c r="AN262" s="187"/>
      <c r="AO262" s="187"/>
      <c r="AP262" s="187"/>
      <c r="AQ262" s="187"/>
      <c r="AR262" s="187"/>
      <c r="AS262" s="187"/>
      <c r="AT262" s="187"/>
      <c r="AU262" s="187"/>
      <c r="AV262" s="187"/>
      <c r="AW262" s="187"/>
      <c r="AX262" s="187"/>
      <c r="AY262" s="187"/>
      <c r="AZ262" s="187"/>
      <c r="BA262" s="181"/>
      <c r="BB262" s="181"/>
      <c r="BC262" s="181"/>
      <c r="BD262" s="181"/>
      <c r="BE262" s="181"/>
      <c r="BF262" s="181"/>
      <c r="BG262" s="181"/>
      <c r="BH262" s="181"/>
      <c r="BI262" s="181"/>
      <c r="BJ262" s="181"/>
      <c r="BK262" s="181"/>
      <c r="BL262" s="181"/>
      <c r="BM262" s="899"/>
      <c r="BN262" s="899"/>
    </row>
    <row r="263" spans="1:66" s="189" customFormat="1" x14ac:dyDescent="0.3">
      <c r="A263" s="188" t="s">
        <v>3278</v>
      </c>
      <c r="B263" s="864" t="s">
        <v>3279</v>
      </c>
      <c r="C263" s="188">
        <v>186985613</v>
      </c>
      <c r="D263" s="479" t="s">
        <v>1676</v>
      </c>
      <c r="E263" s="479" t="s">
        <v>1676</v>
      </c>
      <c r="F263" s="479" t="s">
        <v>3279</v>
      </c>
      <c r="G263" s="191" t="s">
        <v>3</v>
      </c>
      <c r="H263" s="184" t="s">
        <v>817</v>
      </c>
      <c r="I263" s="184" t="s">
        <v>872</v>
      </c>
      <c r="J263" s="185" t="s">
        <v>917</v>
      </c>
      <c r="K263" s="1283" t="s">
        <v>2290</v>
      </c>
      <c r="L263" s="736" t="s">
        <v>1</v>
      </c>
      <c r="M263" s="1308" t="s">
        <v>3474</v>
      </c>
      <c r="N263" s="776"/>
      <c r="O263" s="1298"/>
      <c r="P263" s="181"/>
      <c r="Q263" s="1298" t="s">
        <v>832</v>
      </c>
      <c r="R263" s="865">
        <v>32401</v>
      </c>
      <c r="S263" s="182"/>
      <c r="T263" s="182" t="s">
        <v>3241</v>
      </c>
      <c r="U263" s="887"/>
      <c r="V263" s="887"/>
      <c r="W263" s="339" t="str">
        <f>IFERROR(IF(AND(BD_PRINCIPAL[[#This Row],[DESDE]]&lt;&gt;"",BD_PRINCIPAL[[#This Row],[HASTA]]&lt;&gt;""),_xlfn.DAYS(BD_PRINCIPAL[[#This Row],[HASTA]],BD_PRINCIPAL[[#This Row],[DESDE]]),"")+1,"")</f>
        <v/>
      </c>
      <c r="X263" s="339">
        <f>VLOOKUP(BD_PRINCIPAL[[#This Row],[ENCUADRE. ESC.]],ORDEN1,2,FALSE)</f>
        <v>1</v>
      </c>
      <c r="Y263" s="339">
        <f>VLOOKUP(BD_PRINCIPAL[[#This Row],[DOTACIÓN ACTUAL]],ORDEN2,4,FALSE)</f>
        <v>194</v>
      </c>
      <c r="Z263" s="339">
        <f>VLOOKUP(BD_PRINCIPAL[[#This Row],[GRADO]],ORDEN3,2,FALSE)</f>
        <v>11</v>
      </c>
      <c r="AA263" s="339">
        <f>IFERROR(VLOOKUP(BD_PRINCIPAL[[#This Row],[DOTACIÓN ACTUAL]],ORDEN2,3,FALSE),0)</f>
        <v>0</v>
      </c>
      <c r="AB263" s="187" t="s">
        <v>1</v>
      </c>
      <c r="AC263" s="187" t="s">
        <v>2</v>
      </c>
      <c r="AD263" s="187" t="s">
        <v>853</v>
      </c>
      <c r="AE263" s="187" t="s">
        <v>1</v>
      </c>
      <c r="AF263" s="187" t="s">
        <v>1</v>
      </c>
      <c r="AG263" s="187" t="s">
        <v>1</v>
      </c>
      <c r="AH263" s="187"/>
      <c r="AI263" s="187"/>
      <c r="AJ263" s="187"/>
      <c r="AK263" s="187"/>
      <c r="AL263" s="187"/>
      <c r="AM263" s="187"/>
      <c r="AN263" s="187"/>
      <c r="AO263" s="187"/>
      <c r="AP263" s="187"/>
      <c r="AQ263" s="187"/>
      <c r="AR263" s="187"/>
      <c r="AS263" s="187"/>
      <c r="AT263" s="187"/>
      <c r="AU263" s="187"/>
      <c r="AV263" s="187"/>
      <c r="AW263" s="187"/>
      <c r="AX263" s="187"/>
      <c r="AY263" s="187"/>
      <c r="AZ263" s="187"/>
      <c r="BA263" s="181"/>
      <c r="BB263" s="181"/>
      <c r="BC263" s="181"/>
      <c r="BD263" s="181"/>
      <c r="BE263" s="181"/>
      <c r="BF263" s="181"/>
      <c r="BG263" s="181"/>
      <c r="BH263" s="181"/>
      <c r="BI263" s="181"/>
      <c r="BJ263" s="181"/>
      <c r="BK263" s="181"/>
      <c r="BL263" s="181"/>
      <c r="BM263" s="899"/>
      <c r="BN263" s="899"/>
    </row>
    <row r="264" spans="1:66" s="189" customFormat="1" ht="26.4" x14ac:dyDescent="0.3">
      <c r="A264" s="188" t="s">
        <v>3230</v>
      </c>
      <c r="B264" s="864" t="s">
        <v>3231</v>
      </c>
      <c r="C264" s="188">
        <v>180876847</v>
      </c>
      <c r="D264" s="479" t="s">
        <v>1676</v>
      </c>
      <c r="E264" s="479" t="s">
        <v>1676</v>
      </c>
      <c r="F264" s="479" t="s">
        <v>3231</v>
      </c>
      <c r="G264" s="191" t="s">
        <v>3</v>
      </c>
      <c r="H264" s="184" t="s">
        <v>816</v>
      </c>
      <c r="I264" s="184" t="s">
        <v>872</v>
      </c>
      <c r="J264" s="185" t="s">
        <v>917</v>
      </c>
      <c r="K264" s="1283" t="s">
        <v>2290</v>
      </c>
      <c r="L264" s="736" t="s">
        <v>1</v>
      </c>
      <c r="M264" s="1308" t="s">
        <v>3474</v>
      </c>
      <c r="N264" s="776"/>
      <c r="O264" s="1298"/>
      <c r="P264" s="181"/>
      <c r="Q264" s="1298" t="s">
        <v>832</v>
      </c>
      <c r="R264" s="865">
        <v>32401</v>
      </c>
      <c r="S264" s="190" t="s">
        <v>3463</v>
      </c>
      <c r="T264" s="182" t="s">
        <v>3241</v>
      </c>
      <c r="U264" s="887"/>
      <c r="V264" s="887"/>
      <c r="W264" s="339" t="str">
        <f>IFERROR(IF(AND(BD_PRINCIPAL[[#This Row],[DESDE]]&lt;&gt;"",BD_PRINCIPAL[[#This Row],[HASTA]]&lt;&gt;""),_xlfn.DAYS(BD_PRINCIPAL[[#This Row],[HASTA]],BD_PRINCIPAL[[#This Row],[DESDE]]),"")+1,"")</f>
        <v/>
      </c>
      <c r="X264" s="339">
        <f>VLOOKUP(BD_PRINCIPAL[[#This Row],[ENCUADRE. ESC.]],ORDEN1,2,FALSE)</f>
        <v>1</v>
      </c>
      <c r="Y264" s="339">
        <f>VLOOKUP(BD_PRINCIPAL[[#This Row],[DOTACIÓN ACTUAL]],ORDEN2,4,FALSE)</f>
        <v>194</v>
      </c>
      <c r="Z264" s="339">
        <f>VLOOKUP(BD_PRINCIPAL[[#This Row],[GRADO]],ORDEN3,2,FALSE)</f>
        <v>11</v>
      </c>
      <c r="AA264" s="339">
        <f>IFERROR(VLOOKUP(BD_PRINCIPAL[[#This Row],[DOTACIÓN ACTUAL]],ORDEN2,3,FALSE),0)</f>
        <v>0</v>
      </c>
      <c r="AB264" s="187" t="s">
        <v>1</v>
      </c>
      <c r="AC264" s="187" t="s">
        <v>2</v>
      </c>
      <c r="AD264" s="187" t="s">
        <v>853</v>
      </c>
      <c r="AE264" s="187" t="s">
        <v>1</v>
      </c>
      <c r="AF264" s="187" t="s">
        <v>1</v>
      </c>
      <c r="AG264" s="187" t="s">
        <v>1</v>
      </c>
      <c r="AH264" s="187"/>
      <c r="AI264" s="187"/>
      <c r="AJ264" s="187"/>
      <c r="AK264" s="187"/>
      <c r="AL264" s="187"/>
      <c r="AM264" s="187"/>
      <c r="AN264" s="187"/>
      <c r="AO264" s="187"/>
      <c r="AP264" s="187"/>
      <c r="AQ264" s="187"/>
      <c r="AR264" s="187"/>
      <c r="AS264" s="187"/>
      <c r="AT264" s="187"/>
      <c r="AU264" s="187"/>
      <c r="AV264" s="187"/>
      <c r="AW264" s="187"/>
      <c r="AX264" s="187"/>
      <c r="AY264" s="187"/>
      <c r="AZ264" s="187"/>
      <c r="BA264" s="181"/>
      <c r="BB264" s="181"/>
      <c r="BC264" s="181"/>
      <c r="BD264" s="181"/>
      <c r="BE264" s="181"/>
      <c r="BF264" s="181"/>
      <c r="BG264" s="181"/>
      <c r="BH264" s="181"/>
      <c r="BI264" s="181"/>
      <c r="BJ264" s="181"/>
      <c r="BK264" s="181"/>
      <c r="BL264" s="181"/>
      <c r="BM264" s="899"/>
      <c r="BN264" s="899"/>
    </row>
    <row r="265" spans="1:66" s="189" customFormat="1" x14ac:dyDescent="0.3">
      <c r="A265" s="188" t="s">
        <v>3183</v>
      </c>
      <c r="B265" s="864" t="s">
        <v>3185</v>
      </c>
      <c r="C265" s="188" t="s">
        <v>3184</v>
      </c>
      <c r="D265" s="479" t="s">
        <v>1676</v>
      </c>
      <c r="E265" s="479" t="s">
        <v>1676</v>
      </c>
      <c r="F265" s="479" t="s">
        <v>3185</v>
      </c>
      <c r="G265" s="191" t="s">
        <v>3</v>
      </c>
      <c r="H265" s="184" t="s">
        <v>816</v>
      </c>
      <c r="I265" s="184" t="s">
        <v>872</v>
      </c>
      <c r="J265" s="185" t="s">
        <v>917</v>
      </c>
      <c r="K265" s="1283" t="s">
        <v>2290</v>
      </c>
      <c r="L265" s="736" t="s">
        <v>1</v>
      </c>
      <c r="M265" s="1308" t="s">
        <v>3474</v>
      </c>
      <c r="N265" s="776"/>
      <c r="O265" s="1298"/>
      <c r="P265" s="181"/>
      <c r="Q265" s="1298" t="s">
        <v>832</v>
      </c>
      <c r="R265" s="865">
        <v>32401</v>
      </c>
      <c r="S265" s="182"/>
      <c r="T265" s="182" t="s">
        <v>3241</v>
      </c>
      <c r="U265" s="887"/>
      <c r="V265" s="887"/>
      <c r="W265" s="339" t="str">
        <f>IFERROR(IF(AND(BD_PRINCIPAL[[#This Row],[DESDE]]&lt;&gt;"",BD_PRINCIPAL[[#This Row],[HASTA]]&lt;&gt;""),_xlfn.DAYS(BD_PRINCIPAL[[#This Row],[HASTA]],BD_PRINCIPAL[[#This Row],[DESDE]]),"")+1,"")</f>
        <v/>
      </c>
      <c r="X265" s="339">
        <f>VLOOKUP(BD_PRINCIPAL[[#This Row],[ENCUADRE. ESC.]],ORDEN1,2,FALSE)</f>
        <v>1</v>
      </c>
      <c r="Y265" s="339">
        <f>VLOOKUP(BD_PRINCIPAL[[#This Row],[DOTACIÓN ACTUAL]],ORDEN2,4,FALSE)</f>
        <v>194</v>
      </c>
      <c r="Z265" s="339">
        <f>VLOOKUP(BD_PRINCIPAL[[#This Row],[GRADO]],ORDEN3,2,FALSE)</f>
        <v>11</v>
      </c>
      <c r="AA265" s="339">
        <f>IFERROR(VLOOKUP(BD_PRINCIPAL[[#This Row],[DOTACIÓN ACTUAL]],ORDEN2,3,FALSE),0)</f>
        <v>0</v>
      </c>
      <c r="AB265" s="187" t="s">
        <v>1</v>
      </c>
      <c r="AC265" s="187" t="s">
        <v>2</v>
      </c>
      <c r="AD265" s="187" t="s">
        <v>853</v>
      </c>
      <c r="AE265" s="187" t="s">
        <v>1</v>
      </c>
      <c r="AF265" s="187" t="s">
        <v>1</v>
      </c>
      <c r="AG265" s="187" t="s">
        <v>1</v>
      </c>
      <c r="AH265" s="187"/>
      <c r="AI265" s="187"/>
      <c r="AJ265" s="187"/>
      <c r="AK265" s="187"/>
      <c r="AL265" s="187"/>
      <c r="AM265" s="187"/>
      <c r="AN265" s="187"/>
      <c r="AO265" s="187"/>
      <c r="AP265" s="187"/>
      <c r="AQ265" s="187"/>
      <c r="AR265" s="187"/>
      <c r="AS265" s="187"/>
      <c r="AT265" s="187"/>
      <c r="AU265" s="187"/>
      <c r="AV265" s="187"/>
      <c r="AW265" s="187"/>
      <c r="AX265" s="187"/>
      <c r="AY265" s="187"/>
      <c r="AZ265" s="187"/>
      <c r="BA265" s="181"/>
      <c r="BB265" s="181"/>
      <c r="BC265" s="181"/>
      <c r="BD265" s="181"/>
      <c r="BE265" s="181"/>
      <c r="BF265" s="181"/>
      <c r="BG265" s="181"/>
      <c r="BH265" s="181"/>
      <c r="BI265" s="181"/>
      <c r="BJ265" s="181"/>
      <c r="BK265" s="181"/>
      <c r="BL265" s="181"/>
      <c r="BM265" s="899"/>
      <c r="BN265" s="899"/>
    </row>
    <row r="266" spans="1:66" s="189" customFormat="1" x14ac:dyDescent="0.3">
      <c r="A266" s="188" t="s">
        <v>3284</v>
      </c>
      <c r="B266" s="864" t="s">
        <v>3285</v>
      </c>
      <c r="C266" s="188">
        <v>181012943</v>
      </c>
      <c r="D266" s="479" t="s">
        <v>1676</v>
      </c>
      <c r="E266" s="479" t="s">
        <v>1676</v>
      </c>
      <c r="F266" s="479" t="s">
        <v>3285</v>
      </c>
      <c r="G266" s="191" t="s">
        <v>3</v>
      </c>
      <c r="H266" s="184" t="s">
        <v>816</v>
      </c>
      <c r="I266" s="184" t="s">
        <v>872</v>
      </c>
      <c r="J266" s="185" t="s">
        <v>917</v>
      </c>
      <c r="K266" s="1283" t="s">
        <v>2290</v>
      </c>
      <c r="L266" s="736" t="s">
        <v>1</v>
      </c>
      <c r="M266" s="1308" t="s">
        <v>3474</v>
      </c>
      <c r="N266" s="776"/>
      <c r="O266" s="1298"/>
      <c r="P266" s="181"/>
      <c r="Q266" s="1298" t="s">
        <v>832</v>
      </c>
      <c r="R266" s="865">
        <v>32401</v>
      </c>
      <c r="S266" s="182"/>
      <c r="T266" s="182" t="s">
        <v>3241</v>
      </c>
      <c r="U266" s="887"/>
      <c r="V266" s="887"/>
      <c r="W266" s="339" t="str">
        <f>IFERROR(IF(AND(BD_PRINCIPAL[[#This Row],[DESDE]]&lt;&gt;"",BD_PRINCIPAL[[#This Row],[HASTA]]&lt;&gt;""),_xlfn.DAYS(BD_PRINCIPAL[[#This Row],[HASTA]],BD_PRINCIPAL[[#This Row],[DESDE]]),"")+1,"")</f>
        <v/>
      </c>
      <c r="X266" s="339">
        <f>VLOOKUP(BD_PRINCIPAL[[#This Row],[ENCUADRE. ESC.]],ORDEN1,2,FALSE)</f>
        <v>1</v>
      </c>
      <c r="Y266" s="339">
        <f>VLOOKUP(BD_PRINCIPAL[[#This Row],[DOTACIÓN ACTUAL]],ORDEN2,4,FALSE)</f>
        <v>194</v>
      </c>
      <c r="Z266" s="339">
        <f>VLOOKUP(BD_PRINCIPAL[[#This Row],[GRADO]],ORDEN3,2,FALSE)</f>
        <v>11</v>
      </c>
      <c r="AA266" s="339">
        <f>IFERROR(VLOOKUP(BD_PRINCIPAL[[#This Row],[DOTACIÓN ACTUAL]],ORDEN2,3,FALSE),0)</f>
        <v>0</v>
      </c>
      <c r="AB266" s="187" t="s">
        <v>1</v>
      </c>
      <c r="AC266" s="187" t="s">
        <v>2</v>
      </c>
      <c r="AD266" s="187" t="s">
        <v>853</v>
      </c>
      <c r="AE266" s="187" t="s">
        <v>1</v>
      </c>
      <c r="AF266" s="187" t="s">
        <v>1</v>
      </c>
      <c r="AG266" s="187" t="s">
        <v>1</v>
      </c>
      <c r="AH266" s="187"/>
      <c r="AI266" s="187"/>
      <c r="AJ266" s="187"/>
      <c r="AK266" s="187"/>
      <c r="AL266" s="187"/>
      <c r="AM266" s="187"/>
      <c r="AN266" s="187"/>
      <c r="AO266" s="187"/>
      <c r="AP266" s="187"/>
      <c r="AQ266" s="187"/>
      <c r="AR266" s="187"/>
      <c r="AS266" s="187"/>
      <c r="AT266" s="187"/>
      <c r="AU266" s="187"/>
      <c r="AV266" s="187"/>
      <c r="AW266" s="187"/>
      <c r="AX266" s="187"/>
      <c r="AY266" s="187"/>
      <c r="AZ266" s="187"/>
      <c r="BA266" s="181"/>
      <c r="BB266" s="181"/>
      <c r="BC266" s="181"/>
      <c r="BD266" s="181"/>
      <c r="BE266" s="181"/>
      <c r="BF266" s="181"/>
      <c r="BG266" s="181"/>
      <c r="BH266" s="181"/>
      <c r="BI266" s="181"/>
      <c r="BJ266" s="181"/>
      <c r="BK266" s="181"/>
      <c r="BL266" s="181"/>
      <c r="BM266" s="899"/>
      <c r="BN266" s="899"/>
    </row>
    <row r="267" spans="1:66" s="221" customFormat="1" x14ac:dyDescent="0.3">
      <c r="A267" s="219" t="s">
        <v>505</v>
      </c>
      <c r="B267" s="212" t="s">
        <v>122</v>
      </c>
      <c r="C267" s="219">
        <v>136027794</v>
      </c>
      <c r="D267" s="715" t="s">
        <v>711</v>
      </c>
      <c r="E267" s="485" t="s">
        <v>2585</v>
      </c>
      <c r="F267" s="480" t="s">
        <v>122</v>
      </c>
      <c r="G267" s="214" t="s">
        <v>89</v>
      </c>
      <c r="H267" s="215" t="s">
        <v>816</v>
      </c>
      <c r="I267" s="215" t="s">
        <v>872</v>
      </c>
      <c r="J267" s="216" t="s">
        <v>917</v>
      </c>
      <c r="K267" s="1279" t="s">
        <v>2290</v>
      </c>
      <c r="L267" s="733" t="s">
        <v>1</v>
      </c>
      <c r="M267" s="1304" t="s">
        <v>3474</v>
      </c>
      <c r="N267" s="772"/>
      <c r="O267" s="1294"/>
      <c r="P267" s="212"/>
      <c r="Q267" s="1294" t="s">
        <v>832</v>
      </c>
      <c r="R267" s="217">
        <f>$B$1</f>
        <v>45388</v>
      </c>
      <c r="S267" s="223"/>
      <c r="T267" s="213" t="s">
        <v>3424</v>
      </c>
      <c r="U267" s="218"/>
      <c r="V267" s="218"/>
      <c r="W267" s="219" t="str">
        <f>IFERROR(IF(AND(BD_PRINCIPAL[[#This Row],[DESDE]]&lt;&gt;"",BD_PRINCIPAL[[#This Row],[HASTA]]&lt;&gt;""),_xlfn.DAYS(BD_PRINCIPAL[[#This Row],[HASTA]],BD_PRINCIPAL[[#This Row],[DESDE]]),"")+1,"")</f>
        <v/>
      </c>
      <c r="X267" s="219">
        <f>VLOOKUP(BD_PRINCIPAL[[#This Row],[ENCUADRE. ESC.]],ORDEN1,2,FALSE)</f>
        <v>1</v>
      </c>
      <c r="Y267" s="219">
        <f>VLOOKUP(BD_PRINCIPAL[[#This Row],[DOTACIÓN ACTUAL]],ORDEN2,4,FALSE)</f>
        <v>195</v>
      </c>
      <c r="Z267" s="219">
        <f>VLOOKUP(BD_PRINCIPAL[[#This Row],[GRADO]],ORDEN3,2,FALSE)</f>
        <v>9</v>
      </c>
      <c r="AA267" s="219">
        <f>IFERROR(VLOOKUP(BD_PRINCIPAL[[#This Row],[DOTACIÓN ACTUAL]],ORDEN2,3,FALSE),0)</f>
        <v>0</v>
      </c>
      <c r="AB267" s="212" t="s">
        <v>6</v>
      </c>
      <c r="AC267" s="212" t="s">
        <v>2125</v>
      </c>
      <c r="AD267" s="212" t="s">
        <v>853</v>
      </c>
      <c r="AE267" s="212" t="s">
        <v>1</v>
      </c>
      <c r="AF267" s="212" t="s">
        <v>1</v>
      </c>
      <c r="AG267" s="212" t="s">
        <v>1</v>
      </c>
      <c r="AH267" s="212"/>
      <c r="AI267" s="212"/>
      <c r="AJ267" s="212"/>
      <c r="AK267" s="212"/>
      <c r="AL267" s="212"/>
      <c r="AM267" s="212"/>
      <c r="AN267" s="212"/>
      <c r="AO267" s="212"/>
      <c r="AP267" s="212"/>
      <c r="AQ267" s="212"/>
      <c r="AR267" s="212"/>
      <c r="AS267" s="212"/>
      <c r="AT267" s="220"/>
      <c r="AU267" s="220"/>
      <c r="AV267" s="220"/>
      <c r="AW267" s="220"/>
      <c r="AX267" s="220"/>
      <c r="AY267" s="220"/>
      <c r="AZ267" s="220"/>
      <c r="BA267" s="212"/>
      <c r="BB267" s="212"/>
      <c r="BC267" s="212"/>
      <c r="BD267" s="212"/>
      <c r="BE267" s="212"/>
      <c r="BF267" s="212"/>
      <c r="BG267" s="212"/>
      <c r="BH267" s="212"/>
      <c r="BI267" s="212"/>
      <c r="BJ267" s="212"/>
      <c r="BK267" s="212"/>
      <c r="BL267" s="212"/>
      <c r="BM267" s="772">
        <v>45071</v>
      </c>
      <c r="BN267" s="789"/>
    </row>
    <row r="268" spans="1:66" s="221" customFormat="1" x14ac:dyDescent="0.3">
      <c r="A268" s="219" t="s">
        <v>3167</v>
      </c>
      <c r="B268" s="728" t="s">
        <v>3168</v>
      </c>
      <c r="C268" s="219">
        <v>161815268</v>
      </c>
      <c r="D268" s="480" t="s">
        <v>2561</v>
      </c>
      <c r="E268" s="480" t="s">
        <v>2561</v>
      </c>
      <c r="F268" s="480" t="s">
        <v>3168</v>
      </c>
      <c r="G268" s="222" t="s">
        <v>209</v>
      </c>
      <c r="H268" s="215" t="s">
        <v>816</v>
      </c>
      <c r="I268" s="215" t="s">
        <v>872</v>
      </c>
      <c r="J268" s="216" t="s">
        <v>917</v>
      </c>
      <c r="K268" s="1279" t="s">
        <v>2290</v>
      </c>
      <c r="L268" s="733" t="s">
        <v>1</v>
      </c>
      <c r="M268" s="1304" t="s">
        <v>3474</v>
      </c>
      <c r="N268" s="787"/>
      <c r="O268" s="1294"/>
      <c r="P268" s="212"/>
      <c r="Q268" s="1294" t="s">
        <v>832</v>
      </c>
      <c r="R268" s="498">
        <v>32401</v>
      </c>
      <c r="S268" s="223"/>
      <c r="T268" s="213" t="s">
        <v>3450</v>
      </c>
      <c r="U268" s="747"/>
      <c r="V268" s="747"/>
      <c r="W268" s="499" t="str">
        <f>IFERROR(IF(AND(BD_PRINCIPAL[[#This Row],[DESDE]]&lt;&gt;"",BD_PRINCIPAL[[#This Row],[HASTA]]&lt;&gt;""),_xlfn.DAYS(BD_PRINCIPAL[[#This Row],[HASTA]],BD_PRINCIPAL[[#This Row],[DESDE]]),"")+1,"")</f>
        <v/>
      </c>
      <c r="X268" s="499">
        <f>VLOOKUP(BD_PRINCIPAL[[#This Row],[ENCUADRE. ESC.]],ORDEN1,2,FALSE)</f>
        <v>1</v>
      </c>
      <c r="Y268" s="499">
        <f>VLOOKUP(BD_PRINCIPAL[[#This Row],[DOTACIÓN ACTUAL]],ORDEN2,4,FALSE)</f>
        <v>196</v>
      </c>
      <c r="Z268" s="499">
        <f>VLOOKUP(BD_PRINCIPAL[[#This Row],[GRADO]],ORDEN3,2,FALSE)</f>
        <v>10</v>
      </c>
      <c r="AA268" s="499">
        <f>IFERROR(VLOOKUP(BD_PRINCIPAL[[#This Row],[DOTACIÓN ACTUAL]],ORDEN2,3,FALSE),0)</f>
        <v>0</v>
      </c>
      <c r="AB268" s="220" t="s">
        <v>1</v>
      </c>
      <c r="AC268" s="220" t="s">
        <v>2</v>
      </c>
      <c r="AD268" s="220" t="s">
        <v>853</v>
      </c>
      <c r="AE268" s="220" t="s">
        <v>1</v>
      </c>
      <c r="AF268" s="220" t="s">
        <v>1</v>
      </c>
      <c r="AG268" s="220" t="s">
        <v>1</v>
      </c>
      <c r="AH268" s="220"/>
      <c r="AI268" s="220"/>
      <c r="AJ268" s="220"/>
      <c r="AK268" s="220"/>
      <c r="AL268" s="220"/>
      <c r="AM268" s="220"/>
      <c r="AN268" s="220"/>
      <c r="AO268" s="220"/>
      <c r="AP268" s="220"/>
      <c r="AQ268" s="220"/>
      <c r="AR268" s="220"/>
      <c r="AS268" s="220"/>
      <c r="AT268" s="220"/>
      <c r="AU268" s="220"/>
      <c r="AV268" s="220"/>
      <c r="AW268" s="220"/>
      <c r="AX268" s="220"/>
      <c r="AY268" s="220"/>
      <c r="AZ268" s="220"/>
      <c r="BA268" s="212"/>
      <c r="BB268" s="212"/>
      <c r="BC268" s="212"/>
      <c r="BD268" s="212"/>
      <c r="BE268" s="212"/>
      <c r="BF268" s="212"/>
      <c r="BG268" s="212"/>
      <c r="BH268" s="212"/>
      <c r="BI268" s="212"/>
      <c r="BJ268" s="212"/>
      <c r="BK268" s="212"/>
      <c r="BL268" s="212"/>
      <c r="BM268" s="890"/>
      <c r="BN268" s="890"/>
    </row>
    <row r="269" spans="1:66" s="221" customFormat="1" x14ac:dyDescent="0.3">
      <c r="A269" s="219" t="s">
        <v>3174</v>
      </c>
      <c r="B269" s="728" t="s">
        <v>3175</v>
      </c>
      <c r="C269" s="219">
        <v>186314735</v>
      </c>
      <c r="D269" s="480" t="s">
        <v>2561</v>
      </c>
      <c r="E269" s="480" t="s">
        <v>2561</v>
      </c>
      <c r="F269" s="480" t="s">
        <v>3175</v>
      </c>
      <c r="G269" s="222" t="s">
        <v>3</v>
      </c>
      <c r="H269" s="215" t="s">
        <v>817</v>
      </c>
      <c r="I269" s="215" t="s">
        <v>872</v>
      </c>
      <c r="J269" s="216" t="s">
        <v>917</v>
      </c>
      <c r="K269" s="1279" t="s">
        <v>2290</v>
      </c>
      <c r="L269" s="733" t="s">
        <v>1</v>
      </c>
      <c r="M269" s="1304" t="s">
        <v>3474</v>
      </c>
      <c r="N269" s="787"/>
      <c r="O269" s="1294"/>
      <c r="P269" s="212"/>
      <c r="Q269" s="1294" t="s">
        <v>832</v>
      </c>
      <c r="R269" s="498">
        <v>32401</v>
      </c>
      <c r="S269" s="223"/>
      <c r="T269" s="213" t="s">
        <v>3450</v>
      </c>
      <c r="U269" s="747"/>
      <c r="V269" s="747"/>
      <c r="W269" s="499" t="str">
        <f>IFERROR(IF(AND(BD_PRINCIPAL[[#This Row],[DESDE]]&lt;&gt;"",BD_PRINCIPAL[[#This Row],[HASTA]]&lt;&gt;""),_xlfn.DAYS(BD_PRINCIPAL[[#This Row],[HASTA]],BD_PRINCIPAL[[#This Row],[DESDE]]),"")+1,"")</f>
        <v/>
      </c>
      <c r="X269" s="499">
        <f>VLOOKUP(BD_PRINCIPAL[[#This Row],[ENCUADRE. ESC.]],ORDEN1,2,FALSE)</f>
        <v>1</v>
      </c>
      <c r="Y269" s="499">
        <f>VLOOKUP(BD_PRINCIPAL[[#This Row],[DOTACIÓN ACTUAL]],ORDEN2,4,FALSE)</f>
        <v>196</v>
      </c>
      <c r="Z269" s="499">
        <f>VLOOKUP(BD_PRINCIPAL[[#This Row],[GRADO]],ORDEN3,2,FALSE)</f>
        <v>11</v>
      </c>
      <c r="AA269" s="499">
        <f>IFERROR(VLOOKUP(BD_PRINCIPAL[[#This Row],[DOTACIÓN ACTUAL]],ORDEN2,3,FALSE),0)</f>
        <v>0</v>
      </c>
      <c r="AB269" s="220" t="s">
        <v>1</v>
      </c>
      <c r="AC269" s="220" t="s">
        <v>2</v>
      </c>
      <c r="AD269" s="220" t="s">
        <v>2</v>
      </c>
      <c r="AE269" s="220" t="s">
        <v>1</v>
      </c>
      <c r="AF269" s="220" t="s">
        <v>1</v>
      </c>
      <c r="AG269" s="220" t="s">
        <v>1</v>
      </c>
      <c r="AH269" s="220"/>
      <c r="AI269" s="220"/>
      <c r="AJ269" s="220"/>
      <c r="AK269" s="220"/>
      <c r="AL269" s="220"/>
      <c r="AM269" s="220"/>
      <c r="AN269" s="220"/>
      <c r="AO269" s="220"/>
      <c r="AP269" s="220"/>
      <c r="AQ269" s="220"/>
      <c r="AR269" s="220"/>
      <c r="AS269" s="220"/>
      <c r="AT269" s="220"/>
      <c r="AU269" s="220"/>
      <c r="AV269" s="220"/>
      <c r="AW269" s="220"/>
      <c r="AX269" s="220"/>
      <c r="AY269" s="220"/>
      <c r="AZ269" s="220"/>
      <c r="BA269" s="212"/>
      <c r="BB269" s="212"/>
      <c r="BC269" s="212"/>
      <c r="BD269" s="212"/>
      <c r="BE269" s="212"/>
      <c r="BF269" s="212"/>
      <c r="BG269" s="212"/>
      <c r="BH269" s="212"/>
      <c r="BI269" s="212"/>
      <c r="BJ269" s="212"/>
      <c r="BK269" s="212"/>
      <c r="BL269" s="212"/>
      <c r="BM269" s="890"/>
      <c r="BN269" s="890"/>
    </row>
    <row r="270" spans="1:66" s="221" customFormat="1" x14ac:dyDescent="0.3">
      <c r="A270" s="219" t="s">
        <v>3227</v>
      </c>
      <c r="B270" s="728" t="s">
        <v>3228</v>
      </c>
      <c r="C270" s="219">
        <v>169101205</v>
      </c>
      <c r="D270" s="480" t="s">
        <v>2561</v>
      </c>
      <c r="E270" s="480" t="s">
        <v>2561</v>
      </c>
      <c r="F270" s="480" t="s">
        <v>3228</v>
      </c>
      <c r="G270" s="222" t="s">
        <v>3</v>
      </c>
      <c r="H270" s="215" t="s">
        <v>816</v>
      </c>
      <c r="I270" s="215" t="s">
        <v>872</v>
      </c>
      <c r="J270" s="216" t="s">
        <v>917</v>
      </c>
      <c r="K270" s="1279" t="s">
        <v>2290</v>
      </c>
      <c r="L270" s="733" t="s">
        <v>1</v>
      </c>
      <c r="M270" s="1304" t="s">
        <v>3474</v>
      </c>
      <c r="N270" s="787"/>
      <c r="O270" s="1294"/>
      <c r="P270" s="212"/>
      <c r="Q270" s="1294" t="s">
        <v>832</v>
      </c>
      <c r="R270" s="498">
        <v>32401</v>
      </c>
      <c r="S270" s="223"/>
      <c r="T270" s="213" t="s">
        <v>3450</v>
      </c>
      <c r="U270" s="747"/>
      <c r="V270" s="747"/>
      <c r="W270" s="499" t="str">
        <f>IFERROR(IF(AND(BD_PRINCIPAL[[#This Row],[DESDE]]&lt;&gt;"",BD_PRINCIPAL[[#This Row],[HASTA]]&lt;&gt;""),_xlfn.DAYS(BD_PRINCIPAL[[#This Row],[HASTA]],BD_PRINCIPAL[[#This Row],[DESDE]]),"")+1,"")</f>
        <v/>
      </c>
      <c r="X270" s="499">
        <f>VLOOKUP(BD_PRINCIPAL[[#This Row],[ENCUADRE. ESC.]],ORDEN1,2,FALSE)</f>
        <v>1</v>
      </c>
      <c r="Y270" s="499">
        <f>VLOOKUP(BD_PRINCIPAL[[#This Row],[DOTACIÓN ACTUAL]],ORDEN2,4,FALSE)</f>
        <v>196</v>
      </c>
      <c r="Z270" s="499">
        <f>VLOOKUP(BD_PRINCIPAL[[#This Row],[GRADO]],ORDEN3,2,FALSE)</f>
        <v>11</v>
      </c>
      <c r="AA270" s="499">
        <f>IFERROR(VLOOKUP(BD_PRINCIPAL[[#This Row],[DOTACIÓN ACTUAL]],ORDEN2,3,FALSE),0)</f>
        <v>0</v>
      </c>
      <c r="AB270" s="220" t="s">
        <v>1</v>
      </c>
      <c r="AC270" s="220" t="s">
        <v>2</v>
      </c>
      <c r="AD270" s="220" t="s">
        <v>853</v>
      </c>
      <c r="AE270" s="220" t="s">
        <v>1</v>
      </c>
      <c r="AF270" s="220" t="s">
        <v>1</v>
      </c>
      <c r="AG270" s="220" t="s">
        <v>1</v>
      </c>
      <c r="AH270" s="220"/>
      <c r="AI270" s="220"/>
      <c r="AJ270" s="220"/>
      <c r="AK270" s="220"/>
      <c r="AL270" s="220"/>
      <c r="AM270" s="220"/>
      <c r="AN270" s="220"/>
      <c r="AO270" s="220"/>
      <c r="AP270" s="220"/>
      <c r="AQ270" s="220"/>
      <c r="AR270" s="220"/>
      <c r="AS270" s="220"/>
      <c r="AT270" s="220"/>
      <c r="AU270" s="220"/>
      <c r="AV270" s="220"/>
      <c r="AW270" s="220"/>
      <c r="AX270" s="220"/>
      <c r="AY270" s="220"/>
      <c r="AZ270" s="220"/>
      <c r="BA270" s="212"/>
      <c r="BB270" s="212"/>
      <c r="BC270" s="212"/>
      <c r="BD270" s="212"/>
      <c r="BE270" s="212"/>
      <c r="BF270" s="212"/>
      <c r="BG270" s="212"/>
      <c r="BH270" s="212"/>
      <c r="BI270" s="212"/>
      <c r="BJ270" s="212"/>
      <c r="BK270" s="212"/>
      <c r="BL270" s="212"/>
      <c r="BM270" s="890"/>
      <c r="BN270" s="890"/>
    </row>
    <row r="271" spans="1:66" s="221" customFormat="1" x14ac:dyDescent="0.3">
      <c r="A271" s="219" t="s">
        <v>3224</v>
      </c>
      <c r="B271" s="728" t="s">
        <v>3225</v>
      </c>
      <c r="C271" s="219">
        <v>176967250</v>
      </c>
      <c r="D271" s="480" t="s">
        <v>2561</v>
      </c>
      <c r="E271" s="480" t="s">
        <v>2561</v>
      </c>
      <c r="F271" s="480" t="s">
        <v>3225</v>
      </c>
      <c r="G271" s="222" t="s">
        <v>3</v>
      </c>
      <c r="H271" s="215" t="s">
        <v>816</v>
      </c>
      <c r="I271" s="215" t="s">
        <v>872</v>
      </c>
      <c r="J271" s="216" t="s">
        <v>917</v>
      </c>
      <c r="K271" s="1279" t="s">
        <v>2290</v>
      </c>
      <c r="L271" s="733" t="s">
        <v>1</v>
      </c>
      <c r="M271" s="1304" t="s">
        <v>3474</v>
      </c>
      <c r="N271" s="787"/>
      <c r="O271" s="1294"/>
      <c r="P271" s="212"/>
      <c r="Q271" s="1294" t="s">
        <v>832</v>
      </c>
      <c r="R271" s="498">
        <v>32401</v>
      </c>
      <c r="S271" s="213"/>
      <c r="T271" s="213"/>
      <c r="U271" s="747"/>
      <c r="V271" s="747"/>
      <c r="W271" s="499" t="str">
        <f>IFERROR(IF(AND(BD_PRINCIPAL[[#This Row],[DESDE]]&lt;&gt;"",BD_PRINCIPAL[[#This Row],[HASTA]]&lt;&gt;""),_xlfn.DAYS(BD_PRINCIPAL[[#This Row],[HASTA]],BD_PRINCIPAL[[#This Row],[DESDE]]),"")+1,"")</f>
        <v/>
      </c>
      <c r="X271" s="499">
        <f>VLOOKUP(BD_PRINCIPAL[[#This Row],[ENCUADRE. ESC.]],ORDEN1,2,FALSE)</f>
        <v>1</v>
      </c>
      <c r="Y271" s="499">
        <f>VLOOKUP(BD_PRINCIPAL[[#This Row],[DOTACIÓN ACTUAL]],ORDEN2,4,FALSE)</f>
        <v>196</v>
      </c>
      <c r="Z271" s="499">
        <f>VLOOKUP(BD_PRINCIPAL[[#This Row],[GRADO]],ORDEN3,2,FALSE)</f>
        <v>11</v>
      </c>
      <c r="AA271" s="499">
        <f>IFERROR(VLOOKUP(BD_PRINCIPAL[[#This Row],[DOTACIÓN ACTUAL]],ORDEN2,3,FALSE),0)</f>
        <v>0</v>
      </c>
      <c r="AB271" s="220" t="s">
        <v>1</v>
      </c>
      <c r="AC271" s="220" t="s">
        <v>2</v>
      </c>
      <c r="AD271" s="220" t="s">
        <v>853</v>
      </c>
      <c r="AE271" s="220" t="s">
        <v>1</v>
      </c>
      <c r="AF271" s="220" t="s">
        <v>1</v>
      </c>
      <c r="AG271" s="220" t="s">
        <v>1</v>
      </c>
      <c r="AH271" s="220"/>
      <c r="AI271" s="220"/>
      <c r="AJ271" s="220"/>
      <c r="AK271" s="220"/>
      <c r="AL271" s="220"/>
      <c r="AM271" s="220"/>
      <c r="AN271" s="220"/>
      <c r="AO271" s="220"/>
      <c r="AP271" s="220"/>
      <c r="AQ271" s="220"/>
      <c r="AR271" s="220"/>
      <c r="AS271" s="220"/>
      <c r="AT271" s="220"/>
      <c r="AU271" s="220"/>
      <c r="AV271" s="220"/>
      <c r="AW271" s="220"/>
      <c r="AX271" s="220"/>
      <c r="AY271" s="220"/>
      <c r="AZ271" s="220"/>
      <c r="BA271" s="212"/>
      <c r="BB271" s="212"/>
      <c r="BC271" s="212"/>
      <c r="BD271" s="212"/>
      <c r="BE271" s="212"/>
      <c r="BF271" s="212"/>
      <c r="BG271" s="212"/>
      <c r="BH271" s="212"/>
      <c r="BI271" s="212"/>
      <c r="BJ271" s="212"/>
      <c r="BK271" s="212"/>
      <c r="BL271" s="212"/>
      <c r="BM271" s="890"/>
      <c r="BN271" s="890"/>
    </row>
    <row r="272" spans="1:66" s="221" customFormat="1" x14ac:dyDescent="0.3">
      <c r="A272" s="219" t="s">
        <v>3180</v>
      </c>
      <c r="B272" s="728" t="s">
        <v>3181</v>
      </c>
      <c r="C272" s="219">
        <v>162748432</v>
      </c>
      <c r="D272" s="480" t="s">
        <v>2561</v>
      </c>
      <c r="E272" s="480" t="s">
        <v>2561</v>
      </c>
      <c r="F272" s="480" t="s">
        <v>3181</v>
      </c>
      <c r="G272" s="222" t="s">
        <v>3</v>
      </c>
      <c r="H272" s="215" t="s">
        <v>816</v>
      </c>
      <c r="I272" s="215" t="s">
        <v>872</v>
      </c>
      <c r="J272" s="216" t="s">
        <v>917</v>
      </c>
      <c r="K272" s="1279" t="s">
        <v>2290</v>
      </c>
      <c r="L272" s="733" t="s">
        <v>1</v>
      </c>
      <c r="M272" s="1304" t="s">
        <v>3474</v>
      </c>
      <c r="N272" s="787"/>
      <c r="O272" s="1294"/>
      <c r="P272" s="212"/>
      <c r="Q272" s="1294" t="s">
        <v>832</v>
      </c>
      <c r="R272" s="498">
        <v>32401</v>
      </c>
      <c r="S272" s="213"/>
      <c r="T272" s="213" t="s">
        <v>3450</v>
      </c>
      <c r="U272" s="747"/>
      <c r="V272" s="747"/>
      <c r="W272" s="499" t="str">
        <f>IFERROR(IF(AND(BD_PRINCIPAL[[#This Row],[DESDE]]&lt;&gt;"",BD_PRINCIPAL[[#This Row],[HASTA]]&lt;&gt;""),_xlfn.DAYS(BD_PRINCIPAL[[#This Row],[HASTA]],BD_PRINCIPAL[[#This Row],[DESDE]]),"")+1,"")</f>
        <v/>
      </c>
      <c r="X272" s="499">
        <f>VLOOKUP(BD_PRINCIPAL[[#This Row],[ENCUADRE. ESC.]],ORDEN1,2,FALSE)</f>
        <v>1</v>
      </c>
      <c r="Y272" s="499">
        <f>VLOOKUP(BD_PRINCIPAL[[#This Row],[DOTACIÓN ACTUAL]],ORDEN2,4,FALSE)</f>
        <v>196</v>
      </c>
      <c r="Z272" s="499">
        <f>VLOOKUP(BD_PRINCIPAL[[#This Row],[GRADO]],ORDEN3,2,FALSE)</f>
        <v>11</v>
      </c>
      <c r="AA272" s="499">
        <f>IFERROR(VLOOKUP(BD_PRINCIPAL[[#This Row],[DOTACIÓN ACTUAL]],ORDEN2,3,FALSE),0)</f>
        <v>0</v>
      </c>
      <c r="AB272" s="220" t="s">
        <v>1</v>
      </c>
      <c r="AC272" s="220" t="s">
        <v>2</v>
      </c>
      <c r="AD272" s="220" t="s">
        <v>853</v>
      </c>
      <c r="AE272" s="220" t="s">
        <v>1</v>
      </c>
      <c r="AF272" s="220" t="s">
        <v>1</v>
      </c>
      <c r="AG272" s="220" t="s">
        <v>1</v>
      </c>
      <c r="AH272" s="220"/>
      <c r="AI272" s="220"/>
      <c r="AJ272" s="220"/>
      <c r="AK272" s="220"/>
      <c r="AL272" s="220"/>
      <c r="AM272" s="220"/>
      <c r="AN272" s="220"/>
      <c r="AO272" s="220"/>
      <c r="AP272" s="220"/>
      <c r="AQ272" s="220"/>
      <c r="AR272" s="220"/>
      <c r="AS272" s="220"/>
      <c r="AT272" s="220"/>
      <c r="AU272" s="220"/>
      <c r="AV272" s="220"/>
      <c r="AW272" s="220"/>
      <c r="AX272" s="220"/>
      <c r="AY272" s="220"/>
      <c r="AZ272" s="220"/>
      <c r="BA272" s="212"/>
      <c r="BB272" s="212"/>
      <c r="BC272" s="212"/>
      <c r="BD272" s="212"/>
      <c r="BE272" s="212"/>
      <c r="BF272" s="212"/>
      <c r="BG272" s="212"/>
      <c r="BH272" s="212"/>
      <c r="BI272" s="212"/>
      <c r="BJ272" s="212"/>
      <c r="BK272" s="212"/>
      <c r="BL272" s="212"/>
      <c r="BM272" s="890"/>
      <c r="BN272" s="890"/>
    </row>
    <row r="273" spans="1:66" s="221" customFormat="1" ht="39.6" x14ac:dyDescent="0.3">
      <c r="A273" s="219" t="s">
        <v>3212</v>
      </c>
      <c r="B273" s="728" t="s">
        <v>3213</v>
      </c>
      <c r="C273" s="219">
        <v>174234256</v>
      </c>
      <c r="D273" s="480" t="s">
        <v>2561</v>
      </c>
      <c r="E273" s="480" t="s">
        <v>2561</v>
      </c>
      <c r="F273" s="480" t="s">
        <v>3213</v>
      </c>
      <c r="G273" s="222" t="s">
        <v>3</v>
      </c>
      <c r="H273" s="215" t="s">
        <v>816</v>
      </c>
      <c r="I273" s="215" t="s">
        <v>872</v>
      </c>
      <c r="J273" s="216" t="s">
        <v>917</v>
      </c>
      <c r="K273" s="1279" t="s">
        <v>2290</v>
      </c>
      <c r="L273" s="733" t="s">
        <v>1</v>
      </c>
      <c r="M273" s="1304" t="s">
        <v>3474</v>
      </c>
      <c r="N273" s="787"/>
      <c r="O273" s="1294"/>
      <c r="P273" s="212"/>
      <c r="Q273" s="1294" t="s">
        <v>832</v>
      </c>
      <c r="R273" s="498">
        <v>32401</v>
      </c>
      <c r="S273" s="223" t="s">
        <v>3465</v>
      </c>
      <c r="T273" s="213"/>
      <c r="U273" s="747"/>
      <c r="V273" s="747"/>
      <c r="W273" s="499" t="str">
        <f>IFERROR(IF(AND(BD_PRINCIPAL[[#This Row],[DESDE]]&lt;&gt;"",BD_PRINCIPAL[[#This Row],[HASTA]]&lt;&gt;""),_xlfn.DAYS(BD_PRINCIPAL[[#This Row],[HASTA]],BD_PRINCIPAL[[#This Row],[DESDE]]),"")+1,"")</f>
        <v/>
      </c>
      <c r="X273" s="499">
        <f>VLOOKUP(BD_PRINCIPAL[[#This Row],[ENCUADRE. ESC.]],ORDEN1,2,FALSE)</f>
        <v>1</v>
      </c>
      <c r="Y273" s="499">
        <f>VLOOKUP(BD_PRINCIPAL[[#This Row],[DOTACIÓN ACTUAL]],ORDEN2,4,FALSE)</f>
        <v>196</v>
      </c>
      <c r="Z273" s="499">
        <f>VLOOKUP(BD_PRINCIPAL[[#This Row],[GRADO]],ORDEN3,2,FALSE)</f>
        <v>11</v>
      </c>
      <c r="AA273" s="499">
        <f>IFERROR(VLOOKUP(BD_PRINCIPAL[[#This Row],[DOTACIÓN ACTUAL]],ORDEN2,3,FALSE),0)</f>
        <v>0</v>
      </c>
      <c r="AB273" s="220" t="s">
        <v>1</v>
      </c>
      <c r="AC273" s="220" t="s">
        <v>2</v>
      </c>
      <c r="AD273" s="220" t="s">
        <v>853</v>
      </c>
      <c r="AE273" s="220" t="s">
        <v>1</v>
      </c>
      <c r="AF273" s="220" t="s">
        <v>1</v>
      </c>
      <c r="AG273" s="220" t="s">
        <v>1</v>
      </c>
      <c r="AH273" s="220"/>
      <c r="AI273" s="220"/>
      <c r="AJ273" s="220"/>
      <c r="AK273" s="220"/>
      <c r="AL273" s="220"/>
      <c r="AM273" s="220"/>
      <c r="AN273" s="220"/>
      <c r="AO273" s="220"/>
      <c r="AP273" s="220"/>
      <c r="AQ273" s="220"/>
      <c r="AR273" s="220"/>
      <c r="AS273" s="220"/>
      <c r="AT273" s="220"/>
      <c r="AU273" s="220"/>
      <c r="AV273" s="220"/>
      <c r="AW273" s="220"/>
      <c r="AX273" s="220"/>
      <c r="AY273" s="220"/>
      <c r="AZ273" s="220"/>
      <c r="BA273" s="212"/>
      <c r="BB273" s="212"/>
      <c r="BC273" s="212"/>
      <c r="BD273" s="212"/>
      <c r="BE273" s="212"/>
      <c r="BF273" s="212"/>
      <c r="BG273" s="212"/>
      <c r="BH273" s="212"/>
      <c r="BI273" s="212"/>
      <c r="BJ273" s="212"/>
      <c r="BK273" s="212"/>
      <c r="BL273" s="212"/>
      <c r="BM273" s="890"/>
      <c r="BN273" s="890"/>
    </row>
    <row r="274" spans="1:66" s="221" customFormat="1" x14ac:dyDescent="0.3">
      <c r="A274" s="219" t="s">
        <v>3287</v>
      </c>
      <c r="B274" s="728" t="s">
        <v>3289</v>
      </c>
      <c r="C274" s="219" t="s">
        <v>3288</v>
      </c>
      <c r="D274" s="480" t="s">
        <v>2561</v>
      </c>
      <c r="E274" s="480" t="s">
        <v>2561</v>
      </c>
      <c r="F274" s="480" t="s">
        <v>3289</v>
      </c>
      <c r="G274" s="222" t="s">
        <v>3</v>
      </c>
      <c r="H274" s="215" t="s">
        <v>816</v>
      </c>
      <c r="I274" s="215" t="s">
        <v>872</v>
      </c>
      <c r="J274" s="216" t="s">
        <v>917</v>
      </c>
      <c r="K274" s="1279" t="s">
        <v>2290</v>
      </c>
      <c r="L274" s="733" t="s">
        <v>1</v>
      </c>
      <c r="M274" s="1304" t="s">
        <v>3474</v>
      </c>
      <c r="N274" s="787"/>
      <c r="O274" s="1294"/>
      <c r="P274" s="212"/>
      <c r="Q274" s="1294" t="s">
        <v>832</v>
      </c>
      <c r="R274" s="498">
        <v>32401</v>
      </c>
      <c r="S274" s="213"/>
      <c r="T274" s="213"/>
      <c r="U274" s="747"/>
      <c r="V274" s="747"/>
      <c r="W274" s="499" t="str">
        <f>IFERROR(IF(AND(BD_PRINCIPAL[[#This Row],[DESDE]]&lt;&gt;"",BD_PRINCIPAL[[#This Row],[HASTA]]&lt;&gt;""),_xlfn.DAYS(BD_PRINCIPAL[[#This Row],[HASTA]],BD_PRINCIPAL[[#This Row],[DESDE]]),"")+1,"")</f>
        <v/>
      </c>
      <c r="X274" s="499">
        <f>VLOOKUP(BD_PRINCIPAL[[#This Row],[ENCUADRE. ESC.]],ORDEN1,2,FALSE)</f>
        <v>1</v>
      </c>
      <c r="Y274" s="499">
        <f>VLOOKUP(BD_PRINCIPAL[[#This Row],[DOTACIÓN ACTUAL]],ORDEN2,4,FALSE)</f>
        <v>196</v>
      </c>
      <c r="Z274" s="499">
        <f>VLOOKUP(BD_PRINCIPAL[[#This Row],[GRADO]],ORDEN3,2,FALSE)</f>
        <v>11</v>
      </c>
      <c r="AA274" s="499">
        <f>IFERROR(VLOOKUP(BD_PRINCIPAL[[#This Row],[DOTACIÓN ACTUAL]],ORDEN2,3,FALSE),0)</f>
        <v>0</v>
      </c>
      <c r="AB274" s="220" t="s">
        <v>1</v>
      </c>
      <c r="AC274" s="220" t="s">
        <v>2</v>
      </c>
      <c r="AD274" s="220" t="s">
        <v>853</v>
      </c>
      <c r="AE274" s="220" t="s">
        <v>1</v>
      </c>
      <c r="AF274" s="220" t="s">
        <v>1</v>
      </c>
      <c r="AG274" s="220" t="s">
        <v>1</v>
      </c>
      <c r="AH274" s="220"/>
      <c r="AI274" s="220"/>
      <c r="AJ274" s="220"/>
      <c r="AK274" s="220"/>
      <c r="AL274" s="220"/>
      <c r="AM274" s="220"/>
      <c r="AN274" s="220"/>
      <c r="AO274" s="220"/>
      <c r="AP274" s="220"/>
      <c r="AQ274" s="220"/>
      <c r="AR274" s="220"/>
      <c r="AS274" s="220"/>
      <c r="AT274" s="220"/>
      <c r="AU274" s="220"/>
      <c r="AV274" s="220"/>
      <c r="AW274" s="220"/>
      <c r="AX274" s="220"/>
      <c r="AY274" s="220"/>
      <c r="AZ274" s="220"/>
      <c r="BA274" s="212"/>
      <c r="BB274" s="212"/>
      <c r="BC274" s="212"/>
      <c r="BD274" s="212"/>
      <c r="BE274" s="212"/>
      <c r="BF274" s="212"/>
      <c r="BG274" s="212"/>
      <c r="BH274" s="212"/>
      <c r="BI274" s="212"/>
      <c r="BJ274" s="212"/>
      <c r="BK274" s="212"/>
      <c r="BL274" s="212"/>
      <c r="BM274" s="890"/>
      <c r="BN274" s="890"/>
    </row>
    <row r="275" spans="1:66" s="221" customFormat="1" x14ac:dyDescent="0.3">
      <c r="A275" s="219" t="s">
        <v>3218</v>
      </c>
      <c r="B275" s="728" t="s">
        <v>3219</v>
      </c>
      <c r="C275" s="219">
        <v>169632170</v>
      </c>
      <c r="D275" s="480" t="s">
        <v>2561</v>
      </c>
      <c r="E275" s="480" t="s">
        <v>2561</v>
      </c>
      <c r="F275" s="480" t="s">
        <v>3219</v>
      </c>
      <c r="G275" s="222" t="s">
        <v>3</v>
      </c>
      <c r="H275" s="215" t="s">
        <v>816</v>
      </c>
      <c r="I275" s="215" t="s">
        <v>872</v>
      </c>
      <c r="J275" s="216" t="s">
        <v>917</v>
      </c>
      <c r="K275" s="1279" t="s">
        <v>2290</v>
      </c>
      <c r="L275" s="733" t="s">
        <v>1</v>
      </c>
      <c r="M275" s="1304" t="s">
        <v>3474</v>
      </c>
      <c r="N275" s="787"/>
      <c r="O275" s="1294"/>
      <c r="P275" s="212"/>
      <c r="Q275" s="1294" t="s">
        <v>832</v>
      </c>
      <c r="R275" s="498">
        <v>32401</v>
      </c>
      <c r="S275" s="223"/>
      <c r="T275" s="213"/>
      <c r="U275" s="747"/>
      <c r="V275" s="747"/>
      <c r="W275" s="499" t="str">
        <f>IFERROR(IF(AND(BD_PRINCIPAL[[#This Row],[DESDE]]&lt;&gt;"",BD_PRINCIPAL[[#This Row],[HASTA]]&lt;&gt;""),_xlfn.DAYS(BD_PRINCIPAL[[#This Row],[HASTA]],BD_PRINCIPAL[[#This Row],[DESDE]]),"")+1,"")</f>
        <v/>
      </c>
      <c r="X275" s="499">
        <f>VLOOKUP(BD_PRINCIPAL[[#This Row],[ENCUADRE. ESC.]],ORDEN1,2,FALSE)</f>
        <v>1</v>
      </c>
      <c r="Y275" s="499">
        <f>VLOOKUP(BD_PRINCIPAL[[#This Row],[DOTACIÓN ACTUAL]],ORDEN2,4,FALSE)</f>
        <v>196</v>
      </c>
      <c r="Z275" s="499">
        <f>VLOOKUP(BD_PRINCIPAL[[#This Row],[GRADO]],ORDEN3,2,FALSE)</f>
        <v>11</v>
      </c>
      <c r="AA275" s="499">
        <f>IFERROR(VLOOKUP(BD_PRINCIPAL[[#This Row],[DOTACIÓN ACTUAL]],ORDEN2,3,FALSE),0)</f>
        <v>0</v>
      </c>
      <c r="AB275" s="220" t="s">
        <v>1</v>
      </c>
      <c r="AC275" s="220" t="s">
        <v>2</v>
      </c>
      <c r="AD275" s="220" t="s">
        <v>853</v>
      </c>
      <c r="AE275" s="220" t="s">
        <v>1</v>
      </c>
      <c r="AF275" s="220" t="s">
        <v>1</v>
      </c>
      <c r="AG275" s="220" t="s">
        <v>1</v>
      </c>
      <c r="AH275" s="220"/>
      <c r="AI275" s="220"/>
      <c r="AJ275" s="220"/>
      <c r="AK275" s="220"/>
      <c r="AL275" s="220"/>
      <c r="AM275" s="220"/>
      <c r="AN275" s="220"/>
      <c r="AO275" s="220"/>
      <c r="AP275" s="220"/>
      <c r="AQ275" s="220"/>
      <c r="AR275" s="220"/>
      <c r="AS275" s="220"/>
      <c r="AT275" s="220"/>
      <c r="AU275" s="220"/>
      <c r="AV275" s="220"/>
      <c r="AW275" s="220"/>
      <c r="AX275" s="220"/>
      <c r="AY275" s="220"/>
      <c r="AZ275" s="220"/>
      <c r="BA275" s="212"/>
      <c r="BB275" s="212"/>
      <c r="BC275" s="212"/>
      <c r="BD275" s="212"/>
      <c r="BE275" s="212"/>
      <c r="BF275" s="212"/>
      <c r="BG275" s="212"/>
      <c r="BH275" s="212"/>
      <c r="BI275" s="212"/>
      <c r="BJ275" s="212"/>
      <c r="BK275" s="212"/>
      <c r="BL275" s="212"/>
      <c r="BM275" s="890"/>
      <c r="BN275" s="890"/>
    </row>
    <row r="276" spans="1:66" s="221" customFormat="1" x14ac:dyDescent="0.3">
      <c r="A276" s="219" t="s">
        <v>2835</v>
      </c>
      <c r="B276" s="728" t="s">
        <v>2836</v>
      </c>
      <c r="C276" s="219">
        <v>172000460</v>
      </c>
      <c r="D276" s="873" t="s">
        <v>702</v>
      </c>
      <c r="E276" s="480" t="s">
        <v>2561</v>
      </c>
      <c r="F276" s="480" t="s">
        <v>2914</v>
      </c>
      <c r="G276" s="222" t="s">
        <v>3</v>
      </c>
      <c r="H276" s="215" t="s">
        <v>816</v>
      </c>
      <c r="I276" s="215" t="s">
        <v>872</v>
      </c>
      <c r="J276" s="216" t="s">
        <v>917</v>
      </c>
      <c r="K276" s="1279" t="s">
        <v>2309</v>
      </c>
      <c r="L276" s="733" t="s">
        <v>1</v>
      </c>
      <c r="M276" s="1304" t="s">
        <v>3474</v>
      </c>
      <c r="N276" s="787"/>
      <c r="O276" s="1294"/>
      <c r="P276" s="212"/>
      <c r="Q276" s="1294" t="s">
        <v>832</v>
      </c>
      <c r="R276" s="498">
        <v>32668</v>
      </c>
      <c r="S276" s="213"/>
      <c r="T276" s="213" t="s">
        <v>3450</v>
      </c>
      <c r="U276" s="747"/>
      <c r="V276" s="747"/>
      <c r="W276" s="499" t="str">
        <f>IFERROR(IF(AND(BD_PRINCIPAL[[#This Row],[DESDE]]&lt;&gt;"",BD_PRINCIPAL[[#This Row],[HASTA]]&lt;&gt;""),_xlfn.DAYS(BD_PRINCIPAL[[#This Row],[HASTA]],BD_PRINCIPAL[[#This Row],[DESDE]]),"")+1,"")</f>
        <v/>
      </c>
      <c r="X276" s="499">
        <f>VLOOKUP(BD_PRINCIPAL[[#This Row],[ENCUADRE. ESC.]],ORDEN1,2,FALSE)</f>
        <v>1</v>
      </c>
      <c r="Y276" s="499">
        <f>VLOOKUP(BD_PRINCIPAL[[#This Row],[DOTACIÓN ACTUAL]],ORDEN2,4,FALSE)</f>
        <v>196</v>
      </c>
      <c r="Z276" s="499">
        <f>VLOOKUP(BD_PRINCIPAL[[#This Row],[GRADO]],ORDEN3,2,FALSE)</f>
        <v>11</v>
      </c>
      <c r="AA276" s="499">
        <f>IFERROR(VLOOKUP(BD_PRINCIPAL[[#This Row],[DOTACIÓN ACTUAL]],ORDEN2,3,FALSE),0)</f>
        <v>0</v>
      </c>
      <c r="AB276" s="220" t="s">
        <v>1</v>
      </c>
      <c r="AC276" s="220" t="s">
        <v>2</v>
      </c>
      <c r="AD276" s="220" t="s">
        <v>853</v>
      </c>
      <c r="AE276" s="220" t="s">
        <v>1</v>
      </c>
      <c r="AF276" s="220" t="s">
        <v>1</v>
      </c>
      <c r="AG276" s="220" t="s">
        <v>1</v>
      </c>
      <c r="AH276" s="220"/>
      <c r="AI276" s="220"/>
      <c r="AJ276" s="220"/>
      <c r="AK276" s="220"/>
      <c r="AL276" s="220"/>
      <c r="AM276" s="220"/>
      <c r="AN276" s="220"/>
      <c r="AO276" s="220"/>
      <c r="AP276" s="220"/>
      <c r="AQ276" s="220"/>
      <c r="AR276" s="220"/>
      <c r="AS276" s="220"/>
      <c r="AT276" s="220"/>
      <c r="AU276" s="220"/>
      <c r="AV276" s="220"/>
      <c r="AW276" s="220"/>
      <c r="AX276" s="220"/>
      <c r="AY276" s="220"/>
      <c r="AZ276" s="220"/>
      <c r="BA276" s="212"/>
      <c r="BB276" s="212"/>
      <c r="BC276" s="212"/>
      <c r="BD276" s="212"/>
      <c r="BE276" s="212"/>
      <c r="BF276" s="212"/>
      <c r="BG276" s="212"/>
      <c r="BH276" s="212"/>
      <c r="BI276" s="212"/>
      <c r="BJ276" s="212"/>
      <c r="BK276" s="212"/>
      <c r="BL276" s="212"/>
      <c r="BM276" s="890"/>
      <c r="BN276" s="890"/>
    </row>
    <row r="277" spans="1:66" s="221" customFormat="1" x14ac:dyDescent="0.3">
      <c r="A277" s="219" t="s">
        <v>3206</v>
      </c>
      <c r="B277" s="728" t="s">
        <v>3207</v>
      </c>
      <c r="C277" s="219">
        <v>166339545</v>
      </c>
      <c r="D277" s="480" t="s">
        <v>2561</v>
      </c>
      <c r="E277" s="480" t="s">
        <v>2561</v>
      </c>
      <c r="F277" s="480" t="s">
        <v>3207</v>
      </c>
      <c r="G277" s="222" t="s">
        <v>3</v>
      </c>
      <c r="H277" s="215" t="s">
        <v>816</v>
      </c>
      <c r="I277" s="215" t="s">
        <v>872</v>
      </c>
      <c r="J277" s="216" t="s">
        <v>917</v>
      </c>
      <c r="K277" s="1279" t="s">
        <v>2290</v>
      </c>
      <c r="L277" s="733" t="s">
        <v>1</v>
      </c>
      <c r="M277" s="1304" t="s">
        <v>3474</v>
      </c>
      <c r="N277" s="787"/>
      <c r="O277" s="1294"/>
      <c r="P277" s="212"/>
      <c r="Q277" s="1294" t="s">
        <v>832</v>
      </c>
      <c r="R277" s="498">
        <v>32401</v>
      </c>
      <c r="S277" s="213"/>
      <c r="T277" s="213"/>
      <c r="U277" s="747"/>
      <c r="V277" s="747"/>
      <c r="W277" s="499" t="str">
        <f>IFERROR(IF(AND(BD_PRINCIPAL[[#This Row],[DESDE]]&lt;&gt;"",BD_PRINCIPAL[[#This Row],[HASTA]]&lt;&gt;""),_xlfn.DAYS(BD_PRINCIPAL[[#This Row],[HASTA]],BD_PRINCIPAL[[#This Row],[DESDE]]),"")+1,"")</f>
        <v/>
      </c>
      <c r="X277" s="499">
        <f>VLOOKUP(BD_PRINCIPAL[[#This Row],[ENCUADRE. ESC.]],ORDEN1,2,FALSE)</f>
        <v>1</v>
      </c>
      <c r="Y277" s="499">
        <f>VLOOKUP(BD_PRINCIPAL[[#This Row],[DOTACIÓN ACTUAL]],ORDEN2,4,FALSE)</f>
        <v>196</v>
      </c>
      <c r="Z277" s="499">
        <f>VLOOKUP(BD_PRINCIPAL[[#This Row],[GRADO]],ORDEN3,2,FALSE)</f>
        <v>11</v>
      </c>
      <c r="AA277" s="499">
        <f>IFERROR(VLOOKUP(BD_PRINCIPAL[[#This Row],[DOTACIÓN ACTUAL]],ORDEN2,3,FALSE),0)</f>
        <v>0</v>
      </c>
      <c r="AB277" s="220" t="s">
        <v>1</v>
      </c>
      <c r="AC277" s="220" t="s">
        <v>2</v>
      </c>
      <c r="AD277" s="220" t="s">
        <v>853</v>
      </c>
      <c r="AE277" s="220" t="s">
        <v>1</v>
      </c>
      <c r="AF277" s="220" t="s">
        <v>1</v>
      </c>
      <c r="AG277" s="220" t="s">
        <v>1</v>
      </c>
      <c r="AH277" s="220"/>
      <c r="AI277" s="220"/>
      <c r="AJ277" s="220"/>
      <c r="AK277" s="220"/>
      <c r="AL277" s="220"/>
      <c r="AM277" s="220"/>
      <c r="AN277" s="220"/>
      <c r="AO277" s="220"/>
      <c r="AP277" s="220"/>
      <c r="AQ277" s="220"/>
      <c r="AR277" s="220"/>
      <c r="AS277" s="220"/>
      <c r="AT277" s="220"/>
      <c r="AU277" s="220"/>
      <c r="AV277" s="220"/>
      <c r="AW277" s="220"/>
      <c r="AX277" s="220"/>
      <c r="AY277" s="220"/>
      <c r="AZ277" s="220"/>
      <c r="BA277" s="212"/>
      <c r="BB277" s="212"/>
      <c r="BC277" s="212"/>
      <c r="BD277" s="212"/>
      <c r="BE277" s="212"/>
      <c r="BF277" s="212"/>
      <c r="BG277" s="212"/>
      <c r="BH277" s="212"/>
      <c r="BI277" s="212"/>
      <c r="BJ277" s="212"/>
      <c r="BK277" s="212"/>
      <c r="BL277" s="212"/>
      <c r="BM277" s="890"/>
      <c r="BN277" s="890"/>
    </row>
    <row r="278" spans="1:66" s="221" customFormat="1" x14ac:dyDescent="0.3">
      <c r="A278" s="219" t="s">
        <v>3233</v>
      </c>
      <c r="B278" s="728" t="s">
        <v>3234</v>
      </c>
      <c r="C278" s="219">
        <v>193841554</v>
      </c>
      <c r="D278" s="480" t="s">
        <v>2561</v>
      </c>
      <c r="E278" s="480" t="s">
        <v>2561</v>
      </c>
      <c r="F278" s="480" t="s">
        <v>3234</v>
      </c>
      <c r="G278" s="222" t="s">
        <v>4</v>
      </c>
      <c r="H278" s="215" t="s">
        <v>816</v>
      </c>
      <c r="I278" s="215" t="s">
        <v>872</v>
      </c>
      <c r="J278" s="216" t="s">
        <v>917</v>
      </c>
      <c r="K278" s="1279" t="s">
        <v>2305</v>
      </c>
      <c r="L278" s="733" t="s">
        <v>1</v>
      </c>
      <c r="M278" s="1304" t="s">
        <v>3474</v>
      </c>
      <c r="N278" s="787"/>
      <c r="O278" s="1294"/>
      <c r="P278" s="212"/>
      <c r="Q278" s="1294" t="s">
        <v>832</v>
      </c>
      <c r="R278" s="498">
        <v>32401</v>
      </c>
      <c r="S278" s="223"/>
      <c r="T278" s="213"/>
      <c r="U278" s="747"/>
      <c r="V278" s="747"/>
      <c r="W278" s="499" t="str">
        <f>IFERROR(IF(AND(BD_PRINCIPAL[[#This Row],[DESDE]]&lt;&gt;"",BD_PRINCIPAL[[#This Row],[HASTA]]&lt;&gt;""),_xlfn.DAYS(BD_PRINCIPAL[[#This Row],[HASTA]],BD_PRINCIPAL[[#This Row],[DESDE]]),"")+1,"")</f>
        <v/>
      </c>
      <c r="X278" s="499">
        <f>VLOOKUP(BD_PRINCIPAL[[#This Row],[ENCUADRE. ESC.]],ORDEN1,2,FALSE)</f>
        <v>1</v>
      </c>
      <c r="Y278" s="499">
        <f>VLOOKUP(BD_PRINCIPAL[[#This Row],[DOTACIÓN ACTUAL]],ORDEN2,4,FALSE)</f>
        <v>196</v>
      </c>
      <c r="Z278" s="499">
        <f>VLOOKUP(BD_PRINCIPAL[[#This Row],[GRADO]],ORDEN3,2,FALSE)</f>
        <v>12</v>
      </c>
      <c r="AA278" s="499">
        <f>IFERROR(VLOOKUP(BD_PRINCIPAL[[#This Row],[DOTACIÓN ACTUAL]],ORDEN2,3,FALSE),0)</f>
        <v>0</v>
      </c>
      <c r="AB278" s="220" t="s">
        <v>1</v>
      </c>
      <c r="AC278" s="220" t="s">
        <v>2</v>
      </c>
      <c r="AD278" s="220" t="s">
        <v>853</v>
      </c>
      <c r="AE278" s="220" t="s">
        <v>1</v>
      </c>
      <c r="AF278" s="220" t="s">
        <v>1</v>
      </c>
      <c r="AG278" s="220" t="s">
        <v>1</v>
      </c>
      <c r="AH278" s="220"/>
      <c r="AI278" s="220"/>
      <c r="AJ278" s="220"/>
      <c r="AK278" s="220"/>
      <c r="AL278" s="220"/>
      <c r="AM278" s="220"/>
      <c r="AN278" s="220"/>
      <c r="AO278" s="220"/>
      <c r="AP278" s="220"/>
      <c r="AQ278" s="220"/>
      <c r="AR278" s="220"/>
      <c r="AS278" s="220"/>
      <c r="AT278" s="220"/>
      <c r="AU278" s="220"/>
      <c r="AV278" s="220"/>
      <c r="AW278" s="220"/>
      <c r="AX278" s="220"/>
      <c r="AY278" s="220"/>
      <c r="AZ278" s="220"/>
      <c r="BA278" s="212"/>
      <c r="BB278" s="212"/>
      <c r="BC278" s="212"/>
      <c r="BD278" s="212"/>
      <c r="BE278" s="212"/>
      <c r="BF278" s="212"/>
      <c r="BG278" s="212"/>
      <c r="BH278" s="212"/>
      <c r="BI278" s="212"/>
      <c r="BJ278" s="212"/>
      <c r="BK278" s="212"/>
      <c r="BL278" s="212"/>
      <c r="BM278" s="890"/>
      <c r="BN278" s="890"/>
    </row>
    <row r="279" spans="1:66" s="233" customFormat="1" x14ac:dyDescent="0.3">
      <c r="A279" s="231" t="s">
        <v>643</v>
      </c>
      <c r="B279" s="225" t="s">
        <v>1602</v>
      </c>
      <c r="C279" s="231">
        <v>166232163</v>
      </c>
      <c r="D279" s="716" t="s">
        <v>712</v>
      </c>
      <c r="E279" s="477" t="s">
        <v>2586</v>
      </c>
      <c r="F279" s="477" t="s">
        <v>2510</v>
      </c>
      <c r="G279" s="235" t="s">
        <v>209</v>
      </c>
      <c r="H279" s="228" t="s">
        <v>816</v>
      </c>
      <c r="I279" s="228" t="s">
        <v>872</v>
      </c>
      <c r="J279" s="229" t="s">
        <v>917</v>
      </c>
      <c r="K279" s="1280" t="s">
        <v>2304</v>
      </c>
      <c r="L279" s="734" t="s">
        <v>1</v>
      </c>
      <c r="M279" s="1305" t="s">
        <v>3474</v>
      </c>
      <c r="N279" s="773"/>
      <c r="O279" s="1295"/>
      <c r="P279" s="225"/>
      <c r="Q279" s="1295" t="s">
        <v>832</v>
      </c>
      <c r="R279" s="234">
        <f>$B$1</f>
        <v>45388</v>
      </c>
      <c r="S279" s="236"/>
      <c r="T279" s="236" t="s">
        <v>2919</v>
      </c>
      <c r="U279" s="230"/>
      <c r="V279" s="230"/>
      <c r="W279" s="231" t="str">
        <f>IFERROR(IF(AND(BD_PRINCIPAL[[#This Row],[DESDE]]&lt;&gt;"",BD_PRINCIPAL[[#This Row],[HASTA]]&lt;&gt;""),_xlfn.DAYS(BD_PRINCIPAL[[#This Row],[HASTA]],BD_PRINCIPAL[[#This Row],[DESDE]]),"")+1,"")</f>
        <v/>
      </c>
      <c r="X279" s="231">
        <f>VLOOKUP(BD_PRINCIPAL[[#This Row],[ENCUADRE. ESC.]],ORDEN1,2,FALSE)</f>
        <v>1</v>
      </c>
      <c r="Y279" s="231">
        <f>VLOOKUP(BD_PRINCIPAL[[#This Row],[DOTACIÓN ACTUAL]],ORDEN2,4,FALSE)</f>
        <v>197</v>
      </c>
      <c r="Z279" s="231">
        <f>VLOOKUP(BD_PRINCIPAL[[#This Row],[GRADO]],ORDEN3,2,FALSE)</f>
        <v>10</v>
      </c>
      <c r="AA279" s="231">
        <f>IFERROR(VLOOKUP(BD_PRINCIPAL[[#This Row],[DOTACIÓN ACTUAL]],ORDEN2,3,FALSE),0)</f>
        <v>0</v>
      </c>
      <c r="AB279" s="225" t="s">
        <v>1</v>
      </c>
      <c r="AC279" s="225" t="s">
        <v>853</v>
      </c>
      <c r="AD279" s="225" t="s">
        <v>2</v>
      </c>
      <c r="AE279" s="225" t="s">
        <v>1</v>
      </c>
      <c r="AF279" s="225" t="s">
        <v>1</v>
      </c>
      <c r="AG279" s="225" t="s">
        <v>1</v>
      </c>
      <c r="AH279" s="225"/>
      <c r="AI279" s="225"/>
      <c r="AJ279" s="225"/>
      <c r="AK279" s="225"/>
      <c r="AL279" s="225"/>
      <c r="AM279" s="225"/>
      <c r="AN279" s="225"/>
      <c r="AO279" s="225"/>
      <c r="AP279" s="225"/>
      <c r="AQ279" s="225"/>
      <c r="AR279" s="225"/>
      <c r="AS279" s="225"/>
      <c r="AT279" s="232"/>
      <c r="AU279" s="232"/>
      <c r="AV279" s="232"/>
      <c r="AW279" s="232"/>
      <c r="AX279" s="232"/>
      <c r="AY279" s="232"/>
      <c r="AZ279" s="232"/>
      <c r="BA279" s="225"/>
      <c r="BB279" s="225"/>
      <c r="BC279" s="225"/>
      <c r="BD279" s="225"/>
      <c r="BE279" s="225"/>
      <c r="BF279" s="225"/>
      <c r="BG279" s="225"/>
      <c r="BH279" s="225"/>
      <c r="BI279" s="225"/>
      <c r="BJ279" s="225"/>
      <c r="BK279" s="225"/>
      <c r="BL279" s="225"/>
      <c r="BM279" s="773">
        <v>45385</v>
      </c>
      <c r="BN279" s="790"/>
    </row>
    <row r="280" spans="1:66" s="233" customFormat="1" x14ac:dyDescent="0.3">
      <c r="A280" s="231" t="s">
        <v>3164</v>
      </c>
      <c r="B280" s="746" t="s">
        <v>3165</v>
      </c>
      <c r="C280" s="231">
        <v>155578939</v>
      </c>
      <c r="D280" s="477" t="s">
        <v>2562</v>
      </c>
      <c r="E280" s="477" t="s">
        <v>2562</v>
      </c>
      <c r="F280" s="477" t="s">
        <v>3165</v>
      </c>
      <c r="G280" s="235" t="s">
        <v>209</v>
      </c>
      <c r="H280" s="228" t="s">
        <v>816</v>
      </c>
      <c r="I280" s="228" t="s">
        <v>872</v>
      </c>
      <c r="J280" s="229" t="s">
        <v>917</v>
      </c>
      <c r="K280" s="1280" t="s">
        <v>2290</v>
      </c>
      <c r="L280" s="734" t="s">
        <v>1</v>
      </c>
      <c r="M280" s="1305" t="s">
        <v>3474</v>
      </c>
      <c r="N280" s="779"/>
      <c r="O280" s="1295"/>
      <c r="P280" s="225"/>
      <c r="Q280" s="1295" t="s">
        <v>832</v>
      </c>
      <c r="R280" s="386">
        <v>32401</v>
      </c>
      <c r="S280" s="236"/>
      <c r="T280" s="226" t="s">
        <v>3424</v>
      </c>
      <c r="U280" s="794"/>
      <c r="V280" s="794"/>
      <c r="W280" s="387" t="str">
        <f>IFERROR(IF(AND(BD_PRINCIPAL[[#This Row],[DESDE]]&lt;&gt;"",BD_PRINCIPAL[[#This Row],[HASTA]]&lt;&gt;""),_xlfn.DAYS(BD_PRINCIPAL[[#This Row],[HASTA]],BD_PRINCIPAL[[#This Row],[DESDE]]),"")+1,"")</f>
        <v/>
      </c>
      <c r="X280" s="387">
        <f>VLOOKUP(BD_PRINCIPAL[[#This Row],[ENCUADRE. ESC.]],ORDEN1,2,FALSE)</f>
        <v>1</v>
      </c>
      <c r="Y280" s="387">
        <f>VLOOKUP(BD_PRINCIPAL[[#This Row],[DOTACIÓN ACTUAL]],ORDEN2,4,FALSE)</f>
        <v>198</v>
      </c>
      <c r="Z280" s="387">
        <f>VLOOKUP(BD_PRINCIPAL[[#This Row],[GRADO]],ORDEN3,2,FALSE)</f>
        <v>10</v>
      </c>
      <c r="AA280" s="387">
        <f>IFERROR(VLOOKUP(BD_PRINCIPAL[[#This Row],[DOTACIÓN ACTUAL]],ORDEN2,3,FALSE),0)</f>
        <v>0</v>
      </c>
      <c r="AB280" s="232" t="s">
        <v>1</v>
      </c>
      <c r="AC280" s="232" t="s">
        <v>2</v>
      </c>
      <c r="AD280" s="232" t="s">
        <v>853</v>
      </c>
      <c r="AE280" s="232" t="s">
        <v>1</v>
      </c>
      <c r="AF280" s="232" t="s">
        <v>1</v>
      </c>
      <c r="AG280" s="232" t="s">
        <v>1</v>
      </c>
      <c r="AH280" s="232"/>
      <c r="AI280" s="232"/>
      <c r="AJ280" s="232"/>
      <c r="AK280" s="232"/>
      <c r="AL280" s="232"/>
      <c r="AM280" s="232"/>
      <c r="AN280" s="232"/>
      <c r="AO280" s="232"/>
      <c r="AP280" s="232"/>
      <c r="AQ280" s="232"/>
      <c r="AR280" s="232"/>
      <c r="AS280" s="232"/>
      <c r="AT280" s="232"/>
      <c r="AU280" s="232"/>
      <c r="AV280" s="232"/>
      <c r="AW280" s="232"/>
      <c r="AX280" s="232"/>
      <c r="AY280" s="232"/>
      <c r="AZ280" s="232"/>
      <c r="BA280" s="225"/>
      <c r="BB280" s="225"/>
      <c r="BC280" s="225"/>
      <c r="BD280" s="225"/>
      <c r="BE280" s="225"/>
      <c r="BF280" s="225"/>
      <c r="BG280" s="225"/>
      <c r="BH280" s="225"/>
      <c r="BI280" s="225"/>
      <c r="BJ280" s="225"/>
      <c r="BK280" s="225"/>
      <c r="BL280" s="225"/>
      <c r="BM280" s="901"/>
      <c r="BN280" s="901"/>
    </row>
    <row r="281" spans="1:66" s="233" customFormat="1" x14ac:dyDescent="0.3">
      <c r="A281" s="231" t="s">
        <v>3291</v>
      </c>
      <c r="B281" s="746" t="s">
        <v>3292</v>
      </c>
      <c r="C281" s="231">
        <v>136345974</v>
      </c>
      <c r="D281" s="477" t="s">
        <v>2562</v>
      </c>
      <c r="E281" s="477" t="s">
        <v>2562</v>
      </c>
      <c r="F281" s="477" t="s">
        <v>3292</v>
      </c>
      <c r="G281" s="235" t="s">
        <v>209</v>
      </c>
      <c r="H281" s="228" t="s">
        <v>816</v>
      </c>
      <c r="I281" s="228" t="s">
        <v>872</v>
      </c>
      <c r="J281" s="229" t="s">
        <v>917</v>
      </c>
      <c r="K281" s="1280" t="s">
        <v>2290</v>
      </c>
      <c r="L281" s="734" t="s">
        <v>1</v>
      </c>
      <c r="M281" s="1305" t="s">
        <v>3474</v>
      </c>
      <c r="N281" s="779"/>
      <c r="O281" s="1295"/>
      <c r="P281" s="225"/>
      <c r="Q281" s="1295" t="s">
        <v>832</v>
      </c>
      <c r="R281" s="386">
        <v>32401</v>
      </c>
      <c r="S281" s="226"/>
      <c r="T281" s="226" t="s">
        <v>3424</v>
      </c>
      <c r="U281" s="794"/>
      <c r="V281" s="794"/>
      <c r="W281" s="387" t="str">
        <f>IFERROR(IF(AND(BD_PRINCIPAL[[#This Row],[DESDE]]&lt;&gt;"",BD_PRINCIPAL[[#This Row],[HASTA]]&lt;&gt;""),_xlfn.DAYS(BD_PRINCIPAL[[#This Row],[HASTA]],BD_PRINCIPAL[[#This Row],[DESDE]]),"")+1,"")</f>
        <v/>
      </c>
      <c r="X281" s="387">
        <f>VLOOKUP(BD_PRINCIPAL[[#This Row],[ENCUADRE. ESC.]],ORDEN1,2,FALSE)</f>
        <v>1</v>
      </c>
      <c r="Y281" s="387">
        <f>VLOOKUP(BD_PRINCIPAL[[#This Row],[DOTACIÓN ACTUAL]],ORDEN2,4,FALSE)</f>
        <v>198</v>
      </c>
      <c r="Z281" s="387">
        <f>VLOOKUP(BD_PRINCIPAL[[#This Row],[GRADO]],ORDEN3,2,FALSE)</f>
        <v>10</v>
      </c>
      <c r="AA281" s="387">
        <f>IFERROR(VLOOKUP(BD_PRINCIPAL[[#This Row],[DOTACIÓN ACTUAL]],ORDEN2,3,FALSE),0)</f>
        <v>0</v>
      </c>
      <c r="AB281" s="232" t="s">
        <v>1</v>
      </c>
      <c r="AC281" s="232" t="s">
        <v>2</v>
      </c>
      <c r="AD281" s="232" t="s">
        <v>853</v>
      </c>
      <c r="AE281" s="232" t="s">
        <v>1</v>
      </c>
      <c r="AF281" s="232" t="s">
        <v>1</v>
      </c>
      <c r="AG281" s="232" t="s">
        <v>1</v>
      </c>
      <c r="AH281" s="232"/>
      <c r="AI281" s="232"/>
      <c r="AJ281" s="232"/>
      <c r="AK281" s="232"/>
      <c r="AL281" s="232"/>
      <c r="AM281" s="232"/>
      <c r="AN281" s="232"/>
      <c r="AO281" s="232"/>
      <c r="AP281" s="232"/>
      <c r="AQ281" s="232"/>
      <c r="AR281" s="232"/>
      <c r="AS281" s="232"/>
      <c r="AT281" s="232"/>
      <c r="AU281" s="232"/>
      <c r="AV281" s="232"/>
      <c r="AW281" s="232"/>
      <c r="AX281" s="232"/>
      <c r="AY281" s="232"/>
      <c r="AZ281" s="232"/>
      <c r="BA281" s="225"/>
      <c r="BB281" s="225"/>
      <c r="BC281" s="225"/>
      <c r="BD281" s="225"/>
      <c r="BE281" s="225"/>
      <c r="BF281" s="225"/>
      <c r="BG281" s="225"/>
      <c r="BH281" s="225"/>
      <c r="BI281" s="225"/>
      <c r="BJ281" s="225"/>
      <c r="BK281" s="225"/>
      <c r="BL281" s="225"/>
      <c r="BM281" s="901"/>
      <c r="BN281" s="901"/>
    </row>
    <row r="282" spans="1:66" s="233" customFormat="1" x14ac:dyDescent="0.3">
      <c r="A282" s="231" t="s">
        <v>3202</v>
      </c>
      <c r="B282" s="746" t="s">
        <v>3203</v>
      </c>
      <c r="C282" s="231">
        <v>179509709</v>
      </c>
      <c r="D282" s="477" t="s">
        <v>2562</v>
      </c>
      <c r="E282" s="477" t="s">
        <v>2562</v>
      </c>
      <c r="F282" s="477" t="s">
        <v>3205</v>
      </c>
      <c r="G282" s="235" t="s">
        <v>3</v>
      </c>
      <c r="H282" s="228" t="s">
        <v>816</v>
      </c>
      <c r="I282" s="228" t="s">
        <v>872</v>
      </c>
      <c r="J282" s="229" t="s">
        <v>917</v>
      </c>
      <c r="K282" s="1280" t="s">
        <v>2305</v>
      </c>
      <c r="L282" s="734" t="s">
        <v>1</v>
      </c>
      <c r="M282" s="1305" t="s">
        <v>3474</v>
      </c>
      <c r="N282" s="779"/>
      <c r="O282" s="1295"/>
      <c r="P282" s="225"/>
      <c r="Q282" s="1295" t="s">
        <v>832</v>
      </c>
      <c r="R282" s="386">
        <v>32401</v>
      </c>
      <c r="S282" s="226" t="s">
        <v>1483</v>
      </c>
      <c r="T282" s="226" t="s">
        <v>3424</v>
      </c>
      <c r="U282" s="794"/>
      <c r="V282" s="794"/>
      <c r="W282" s="387" t="str">
        <f>IFERROR(IF(AND(BD_PRINCIPAL[[#This Row],[DESDE]]&lt;&gt;"",BD_PRINCIPAL[[#This Row],[HASTA]]&lt;&gt;""),_xlfn.DAYS(BD_PRINCIPAL[[#This Row],[HASTA]],BD_PRINCIPAL[[#This Row],[DESDE]]),"")+1,"")</f>
        <v/>
      </c>
      <c r="X282" s="387">
        <f>VLOOKUP(BD_PRINCIPAL[[#This Row],[ENCUADRE. ESC.]],ORDEN1,2,FALSE)</f>
        <v>1</v>
      </c>
      <c r="Y282" s="387">
        <f>VLOOKUP(BD_PRINCIPAL[[#This Row],[DOTACIÓN ACTUAL]],ORDEN2,4,FALSE)</f>
        <v>198</v>
      </c>
      <c r="Z282" s="387">
        <f>VLOOKUP(BD_PRINCIPAL[[#This Row],[GRADO]],ORDEN3,2,FALSE)</f>
        <v>11</v>
      </c>
      <c r="AA282" s="387">
        <f>IFERROR(VLOOKUP(BD_PRINCIPAL[[#This Row],[DOTACIÓN ACTUAL]],ORDEN2,3,FALSE),0)</f>
        <v>0</v>
      </c>
      <c r="AB282" s="232" t="s">
        <v>1</v>
      </c>
      <c r="AC282" s="232" t="s">
        <v>2</v>
      </c>
      <c r="AD282" s="232" t="s">
        <v>853</v>
      </c>
      <c r="AE282" s="232" t="s">
        <v>1</v>
      </c>
      <c r="AF282" s="232" t="s">
        <v>1</v>
      </c>
      <c r="AG282" s="232" t="s">
        <v>1</v>
      </c>
      <c r="AH282" s="232"/>
      <c r="AI282" s="232"/>
      <c r="AJ282" s="232"/>
      <c r="AK282" s="232"/>
      <c r="AL282" s="232"/>
      <c r="AM282" s="232"/>
      <c r="AN282" s="232"/>
      <c r="AO282" s="232"/>
      <c r="AP282" s="232"/>
      <c r="AQ282" s="232"/>
      <c r="AR282" s="232"/>
      <c r="AS282" s="232"/>
      <c r="AT282" s="232"/>
      <c r="AU282" s="232"/>
      <c r="AV282" s="232"/>
      <c r="AW282" s="232"/>
      <c r="AX282" s="232"/>
      <c r="AY282" s="232"/>
      <c r="AZ282" s="232"/>
      <c r="BA282" s="225"/>
      <c r="BB282" s="225"/>
      <c r="BC282" s="225"/>
      <c r="BD282" s="225"/>
      <c r="BE282" s="225"/>
      <c r="BF282" s="225"/>
      <c r="BG282" s="225"/>
      <c r="BH282" s="225"/>
      <c r="BI282" s="225"/>
      <c r="BJ282" s="225"/>
      <c r="BK282" s="225"/>
      <c r="BL282" s="225"/>
      <c r="BM282" s="901"/>
      <c r="BN282" s="901"/>
    </row>
    <row r="283" spans="1:66" s="233" customFormat="1" x14ac:dyDescent="0.3">
      <c r="A283" s="231" t="s">
        <v>3193</v>
      </c>
      <c r="B283" s="746" t="s">
        <v>3194</v>
      </c>
      <c r="C283" s="231">
        <v>178025015</v>
      </c>
      <c r="D283" s="477" t="s">
        <v>2562</v>
      </c>
      <c r="E283" s="477" t="s">
        <v>2562</v>
      </c>
      <c r="F283" s="477" t="s">
        <v>3194</v>
      </c>
      <c r="G283" s="235" t="s">
        <v>3</v>
      </c>
      <c r="H283" s="228" t="s">
        <v>816</v>
      </c>
      <c r="I283" s="228" t="s">
        <v>872</v>
      </c>
      <c r="J283" s="229" t="s">
        <v>917</v>
      </c>
      <c r="K283" s="1280" t="s">
        <v>2290</v>
      </c>
      <c r="L283" s="734" t="s">
        <v>1</v>
      </c>
      <c r="M283" s="1305" t="s">
        <v>3474</v>
      </c>
      <c r="N283" s="779"/>
      <c r="O283" s="1295"/>
      <c r="P283" s="225"/>
      <c r="Q283" s="1295" t="s">
        <v>832</v>
      </c>
      <c r="R283" s="386">
        <v>32401</v>
      </c>
      <c r="S283" s="226"/>
      <c r="T283" s="226" t="s">
        <v>3424</v>
      </c>
      <c r="U283" s="794"/>
      <c r="V283" s="794"/>
      <c r="W283" s="387" t="str">
        <f>IFERROR(IF(AND(BD_PRINCIPAL[[#This Row],[DESDE]]&lt;&gt;"",BD_PRINCIPAL[[#This Row],[HASTA]]&lt;&gt;""),_xlfn.DAYS(BD_PRINCIPAL[[#This Row],[HASTA]],BD_PRINCIPAL[[#This Row],[DESDE]]),"")+1,"")</f>
        <v/>
      </c>
      <c r="X283" s="387">
        <f>VLOOKUP(BD_PRINCIPAL[[#This Row],[ENCUADRE. ESC.]],ORDEN1,2,FALSE)</f>
        <v>1</v>
      </c>
      <c r="Y283" s="387">
        <f>VLOOKUP(BD_PRINCIPAL[[#This Row],[DOTACIÓN ACTUAL]],ORDEN2,4,FALSE)</f>
        <v>198</v>
      </c>
      <c r="Z283" s="387">
        <f>VLOOKUP(BD_PRINCIPAL[[#This Row],[GRADO]],ORDEN3,2,FALSE)</f>
        <v>11</v>
      </c>
      <c r="AA283" s="387">
        <f>IFERROR(VLOOKUP(BD_PRINCIPAL[[#This Row],[DOTACIÓN ACTUAL]],ORDEN2,3,FALSE),0)</f>
        <v>0</v>
      </c>
      <c r="AB283" s="232" t="s">
        <v>1</v>
      </c>
      <c r="AC283" s="232" t="s">
        <v>2</v>
      </c>
      <c r="AD283" s="232" t="s">
        <v>853</v>
      </c>
      <c r="AE283" s="232" t="s">
        <v>1</v>
      </c>
      <c r="AF283" s="232" t="s">
        <v>1</v>
      </c>
      <c r="AG283" s="232" t="s">
        <v>1</v>
      </c>
      <c r="AH283" s="232"/>
      <c r="AI283" s="232"/>
      <c r="AJ283" s="232"/>
      <c r="AK283" s="232"/>
      <c r="AL283" s="232"/>
      <c r="AM283" s="232"/>
      <c r="AN283" s="232"/>
      <c r="AO283" s="232"/>
      <c r="AP283" s="232"/>
      <c r="AQ283" s="232"/>
      <c r="AR283" s="232"/>
      <c r="AS283" s="232"/>
      <c r="AT283" s="232"/>
      <c r="AU283" s="232"/>
      <c r="AV283" s="232"/>
      <c r="AW283" s="232"/>
      <c r="AX283" s="232"/>
      <c r="AY283" s="232"/>
      <c r="AZ283" s="232"/>
      <c r="BA283" s="225"/>
      <c r="BB283" s="225"/>
      <c r="BC283" s="225"/>
      <c r="BD283" s="225"/>
      <c r="BE283" s="225"/>
      <c r="BF283" s="225"/>
      <c r="BG283" s="225"/>
      <c r="BH283" s="225"/>
      <c r="BI283" s="225"/>
      <c r="BJ283" s="225"/>
      <c r="BK283" s="225"/>
      <c r="BL283" s="225"/>
      <c r="BM283" s="901"/>
      <c r="BN283" s="901"/>
    </row>
    <row r="284" spans="1:66" s="233" customFormat="1" x14ac:dyDescent="0.3">
      <c r="A284" s="231" t="s">
        <v>3221</v>
      </c>
      <c r="B284" s="746" t="s">
        <v>3222</v>
      </c>
      <c r="C284" s="231">
        <v>168074654</v>
      </c>
      <c r="D284" s="477" t="s">
        <v>2562</v>
      </c>
      <c r="E284" s="477" t="s">
        <v>2562</v>
      </c>
      <c r="F284" s="477" t="s">
        <v>3222</v>
      </c>
      <c r="G284" s="235" t="s">
        <v>3</v>
      </c>
      <c r="H284" s="228" t="s">
        <v>816</v>
      </c>
      <c r="I284" s="228" t="s">
        <v>872</v>
      </c>
      <c r="J284" s="229" t="s">
        <v>917</v>
      </c>
      <c r="K284" s="1280" t="s">
        <v>2290</v>
      </c>
      <c r="L284" s="734" t="s">
        <v>1</v>
      </c>
      <c r="M284" s="1305" t="s">
        <v>3474</v>
      </c>
      <c r="N284" s="779"/>
      <c r="O284" s="1295"/>
      <c r="P284" s="225"/>
      <c r="Q284" s="1295" t="s">
        <v>832</v>
      </c>
      <c r="R284" s="386">
        <v>32401</v>
      </c>
      <c r="S284" s="236"/>
      <c r="T284" s="226" t="s">
        <v>3424</v>
      </c>
      <c r="U284" s="794"/>
      <c r="V284" s="794"/>
      <c r="W284" s="387" t="str">
        <f>IFERROR(IF(AND(BD_PRINCIPAL[[#This Row],[DESDE]]&lt;&gt;"",BD_PRINCIPAL[[#This Row],[HASTA]]&lt;&gt;""),_xlfn.DAYS(BD_PRINCIPAL[[#This Row],[HASTA]],BD_PRINCIPAL[[#This Row],[DESDE]]),"")+1,"")</f>
        <v/>
      </c>
      <c r="X284" s="387">
        <f>VLOOKUP(BD_PRINCIPAL[[#This Row],[ENCUADRE. ESC.]],ORDEN1,2,FALSE)</f>
        <v>1</v>
      </c>
      <c r="Y284" s="387">
        <f>VLOOKUP(BD_PRINCIPAL[[#This Row],[DOTACIÓN ACTUAL]],ORDEN2,4,FALSE)</f>
        <v>198</v>
      </c>
      <c r="Z284" s="387">
        <f>VLOOKUP(BD_PRINCIPAL[[#This Row],[GRADO]],ORDEN3,2,FALSE)</f>
        <v>11</v>
      </c>
      <c r="AA284" s="387">
        <f>IFERROR(VLOOKUP(BD_PRINCIPAL[[#This Row],[DOTACIÓN ACTUAL]],ORDEN2,3,FALSE),0)</f>
        <v>0</v>
      </c>
      <c r="AB284" s="232" t="s">
        <v>1</v>
      </c>
      <c r="AC284" s="232" t="s">
        <v>2</v>
      </c>
      <c r="AD284" s="232" t="s">
        <v>853</v>
      </c>
      <c r="AE284" s="232" t="s">
        <v>1</v>
      </c>
      <c r="AF284" s="232" t="s">
        <v>1</v>
      </c>
      <c r="AG284" s="232" t="s">
        <v>1</v>
      </c>
      <c r="AH284" s="232"/>
      <c r="AI284" s="232"/>
      <c r="AJ284" s="232"/>
      <c r="AK284" s="232"/>
      <c r="AL284" s="232"/>
      <c r="AM284" s="232"/>
      <c r="AN284" s="232"/>
      <c r="AO284" s="232"/>
      <c r="AP284" s="232"/>
      <c r="AQ284" s="232"/>
      <c r="AR284" s="232"/>
      <c r="AS284" s="232"/>
      <c r="AT284" s="232"/>
      <c r="AU284" s="232"/>
      <c r="AV284" s="232"/>
      <c r="AW284" s="232"/>
      <c r="AX284" s="232"/>
      <c r="AY284" s="232"/>
      <c r="AZ284" s="232"/>
      <c r="BA284" s="225"/>
      <c r="BB284" s="225"/>
      <c r="BC284" s="225"/>
      <c r="BD284" s="225"/>
      <c r="BE284" s="225"/>
      <c r="BF284" s="225"/>
      <c r="BG284" s="225"/>
      <c r="BH284" s="225"/>
      <c r="BI284" s="225"/>
      <c r="BJ284" s="225"/>
      <c r="BK284" s="225"/>
      <c r="BL284" s="225"/>
      <c r="BM284" s="901"/>
      <c r="BN284" s="901"/>
    </row>
    <row r="285" spans="1:66" s="233" customFormat="1" x14ac:dyDescent="0.3">
      <c r="A285" s="231" t="s">
        <v>3190</v>
      </c>
      <c r="B285" s="746" t="s">
        <v>3191</v>
      </c>
      <c r="C285" s="231">
        <v>174937753</v>
      </c>
      <c r="D285" s="477" t="s">
        <v>2562</v>
      </c>
      <c r="E285" s="477" t="s">
        <v>2562</v>
      </c>
      <c r="F285" s="477" t="s">
        <v>3191</v>
      </c>
      <c r="G285" s="235" t="s">
        <v>3</v>
      </c>
      <c r="H285" s="228" t="s">
        <v>816</v>
      </c>
      <c r="I285" s="228" t="s">
        <v>872</v>
      </c>
      <c r="J285" s="229" t="s">
        <v>917</v>
      </c>
      <c r="K285" s="1280" t="s">
        <v>2290</v>
      </c>
      <c r="L285" s="734" t="s">
        <v>1</v>
      </c>
      <c r="M285" s="1305" t="s">
        <v>3474</v>
      </c>
      <c r="N285" s="779"/>
      <c r="O285" s="1295"/>
      <c r="P285" s="225"/>
      <c r="Q285" s="1295" t="s">
        <v>832</v>
      </c>
      <c r="R285" s="386">
        <v>32401</v>
      </c>
      <c r="S285" s="236"/>
      <c r="T285" s="226" t="s">
        <v>3424</v>
      </c>
      <c r="U285" s="794"/>
      <c r="V285" s="794"/>
      <c r="W285" s="387" t="str">
        <f>IFERROR(IF(AND(BD_PRINCIPAL[[#This Row],[DESDE]]&lt;&gt;"",BD_PRINCIPAL[[#This Row],[HASTA]]&lt;&gt;""),_xlfn.DAYS(BD_PRINCIPAL[[#This Row],[HASTA]],BD_PRINCIPAL[[#This Row],[DESDE]]),"")+1,"")</f>
        <v/>
      </c>
      <c r="X285" s="387">
        <f>VLOOKUP(BD_PRINCIPAL[[#This Row],[ENCUADRE. ESC.]],ORDEN1,2,FALSE)</f>
        <v>1</v>
      </c>
      <c r="Y285" s="387">
        <f>VLOOKUP(BD_PRINCIPAL[[#This Row],[DOTACIÓN ACTUAL]],ORDEN2,4,FALSE)</f>
        <v>198</v>
      </c>
      <c r="Z285" s="387">
        <f>VLOOKUP(BD_PRINCIPAL[[#This Row],[GRADO]],ORDEN3,2,FALSE)</f>
        <v>11</v>
      </c>
      <c r="AA285" s="387">
        <f>IFERROR(VLOOKUP(BD_PRINCIPAL[[#This Row],[DOTACIÓN ACTUAL]],ORDEN2,3,FALSE),0)</f>
        <v>0</v>
      </c>
      <c r="AB285" s="232" t="s">
        <v>1</v>
      </c>
      <c r="AC285" s="232" t="s">
        <v>2</v>
      </c>
      <c r="AD285" s="232" t="s">
        <v>853</v>
      </c>
      <c r="AE285" s="232" t="s">
        <v>1</v>
      </c>
      <c r="AF285" s="232" t="s">
        <v>1</v>
      </c>
      <c r="AG285" s="232" t="s">
        <v>1</v>
      </c>
      <c r="AH285" s="232"/>
      <c r="AI285" s="232"/>
      <c r="AJ285" s="232"/>
      <c r="AK285" s="232"/>
      <c r="AL285" s="232"/>
      <c r="AM285" s="232"/>
      <c r="AN285" s="232"/>
      <c r="AO285" s="232"/>
      <c r="AP285" s="232"/>
      <c r="AQ285" s="232"/>
      <c r="AR285" s="232"/>
      <c r="AS285" s="232"/>
      <c r="AT285" s="232"/>
      <c r="AU285" s="232"/>
      <c r="AV285" s="232"/>
      <c r="AW285" s="232"/>
      <c r="AX285" s="232"/>
      <c r="AY285" s="232"/>
      <c r="AZ285" s="232"/>
      <c r="BA285" s="225"/>
      <c r="BB285" s="225"/>
      <c r="BC285" s="225"/>
      <c r="BD285" s="225"/>
      <c r="BE285" s="225"/>
      <c r="BF285" s="225"/>
      <c r="BG285" s="225"/>
      <c r="BH285" s="225"/>
      <c r="BI285" s="225"/>
      <c r="BJ285" s="225"/>
      <c r="BK285" s="225"/>
      <c r="BL285" s="225"/>
      <c r="BM285" s="901"/>
      <c r="BN285" s="901"/>
    </row>
    <row r="286" spans="1:66" s="233" customFormat="1" ht="66" x14ac:dyDescent="0.3">
      <c r="A286" s="231" t="s">
        <v>3209</v>
      </c>
      <c r="B286" s="746" t="s">
        <v>3210</v>
      </c>
      <c r="C286" s="231">
        <v>186829891</v>
      </c>
      <c r="D286" s="477" t="s">
        <v>2562</v>
      </c>
      <c r="E286" s="477" t="s">
        <v>2562</v>
      </c>
      <c r="F286" s="477" t="s">
        <v>3210</v>
      </c>
      <c r="G286" s="235" t="s">
        <v>3</v>
      </c>
      <c r="H286" s="228" t="s">
        <v>816</v>
      </c>
      <c r="I286" s="228" t="s">
        <v>872</v>
      </c>
      <c r="J286" s="229" t="s">
        <v>917</v>
      </c>
      <c r="K286" s="1280" t="s">
        <v>2290</v>
      </c>
      <c r="L286" s="734" t="s">
        <v>1</v>
      </c>
      <c r="M286" s="1305" t="s">
        <v>3474</v>
      </c>
      <c r="N286" s="779"/>
      <c r="O286" s="1295"/>
      <c r="P286" s="225"/>
      <c r="Q286" s="1295" t="s">
        <v>832</v>
      </c>
      <c r="R286" s="386">
        <v>32401</v>
      </c>
      <c r="S286" s="236" t="s">
        <v>3541</v>
      </c>
      <c r="T286" s="236" t="s">
        <v>3424</v>
      </c>
      <c r="U286" s="794"/>
      <c r="V286" s="794"/>
      <c r="W286" s="387" t="str">
        <f>IFERROR(IF(AND(BD_PRINCIPAL[[#This Row],[DESDE]]&lt;&gt;"",BD_PRINCIPAL[[#This Row],[HASTA]]&lt;&gt;""),_xlfn.DAYS(BD_PRINCIPAL[[#This Row],[HASTA]],BD_PRINCIPAL[[#This Row],[DESDE]]),"")+1,"")</f>
        <v/>
      </c>
      <c r="X286" s="387">
        <f>VLOOKUP(BD_PRINCIPAL[[#This Row],[ENCUADRE. ESC.]],ORDEN1,2,FALSE)</f>
        <v>1</v>
      </c>
      <c r="Y286" s="387">
        <f>VLOOKUP(BD_PRINCIPAL[[#This Row],[DOTACIÓN ACTUAL]],ORDEN2,4,FALSE)</f>
        <v>198</v>
      </c>
      <c r="Z286" s="387">
        <f>VLOOKUP(BD_PRINCIPAL[[#This Row],[GRADO]],ORDEN3,2,FALSE)</f>
        <v>11</v>
      </c>
      <c r="AA286" s="387">
        <f>IFERROR(VLOOKUP(BD_PRINCIPAL[[#This Row],[DOTACIÓN ACTUAL]],ORDEN2,3,FALSE),0)</f>
        <v>0</v>
      </c>
      <c r="AB286" s="232" t="s">
        <v>1</v>
      </c>
      <c r="AC286" s="232" t="s">
        <v>2</v>
      </c>
      <c r="AD286" s="232" t="s">
        <v>853</v>
      </c>
      <c r="AE286" s="232" t="s">
        <v>1</v>
      </c>
      <c r="AF286" s="232" t="s">
        <v>1</v>
      </c>
      <c r="AG286" s="232" t="s">
        <v>1</v>
      </c>
      <c r="AH286" s="232"/>
      <c r="AI286" s="232"/>
      <c r="AJ286" s="232"/>
      <c r="AK286" s="232"/>
      <c r="AL286" s="232"/>
      <c r="AM286" s="232"/>
      <c r="AN286" s="232"/>
      <c r="AO286" s="232"/>
      <c r="AP286" s="232"/>
      <c r="AQ286" s="232"/>
      <c r="AR286" s="232"/>
      <c r="AS286" s="232"/>
      <c r="AT286" s="232"/>
      <c r="AU286" s="232"/>
      <c r="AV286" s="232"/>
      <c r="AW286" s="232"/>
      <c r="AX286" s="232"/>
      <c r="AY286" s="232"/>
      <c r="AZ286" s="232"/>
      <c r="BA286" s="225"/>
      <c r="BB286" s="225"/>
      <c r="BC286" s="225"/>
      <c r="BD286" s="225"/>
      <c r="BE286" s="225"/>
      <c r="BF286" s="225"/>
      <c r="BG286" s="225"/>
      <c r="BH286" s="225"/>
      <c r="BI286" s="225"/>
      <c r="BJ286" s="225"/>
      <c r="BK286" s="225"/>
      <c r="BL286" s="225"/>
      <c r="BM286" s="901"/>
      <c r="BN286" s="901"/>
    </row>
    <row r="287" spans="1:66" s="233" customFormat="1" x14ac:dyDescent="0.3">
      <c r="A287" s="231" t="s">
        <v>3199</v>
      </c>
      <c r="B287" s="746" t="s">
        <v>3200</v>
      </c>
      <c r="C287" s="231">
        <v>182912050</v>
      </c>
      <c r="D287" s="873" t="s">
        <v>2561</v>
      </c>
      <c r="E287" s="477" t="s">
        <v>2562</v>
      </c>
      <c r="F287" s="477" t="s">
        <v>3200</v>
      </c>
      <c r="G287" s="235" t="s">
        <v>3</v>
      </c>
      <c r="H287" s="228" t="s">
        <v>816</v>
      </c>
      <c r="I287" s="228" t="s">
        <v>872</v>
      </c>
      <c r="J287" s="229" t="s">
        <v>917</v>
      </c>
      <c r="K287" s="1280" t="s">
        <v>2290</v>
      </c>
      <c r="L287" s="734" t="s">
        <v>1</v>
      </c>
      <c r="M287" s="1305" t="s">
        <v>3474</v>
      </c>
      <c r="N287" s="779"/>
      <c r="O287" s="1295"/>
      <c r="P287" s="225"/>
      <c r="Q287" s="1295" t="s">
        <v>832</v>
      </c>
      <c r="R287" s="386">
        <v>32401</v>
      </c>
      <c r="S287" s="226"/>
      <c r="T287" s="226" t="s">
        <v>3424</v>
      </c>
      <c r="U287" s="794"/>
      <c r="V287" s="794"/>
      <c r="W287" s="387" t="str">
        <f>IFERROR(IF(AND(BD_PRINCIPAL[[#This Row],[DESDE]]&lt;&gt;"",BD_PRINCIPAL[[#This Row],[HASTA]]&lt;&gt;""),_xlfn.DAYS(BD_PRINCIPAL[[#This Row],[HASTA]],BD_PRINCIPAL[[#This Row],[DESDE]]),"")+1,"")</f>
        <v/>
      </c>
      <c r="X287" s="387">
        <f>VLOOKUP(BD_PRINCIPAL[[#This Row],[ENCUADRE. ESC.]],ORDEN1,2,FALSE)</f>
        <v>1</v>
      </c>
      <c r="Y287" s="387">
        <f>VLOOKUP(BD_PRINCIPAL[[#This Row],[DOTACIÓN ACTUAL]],ORDEN2,4,FALSE)</f>
        <v>198</v>
      </c>
      <c r="Z287" s="387">
        <f>VLOOKUP(BD_PRINCIPAL[[#This Row],[GRADO]],ORDEN3,2,FALSE)</f>
        <v>11</v>
      </c>
      <c r="AA287" s="387">
        <f>IFERROR(VLOOKUP(BD_PRINCIPAL[[#This Row],[DOTACIÓN ACTUAL]],ORDEN2,3,FALSE),0)</f>
        <v>0</v>
      </c>
      <c r="AB287" s="232" t="s">
        <v>1</v>
      </c>
      <c r="AC287" s="232" t="s">
        <v>2</v>
      </c>
      <c r="AD287" s="232" t="s">
        <v>853</v>
      </c>
      <c r="AE287" s="232" t="s">
        <v>1</v>
      </c>
      <c r="AF287" s="232" t="s">
        <v>1</v>
      </c>
      <c r="AG287" s="232" t="s">
        <v>1</v>
      </c>
      <c r="AH287" s="232"/>
      <c r="AI287" s="232"/>
      <c r="AJ287" s="232"/>
      <c r="AK287" s="232"/>
      <c r="AL287" s="232"/>
      <c r="AM287" s="232"/>
      <c r="AN287" s="232"/>
      <c r="AO287" s="232"/>
      <c r="AP287" s="232"/>
      <c r="AQ287" s="232"/>
      <c r="AR287" s="232"/>
      <c r="AS287" s="232"/>
      <c r="AT287" s="232"/>
      <c r="AU287" s="232"/>
      <c r="AV287" s="232"/>
      <c r="AW287" s="232"/>
      <c r="AX287" s="232"/>
      <c r="AY287" s="232"/>
      <c r="AZ287" s="232"/>
      <c r="BA287" s="225"/>
      <c r="BB287" s="225"/>
      <c r="BC287" s="225"/>
      <c r="BD287" s="225"/>
      <c r="BE287" s="225"/>
      <c r="BF287" s="225"/>
      <c r="BG287" s="225"/>
      <c r="BH287" s="225"/>
      <c r="BI287" s="225"/>
      <c r="BJ287" s="225"/>
      <c r="BK287" s="225"/>
      <c r="BL287" s="225"/>
      <c r="BM287" s="901"/>
      <c r="BN287" s="901"/>
    </row>
    <row r="288" spans="1:66" s="233" customFormat="1" x14ac:dyDescent="0.3">
      <c r="A288" s="231" t="s">
        <v>3177</v>
      </c>
      <c r="B288" s="746" t="s">
        <v>3178</v>
      </c>
      <c r="C288" s="231">
        <v>170988868</v>
      </c>
      <c r="D288" s="477" t="s">
        <v>2562</v>
      </c>
      <c r="E288" s="477" t="s">
        <v>2562</v>
      </c>
      <c r="F288" s="477" t="s">
        <v>3178</v>
      </c>
      <c r="G288" s="235" t="s">
        <v>3</v>
      </c>
      <c r="H288" s="228" t="s">
        <v>817</v>
      </c>
      <c r="I288" s="228" t="s">
        <v>872</v>
      </c>
      <c r="J288" s="229" t="s">
        <v>917</v>
      </c>
      <c r="K288" s="1280" t="s">
        <v>2290</v>
      </c>
      <c r="L288" s="734" t="s">
        <v>1</v>
      </c>
      <c r="M288" s="1305" t="s">
        <v>3474</v>
      </c>
      <c r="N288" s="779"/>
      <c r="O288" s="1295"/>
      <c r="P288" s="225"/>
      <c r="Q288" s="1295" t="s">
        <v>832</v>
      </c>
      <c r="R288" s="386">
        <v>32401</v>
      </c>
      <c r="S288" s="236"/>
      <c r="T288" s="226" t="s">
        <v>3424</v>
      </c>
      <c r="U288" s="794"/>
      <c r="V288" s="794"/>
      <c r="W288" s="387" t="str">
        <f>IFERROR(IF(AND(BD_PRINCIPAL[[#This Row],[DESDE]]&lt;&gt;"",BD_PRINCIPAL[[#This Row],[HASTA]]&lt;&gt;""),_xlfn.DAYS(BD_PRINCIPAL[[#This Row],[HASTA]],BD_PRINCIPAL[[#This Row],[DESDE]]),"")+1,"")</f>
        <v/>
      </c>
      <c r="X288" s="387">
        <f>VLOOKUP(BD_PRINCIPAL[[#This Row],[ENCUADRE. ESC.]],ORDEN1,2,FALSE)</f>
        <v>1</v>
      </c>
      <c r="Y288" s="387">
        <f>VLOOKUP(BD_PRINCIPAL[[#This Row],[DOTACIÓN ACTUAL]],ORDEN2,4,FALSE)</f>
        <v>198</v>
      </c>
      <c r="Z288" s="387">
        <f>VLOOKUP(BD_PRINCIPAL[[#This Row],[GRADO]],ORDEN3,2,FALSE)</f>
        <v>11</v>
      </c>
      <c r="AA288" s="387">
        <f>IFERROR(VLOOKUP(BD_PRINCIPAL[[#This Row],[DOTACIÓN ACTUAL]],ORDEN2,3,FALSE),0)</f>
        <v>0</v>
      </c>
      <c r="AB288" s="232" t="s">
        <v>1</v>
      </c>
      <c r="AC288" s="232" t="s">
        <v>2</v>
      </c>
      <c r="AD288" s="232" t="s">
        <v>853</v>
      </c>
      <c r="AE288" s="232" t="s">
        <v>1</v>
      </c>
      <c r="AF288" s="232" t="s">
        <v>1</v>
      </c>
      <c r="AG288" s="232" t="s">
        <v>1</v>
      </c>
      <c r="AH288" s="232"/>
      <c r="AI288" s="232"/>
      <c r="AJ288" s="232"/>
      <c r="AK288" s="232"/>
      <c r="AL288" s="232"/>
      <c r="AM288" s="232"/>
      <c r="AN288" s="232"/>
      <c r="AO288" s="232"/>
      <c r="AP288" s="232"/>
      <c r="AQ288" s="232"/>
      <c r="AR288" s="232"/>
      <c r="AS288" s="232"/>
      <c r="AT288" s="232"/>
      <c r="AU288" s="232"/>
      <c r="AV288" s="232"/>
      <c r="AW288" s="232"/>
      <c r="AX288" s="232"/>
      <c r="AY288" s="232"/>
      <c r="AZ288" s="232"/>
      <c r="BA288" s="225"/>
      <c r="BB288" s="225"/>
      <c r="BC288" s="225"/>
      <c r="BD288" s="225"/>
      <c r="BE288" s="225"/>
      <c r="BF288" s="225"/>
      <c r="BG288" s="225"/>
      <c r="BH288" s="225"/>
      <c r="BI288" s="225"/>
      <c r="BJ288" s="225"/>
      <c r="BK288" s="225"/>
      <c r="BL288" s="225"/>
      <c r="BM288" s="901"/>
      <c r="BN288" s="901"/>
    </row>
    <row r="289" spans="1:66" s="247" customFormat="1" x14ac:dyDescent="0.3">
      <c r="A289" s="245" t="s">
        <v>524</v>
      </c>
      <c r="B289" s="238" t="s">
        <v>1586</v>
      </c>
      <c r="C289" s="245">
        <v>126844476</v>
      </c>
      <c r="D289" s="873" t="s">
        <v>2936</v>
      </c>
      <c r="E289" s="478" t="s">
        <v>760</v>
      </c>
      <c r="F289" s="478" t="s">
        <v>1913</v>
      </c>
      <c r="G289" s="240" t="s">
        <v>89</v>
      </c>
      <c r="H289" s="241" t="s">
        <v>816</v>
      </c>
      <c r="I289" s="241" t="s">
        <v>872</v>
      </c>
      <c r="J289" s="242" t="s">
        <v>917</v>
      </c>
      <c r="K289" s="1281" t="s">
        <v>2291</v>
      </c>
      <c r="L289" s="735" t="s">
        <v>855</v>
      </c>
      <c r="M289" s="1306" t="s">
        <v>1220</v>
      </c>
      <c r="N289" s="775"/>
      <c r="O289" s="1296"/>
      <c r="P289" s="238"/>
      <c r="Q289" s="1296" t="s">
        <v>832</v>
      </c>
      <c r="R289" s="243">
        <f>$B$1</f>
        <v>45388</v>
      </c>
      <c r="S289" s="249"/>
      <c r="T289" s="239"/>
      <c r="U289" s="244"/>
      <c r="V289" s="244"/>
      <c r="W289" s="245" t="str">
        <f>IFERROR(IF(AND(BD_PRINCIPAL[[#This Row],[DESDE]]&lt;&gt;"",BD_PRINCIPAL[[#This Row],[HASTA]]&lt;&gt;""),_xlfn.DAYS(BD_PRINCIPAL[[#This Row],[HASTA]],BD_PRINCIPAL[[#This Row],[DESDE]]),"")+1,"")</f>
        <v/>
      </c>
      <c r="X289" s="245">
        <f>VLOOKUP(BD_PRINCIPAL[[#This Row],[ENCUADRE. ESC.]],ORDEN1,2,FALSE)</f>
        <v>1</v>
      </c>
      <c r="Y289" s="245">
        <f>VLOOKUP(BD_PRINCIPAL[[#This Row],[DOTACIÓN ACTUAL]],ORDEN2,4,FALSE)</f>
        <v>219</v>
      </c>
      <c r="Z289" s="245">
        <f>VLOOKUP(BD_PRINCIPAL[[#This Row],[GRADO]],ORDEN3,2,FALSE)</f>
        <v>9</v>
      </c>
      <c r="AA289" s="245">
        <f>IFERROR(VLOOKUP(BD_PRINCIPAL[[#This Row],[DOTACIÓN ACTUAL]],ORDEN2,3,FALSE),0)</f>
        <v>0</v>
      </c>
      <c r="AB289" s="238" t="s">
        <v>2</v>
      </c>
      <c r="AC289" s="238" t="s">
        <v>853</v>
      </c>
      <c r="AD289" s="238" t="s">
        <v>853</v>
      </c>
      <c r="AE289" s="238" t="s">
        <v>1</v>
      </c>
      <c r="AF289" s="238" t="s">
        <v>2</v>
      </c>
      <c r="AG289" s="238" t="s">
        <v>855</v>
      </c>
      <c r="AH289" s="238"/>
      <c r="AI289" s="238"/>
      <c r="AJ289" s="238"/>
      <c r="AK289" s="238"/>
      <c r="AL289" s="238"/>
      <c r="AM289" s="238"/>
      <c r="AN289" s="238"/>
      <c r="AO289" s="238"/>
      <c r="AP289" s="238"/>
      <c r="AQ289" s="238"/>
      <c r="AR289" s="238"/>
      <c r="AS289" s="238"/>
      <c r="AT289" s="246"/>
      <c r="AU289" s="246"/>
      <c r="AV289" s="246"/>
      <c r="AW289" s="246"/>
      <c r="AX289" s="246"/>
      <c r="AY289" s="246"/>
      <c r="AZ289" s="246"/>
      <c r="BA289" s="238"/>
      <c r="BB289" s="238"/>
      <c r="BC289" s="238"/>
      <c r="BD289" s="238"/>
      <c r="BE289" s="238"/>
      <c r="BF289" s="238"/>
      <c r="BG289" s="238"/>
      <c r="BH289" s="238"/>
      <c r="BI289" s="238"/>
      <c r="BJ289" s="238"/>
      <c r="BK289" s="238"/>
      <c r="BL289" s="238"/>
      <c r="BM289" s="775">
        <v>45064</v>
      </c>
      <c r="BN289" s="788"/>
    </row>
    <row r="290" spans="1:66" s="247" customFormat="1" x14ac:dyDescent="0.3">
      <c r="A290" s="245" t="s">
        <v>644</v>
      </c>
      <c r="B290" s="238" t="s">
        <v>250</v>
      </c>
      <c r="C290" s="245">
        <v>169470901</v>
      </c>
      <c r="D290" s="715" t="s">
        <v>2937</v>
      </c>
      <c r="E290" s="486" t="s">
        <v>66</v>
      </c>
      <c r="F290" s="478" t="s">
        <v>250</v>
      </c>
      <c r="G290" s="248" t="s">
        <v>209</v>
      </c>
      <c r="H290" s="241" t="s">
        <v>816</v>
      </c>
      <c r="I290" s="241" t="s">
        <v>872</v>
      </c>
      <c r="J290" s="242" t="s">
        <v>917</v>
      </c>
      <c r="K290" s="1281" t="s">
        <v>2290</v>
      </c>
      <c r="L290" s="735" t="s">
        <v>855</v>
      </c>
      <c r="M290" s="1306" t="s">
        <v>1220</v>
      </c>
      <c r="N290" s="775"/>
      <c r="O290" s="1296"/>
      <c r="P290" s="238"/>
      <c r="Q290" s="1296" t="s">
        <v>832</v>
      </c>
      <c r="R290" s="243">
        <f>$B$1</f>
        <v>45388</v>
      </c>
      <c r="S290" s="239"/>
      <c r="T290" s="239"/>
      <c r="U290" s="244"/>
      <c r="V290" s="244"/>
      <c r="W290" s="245" t="str">
        <f>IFERROR(IF(AND(BD_PRINCIPAL[[#This Row],[DESDE]]&lt;&gt;"",BD_PRINCIPAL[[#This Row],[HASTA]]&lt;&gt;""),_xlfn.DAYS(BD_PRINCIPAL[[#This Row],[HASTA]],BD_PRINCIPAL[[#This Row],[DESDE]]),"")+1,"")</f>
        <v/>
      </c>
      <c r="X290" s="245">
        <f>VLOOKUP(BD_PRINCIPAL[[#This Row],[ENCUADRE. ESC.]],ORDEN1,2,FALSE)</f>
        <v>1</v>
      </c>
      <c r="Y290" s="245">
        <f>VLOOKUP(BD_PRINCIPAL[[#This Row],[DOTACIÓN ACTUAL]],ORDEN2,4,FALSE)</f>
        <v>220</v>
      </c>
      <c r="Z290" s="245">
        <f>VLOOKUP(BD_PRINCIPAL[[#This Row],[GRADO]],ORDEN3,2,FALSE)</f>
        <v>10</v>
      </c>
      <c r="AA290" s="245">
        <f>IFERROR(VLOOKUP(BD_PRINCIPAL[[#This Row],[DOTACIÓN ACTUAL]],ORDEN2,3,FALSE),0)</f>
        <v>0</v>
      </c>
      <c r="AB290" s="238" t="s">
        <v>2</v>
      </c>
      <c r="AC290" s="238" t="s">
        <v>853</v>
      </c>
      <c r="AD290" s="238" t="s">
        <v>853</v>
      </c>
      <c r="AE290" s="238" t="s">
        <v>1</v>
      </c>
      <c r="AF290" s="238" t="s">
        <v>2</v>
      </c>
      <c r="AG290" s="238" t="s">
        <v>855</v>
      </c>
      <c r="AH290" s="238"/>
      <c r="AI290" s="238"/>
      <c r="AJ290" s="238"/>
      <c r="AK290" s="238"/>
      <c r="AL290" s="238"/>
      <c r="AM290" s="238"/>
      <c r="AN290" s="238"/>
      <c r="AO290" s="238"/>
      <c r="AP290" s="238"/>
      <c r="AQ290" s="238"/>
      <c r="AR290" s="238"/>
      <c r="AS290" s="238"/>
      <c r="AT290" s="246"/>
      <c r="AU290" s="246"/>
      <c r="AV290" s="246"/>
      <c r="AW290" s="246"/>
      <c r="AX290" s="246"/>
      <c r="AY290" s="246"/>
      <c r="AZ290" s="246"/>
      <c r="BA290" s="238"/>
      <c r="BB290" s="238"/>
      <c r="BC290" s="238"/>
      <c r="BD290" s="238"/>
      <c r="BE290" s="238"/>
      <c r="BF290" s="238"/>
      <c r="BG290" s="238"/>
      <c r="BH290" s="238"/>
      <c r="BI290" s="238"/>
      <c r="BJ290" s="238"/>
      <c r="BK290" s="238"/>
      <c r="BL290" s="238"/>
      <c r="BM290" s="775">
        <v>45049</v>
      </c>
      <c r="BN290" s="788"/>
    </row>
    <row r="291" spans="1:66" s="247" customFormat="1" x14ac:dyDescent="0.3">
      <c r="A291" s="245" t="s">
        <v>658</v>
      </c>
      <c r="B291" s="238" t="s">
        <v>657</v>
      </c>
      <c r="C291" s="245">
        <v>166312140</v>
      </c>
      <c r="D291" s="715" t="s">
        <v>2937</v>
      </c>
      <c r="E291" s="486" t="s">
        <v>66</v>
      </c>
      <c r="F291" s="478" t="s">
        <v>657</v>
      </c>
      <c r="G291" s="248" t="s">
        <v>209</v>
      </c>
      <c r="H291" s="241" t="s">
        <v>816</v>
      </c>
      <c r="I291" s="241" t="s">
        <v>872</v>
      </c>
      <c r="J291" s="242" t="s">
        <v>917</v>
      </c>
      <c r="K291" s="1281" t="s">
        <v>2290</v>
      </c>
      <c r="L291" s="735" t="s">
        <v>855</v>
      </c>
      <c r="M291" s="1306" t="s">
        <v>1220</v>
      </c>
      <c r="N291" s="786"/>
      <c r="O291" s="1296"/>
      <c r="P291" s="238"/>
      <c r="Q291" s="1296" t="s">
        <v>832</v>
      </c>
      <c r="R291" s="243">
        <f>$B$1</f>
        <v>45388</v>
      </c>
      <c r="S291" s="249"/>
      <c r="T291" s="249"/>
      <c r="U291" s="250"/>
      <c r="V291" s="250"/>
      <c r="W291" s="245" t="str">
        <f>IFERROR(IF(AND(BD_PRINCIPAL[[#This Row],[DESDE]]&lt;&gt;"",BD_PRINCIPAL[[#This Row],[HASTA]]&lt;&gt;""),_xlfn.DAYS(BD_PRINCIPAL[[#This Row],[HASTA]],BD_PRINCIPAL[[#This Row],[DESDE]]),"")+1,"")</f>
        <v/>
      </c>
      <c r="X291" s="245">
        <f>VLOOKUP(BD_PRINCIPAL[[#This Row],[ENCUADRE. ESC.]],ORDEN1,2,FALSE)</f>
        <v>1</v>
      </c>
      <c r="Y291" s="245">
        <f>VLOOKUP(BD_PRINCIPAL[[#This Row],[DOTACIÓN ACTUAL]],ORDEN2,4,FALSE)</f>
        <v>220</v>
      </c>
      <c r="Z291" s="245">
        <f>VLOOKUP(BD_PRINCIPAL[[#This Row],[GRADO]],ORDEN3,2,FALSE)</f>
        <v>10</v>
      </c>
      <c r="AA291" s="245">
        <f>IFERROR(VLOOKUP(BD_PRINCIPAL[[#This Row],[DOTACIÓN ACTUAL]],ORDEN2,3,FALSE),0)</f>
        <v>0</v>
      </c>
      <c r="AB291" s="238" t="s">
        <v>2</v>
      </c>
      <c r="AC291" s="238" t="s">
        <v>853</v>
      </c>
      <c r="AD291" s="238" t="s">
        <v>853</v>
      </c>
      <c r="AE291" s="238" t="s">
        <v>1</v>
      </c>
      <c r="AF291" s="238" t="s">
        <v>2</v>
      </c>
      <c r="AG291" s="238" t="s">
        <v>855</v>
      </c>
      <c r="AH291" s="238"/>
      <c r="AI291" s="238"/>
      <c r="AJ291" s="238"/>
      <c r="AK291" s="238"/>
      <c r="AL291" s="238"/>
      <c r="AM291" s="238"/>
      <c r="AN291" s="238"/>
      <c r="AO291" s="238"/>
      <c r="AP291" s="238"/>
      <c r="AQ291" s="238"/>
      <c r="AR291" s="238"/>
      <c r="AS291" s="238"/>
      <c r="AT291" s="246"/>
      <c r="AU291" s="246"/>
      <c r="AV291" s="246"/>
      <c r="AW291" s="246"/>
      <c r="AX291" s="246"/>
      <c r="AY291" s="246"/>
      <c r="AZ291" s="246"/>
      <c r="BA291" s="238"/>
      <c r="BB291" s="238"/>
      <c r="BC291" s="238"/>
      <c r="BD291" s="238"/>
      <c r="BE291" s="238"/>
      <c r="BF291" s="238"/>
      <c r="BG291" s="238"/>
      <c r="BH291" s="238"/>
      <c r="BI291" s="238"/>
      <c r="BJ291" s="238"/>
      <c r="BK291" s="238"/>
      <c r="BL291" s="238"/>
      <c r="BM291" s="786">
        <v>45042</v>
      </c>
      <c r="BN291" s="788"/>
    </row>
    <row r="292" spans="1:66" s="260" customFormat="1" x14ac:dyDescent="0.3">
      <c r="A292" s="258" t="s">
        <v>542</v>
      </c>
      <c r="B292" s="251" t="s">
        <v>1840</v>
      </c>
      <c r="C292" s="258">
        <v>178268384</v>
      </c>
      <c r="D292" s="873" t="s">
        <v>1995</v>
      </c>
      <c r="E292" s="481" t="s">
        <v>761</v>
      </c>
      <c r="F292" s="481" t="s">
        <v>1840</v>
      </c>
      <c r="G292" s="253" t="s">
        <v>3</v>
      </c>
      <c r="H292" s="254" t="s">
        <v>816</v>
      </c>
      <c r="I292" s="254" t="s">
        <v>872</v>
      </c>
      <c r="J292" s="255" t="s">
        <v>917</v>
      </c>
      <c r="K292" s="1282" t="s">
        <v>2290</v>
      </c>
      <c r="L292" s="737" t="s">
        <v>853</v>
      </c>
      <c r="M292" s="1307" t="s">
        <v>1472</v>
      </c>
      <c r="N292" s="783"/>
      <c r="O292" s="1297"/>
      <c r="P292" s="251"/>
      <c r="Q292" s="1297" t="s">
        <v>832</v>
      </c>
      <c r="R292" s="256">
        <f>$B$1</f>
        <v>45388</v>
      </c>
      <c r="S292" s="252"/>
      <c r="T292" s="252" t="s">
        <v>2919</v>
      </c>
      <c r="U292" s="257"/>
      <c r="V292" s="257"/>
      <c r="W292" s="258" t="str">
        <f>IFERROR(IF(AND(BD_PRINCIPAL[[#This Row],[DESDE]]&lt;&gt;"",BD_PRINCIPAL[[#This Row],[HASTA]]&lt;&gt;""),_xlfn.DAYS(BD_PRINCIPAL[[#This Row],[HASTA]],BD_PRINCIPAL[[#This Row],[DESDE]]),"")+1,"")</f>
        <v/>
      </c>
      <c r="X292" s="258">
        <f>VLOOKUP(BD_PRINCIPAL[[#This Row],[ENCUADRE. ESC.]],ORDEN1,2,FALSE)</f>
        <v>1</v>
      </c>
      <c r="Y292" s="258">
        <f>VLOOKUP(BD_PRINCIPAL[[#This Row],[DOTACIÓN ACTUAL]],ORDEN2,4,FALSE)</f>
        <v>221</v>
      </c>
      <c r="Z292" s="258">
        <f>VLOOKUP(BD_PRINCIPAL[[#This Row],[GRADO]],ORDEN3,2,FALSE)</f>
        <v>11</v>
      </c>
      <c r="AA292" s="258">
        <f>IFERROR(VLOOKUP(BD_PRINCIPAL[[#This Row],[DOTACIÓN ACTUAL]],ORDEN2,3,FALSE),0)</f>
        <v>0</v>
      </c>
      <c r="AB292" s="251" t="s">
        <v>853</v>
      </c>
      <c r="AC292" s="251" t="s">
        <v>853</v>
      </c>
      <c r="AD292" s="251" t="s">
        <v>853</v>
      </c>
      <c r="AE292" s="251" t="s">
        <v>853</v>
      </c>
      <c r="AF292" s="251" t="s">
        <v>1</v>
      </c>
      <c r="AG292" s="251" t="s">
        <v>853</v>
      </c>
      <c r="AH292" s="251"/>
      <c r="AI292" s="251"/>
      <c r="AJ292" s="251"/>
      <c r="AK292" s="251"/>
      <c r="AL292" s="251"/>
      <c r="AM292" s="251"/>
      <c r="AN292" s="251"/>
      <c r="AO292" s="251"/>
      <c r="AP292" s="251"/>
      <c r="AQ292" s="251"/>
      <c r="AR292" s="251"/>
      <c r="AS292" s="251"/>
      <c r="AT292" s="259"/>
      <c r="AU292" s="259"/>
      <c r="AV292" s="259"/>
      <c r="AW292" s="259"/>
      <c r="AX292" s="259"/>
      <c r="AY292" s="259"/>
      <c r="AZ292" s="259"/>
      <c r="BA292" s="251"/>
      <c r="BB292" s="251"/>
      <c r="BC292" s="251"/>
      <c r="BD292" s="251"/>
      <c r="BE292" s="251"/>
      <c r="BF292" s="251"/>
      <c r="BG292" s="251"/>
      <c r="BH292" s="251"/>
      <c r="BI292" s="251"/>
      <c r="BJ292" s="251"/>
      <c r="BK292" s="251"/>
      <c r="BL292" s="251"/>
      <c r="BM292" s="783">
        <v>45061</v>
      </c>
      <c r="BN292" s="791"/>
    </row>
    <row r="293" spans="1:66" s="260" customFormat="1" x14ac:dyDescent="0.3">
      <c r="A293" s="258" t="s">
        <v>479</v>
      </c>
      <c r="B293" s="251" t="s">
        <v>1603</v>
      </c>
      <c r="C293" s="258">
        <v>167838146</v>
      </c>
      <c r="D293" s="312" t="s">
        <v>194</v>
      </c>
      <c r="E293" s="481" t="s">
        <v>194</v>
      </c>
      <c r="F293" s="481" t="s">
        <v>3035</v>
      </c>
      <c r="G293" s="253" t="s">
        <v>3</v>
      </c>
      <c r="H293" s="254" t="s">
        <v>816</v>
      </c>
      <c r="I293" s="254" t="s">
        <v>872</v>
      </c>
      <c r="J293" s="255" t="s">
        <v>917</v>
      </c>
      <c r="K293" s="1282" t="s">
        <v>2291</v>
      </c>
      <c r="L293" s="737" t="s">
        <v>853</v>
      </c>
      <c r="M293" s="1307" t="s">
        <v>1472</v>
      </c>
      <c r="N293" s="781"/>
      <c r="O293" s="1297"/>
      <c r="P293" s="251"/>
      <c r="Q293" s="1297" t="s">
        <v>832</v>
      </c>
      <c r="R293" s="256">
        <f>$B$1</f>
        <v>45388</v>
      </c>
      <c r="S293" s="262"/>
      <c r="T293" s="252"/>
      <c r="U293" s="257"/>
      <c r="V293" s="257"/>
      <c r="W293" s="258" t="str">
        <f>IFERROR(IF(AND(BD_PRINCIPAL[[#This Row],[DESDE]]&lt;&gt;"",BD_PRINCIPAL[[#This Row],[HASTA]]&lt;&gt;""),_xlfn.DAYS(BD_PRINCIPAL[[#This Row],[HASTA]],BD_PRINCIPAL[[#This Row],[DESDE]]),"")+1,"")</f>
        <v/>
      </c>
      <c r="X293" s="258">
        <f>VLOOKUP(BD_PRINCIPAL[[#This Row],[ENCUADRE. ESC.]],ORDEN1,2,FALSE)</f>
        <v>1</v>
      </c>
      <c r="Y293" s="258">
        <f>VLOOKUP(BD_PRINCIPAL[[#This Row],[DOTACIÓN ACTUAL]],ORDEN2,4,FALSE)</f>
        <v>222</v>
      </c>
      <c r="Z293" s="258">
        <f>VLOOKUP(BD_PRINCIPAL[[#This Row],[GRADO]],ORDEN3,2,FALSE)</f>
        <v>11</v>
      </c>
      <c r="AA293" s="258">
        <f>IFERROR(VLOOKUP(BD_PRINCIPAL[[#This Row],[DOTACIÓN ACTUAL]],ORDEN2,3,FALSE),0)</f>
        <v>0</v>
      </c>
      <c r="AB293" s="251" t="s">
        <v>853</v>
      </c>
      <c r="AC293" s="251" t="s">
        <v>853</v>
      </c>
      <c r="AD293" s="251" t="s">
        <v>854</v>
      </c>
      <c r="AE293" s="251" t="s">
        <v>2125</v>
      </c>
      <c r="AF293" s="251" t="s">
        <v>1</v>
      </c>
      <c r="AG293" s="251" t="s">
        <v>853</v>
      </c>
      <c r="AH293" s="251"/>
      <c r="AI293" s="251"/>
      <c r="AJ293" s="251"/>
      <c r="AK293" s="251"/>
      <c r="AL293" s="251"/>
      <c r="AM293" s="251"/>
      <c r="AN293" s="251"/>
      <c r="AO293" s="251"/>
      <c r="AP293" s="251"/>
      <c r="AQ293" s="251"/>
      <c r="AR293" s="251"/>
      <c r="AS293" s="251"/>
      <c r="AT293" s="259"/>
      <c r="AU293" s="259"/>
      <c r="AV293" s="259"/>
      <c r="AW293" s="259"/>
      <c r="AX293" s="259"/>
      <c r="AY293" s="259"/>
      <c r="AZ293" s="259"/>
      <c r="BA293" s="251"/>
      <c r="BB293" s="251"/>
      <c r="BC293" s="251"/>
      <c r="BD293" s="251"/>
      <c r="BE293" s="251"/>
      <c r="BF293" s="251"/>
      <c r="BG293" s="251"/>
      <c r="BH293" s="251"/>
      <c r="BI293" s="251"/>
      <c r="BJ293" s="251"/>
      <c r="BK293" s="251"/>
      <c r="BL293" s="251"/>
      <c r="BM293" s="781">
        <v>45195</v>
      </c>
      <c r="BN293" s="791"/>
    </row>
    <row r="294" spans="1:66" s="189" customFormat="1" x14ac:dyDescent="0.3">
      <c r="A294" s="188" t="s">
        <v>516</v>
      </c>
      <c r="B294" s="181" t="s">
        <v>40</v>
      </c>
      <c r="C294" s="188">
        <v>131302835</v>
      </c>
      <c r="D294" s="715" t="s">
        <v>766</v>
      </c>
      <c r="E294" s="488" t="s">
        <v>762</v>
      </c>
      <c r="F294" s="479" t="s">
        <v>40</v>
      </c>
      <c r="G294" s="191" t="s">
        <v>209</v>
      </c>
      <c r="H294" s="184" t="s">
        <v>816</v>
      </c>
      <c r="I294" s="184" t="s">
        <v>872</v>
      </c>
      <c r="J294" s="185" t="s">
        <v>917</v>
      </c>
      <c r="K294" s="1283" t="s">
        <v>2290</v>
      </c>
      <c r="L294" s="736" t="s">
        <v>854</v>
      </c>
      <c r="M294" s="1308" t="s">
        <v>882</v>
      </c>
      <c r="N294" s="777"/>
      <c r="O294" s="1298"/>
      <c r="P294" s="181"/>
      <c r="Q294" s="1298" t="s">
        <v>832</v>
      </c>
      <c r="R294" s="186">
        <f>$B$1</f>
        <v>45388</v>
      </c>
      <c r="S294" s="190"/>
      <c r="T294" s="190"/>
      <c r="U294" s="192"/>
      <c r="V294" s="192"/>
      <c r="W294" s="188" t="str">
        <f>IFERROR(IF(AND(BD_PRINCIPAL[[#This Row],[DESDE]]&lt;&gt;"",BD_PRINCIPAL[[#This Row],[HASTA]]&lt;&gt;""),_xlfn.DAYS(BD_PRINCIPAL[[#This Row],[HASTA]],BD_PRINCIPAL[[#This Row],[DESDE]]),"")+1,"")</f>
        <v/>
      </c>
      <c r="X294" s="188">
        <f>VLOOKUP(BD_PRINCIPAL[[#This Row],[ENCUADRE. ESC.]],ORDEN1,2,FALSE)</f>
        <v>1</v>
      </c>
      <c r="Y294" s="188">
        <f>VLOOKUP(BD_PRINCIPAL[[#This Row],[DOTACIÓN ACTUAL]],ORDEN2,4,FALSE)</f>
        <v>223</v>
      </c>
      <c r="Z294" s="188">
        <f>VLOOKUP(BD_PRINCIPAL[[#This Row],[GRADO]],ORDEN3,2,FALSE)</f>
        <v>10</v>
      </c>
      <c r="AA294" s="188">
        <f>IFERROR(VLOOKUP(BD_PRINCIPAL[[#This Row],[DOTACIÓN ACTUAL]],ORDEN2,3,FALSE),0)</f>
        <v>0</v>
      </c>
      <c r="AB294" s="181" t="s">
        <v>853</v>
      </c>
      <c r="AC294" s="181" t="s">
        <v>853</v>
      </c>
      <c r="AD294" s="181" t="s">
        <v>853</v>
      </c>
      <c r="AE294" s="181" t="s">
        <v>853</v>
      </c>
      <c r="AF294" s="181" t="s">
        <v>853</v>
      </c>
      <c r="AG294" s="181" t="s">
        <v>854</v>
      </c>
      <c r="AH294" s="181"/>
      <c r="AI294" s="181"/>
      <c r="AJ294" s="181"/>
      <c r="AK294" s="181"/>
      <c r="AL294" s="181"/>
      <c r="AM294" s="181"/>
      <c r="AN294" s="181"/>
      <c r="AO294" s="181"/>
      <c r="AP294" s="181"/>
      <c r="AQ294" s="181"/>
      <c r="AR294" s="181"/>
      <c r="AS294" s="181"/>
      <c r="AT294" s="187"/>
      <c r="AU294" s="187"/>
      <c r="AV294" s="187"/>
      <c r="AW294" s="187"/>
      <c r="AX294" s="187"/>
      <c r="AY294" s="187"/>
      <c r="AZ294" s="187"/>
      <c r="BA294" s="181"/>
      <c r="BB294" s="181"/>
      <c r="BC294" s="181"/>
      <c r="BD294" s="181"/>
      <c r="BE294" s="181"/>
      <c r="BF294" s="181"/>
      <c r="BG294" s="181"/>
      <c r="BH294" s="181"/>
      <c r="BI294" s="181"/>
      <c r="BJ294" s="181"/>
      <c r="BK294" s="181"/>
      <c r="BL294" s="181"/>
      <c r="BM294" s="777">
        <v>45064</v>
      </c>
      <c r="BN294" s="792"/>
    </row>
    <row r="295" spans="1:66" s="189" customFormat="1" x14ac:dyDescent="0.3">
      <c r="A295" s="188" t="s">
        <v>1683</v>
      </c>
      <c r="B295" s="181" t="s">
        <v>1581</v>
      </c>
      <c r="C295" s="188">
        <v>193655513</v>
      </c>
      <c r="D295" s="313" t="s">
        <v>113</v>
      </c>
      <c r="E295" s="488" t="s">
        <v>113</v>
      </c>
      <c r="F295" s="479" t="s">
        <v>2285</v>
      </c>
      <c r="G295" s="191" t="s">
        <v>209</v>
      </c>
      <c r="H295" s="184" t="s">
        <v>816</v>
      </c>
      <c r="I295" s="184" t="s">
        <v>872</v>
      </c>
      <c r="J295" s="185" t="s">
        <v>917</v>
      </c>
      <c r="K295" s="1283" t="s">
        <v>2291</v>
      </c>
      <c r="L295" s="736" t="s">
        <v>854</v>
      </c>
      <c r="M295" s="1308" t="s">
        <v>882</v>
      </c>
      <c r="N295" s="777"/>
      <c r="O295" s="1298"/>
      <c r="P295" s="181"/>
      <c r="Q295" s="1298" t="s">
        <v>832</v>
      </c>
      <c r="R295" s="186">
        <f>$B$1</f>
        <v>45388</v>
      </c>
      <c r="S295" s="182"/>
      <c r="T295" s="182"/>
      <c r="U295" s="192"/>
      <c r="V295" s="192"/>
      <c r="W295" s="188" t="str">
        <f>IFERROR(IF(AND(BD_PRINCIPAL[[#This Row],[DESDE]]&lt;&gt;"",BD_PRINCIPAL[[#This Row],[HASTA]]&lt;&gt;""),_xlfn.DAYS(BD_PRINCIPAL[[#This Row],[HASTA]],BD_PRINCIPAL[[#This Row],[DESDE]]),"")+1,"")</f>
        <v/>
      </c>
      <c r="X295" s="188">
        <f>VLOOKUP(BD_PRINCIPAL[[#This Row],[ENCUADRE. ESC.]],ORDEN1,2,FALSE)</f>
        <v>1</v>
      </c>
      <c r="Y295" s="188">
        <f>VLOOKUP(BD_PRINCIPAL[[#This Row],[DOTACIÓN ACTUAL]],ORDEN2,4,FALSE)</f>
        <v>224</v>
      </c>
      <c r="Z295" s="188">
        <f>VLOOKUP(BD_PRINCIPAL[[#This Row],[GRADO]],ORDEN3,2,FALSE)</f>
        <v>10</v>
      </c>
      <c r="AA295" s="188">
        <f>IFERROR(VLOOKUP(BD_PRINCIPAL[[#This Row],[DOTACIÓN ACTUAL]],ORDEN2,3,FALSE),0)</f>
        <v>0</v>
      </c>
      <c r="AB295" s="181" t="s">
        <v>2125</v>
      </c>
      <c r="AC295" s="181" t="s">
        <v>1</v>
      </c>
      <c r="AD295" s="181" t="s">
        <v>853</v>
      </c>
      <c r="AE295" s="181" t="s">
        <v>2</v>
      </c>
      <c r="AF295" s="181" t="s">
        <v>853</v>
      </c>
      <c r="AG295" s="181" t="s">
        <v>854</v>
      </c>
      <c r="AH295" s="181"/>
      <c r="AI295" s="181"/>
      <c r="AJ295" s="181"/>
      <c r="AK295" s="181"/>
      <c r="AL295" s="181"/>
      <c r="AM295" s="181"/>
      <c r="AN295" s="181"/>
      <c r="AO295" s="181"/>
      <c r="AP295" s="181"/>
      <c r="AQ295" s="181"/>
      <c r="AR295" s="181"/>
      <c r="AS295" s="181"/>
      <c r="AT295" s="187"/>
      <c r="AU295" s="187"/>
      <c r="AV295" s="187"/>
      <c r="AW295" s="187"/>
      <c r="AX295" s="187"/>
      <c r="AY295" s="187"/>
      <c r="AZ295" s="187"/>
      <c r="BA295" s="181"/>
      <c r="BB295" s="181"/>
      <c r="BC295" s="181"/>
      <c r="BD295" s="181"/>
      <c r="BE295" s="181"/>
      <c r="BF295" s="181"/>
      <c r="BG295" s="181"/>
      <c r="BH295" s="181"/>
      <c r="BI295" s="181"/>
      <c r="BJ295" s="181"/>
      <c r="BK295" s="181"/>
      <c r="BL295" s="181"/>
      <c r="BM295" s="777">
        <v>45209</v>
      </c>
      <c r="BN295" s="792"/>
    </row>
    <row r="296" spans="1:66" s="221" customFormat="1" x14ac:dyDescent="0.3">
      <c r="A296" s="219" t="s">
        <v>520</v>
      </c>
      <c r="B296" s="212" t="s">
        <v>65</v>
      </c>
      <c r="C296" s="219">
        <v>135710539</v>
      </c>
      <c r="D296" s="309" t="s">
        <v>763</v>
      </c>
      <c r="E296" s="480" t="s">
        <v>763</v>
      </c>
      <c r="F296" s="480" t="s">
        <v>65</v>
      </c>
      <c r="G296" s="214" t="s">
        <v>89</v>
      </c>
      <c r="H296" s="215" t="s">
        <v>816</v>
      </c>
      <c r="I296" s="215" t="s">
        <v>872</v>
      </c>
      <c r="J296" s="216" t="s">
        <v>917</v>
      </c>
      <c r="K296" s="1279" t="s">
        <v>2290</v>
      </c>
      <c r="L296" s="733" t="s">
        <v>2125</v>
      </c>
      <c r="M296" s="1304" t="s">
        <v>2838</v>
      </c>
      <c r="N296" s="772"/>
      <c r="O296" s="1294"/>
      <c r="P296" s="212"/>
      <c r="Q296" s="1294" t="s">
        <v>832</v>
      </c>
      <c r="R296" s="217">
        <f>$B$1</f>
        <v>45388</v>
      </c>
      <c r="S296" s="223"/>
      <c r="T296" s="213"/>
      <c r="U296" s="218"/>
      <c r="V296" s="218"/>
      <c r="W296" s="219" t="str">
        <f>IFERROR(IF(AND(BD_PRINCIPAL[[#This Row],[DESDE]]&lt;&gt;"",BD_PRINCIPAL[[#This Row],[HASTA]]&lt;&gt;""),_xlfn.DAYS(BD_PRINCIPAL[[#This Row],[HASTA]],BD_PRINCIPAL[[#This Row],[DESDE]]),"")+1,"")</f>
        <v/>
      </c>
      <c r="X296" s="219">
        <f>VLOOKUP(BD_PRINCIPAL[[#This Row],[ENCUADRE. ESC.]],ORDEN1,2,FALSE)</f>
        <v>1</v>
      </c>
      <c r="Y296" s="219">
        <f>VLOOKUP(BD_PRINCIPAL[[#This Row],[DOTACIÓN ACTUAL]],ORDEN2,4,FALSE)</f>
        <v>225</v>
      </c>
      <c r="Z296" s="219">
        <f>VLOOKUP(BD_PRINCIPAL[[#This Row],[GRADO]],ORDEN3,2,FALSE)</f>
        <v>9</v>
      </c>
      <c r="AA296" s="219">
        <f>IFERROR(VLOOKUP(BD_PRINCIPAL[[#This Row],[DOTACIÓN ACTUAL]],ORDEN2,3,FALSE),0)</f>
        <v>0</v>
      </c>
      <c r="AB296" s="212" t="s">
        <v>1</v>
      </c>
      <c r="AC296" s="212" t="s">
        <v>853</v>
      </c>
      <c r="AD296" s="212" t="s">
        <v>2</v>
      </c>
      <c r="AE296" s="212" t="s">
        <v>853</v>
      </c>
      <c r="AF296" s="212" t="s">
        <v>854</v>
      </c>
      <c r="AG296" s="212" t="s">
        <v>2125</v>
      </c>
      <c r="AH296" s="212"/>
      <c r="AI296" s="212"/>
      <c r="AJ296" s="212"/>
      <c r="AK296" s="212"/>
      <c r="AL296" s="212"/>
      <c r="AM296" s="212"/>
      <c r="AN296" s="212"/>
      <c r="AO296" s="212"/>
      <c r="AP296" s="212"/>
      <c r="AQ296" s="212"/>
      <c r="AR296" s="212"/>
      <c r="AS296" s="212"/>
      <c r="AT296" s="220"/>
      <c r="AU296" s="220"/>
      <c r="AV296" s="220"/>
      <c r="AW296" s="220"/>
      <c r="AX296" s="220"/>
      <c r="AY296" s="220"/>
      <c r="AZ296" s="220"/>
      <c r="BA296" s="212"/>
      <c r="BB296" s="212"/>
      <c r="BC296" s="212"/>
      <c r="BD296" s="212"/>
      <c r="BE296" s="212"/>
      <c r="BF296" s="212"/>
      <c r="BG296" s="212"/>
      <c r="BH296" s="212"/>
      <c r="BI296" s="212"/>
      <c r="BJ296" s="212"/>
      <c r="BK296" s="212"/>
      <c r="BL296" s="212"/>
      <c r="BM296" s="772">
        <v>45083</v>
      </c>
      <c r="BN296" s="789"/>
    </row>
    <row r="297" spans="1:66" s="221" customFormat="1" x14ac:dyDescent="0.3">
      <c r="A297" s="219" t="s">
        <v>2331</v>
      </c>
      <c r="B297" s="728" t="s">
        <v>2333</v>
      </c>
      <c r="C297" s="219" t="s">
        <v>2332</v>
      </c>
      <c r="D297" s="715" t="s">
        <v>752</v>
      </c>
      <c r="E297" s="480" t="s">
        <v>763</v>
      </c>
      <c r="F297" s="480" t="s">
        <v>2852</v>
      </c>
      <c r="G297" s="222" t="s">
        <v>209</v>
      </c>
      <c r="H297" s="215" t="s">
        <v>816</v>
      </c>
      <c r="I297" s="215" t="s">
        <v>872</v>
      </c>
      <c r="J297" s="216" t="s">
        <v>917</v>
      </c>
      <c r="K297" s="1279" t="s">
        <v>2853</v>
      </c>
      <c r="L297" s="733" t="s">
        <v>2125</v>
      </c>
      <c r="M297" s="1304" t="s">
        <v>2838</v>
      </c>
      <c r="N297" s="787"/>
      <c r="O297" s="1294"/>
      <c r="P297" s="212"/>
      <c r="Q297" s="1294" t="s">
        <v>832</v>
      </c>
      <c r="R297" s="498">
        <f>$B$1</f>
        <v>45388</v>
      </c>
      <c r="S297" s="223" t="s">
        <v>1483</v>
      </c>
      <c r="T297" s="223" t="s">
        <v>3578</v>
      </c>
      <c r="U297" s="747"/>
      <c r="V297" s="747"/>
      <c r="W297" s="499" t="str">
        <f>IFERROR(IF(AND(BD_PRINCIPAL[[#This Row],[DESDE]]&lt;&gt;"",BD_PRINCIPAL[[#This Row],[HASTA]]&lt;&gt;""),_xlfn.DAYS(BD_PRINCIPAL[[#This Row],[HASTA]],BD_PRINCIPAL[[#This Row],[DESDE]]),"")+1,"")</f>
        <v/>
      </c>
      <c r="X297" s="499">
        <f>VLOOKUP(BD_PRINCIPAL[[#This Row],[ENCUADRE. ESC.]],ORDEN1,2,FALSE)</f>
        <v>1</v>
      </c>
      <c r="Y297" s="499">
        <f>VLOOKUP(BD_PRINCIPAL[[#This Row],[DOTACIÓN ACTUAL]],ORDEN2,4,FALSE)</f>
        <v>225</v>
      </c>
      <c r="Z297" s="499">
        <f>VLOOKUP(BD_PRINCIPAL[[#This Row],[GRADO]],ORDEN3,2,FALSE)</f>
        <v>10</v>
      </c>
      <c r="AA297" s="499">
        <f>IFERROR(VLOOKUP(BD_PRINCIPAL[[#This Row],[DOTACIÓN ACTUAL]],ORDEN2,3,FALSE),0)</f>
        <v>0</v>
      </c>
      <c r="AB297" s="212" t="s">
        <v>2</v>
      </c>
      <c r="AC297" s="212" t="s">
        <v>855</v>
      </c>
      <c r="AD297" s="212" t="s">
        <v>1</v>
      </c>
      <c r="AE297" s="212" t="s">
        <v>1</v>
      </c>
      <c r="AF297" s="212" t="s">
        <v>854</v>
      </c>
      <c r="AG297" s="212" t="s">
        <v>2125</v>
      </c>
      <c r="AH297" s="212"/>
      <c r="AI297" s="212"/>
      <c r="AJ297" s="212"/>
      <c r="AK297" s="212"/>
      <c r="AL297" s="212"/>
      <c r="AM297" s="212"/>
      <c r="AN297" s="212"/>
      <c r="AO297" s="212"/>
      <c r="AP297" s="212"/>
      <c r="AQ297" s="212"/>
      <c r="AR297" s="212"/>
      <c r="AS297" s="212"/>
      <c r="AT297" s="220"/>
      <c r="AU297" s="220"/>
      <c r="AV297" s="220"/>
      <c r="AW297" s="220"/>
      <c r="AX297" s="220"/>
      <c r="AY297" s="220"/>
      <c r="AZ297" s="220"/>
      <c r="BA297" s="212"/>
      <c r="BB297" s="212"/>
      <c r="BC297" s="212"/>
      <c r="BD297" s="212"/>
      <c r="BE297" s="212"/>
      <c r="BF297" s="212"/>
      <c r="BG297" s="212"/>
      <c r="BH297" s="212"/>
      <c r="BI297" s="212"/>
      <c r="BJ297" s="212"/>
      <c r="BK297" s="212"/>
      <c r="BL297" s="212"/>
      <c r="BM297" s="772">
        <v>45091</v>
      </c>
      <c r="BN297" s="789"/>
    </row>
    <row r="298" spans="1:66" s="233" customFormat="1" ht="26.4" x14ac:dyDescent="0.3">
      <c r="A298" s="231" t="s">
        <v>521</v>
      </c>
      <c r="B298" s="225" t="s">
        <v>1577</v>
      </c>
      <c r="C298" s="231">
        <v>136185160</v>
      </c>
      <c r="D298" s="484" t="s">
        <v>764</v>
      </c>
      <c r="E298" s="484" t="s">
        <v>764</v>
      </c>
      <c r="F298" s="477" t="s">
        <v>1925</v>
      </c>
      <c r="G298" s="235" t="s">
        <v>209</v>
      </c>
      <c r="H298" s="228" t="s">
        <v>816</v>
      </c>
      <c r="I298" s="228" t="s">
        <v>872</v>
      </c>
      <c r="J298" s="229" t="s">
        <v>917</v>
      </c>
      <c r="K298" s="1280" t="s">
        <v>2312</v>
      </c>
      <c r="L298" s="734" t="s">
        <v>853</v>
      </c>
      <c r="M298" s="1305" t="s">
        <v>3590</v>
      </c>
      <c r="N298" s="773"/>
      <c r="O298" s="1295"/>
      <c r="P298" s="225"/>
      <c r="Q298" s="1295" t="s">
        <v>832</v>
      </c>
      <c r="R298" s="234">
        <f>$B$1</f>
        <v>45388</v>
      </c>
      <c r="S298" s="236"/>
      <c r="T298" s="236"/>
      <c r="U298" s="230"/>
      <c r="V298" s="230"/>
      <c r="W298" s="231" t="str">
        <f>IFERROR(IF(AND(BD_PRINCIPAL[[#This Row],[DESDE]]&lt;&gt;"",BD_PRINCIPAL[[#This Row],[HASTA]]&lt;&gt;""),_xlfn.DAYS(BD_PRINCIPAL[[#This Row],[HASTA]],BD_PRINCIPAL[[#This Row],[DESDE]]),"")+1,"")</f>
        <v/>
      </c>
      <c r="X298" s="231">
        <f>VLOOKUP(BD_PRINCIPAL[[#This Row],[ENCUADRE. ESC.]],ORDEN1,2,FALSE)</f>
        <v>1</v>
      </c>
      <c r="Y298" s="231">
        <f>VLOOKUP(BD_PRINCIPAL[[#This Row],[DOTACIÓN ACTUAL]],ORDEN2,4,FALSE)</f>
        <v>227</v>
      </c>
      <c r="Z298" s="231">
        <f>VLOOKUP(BD_PRINCIPAL[[#This Row],[GRADO]],ORDEN3,2,FALSE)</f>
        <v>10</v>
      </c>
      <c r="AA298" s="231">
        <f>IFERROR(VLOOKUP(BD_PRINCIPAL[[#This Row],[DOTACIÓN ACTUAL]],ORDEN2,3,FALSE),0)</f>
        <v>0</v>
      </c>
      <c r="AB298" s="225" t="s">
        <v>6</v>
      </c>
      <c r="AC298" s="225" t="s">
        <v>2125</v>
      </c>
      <c r="AD298" s="225" t="s">
        <v>1</v>
      </c>
      <c r="AE298" s="225" t="s">
        <v>853</v>
      </c>
      <c r="AF298" s="225" t="s">
        <v>2</v>
      </c>
      <c r="AG298" s="225" t="s">
        <v>853</v>
      </c>
      <c r="AH298" s="225"/>
      <c r="AI298" s="225"/>
      <c r="AJ298" s="225"/>
      <c r="AK298" s="225"/>
      <c r="AL298" s="225"/>
      <c r="AM298" s="225"/>
      <c r="AN298" s="225"/>
      <c r="AO298" s="225"/>
      <c r="AP298" s="225"/>
      <c r="AQ298" s="225"/>
      <c r="AR298" s="225"/>
      <c r="AS298" s="225"/>
      <c r="AT298" s="232"/>
      <c r="AU298" s="232"/>
      <c r="AV298" s="232"/>
      <c r="AW298" s="232"/>
      <c r="AX298" s="232"/>
      <c r="AY298" s="232"/>
      <c r="AZ298" s="232"/>
      <c r="BA298" s="225"/>
      <c r="BB298" s="225"/>
      <c r="BC298" s="225"/>
      <c r="BD298" s="225"/>
      <c r="BE298" s="225"/>
      <c r="BF298" s="225"/>
      <c r="BG298" s="225"/>
      <c r="BH298" s="225"/>
      <c r="BI298" s="225"/>
      <c r="BJ298" s="225"/>
      <c r="BK298" s="225"/>
      <c r="BL298" s="225"/>
      <c r="BM298" s="773">
        <v>45196</v>
      </c>
      <c r="BN298" s="790"/>
    </row>
    <row r="299" spans="1:66" s="233" customFormat="1" x14ac:dyDescent="0.3">
      <c r="A299" s="231" t="s">
        <v>482</v>
      </c>
      <c r="B299" s="225" t="s">
        <v>222</v>
      </c>
      <c r="C299" s="231">
        <v>172764681</v>
      </c>
      <c r="D299" s="310" t="s">
        <v>196</v>
      </c>
      <c r="E299" s="484" t="s">
        <v>196</v>
      </c>
      <c r="F299" s="477" t="s">
        <v>222</v>
      </c>
      <c r="G299" s="235" t="s">
        <v>209</v>
      </c>
      <c r="H299" s="228" t="s">
        <v>816</v>
      </c>
      <c r="I299" s="228" t="s">
        <v>872</v>
      </c>
      <c r="J299" s="229" t="s">
        <v>917</v>
      </c>
      <c r="K299" s="1280" t="s">
        <v>2290</v>
      </c>
      <c r="L299" s="734" t="s">
        <v>853</v>
      </c>
      <c r="M299" s="1305" t="s">
        <v>3590</v>
      </c>
      <c r="N299" s="773"/>
      <c r="O299" s="1295"/>
      <c r="P299" s="225"/>
      <c r="Q299" s="1295" t="s">
        <v>832</v>
      </c>
      <c r="R299" s="234">
        <f>$B$1</f>
        <v>45388</v>
      </c>
      <c r="S299" s="236"/>
      <c r="T299" s="236"/>
      <c r="U299" s="237"/>
      <c r="V299" s="237"/>
      <c r="W299" s="231" t="str">
        <f>IFERROR(IF(AND(BD_PRINCIPAL[[#This Row],[DESDE]]&lt;&gt;"",BD_PRINCIPAL[[#This Row],[HASTA]]&lt;&gt;""),_xlfn.DAYS(BD_PRINCIPAL[[#This Row],[HASTA]],BD_PRINCIPAL[[#This Row],[DESDE]]),"")+1,"")</f>
        <v/>
      </c>
      <c r="X299" s="231">
        <f>VLOOKUP(BD_PRINCIPAL[[#This Row],[ENCUADRE. ESC.]],ORDEN1,2,FALSE)</f>
        <v>1</v>
      </c>
      <c r="Y299" s="231">
        <f>VLOOKUP(BD_PRINCIPAL[[#This Row],[DOTACIÓN ACTUAL]],ORDEN2,4,FALSE)</f>
        <v>228</v>
      </c>
      <c r="Z299" s="231">
        <f>VLOOKUP(BD_PRINCIPAL[[#This Row],[GRADO]],ORDEN3,2,FALSE)</f>
        <v>10</v>
      </c>
      <c r="AA299" s="231">
        <f>IFERROR(VLOOKUP(BD_PRINCIPAL[[#This Row],[DOTACIÓN ACTUAL]],ORDEN2,3,FALSE),0)</f>
        <v>0</v>
      </c>
      <c r="AB299" s="225" t="s">
        <v>6</v>
      </c>
      <c r="AC299" s="225" t="s">
        <v>2125</v>
      </c>
      <c r="AD299" s="225" t="s">
        <v>1</v>
      </c>
      <c r="AE299" s="225" t="s">
        <v>853</v>
      </c>
      <c r="AF299" s="225" t="s">
        <v>2</v>
      </c>
      <c r="AG299" s="225" t="s">
        <v>853</v>
      </c>
      <c r="AH299" s="225"/>
      <c r="AI299" s="225"/>
      <c r="AJ299" s="225"/>
      <c r="AK299" s="225"/>
      <c r="AL299" s="225"/>
      <c r="AM299" s="225"/>
      <c r="AN299" s="225"/>
      <c r="AO299" s="225"/>
      <c r="AP299" s="225"/>
      <c r="AQ299" s="225"/>
      <c r="AR299" s="225"/>
      <c r="AS299" s="225"/>
      <c r="AT299" s="232"/>
      <c r="AU299" s="232"/>
      <c r="AV299" s="232"/>
      <c r="AW299" s="232"/>
      <c r="AX299" s="232"/>
      <c r="AY299" s="232"/>
      <c r="AZ299" s="232"/>
      <c r="BA299" s="225"/>
      <c r="BB299" s="225"/>
      <c r="BC299" s="225"/>
      <c r="BD299" s="225"/>
      <c r="BE299" s="225"/>
      <c r="BF299" s="225"/>
      <c r="BG299" s="225"/>
      <c r="BH299" s="225"/>
      <c r="BI299" s="225"/>
      <c r="BJ299" s="225"/>
      <c r="BK299" s="225"/>
      <c r="BL299" s="225"/>
      <c r="BM299" s="773">
        <v>45072</v>
      </c>
      <c r="BN299" s="790"/>
    </row>
    <row r="300" spans="1:66" s="247" customFormat="1" x14ac:dyDescent="0.3">
      <c r="A300" s="245" t="s">
        <v>472</v>
      </c>
      <c r="B300" s="758" t="s">
        <v>1534</v>
      </c>
      <c r="C300" s="245">
        <v>151901859</v>
      </c>
      <c r="D300" s="478" t="s">
        <v>862</v>
      </c>
      <c r="E300" s="478" t="s">
        <v>862</v>
      </c>
      <c r="F300" s="478" t="s">
        <v>2704</v>
      </c>
      <c r="G300" s="248" t="s">
        <v>89</v>
      </c>
      <c r="H300" s="241" t="s">
        <v>816</v>
      </c>
      <c r="I300" s="241" t="s">
        <v>872</v>
      </c>
      <c r="J300" s="242" t="s">
        <v>917</v>
      </c>
      <c r="K300" s="1281" t="s">
        <v>2705</v>
      </c>
      <c r="L300" s="735" t="s">
        <v>2</v>
      </c>
      <c r="M300" s="1306" t="s">
        <v>880</v>
      </c>
      <c r="N300" s="775"/>
      <c r="O300" s="1296"/>
      <c r="P300" s="238"/>
      <c r="Q300" s="1296" t="s">
        <v>832</v>
      </c>
      <c r="R300" s="243">
        <f>$B$1</f>
        <v>45388</v>
      </c>
      <c r="S300" s="249"/>
      <c r="T300" s="249"/>
      <c r="U300" s="244"/>
      <c r="V300" s="244"/>
      <c r="W300" s="245" t="str">
        <f>IFERROR(IF(AND(BD_PRINCIPAL[[#This Row],[DESDE]]&lt;&gt;"",BD_PRINCIPAL[[#This Row],[HASTA]]&lt;&gt;""),_xlfn.DAYS(BD_PRINCIPAL[[#This Row],[HASTA]],BD_PRINCIPAL[[#This Row],[DESDE]]),"")+1,"")</f>
        <v/>
      </c>
      <c r="X300" s="245">
        <f>VLOOKUP(BD_PRINCIPAL[[#This Row],[ENCUADRE. ESC.]],ORDEN1,2,FALSE)</f>
        <v>1</v>
      </c>
      <c r="Y300" s="245">
        <f>VLOOKUP(BD_PRINCIPAL[[#This Row],[DOTACIÓN ACTUAL]],ORDEN2,4,FALSE)</f>
        <v>229</v>
      </c>
      <c r="Z300" s="245">
        <f>VLOOKUP(BD_PRINCIPAL[[#This Row],[GRADO]],ORDEN3,2,FALSE)</f>
        <v>9</v>
      </c>
      <c r="AA300" s="245">
        <f>IFERROR(VLOOKUP(BD_PRINCIPAL[[#This Row],[DOTACIÓN ACTUAL]],ORDEN2,3,FALSE),0)</f>
        <v>0</v>
      </c>
      <c r="AB300" s="238" t="s">
        <v>853</v>
      </c>
      <c r="AC300" s="238" t="s">
        <v>2</v>
      </c>
      <c r="AD300" s="238" t="s">
        <v>853</v>
      </c>
      <c r="AE300" s="238" t="s">
        <v>854</v>
      </c>
      <c r="AF300" s="238" t="s">
        <v>2125</v>
      </c>
      <c r="AG300" s="238" t="s">
        <v>2</v>
      </c>
      <c r="AH300" s="238"/>
      <c r="AI300" s="238"/>
      <c r="AJ300" s="238"/>
      <c r="AK300" s="238"/>
      <c r="AL300" s="238"/>
      <c r="AM300" s="238"/>
      <c r="AN300" s="238"/>
      <c r="AO300" s="238"/>
      <c r="AP300" s="238"/>
      <c r="AQ300" s="238"/>
      <c r="AR300" s="238"/>
      <c r="AS300" s="238"/>
      <c r="AT300" s="246"/>
      <c r="AU300" s="246"/>
      <c r="AV300" s="246"/>
      <c r="AW300" s="246"/>
      <c r="AX300" s="246"/>
      <c r="AY300" s="246"/>
      <c r="AZ300" s="246"/>
      <c r="BA300" s="238"/>
      <c r="BB300" s="238"/>
      <c r="BC300" s="238"/>
      <c r="BD300" s="238"/>
      <c r="BE300" s="238"/>
      <c r="BF300" s="238"/>
      <c r="BG300" s="238"/>
      <c r="BH300" s="238"/>
      <c r="BI300" s="238"/>
      <c r="BJ300" s="238"/>
      <c r="BK300" s="238"/>
      <c r="BL300" s="238"/>
      <c r="BM300" s="775">
        <v>45372</v>
      </c>
      <c r="BN300" s="788"/>
    </row>
    <row r="301" spans="1:66" s="247" customFormat="1" x14ac:dyDescent="0.3">
      <c r="A301" s="245" t="s">
        <v>522</v>
      </c>
      <c r="B301" s="238" t="s">
        <v>68</v>
      </c>
      <c r="C301" s="245">
        <v>143968413</v>
      </c>
      <c r="D301" s="486" t="s">
        <v>197</v>
      </c>
      <c r="E301" s="486" t="s">
        <v>197</v>
      </c>
      <c r="F301" s="478" t="s">
        <v>2819</v>
      </c>
      <c r="G301" s="248" t="s">
        <v>209</v>
      </c>
      <c r="H301" s="241" t="s">
        <v>816</v>
      </c>
      <c r="I301" s="241" t="s">
        <v>872</v>
      </c>
      <c r="J301" s="242" t="s">
        <v>917</v>
      </c>
      <c r="K301" s="1281" t="s">
        <v>2290</v>
      </c>
      <c r="L301" s="735" t="s">
        <v>2</v>
      </c>
      <c r="M301" s="1306" t="s">
        <v>880</v>
      </c>
      <c r="N301" s="775"/>
      <c r="O301" s="1296"/>
      <c r="P301" s="238"/>
      <c r="Q301" s="1296" t="s">
        <v>832</v>
      </c>
      <c r="R301" s="243">
        <f>$B$1</f>
        <v>45388</v>
      </c>
      <c r="S301" s="249" t="s">
        <v>1483</v>
      </c>
      <c r="T301" s="239"/>
      <c r="U301" s="244">
        <v>45379</v>
      </c>
      <c r="V301" s="244"/>
      <c r="W301" s="245" t="str">
        <f>IFERROR(IF(AND(BD_PRINCIPAL[[#This Row],[DESDE]]&lt;&gt;"",BD_PRINCIPAL[[#This Row],[HASTA]]&lt;&gt;""),_xlfn.DAYS(BD_PRINCIPAL[[#This Row],[HASTA]],BD_PRINCIPAL[[#This Row],[DESDE]]),"")+1,"")</f>
        <v/>
      </c>
      <c r="X301" s="245">
        <f>VLOOKUP(BD_PRINCIPAL[[#This Row],[ENCUADRE. ESC.]],ORDEN1,2,FALSE)</f>
        <v>1</v>
      </c>
      <c r="Y301" s="245">
        <f>VLOOKUP(BD_PRINCIPAL[[#This Row],[DOTACIÓN ACTUAL]],ORDEN2,4,FALSE)</f>
        <v>230</v>
      </c>
      <c r="Z301" s="245">
        <f>VLOOKUP(BD_PRINCIPAL[[#This Row],[GRADO]],ORDEN3,2,FALSE)</f>
        <v>10</v>
      </c>
      <c r="AA301" s="245">
        <f>IFERROR(VLOOKUP(BD_PRINCIPAL[[#This Row],[DOTACIÓN ACTUAL]],ORDEN2,3,FALSE),0)</f>
        <v>0</v>
      </c>
      <c r="AB301" s="238" t="s">
        <v>1</v>
      </c>
      <c r="AC301" s="238" t="s">
        <v>2</v>
      </c>
      <c r="AD301" s="238" t="s">
        <v>853</v>
      </c>
      <c r="AE301" s="238" t="s">
        <v>854</v>
      </c>
      <c r="AF301" s="238" t="s">
        <v>2125</v>
      </c>
      <c r="AG301" s="238" t="s">
        <v>2</v>
      </c>
      <c r="AH301" s="238"/>
      <c r="AI301" s="238"/>
      <c r="AJ301" s="238"/>
      <c r="AK301" s="238"/>
      <c r="AL301" s="238"/>
      <c r="AM301" s="238"/>
      <c r="AN301" s="238"/>
      <c r="AO301" s="238"/>
      <c r="AP301" s="238"/>
      <c r="AQ301" s="238"/>
      <c r="AR301" s="238"/>
      <c r="AS301" s="238"/>
      <c r="AT301" s="246"/>
      <c r="AU301" s="246"/>
      <c r="AV301" s="246"/>
      <c r="AW301" s="246"/>
      <c r="AX301" s="246"/>
      <c r="AY301" s="246"/>
      <c r="AZ301" s="246"/>
      <c r="BA301" s="238"/>
      <c r="BB301" s="238"/>
      <c r="BC301" s="238"/>
      <c r="BD301" s="238"/>
      <c r="BE301" s="238"/>
      <c r="BF301" s="238"/>
      <c r="BG301" s="238"/>
      <c r="BH301" s="238"/>
      <c r="BI301" s="238"/>
      <c r="BJ301" s="238"/>
      <c r="BK301" s="238"/>
      <c r="BL301" s="238"/>
      <c r="BM301" s="775">
        <v>45035</v>
      </c>
      <c r="BN301" s="788"/>
    </row>
    <row r="302" spans="1:66" s="260" customFormat="1" x14ac:dyDescent="0.3">
      <c r="A302" s="258" t="s">
        <v>532</v>
      </c>
      <c r="B302" s="251" t="s">
        <v>1576</v>
      </c>
      <c r="C302" s="258">
        <v>151866395</v>
      </c>
      <c r="D302" s="487" t="s">
        <v>765</v>
      </c>
      <c r="E302" s="487" t="s">
        <v>765</v>
      </c>
      <c r="F302" s="481" t="s">
        <v>1921</v>
      </c>
      <c r="G302" s="261" t="s">
        <v>89</v>
      </c>
      <c r="H302" s="254" t="s">
        <v>816</v>
      </c>
      <c r="I302" s="254" t="s">
        <v>872</v>
      </c>
      <c r="J302" s="255" t="s">
        <v>917</v>
      </c>
      <c r="K302" s="1282" t="s">
        <v>2313</v>
      </c>
      <c r="L302" s="737" t="s">
        <v>855</v>
      </c>
      <c r="M302" s="1307" t="s">
        <v>1220</v>
      </c>
      <c r="N302" s="783"/>
      <c r="O302" s="1297"/>
      <c r="P302" s="251"/>
      <c r="Q302" s="1297" t="s">
        <v>832</v>
      </c>
      <c r="R302" s="256">
        <f>$B$1</f>
        <v>45388</v>
      </c>
      <c r="S302" s="262"/>
      <c r="T302" s="262"/>
      <c r="U302" s="257"/>
      <c r="V302" s="257"/>
      <c r="W302" s="258" t="str">
        <f>IFERROR(IF(AND(BD_PRINCIPAL[[#This Row],[DESDE]]&lt;&gt;"",BD_PRINCIPAL[[#This Row],[HASTA]]&lt;&gt;""),_xlfn.DAYS(BD_PRINCIPAL[[#This Row],[HASTA]],BD_PRINCIPAL[[#This Row],[DESDE]]),"")+1,"")</f>
        <v/>
      </c>
      <c r="X302" s="258">
        <f>VLOOKUP(BD_PRINCIPAL[[#This Row],[ENCUADRE. ESC.]],ORDEN1,2,FALSE)</f>
        <v>1</v>
      </c>
      <c r="Y302" s="258">
        <f>VLOOKUP(BD_PRINCIPAL[[#This Row],[DOTACIÓN ACTUAL]],ORDEN2,4,FALSE)</f>
        <v>231</v>
      </c>
      <c r="Z302" s="258">
        <f>VLOOKUP(BD_PRINCIPAL[[#This Row],[GRADO]],ORDEN3,2,FALSE)</f>
        <v>9</v>
      </c>
      <c r="AA302" s="258">
        <f>IFERROR(VLOOKUP(BD_PRINCIPAL[[#This Row],[DOTACIÓN ACTUAL]],ORDEN2,3,FALSE),0)</f>
        <v>0</v>
      </c>
      <c r="AB302" s="251" t="s">
        <v>853</v>
      </c>
      <c r="AC302" s="251" t="s">
        <v>6</v>
      </c>
      <c r="AD302" s="251" t="s">
        <v>2125</v>
      </c>
      <c r="AE302" s="251" t="s">
        <v>1</v>
      </c>
      <c r="AF302" s="251" t="s">
        <v>853</v>
      </c>
      <c r="AG302" s="251" t="s">
        <v>855</v>
      </c>
      <c r="AH302" s="251"/>
      <c r="AI302" s="251"/>
      <c r="AJ302" s="251"/>
      <c r="AK302" s="251"/>
      <c r="AL302" s="251"/>
      <c r="AM302" s="251"/>
      <c r="AN302" s="251"/>
      <c r="AO302" s="251"/>
      <c r="AP302" s="251"/>
      <c r="AQ302" s="251"/>
      <c r="AR302" s="251"/>
      <c r="AS302" s="251"/>
      <c r="AT302" s="259"/>
      <c r="AU302" s="259"/>
      <c r="AV302" s="259"/>
      <c r="AW302" s="259"/>
      <c r="AX302" s="259"/>
      <c r="AY302" s="259"/>
      <c r="AZ302" s="259"/>
      <c r="BA302" s="251"/>
      <c r="BB302" s="251"/>
      <c r="BC302" s="251"/>
      <c r="BD302" s="251"/>
      <c r="BE302" s="251"/>
      <c r="BF302" s="251"/>
      <c r="BG302" s="251"/>
      <c r="BH302" s="251"/>
      <c r="BI302" s="251"/>
      <c r="BJ302" s="251"/>
      <c r="BK302" s="251"/>
      <c r="BL302" s="251"/>
      <c r="BM302" s="783">
        <v>45363</v>
      </c>
      <c r="BN302" s="791"/>
    </row>
    <row r="303" spans="1:66" s="260" customFormat="1" x14ac:dyDescent="0.3">
      <c r="A303" s="258" t="s">
        <v>314</v>
      </c>
      <c r="B303" s="251" t="s">
        <v>236</v>
      </c>
      <c r="C303" s="258">
        <v>162955020</v>
      </c>
      <c r="D303" s="312" t="s">
        <v>198</v>
      </c>
      <c r="E303" s="481" t="s">
        <v>198</v>
      </c>
      <c r="F303" s="481" t="s">
        <v>236</v>
      </c>
      <c r="G303" s="261" t="s">
        <v>209</v>
      </c>
      <c r="H303" s="254" t="s">
        <v>816</v>
      </c>
      <c r="I303" s="254" t="s">
        <v>872</v>
      </c>
      <c r="J303" s="255" t="s">
        <v>917</v>
      </c>
      <c r="K303" s="1282" t="s">
        <v>2290</v>
      </c>
      <c r="L303" s="737" t="s">
        <v>855</v>
      </c>
      <c r="M303" s="1307" t="s">
        <v>1220</v>
      </c>
      <c r="N303" s="781"/>
      <c r="O303" s="1297"/>
      <c r="P303" s="251"/>
      <c r="Q303" s="1297" t="s">
        <v>832</v>
      </c>
      <c r="R303" s="256">
        <f>$B$1</f>
        <v>45388</v>
      </c>
      <c r="S303" s="262"/>
      <c r="T303" s="262"/>
      <c r="U303" s="819"/>
      <c r="V303" s="819"/>
      <c r="W303" s="258" t="str">
        <f>IFERROR(IF(AND(BD_PRINCIPAL[[#This Row],[DESDE]]&lt;&gt;"",BD_PRINCIPAL[[#This Row],[HASTA]]&lt;&gt;""),_xlfn.DAYS(BD_PRINCIPAL[[#This Row],[HASTA]],BD_PRINCIPAL[[#This Row],[DESDE]]),"")+1,"")</f>
        <v/>
      </c>
      <c r="X303" s="258">
        <f>VLOOKUP(BD_PRINCIPAL[[#This Row],[ENCUADRE. ESC.]],ORDEN1,2,FALSE)</f>
        <v>1</v>
      </c>
      <c r="Y303" s="258">
        <f>VLOOKUP(BD_PRINCIPAL[[#This Row],[DOTACIÓN ACTUAL]],ORDEN2,4,FALSE)</f>
        <v>232</v>
      </c>
      <c r="Z303" s="258">
        <f>VLOOKUP(BD_PRINCIPAL[[#This Row],[GRADO]],ORDEN3,2,FALSE)</f>
        <v>10</v>
      </c>
      <c r="AA303" s="258">
        <f>IFERROR(VLOOKUP(BD_PRINCIPAL[[#This Row],[DOTACIÓN ACTUAL]],ORDEN2,3,FALSE),0)</f>
        <v>0</v>
      </c>
      <c r="AB303" s="251" t="s">
        <v>853</v>
      </c>
      <c r="AC303" s="251" t="s">
        <v>6</v>
      </c>
      <c r="AD303" s="251" t="s">
        <v>2125</v>
      </c>
      <c r="AE303" s="251" t="s">
        <v>1</v>
      </c>
      <c r="AF303" s="251" t="s">
        <v>853</v>
      </c>
      <c r="AG303" s="251" t="s">
        <v>855</v>
      </c>
      <c r="AH303" s="251"/>
      <c r="AI303" s="251"/>
      <c r="AJ303" s="251"/>
      <c r="AK303" s="251"/>
      <c r="AL303" s="251"/>
      <c r="AM303" s="251"/>
      <c r="AN303" s="251"/>
      <c r="AO303" s="251"/>
      <c r="AP303" s="251"/>
      <c r="AQ303" s="251"/>
      <c r="AR303" s="251"/>
      <c r="AS303" s="251"/>
      <c r="AT303" s="259"/>
      <c r="AU303" s="259"/>
      <c r="AV303" s="259"/>
      <c r="AW303" s="259"/>
      <c r="AX303" s="259"/>
      <c r="AY303" s="259"/>
      <c r="AZ303" s="259"/>
      <c r="BA303" s="251"/>
      <c r="BB303" s="251"/>
      <c r="BC303" s="251"/>
      <c r="BD303" s="251"/>
      <c r="BE303" s="251"/>
      <c r="BF303" s="251"/>
      <c r="BG303" s="251"/>
      <c r="BH303" s="251"/>
      <c r="BI303" s="251"/>
      <c r="BJ303" s="251"/>
      <c r="BK303" s="251"/>
      <c r="BL303" s="251"/>
      <c r="BM303" s="781">
        <v>45152</v>
      </c>
      <c r="BN303" s="791"/>
    </row>
    <row r="304" spans="1:66" s="260" customFormat="1" x14ac:dyDescent="0.3">
      <c r="A304" s="258" t="s">
        <v>421</v>
      </c>
      <c r="B304" s="251" t="s">
        <v>34</v>
      </c>
      <c r="C304" s="258">
        <v>136024078</v>
      </c>
      <c r="D304" s="481" t="s">
        <v>863</v>
      </c>
      <c r="E304" s="481" t="s">
        <v>863</v>
      </c>
      <c r="F304" s="481" t="s">
        <v>34</v>
      </c>
      <c r="G304" s="253" t="s">
        <v>17</v>
      </c>
      <c r="H304" s="254" t="s">
        <v>816</v>
      </c>
      <c r="I304" s="254" t="s">
        <v>872</v>
      </c>
      <c r="J304" s="255" t="s">
        <v>917</v>
      </c>
      <c r="K304" s="1286" t="s">
        <v>2290</v>
      </c>
      <c r="L304" s="737" t="s">
        <v>855</v>
      </c>
      <c r="M304" s="1312" t="s">
        <v>1220</v>
      </c>
      <c r="N304" s="781"/>
      <c r="O304" s="1297"/>
      <c r="P304" s="251"/>
      <c r="Q304" s="1297" t="s">
        <v>832</v>
      </c>
      <c r="R304" s="256">
        <f>$B$1</f>
        <v>45388</v>
      </c>
      <c r="S304" s="262"/>
      <c r="T304" s="262"/>
      <c r="U304" s="257"/>
      <c r="V304" s="257"/>
      <c r="W304" s="258" t="str">
        <f>IFERROR(IF(AND(BD_PRINCIPAL[[#This Row],[DESDE]]&lt;&gt;"",BD_PRINCIPAL[[#This Row],[HASTA]]&lt;&gt;""),_xlfn.DAYS(BD_PRINCIPAL[[#This Row],[HASTA]],BD_PRINCIPAL[[#This Row],[DESDE]]),"")+1,"")</f>
        <v/>
      </c>
      <c r="X304" s="258">
        <f>VLOOKUP(BD_PRINCIPAL[[#This Row],[ENCUADRE. ESC.]],ORDEN1,2,FALSE)</f>
        <v>1</v>
      </c>
      <c r="Y304" s="258">
        <f>VLOOKUP(BD_PRINCIPAL[[#This Row],[DOTACIÓN ACTUAL]],ORDEN2,4,FALSE)</f>
        <v>237</v>
      </c>
      <c r="Z304" s="258">
        <f>VLOOKUP(BD_PRINCIPAL[[#This Row],[GRADO]],ORDEN3,2,FALSE)</f>
        <v>8</v>
      </c>
      <c r="AA304" s="258">
        <f>IFERROR(VLOOKUP(BD_PRINCIPAL[[#This Row],[DOTACIÓN ACTUAL]],ORDEN2,3,FALSE),0)</f>
        <v>0</v>
      </c>
      <c r="AB304" s="251" t="s">
        <v>2</v>
      </c>
      <c r="AC304" s="251" t="s">
        <v>1</v>
      </c>
      <c r="AD304" s="251" t="s">
        <v>1</v>
      </c>
      <c r="AE304" s="251" t="s">
        <v>853</v>
      </c>
      <c r="AF304" s="251" t="s">
        <v>853</v>
      </c>
      <c r="AG304" s="251" t="s">
        <v>855</v>
      </c>
      <c r="AH304" s="251"/>
      <c r="AI304" s="251"/>
      <c r="AJ304" s="251"/>
      <c r="AK304" s="251"/>
      <c r="AL304" s="251"/>
      <c r="AM304" s="251"/>
      <c r="AN304" s="251"/>
      <c r="AO304" s="251"/>
      <c r="AP304" s="251"/>
      <c r="AQ304" s="251"/>
      <c r="AR304" s="251"/>
      <c r="AS304" s="251"/>
      <c r="AT304" s="259"/>
      <c r="AU304" s="259"/>
      <c r="AV304" s="259"/>
      <c r="AW304" s="259"/>
      <c r="AX304" s="259"/>
      <c r="AY304" s="259"/>
      <c r="AZ304" s="259"/>
      <c r="BA304" s="251"/>
      <c r="BB304" s="251"/>
      <c r="BC304" s="251"/>
      <c r="BD304" s="251"/>
      <c r="BE304" s="251"/>
      <c r="BF304" s="251"/>
      <c r="BG304" s="251"/>
      <c r="BH304" s="251"/>
      <c r="BI304" s="251"/>
      <c r="BJ304" s="251"/>
      <c r="BK304" s="251"/>
      <c r="BL304" s="251"/>
      <c r="BM304" s="781">
        <v>45049</v>
      </c>
      <c r="BN304" s="791"/>
    </row>
    <row r="305" spans="1:66" s="260" customFormat="1" x14ac:dyDescent="0.3">
      <c r="A305" s="258" t="s">
        <v>2675</v>
      </c>
      <c r="B305" s="634" t="s">
        <v>2677</v>
      </c>
      <c r="C305" s="258" t="s">
        <v>2676</v>
      </c>
      <c r="D305" s="481" t="s">
        <v>680</v>
      </c>
      <c r="E305" s="481" t="s">
        <v>680</v>
      </c>
      <c r="F305" s="481" t="s">
        <v>3452</v>
      </c>
      <c r="G305" s="261" t="s">
        <v>3</v>
      </c>
      <c r="H305" s="254" t="s">
        <v>816</v>
      </c>
      <c r="I305" s="254" t="s">
        <v>872</v>
      </c>
      <c r="J305" s="255" t="s">
        <v>917</v>
      </c>
      <c r="K305" s="1282" t="s">
        <v>3453</v>
      </c>
      <c r="L305" s="737" t="s">
        <v>855</v>
      </c>
      <c r="M305" s="1307" t="s">
        <v>1220</v>
      </c>
      <c r="N305" s="782"/>
      <c r="O305" s="1297"/>
      <c r="P305" s="251"/>
      <c r="Q305" s="1297" t="s">
        <v>832</v>
      </c>
      <c r="R305" s="632" t="s">
        <v>2449</v>
      </c>
      <c r="S305" s="252" t="s">
        <v>1483</v>
      </c>
      <c r="T305" s="252"/>
      <c r="U305" s="870"/>
      <c r="V305" s="870"/>
      <c r="W305" s="633" t="str">
        <f>IFERROR(IF(AND(BD_PRINCIPAL[[#This Row],[DESDE]]&lt;&gt;"",BD_PRINCIPAL[[#This Row],[HASTA]]&lt;&gt;""),_xlfn.DAYS(BD_PRINCIPAL[[#This Row],[HASTA]],BD_PRINCIPAL[[#This Row],[DESDE]]),"")+1,"")</f>
        <v/>
      </c>
      <c r="X305" s="633">
        <f>VLOOKUP(BD_PRINCIPAL[[#This Row],[ENCUADRE. ESC.]],ORDEN1,2,FALSE)</f>
        <v>1</v>
      </c>
      <c r="Y305" s="633">
        <f>VLOOKUP(BD_PRINCIPAL[[#This Row],[DOTACIÓN ACTUAL]],ORDEN2,4,FALSE)</f>
        <v>238</v>
      </c>
      <c r="Z305" s="633">
        <f>VLOOKUP(BD_PRINCIPAL[[#This Row],[GRADO]],ORDEN3,2,FALSE)</f>
        <v>11</v>
      </c>
      <c r="AA305" s="633">
        <f>IFERROR(VLOOKUP(BD_PRINCIPAL[[#This Row],[DOTACIÓN ACTUAL]],ORDEN2,3,FALSE),0)</f>
        <v>0</v>
      </c>
      <c r="AB305" s="251" t="s">
        <v>884</v>
      </c>
      <c r="AC305" s="251" t="s">
        <v>884</v>
      </c>
      <c r="AD305" s="251" t="s">
        <v>1</v>
      </c>
      <c r="AE305" s="251" t="s">
        <v>853</v>
      </c>
      <c r="AF305" s="251" t="s">
        <v>853</v>
      </c>
      <c r="AG305" s="251" t="s">
        <v>855</v>
      </c>
      <c r="AH305" s="259"/>
      <c r="AI305" s="259"/>
      <c r="AJ305" s="259"/>
      <c r="AK305" s="259"/>
      <c r="AL305" s="259"/>
      <c r="AM305" s="259"/>
      <c r="AN305" s="259"/>
      <c r="AO305" s="259"/>
      <c r="AP305" s="259"/>
      <c r="AQ305" s="259"/>
      <c r="AR305" s="259"/>
      <c r="AS305" s="259"/>
      <c r="AT305" s="259"/>
      <c r="AU305" s="259"/>
      <c r="AV305" s="259"/>
      <c r="AW305" s="259"/>
      <c r="AX305" s="259"/>
      <c r="AY305" s="259"/>
      <c r="AZ305" s="259"/>
      <c r="BA305" s="251"/>
      <c r="BB305" s="251"/>
      <c r="BC305" s="251"/>
      <c r="BD305" s="251"/>
      <c r="BE305" s="251"/>
      <c r="BF305" s="251"/>
      <c r="BG305" s="251"/>
      <c r="BH305" s="251"/>
      <c r="BI305" s="251"/>
      <c r="BJ305" s="251"/>
      <c r="BK305" s="251"/>
      <c r="BL305" s="251"/>
      <c r="BM305" s="948"/>
      <c r="BN305" s="948"/>
    </row>
    <row r="306" spans="1:66" s="221" customFormat="1" x14ac:dyDescent="0.3">
      <c r="A306" s="219" t="s">
        <v>541</v>
      </c>
      <c r="B306" s="212" t="s">
        <v>1573</v>
      </c>
      <c r="C306" s="219">
        <v>127673209</v>
      </c>
      <c r="D306" s="480" t="s">
        <v>864</v>
      </c>
      <c r="E306" s="480" t="s">
        <v>864</v>
      </c>
      <c r="F306" s="480" t="s">
        <v>2706</v>
      </c>
      <c r="G306" s="214" t="s">
        <v>17</v>
      </c>
      <c r="H306" s="215" t="s">
        <v>816</v>
      </c>
      <c r="I306" s="215" t="s">
        <v>872</v>
      </c>
      <c r="J306" s="216" t="s">
        <v>917</v>
      </c>
      <c r="K306" s="1279" t="s">
        <v>2707</v>
      </c>
      <c r="L306" s="733" t="s">
        <v>855</v>
      </c>
      <c r="M306" s="1304" t="s">
        <v>1220</v>
      </c>
      <c r="N306" s="772"/>
      <c r="O306" s="1294"/>
      <c r="P306" s="212"/>
      <c r="Q306" s="1294" t="s">
        <v>832</v>
      </c>
      <c r="R306" s="217">
        <f>$B$1</f>
        <v>45388</v>
      </c>
      <c r="S306" s="223"/>
      <c r="T306" s="213"/>
      <c r="U306" s="218"/>
      <c r="V306" s="218"/>
      <c r="W306" s="219" t="str">
        <f>IFERROR(IF(AND(BD_PRINCIPAL[[#This Row],[DESDE]]&lt;&gt;"",BD_PRINCIPAL[[#This Row],[HASTA]]&lt;&gt;""),_xlfn.DAYS(BD_PRINCIPAL[[#This Row],[HASTA]],BD_PRINCIPAL[[#This Row],[DESDE]]),"")+1,"")</f>
        <v/>
      </c>
      <c r="X306" s="219">
        <f>VLOOKUP(BD_PRINCIPAL[[#This Row],[ENCUADRE. ESC.]],ORDEN1,2,FALSE)</f>
        <v>1</v>
      </c>
      <c r="Y306" s="219">
        <f>VLOOKUP(BD_PRINCIPAL[[#This Row],[DOTACIÓN ACTUAL]],ORDEN2,4,FALSE)</f>
        <v>239</v>
      </c>
      <c r="Z306" s="219">
        <f>VLOOKUP(BD_PRINCIPAL[[#This Row],[GRADO]],ORDEN3,2,FALSE)</f>
        <v>8</v>
      </c>
      <c r="AA306" s="219">
        <f>IFERROR(VLOOKUP(BD_PRINCIPAL[[#This Row],[DOTACIÓN ACTUAL]],ORDEN2,3,FALSE),0)</f>
        <v>0</v>
      </c>
      <c r="AB306" s="212" t="s">
        <v>1</v>
      </c>
      <c r="AC306" s="212" t="s">
        <v>1</v>
      </c>
      <c r="AD306" s="212" t="s">
        <v>2</v>
      </c>
      <c r="AE306" s="212" t="s">
        <v>1</v>
      </c>
      <c r="AF306" s="212" t="s">
        <v>1</v>
      </c>
      <c r="AG306" s="212" t="s">
        <v>855</v>
      </c>
      <c r="AH306" s="212"/>
      <c r="AI306" s="212"/>
      <c r="AJ306" s="212"/>
      <c r="AK306" s="212"/>
      <c r="AL306" s="212"/>
      <c r="AM306" s="212"/>
      <c r="AN306" s="212"/>
      <c r="AO306" s="212"/>
      <c r="AP306" s="212"/>
      <c r="AQ306" s="212"/>
      <c r="AR306" s="212"/>
      <c r="AS306" s="212"/>
      <c r="AT306" s="220"/>
      <c r="AU306" s="220"/>
      <c r="AV306" s="220"/>
      <c r="AW306" s="220"/>
      <c r="AX306" s="220"/>
      <c r="AY306" s="220"/>
      <c r="AZ306" s="220"/>
      <c r="BA306" s="212"/>
      <c r="BB306" s="212"/>
      <c r="BC306" s="212"/>
      <c r="BD306" s="212"/>
      <c r="BE306" s="212"/>
      <c r="BF306" s="212"/>
      <c r="BG306" s="212"/>
      <c r="BH306" s="212"/>
      <c r="BI306" s="212"/>
      <c r="BJ306" s="212"/>
      <c r="BK306" s="212"/>
      <c r="BL306" s="212"/>
      <c r="BM306" s="772">
        <v>45243</v>
      </c>
      <c r="BN306" s="789"/>
    </row>
    <row r="307" spans="1:66" s="221" customFormat="1" x14ac:dyDescent="0.3">
      <c r="A307" s="219" t="s">
        <v>528</v>
      </c>
      <c r="B307" s="212" t="s">
        <v>1885</v>
      </c>
      <c r="C307" s="219">
        <v>174605017</v>
      </c>
      <c r="D307" s="309" t="s">
        <v>754</v>
      </c>
      <c r="E307" s="485" t="s">
        <v>754</v>
      </c>
      <c r="F307" s="480" t="s">
        <v>1885</v>
      </c>
      <c r="G307" s="214" t="s">
        <v>209</v>
      </c>
      <c r="H307" s="215" t="s">
        <v>816</v>
      </c>
      <c r="I307" s="215" t="s">
        <v>872</v>
      </c>
      <c r="J307" s="216" t="s">
        <v>917</v>
      </c>
      <c r="K307" s="1279" t="s">
        <v>2290</v>
      </c>
      <c r="L307" s="733" t="s">
        <v>855</v>
      </c>
      <c r="M307" s="1304" t="s">
        <v>1220</v>
      </c>
      <c r="N307" s="772"/>
      <c r="O307" s="1294"/>
      <c r="P307" s="212"/>
      <c r="Q307" s="1294" t="s">
        <v>832</v>
      </c>
      <c r="R307" s="217">
        <f>$B$1</f>
        <v>45388</v>
      </c>
      <c r="S307" s="223" t="s">
        <v>1483</v>
      </c>
      <c r="T307" s="213"/>
      <c r="U307" s="218"/>
      <c r="V307" s="218"/>
      <c r="W307" s="219" t="str">
        <f>IFERROR(IF(AND(BD_PRINCIPAL[[#This Row],[DESDE]]&lt;&gt;"",BD_PRINCIPAL[[#This Row],[HASTA]]&lt;&gt;""),_xlfn.DAYS(BD_PRINCIPAL[[#This Row],[HASTA]],BD_PRINCIPAL[[#This Row],[DESDE]]),"")+1,"")</f>
        <v/>
      </c>
      <c r="X307" s="219">
        <f>VLOOKUP(BD_PRINCIPAL[[#This Row],[ENCUADRE. ESC.]],ORDEN1,2,FALSE)</f>
        <v>1</v>
      </c>
      <c r="Y307" s="219">
        <f>VLOOKUP(BD_PRINCIPAL[[#This Row],[DOTACIÓN ACTUAL]],ORDEN2,4,FALSE)</f>
        <v>240</v>
      </c>
      <c r="Z307" s="219">
        <f>VLOOKUP(BD_PRINCIPAL[[#This Row],[GRADO]],ORDEN3,2,FALSE)</f>
        <v>10</v>
      </c>
      <c r="AA307" s="219">
        <f>IFERROR(VLOOKUP(BD_PRINCIPAL[[#This Row],[DOTACIÓN ACTUAL]],ORDEN2,3,FALSE),0)</f>
        <v>0</v>
      </c>
      <c r="AB307" s="212" t="s">
        <v>1</v>
      </c>
      <c r="AC307" s="212" t="s">
        <v>1</v>
      </c>
      <c r="AD307" s="212" t="s">
        <v>1</v>
      </c>
      <c r="AE307" s="212" t="s">
        <v>1</v>
      </c>
      <c r="AF307" s="212" t="s">
        <v>1</v>
      </c>
      <c r="AG307" s="212" t="s">
        <v>855</v>
      </c>
      <c r="AH307" s="212"/>
      <c r="AI307" s="212"/>
      <c r="AJ307" s="212"/>
      <c r="AK307" s="212"/>
      <c r="AL307" s="212"/>
      <c r="AM307" s="212"/>
      <c r="AN307" s="212"/>
      <c r="AO307" s="212"/>
      <c r="AP307" s="212"/>
      <c r="AQ307" s="212"/>
      <c r="AR307" s="212"/>
      <c r="AS307" s="212"/>
      <c r="AT307" s="220"/>
      <c r="AU307" s="220"/>
      <c r="AV307" s="220"/>
      <c r="AW307" s="220"/>
      <c r="AX307" s="220"/>
      <c r="AY307" s="220"/>
      <c r="AZ307" s="220"/>
      <c r="BA307" s="212"/>
      <c r="BB307" s="212"/>
      <c r="BC307" s="212"/>
      <c r="BD307" s="212"/>
      <c r="BE307" s="212"/>
      <c r="BF307" s="212"/>
      <c r="BG307" s="212"/>
      <c r="BH307" s="212"/>
      <c r="BI307" s="212"/>
      <c r="BJ307" s="212"/>
      <c r="BK307" s="212"/>
      <c r="BL307" s="212"/>
      <c r="BM307" s="772">
        <v>45371</v>
      </c>
      <c r="BN307" s="789"/>
    </row>
    <row r="308" spans="1:66" s="221" customFormat="1" x14ac:dyDescent="0.3">
      <c r="A308" s="219" t="s">
        <v>519</v>
      </c>
      <c r="B308" s="212" t="s">
        <v>1599</v>
      </c>
      <c r="C308" s="219">
        <v>155194499</v>
      </c>
      <c r="D308" s="309" t="s">
        <v>754</v>
      </c>
      <c r="E308" s="480" t="s">
        <v>754</v>
      </c>
      <c r="F308" s="480" t="s">
        <v>2402</v>
      </c>
      <c r="G308" s="214" t="s">
        <v>3</v>
      </c>
      <c r="H308" s="215" t="s">
        <v>816</v>
      </c>
      <c r="I308" s="215" t="s">
        <v>872</v>
      </c>
      <c r="J308" s="216" t="s">
        <v>917</v>
      </c>
      <c r="K308" s="1279" t="s">
        <v>2290</v>
      </c>
      <c r="L308" s="733" t="s">
        <v>855</v>
      </c>
      <c r="M308" s="1304" t="s">
        <v>1220</v>
      </c>
      <c r="N308" s="772"/>
      <c r="O308" s="1294"/>
      <c r="P308" s="212"/>
      <c r="Q308" s="1294" t="s">
        <v>832</v>
      </c>
      <c r="R308" s="217">
        <f>$B$1</f>
        <v>45388</v>
      </c>
      <c r="S308" s="223"/>
      <c r="T308" s="213"/>
      <c r="U308" s="218">
        <v>45387</v>
      </c>
      <c r="V308" s="218">
        <v>45390</v>
      </c>
      <c r="W308" s="219">
        <f>IFERROR(IF(AND(BD_PRINCIPAL[[#This Row],[DESDE]]&lt;&gt;"",BD_PRINCIPAL[[#This Row],[HASTA]]&lt;&gt;""),_xlfn.DAYS(BD_PRINCIPAL[[#This Row],[HASTA]],BD_PRINCIPAL[[#This Row],[DESDE]]),"")+1,"")</f>
        <v>4</v>
      </c>
      <c r="X308" s="219">
        <f>VLOOKUP(BD_PRINCIPAL[[#This Row],[ENCUADRE. ESC.]],ORDEN1,2,FALSE)</f>
        <v>1</v>
      </c>
      <c r="Y308" s="219">
        <f>VLOOKUP(BD_PRINCIPAL[[#This Row],[DOTACIÓN ACTUAL]],ORDEN2,4,FALSE)</f>
        <v>240</v>
      </c>
      <c r="Z308" s="219">
        <f>VLOOKUP(BD_PRINCIPAL[[#This Row],[GRADO]],ORDEN3,2,FALSE)</f>
        <v>11</v>
      </c>
      <c r="AA308" s="219">
        <f>IFERROR(VLOOKUP(BD_PRINCIPAL[[#This Row],[DOTACIÓN ACTUAL]],ORDEN2,3,FALSE),0)</f>
        <v>0</v>
      </c>
      <c r="AB308" s="212" t="s">
        <v>1</v>
      </c>
      <c r="AC308" s="212" t="s">
        <v>1</v>
      </c>
      <c r="AD308" s="212" t="s">
        <v>2</v>
      </c>
      <c r="AE308" s="212" t="s">
        <v>1</v>
      </c>
      <c r="AF308" s="212" t="s">
        <v>884</v>
      </c>
      <c r="AG308" s="212" t="s">
        <v>855</v>
      </c>
      <c r="AH308" s="212"/>
      <c r="AI308" s="212"/>
      <c r="AJ308" s="212"/>
      <c r="AK308" s="212"/>
      <c r="AL308" s="212"/>
      <c r="AM308" s="212"/>
      <c r="AN308" s="212"/>
      <c r="AO308" s="212"/>
      <c r="AP308" s="212"/>
      <c r="AQ308" s="212"/>
      <c r="AR308" s="212"/>
      <c r="AS308" s="212"/>
      <c r="AT308" s="220"/>
      <c r="AU308" s="220"/>
      <c r="AV308" s="220"/>
      <c r="AW308" s="220"/>
      <c r="AX308" s="220"/>
      <c r="AY308" s="220"/>
      <c r="AZ308" s="220"/>
      <c r="BA308" s="212"/>
      <c r="BB308" s="212"/>
      <c r="BC308" s="212"/>
      <c r="BD308" s="212"/>
      <c r="BE308" s="212"/>
      <c r="BF308" s="212"/>
      <c r="BG308" s="212"/>
      <c r="BH308" s="212"/>
      <c r="BI308" s="212"/>
      <c r="BJ308" s="212"/>
      <c r="BK308" s="212"/>
      <c r="BL308" s="212"/>
      <c r="BM308" s="772">
        <v>45190</v>
      </c>
      <c r="BN308" s="789"/>
    </row>
    <row r="309" spans="1:66" s="247" customFormat="1" x14ac:dyDescent="0.3">
      <c r="A309" s="245" t="s">
        <v>523</v>
      </c>
      <c r="B309" s="238" t="s">
        <v>1865</v>
      </c>
      <c r="C309" s="245">
        <v>129891890</v>
      </c>
      <c r="D309" s="486" t="s">
        <v>2018</v>
      </c>
      <c r="E309" s="486" t="s">
        <v>2018</v>
      </c>
      <c r="F309" s="478" t="s">
        <v>1865</v>
      </c>
      <c r="G309" s="240" t="s">
        <v>17</v>
      </c>
      <c r="H309" s="241" t="s">
        <v>816</v>
      </c>
      <c r="I309" s="241" t="s">
        <v>872</v>
      </c>
      <c r="J309" s="242" t="s">
        <v>917</v>
      </c>
      <c r="K309" s="1281" t="s">
        <v>2290</v>
      </c>
      <c r="L309" s="735" t="s">
        <v>853</v>
      </c>
      <c r="M309" s="1306" t="s">
        <v>3591</v>
      </c>
      <c r="N309" s="775"/>
      <c r="O309" s="1296"/>
      <c r="P309" s="238"/>
      <c r="Q309" s="1296" t="s">
        <v>832</v>
      </c>
      <c r="R309" s="243">
        <f>$B$1</f>
        <v>45388</v>
      </c>
      <c r="S309" s="249"/>
      <c r="T309" s="249"/>
      <c r="U309" s="244"/>
      <c r="V309" s="244"/>
      <c r="W309" s="245" t="str">
        <f>IFERROR(IF(AND(BD_PRINCIPAL[[#This Row],[DESDE]]&lt;&gt;"",BD_PRINCIPAL[[#This Row],[HASTA]]&lt;&gt;""),_xlfn.DAYS(BD_PRINCIPAL[[#This Row],[HASTA]],BD_PRINCIPAL[[#This Row],[DESDE]]),"")+1,"")</f>
        <v/>
      </c>
      <c r="X309" s="245">
        <f>VLOOKUP(BD_PRINCIPAL[[#This Row],[ENCUADRE. ESC.]],ORDEN1,2,FALSE)</f>
        <v>1</v>
      </c>
      <c r="Y309" s="245">
        <f>VLOOKUP(BD_PRINCIPAL[[#This Row],[DOTACIÓN ACTUAL]],ORDEN2,4,FALSE)</f>
        <v>241</v>
      </c>
      <c r="Z309" s="245">
        <f>VLOOKUP(BD_PRINCIPAL[[#This Row],[GRADO]],ORDEN3,2,FALSE)</f>
        <v>8</v>
      </c>
      <c r="AA309" s="245">
        <f>IFERROR(VLOOKUP(BD_PRINCIPAL[[#This Row],[DOTACIÓN ACTUAL]],ORDEN2,3,FALSE),0)</f>
        <v>0</v>
      </c>
      <c r="AB309" s="238" t="s">
        <v>1</v>
      </c>
      <c r="AC309" s="238" t="s">
        <v>2</v>
      </c>
      <c r="AD309" s="238" t="s">
        <v>1</v>
      </c>
      <c r="AE309" s="238" t="s">
        <v>2</v>
      </c>
      <c r="AF309" s="238" t="s">
        <v>853</v>
      </c>
      <c r="AG309" s="238" t="s">
        <v>853</v>
      </c>
      <c r="AH309" s="238"/>
      <c r="AI309" s="238"/>
      <c r="AJ309" s="238"/>
      <c r="AK309" s="238"/>
      <c r="AL309" s="238"/>
      <c r="AM309" s="238"/>
      <c r="AN309" s="238"/>
      <c r="AO309" s="238"/>
      <c r="AP309" s="238"/>
      <c r="AQ309" s="238"/>
      <c r="AR309" s="238"/>
      <c r="AS309" s="238"/>
      <c r="AT309" s="246"/>
      <c r="AU309" s="246"/>
      <c r="AV309" s="246"/>
      <c r="AW309" s="246"/>
      <c r="AX309" s="246"/>
      <c r="AY309" s="246"/>
      <c r="AZ309" s="246"/>
      <c r="BA309" s="238"/>
      <c r="BB309" s="238"/>
      <c r="BC309" s="238"/>
      <c r="BD309" s="238"/>
      <c r="BE309" s="238"/>
      <c r="BF309" s="238"/>
      <c r="BG309" s="238"/>
      <c r="BH309" s="238"/>
      <c r="BI309" s="238"/>
      <c r="BJ309" s="238"/>
      <c r="BK309" s="238"/>
      <c r="BL309" s="238"/>
      <c r="BM309" s="775">
        <v>45048</v>
      </c>
      <c r="BN309" s="788"/>
    </row>
    <row r="310" spans="1:66" s="247" customFormat="1" x14ac:dyDescent="0.3">
      <c r="A310" s="245" t="s">
        <v>312</v>
      </c>
      <c r="B310" s="238" t="s">
        <v>229</v>
      </c>
      <c r="C310" s="245">
        <v>159838102</v>
      </c>
      <c r="D310" s="715" t="s">
        <v>769</v>
      </c>
      <c r="E310" s="478" t="s">
        <v>2015</v>
      </c>
      <c r="F310" s="478" t="s">
        <v>2181</v>
      </c>
      <c r="G310" s="248" t="s">
        <v>209</v>
      </c>
      <c r="H310" s="241" t="s">
        <v>816</v>
      </c>
      <c r="I310" s="241" t="s">
        <v>872</v>
      </c>
      <c r="J310" s="242" t="s">
        <v>917</v>
      </c>
      <c r="K310" s="1278" t="s">
        <v>2290</v>
      </c>
      <c r="L310" s="735" t="s">
        <v>853</v>
      </c>
      <c r="M310" s="1311" t="s">
        <v>3591</v>
      </c>
      <c r="N310" s="775"/>
      <c r="O310" s="1296"/>
      <c r="P310" s="238"/>
      <c r="Q310" s="1296" t="s">
        <v>832</v>
      </c>
      <c r="R310" s="243">
        <f>$B$1</f>
        <v>45388</v>
      </c>
      <c r="S310" s="249" t="s">
        <v>1483</v>
      </c>
      <c r="T310" s="239"/>
      <c r="U310" s="244"/>
      <c r="V310" s="244"/>
      <c r="W310" s="245" t="str">
        <f>IFERROR(IF(AND(BD_PRINCIPAL[[#This Row],[DESDE]]&lt;&gt;"",BD_PRINCIPAL[[#This Row],[HASTA]]&lt;&gt;""),_xlfn.DAYS(BD_PRINCIPAL[[#This Row],[HASTA]],BD_PRINCIPAL[[#This Row],[DESDE]]),"")+1,"")</f>
        <v/>
      </c>
      <c r="X310" s="245">
        <f>VLOOKUP(BD_PRINCIPAL[[#This Row],[ENCUADRE. ESC.]],ORDEN1,2,FALSE)</f>
        <v>1</v>
      </c>
      <c r="Y310" s="245">
        <f>VLOOKUP(BD_PRINCIPAL[[#This Row],[DOTACIÓN ACTUAL]],ORDEN2,4,FALSE)</f>
        <v>242</v>
      </c>
      <c r="Z310" s="245">
        <f>VLOOKUP(BD_PRINCIPAL[[#This Row],[GRADO]],ORDEN3,2,FALSE)</f>
        <v>10</v>
      </c>
      <c r="AA310" s="245">
        <f>IFERROR(VLOOKUP(BD_PRINCIPAL[[#This Row],[DOTACIÓN ACTUAL]],ORDEN2,3,FALSE),0)</f>
        <v>0</v>
      </c>
      <c r="AB310" s="238" t="s">
        <v>853</v>
      </c>
      <c r="AC310" s="238" t="s">
        <v>853</v>
      </c>
      <c r="AD310" s="238" t="s">
        <v>854</v>
      </c>
      <c r="AE310" s="238" t="s">
        <v>2125</v>
      </c>
      <c r="AF310" s="238" t="s">
        <v>1</v>
      </c>
      <c r="AG310" s="238" t="s">
        <v>853</v>
      </c>
      <c r="AH310" s="238"/>
      <c r="AI310" s="238"/>
      <c r="AJ310" s="238"/>
      <c r="AK310" s="238"/>
      <c r="AL310" s="238"/>
      <c r="AM310" s="238"/>
      <c r="AN310" s="238"/>
      <c r="AO310" s="238"/>
      <c r="AP310" s="238"/>
      <c r="AQ310" s="238"/>
      <c r="AR310" s="238"/>
      <c r="AS310" s="238"/>
      <c r="AT310" s="246"/>
      <c r="AU310" s="246"/>
      <c r="AV310" s="246"/>
      <c r="AW310" s="246"/>
      <c r="AX310" s="246"/>
      <c r="AY310" s="246"/>
      <c r="AZ310" s="246"/>
      <c r="BA310" s="238"/>
      <c r="BB310" s="238"/>
      <c r="BC310" s="238"/>
      <c r="BD310" s="238"/>
      <c r="BE310" s="238"/>
      <c r="BF310" s="238"/>
      <c r="BG310" s="238"/>
      <c r="BH310" s="238"/>
      <c r="BI310" s="238"/>
      <c r="BJ310" s="238"/>
      <c r="BK310" s="238"/>
      <c r="BL310" s="238"/>
      <c r="BM310" s="775">
        <v>45175</v>
      </c>
      <c r="BN310" s="788"/>
    </row>
    <row r="311" spans="1:66" s="247" customFormat="1" x14ac:dyDescent="0.3">
      <c r="A311" s="245" t="s">
        <v>525</v>
      </c>
      <c r="B311" s="238" t="s">
        <v>52</v>
      </c>
      <c r="C311" s="245">
        <v>168065477</v>
      </c>
      <c r="D311" s="311" t="s">
        <v>2015</v>
      </c>
      <c r="E311" s="478" t="s">
        <v>2015</v>
      </c>
      <c r="F311" s="478" t="s">
        <v>52</v>
      </c>
      <c r="G311" s="240" t="s">
        <v>209</v>
      </c>
      <c r="H311" s="241" t="s">
        <v>816</v>
      </c>
      <c r="I311" s="241" t="s">
        <v>872</v>
      </c>
      <c r="J311" s="242" t="s">
        <v>917</v>
      </c>
      <c r="K311" s="1278" t="s">
        <v>2290</v>
      </c>
      <c r="L311" s="735" t="s">
        <v>853</v>
      </c>
      <c r="M311" s="1311" t="s">
        <v>3591</v>
      </c>
      <c r="N311" s="775"/>
      <c r="O311" s="1296"/>
      <c r="P311" s="238"/>
      <c r="Q311" s="1296" t="s">
        <v>832</v>
      </c>
      <c r="R311" s="243">
        <f>$B$1</f>
        <v>45388</v>
      </c>
      <c r="S311" s="249"/>
      <c r="T311" s="239"/>
      <c r="U311" s="244"/>
      <c r="V311" s="244"/>
      <c r="W311" s="245" t="str">
        <f>IFERROR(IF(AND(BD_PRINCIPAL[[#This Row],[DESDE]]&lt;&gt;"",BD_PRINCIPAL[[#This Row],[HASTA]]&lt;&gt;""),_xlfn.DAYS(BD_PRINCIPAL[[#This Row],[HASTA]],BD_PRINCIPAL[[#This Row],[DESDE]]),"")+1,"")</f>
        <v/>
      </c>
      <c r="X311" s="245">
        <f>VLOOKUP(BD_PRINCIPAL[[#This Row],[ENCUADRE. ESC.]],ORDEN1,2,FALSE)</f>
        <v>1</v>
      </c>
      <c r="Y311" s="245">
        <f>VLOOKUP(BD_PRINCIPAL[[#This Row],[DOTACIÓN ACTUAL]],ORDEN2,4,FALSE)</f>
        <v>242</v>
      </c>
      <c r="Z311" s="245">
        <f>VLOOKUP(BD_PRINCIPAL[[#This Row],[GRADO]],ORDEN3,2,FALSE)</f>
        <v>10</v>
      </c>
      <c r="AA311" s="245">
        <f>IFERROR(VLOOKUP(BD_PRINCIPAL[[#This Row],[DOTACIÓN ACTUAL]],ORDEN2,3,FALSE),0)</f>
        <v>0</v>
      </c>
      <c r="AB311" s="238" t="s">
        <v>1</v>
      </c>
      <c r="AC311" s="238" t="s">
        <v>2</v>
      </c>
      <c r="AD311" s="238" t="s">
        <v>1</v>
      </c>
      <c r="AE311" s="238" t="s">
        <v>2</v>
      </c>
      <c r="AF311" s="238" t="s">
        <v>1</v>
      </c>
      <c r="AG311" s="238" t="s">
        <v>853</v>
      </c>
      <c r="AH311" s="238"/>
      <c r="AI311" s="238"/>
      <c r="AJ311" s="238"/>
      <c r="AK311" s="238"/>
      <c r="AL311" s="238"/>
      <c r="AM311" s="238"/>
      <c r="AN311" s="238"/>
      <c r="AO311" s="238"/>
      <c r="AP311" s="238"/>
      <c r="AQ311" s="238"/>
      <c r="AR311" s="238"/>
      <c r="AS311" s="238"/>
      <c r="AT311" s="246"/>
      <c r="AU311" s="246"/>
      <c r="AV311" s="246"/>
      <c r="AW311" s="246"/>
      <c r="AX311" s="246"/>
      <c r="AY311" s="246"/>
      <c r="AZ311" s="246"/>
      <c r="BA311" s="238"/>
      <c r="BB311" s="238"/>
      <c r="BC311" s="238"/>
      <c r="BD311" s="238"/>
      <c r="BE311" s="238"/>
      <c r="BF311" s="238"/>
      <c r="BG311" s="238"/>
      <c r="BH311" s="238"/>
      <c r="BI311" s="238"/>
      <c r="BJ311" s="238"/>
      <c r="BK311" s="238"/>
      <c r="BL311" s="238"/>
      <c r="BM311" s="775">
        <v>45076</v>
      </c>
      <c r="BN311" s="788"/>
    </row>
    <row r="312" spans="1:66" s="247" customFormat="1" x14ac:dyDescent="0.3">
      <c r="A312" s="245" t="s">
        <v>527</v>
      </c>
      <c r="B312" s="238" t="s">
        <v>1574</v>
      </c>
      <c r="C312" s="245">
        <v>167841236</v>
      </c>
      <c r="D312" s="311" t="s">
        <v>2015</v>
      </c>
      <c r="E312" s="478" t="s">
        <v>2015</v>
      </c>
      <c r="F312" s="478" t="s">
        <v>1914</v>
      </c>
      <c r="G312" s="240" t="s">
        <v>209</v>
      </c>
      <c r="H312" s="241" t="s">
        <v>816</v>
      </c>
      <c r="I312" s="241" t="s">
        <v>872</v>
      </c>
      <c r="J312" s="242" t="s">
        <v>917</v>
      </c>
      <c r="K312" s="1281" t="s">
        <v>2294</v>
      </c>
      <c r="L312" s="735" t="s">
        <v>853</v>
      </c>
      <c r="M312" s="1306" t="s">
        <v>3591</v>
      </c>
      <c r="N312" s="775"/>
      <c r="O312" s="1296"/>
      <c r="P312" s="238"/>
      <c r="Q312" s="1296" t="s">
        <v>832</v>
      </c>
      <c r="R312" s="243">
        <f>$B$1</f>
        <v>45388</v>
      </c>
      <c r="S312" s="239"/>
      <c r="T312" s="239"/>
      <c r="U312" s="244"/>
      <c r="V312" s="244"/>
      <c r="W312" s="245" t="str">
        <f>IFERROR(IF(AND(BD_PRINCIPAL[[#This Row],[DESDE]]&lt;&gt;"",BD_PRINCIPAL[[#This Row],[HASTA]]&lt;&gt;""),_xlfn.DAYS(BD_PRINCIPAL[[#This Row],[HASTA]],BD_PRINCIPAL[[#This Row],[DESDE]]),"")+1,"")</f>
        <v/>
      </c>
      <c r="X312" s="245">
        <f>VLOOKUP(BD_PRINCIPAL[[#This Row],[ENCUADRE. ESC.]],ORDEN1,2,FALSE)</f>
        <v>1</v>
      </c>
      <c r="Y312" s="245">
        <f>VLOOKUP(BD_PRINCIPAL[[#This Row],[DOTACIÓN ACTUAL]],ORDEN2,4,FALSE)</f>
        <v>242</v>
      </c>
      <c r="Z312" s="245">
        <f>VLOOKUP(BD_PRINCIPAL[[#This Row],[GRADO]],ORDEN3,2,FALSE)</f>
        <v>10</v>
      </c>
      <c r="AA312" s="245">
        <f>IFERROR(VLOOKUP(BD_PRINCIPAL[[#This Row],[DOTACIÓN ACTUAL]],ORDEN2,3,FALSE),0)</f>
        <v>0</v>
      </c>
      <c r="AB312" s="238" t="s">
        <v>1</v>
      </c>
      <c r="AC312" s="238" t="s">
        <v>2</v>
      </c>
      <c r="AD312" s="238" t="s">
        <v>1</v>
      </c>
      <c r="AE312" s="238" t="s">
        <v>2</v>
      </c>
      <c r="AF312" s="238" t="s">
        <v>853</v>
      </c>
      <c r="AG312" s="238" t="s">
        <v>853</v>
      </c>
      <c r="AH312" s="238"/>
      <c r="AI312" s="238"/>
      <c r="AJ312" s="238"/>
      <c r="AK312" s="238"/>
      <c r="AL312" s="238"/>
      <c r="AM312" s="238"/>
      <c r="AN312" s="238"/>
      <c r="AO312" s="238"/>
      <c r="AP312" s="238"/>
      <c r="AQ312" s="238"/>
      <c r="AR312" s="238"/>
      <c r="AS312" s="238"/>
      <c r="AT312" s="246"/>
      <c r="AU312" s="246"/>
      <c r="AV312" s="246"/>
      <c r="AW312" s="246"/>
      <c r="AX312" s="246"/>
      <c r="AY312" s="246"/>
      <c r="AZ312" s="246"/>
      <c r="BA312" s="238"/>
      <c r="BB312" s="238"/>
      <c r="BC312" s="238"/>
      <c r="BD312" s="238"/>
      <c r="BE312" s="238"/>
      <c r="BF312" s="238"/>
      <c r="BG312" s="238"/>
      <c r="BH312" s="238"/>
      <c r="BI312" s="238"/>
      <c r="BJ312" s="238"/>
      <c r="BK312" s="238"/>
      <c r="BL312" s="238"/>
      <c r="BM312" s="775">
        <v>45204</v>
      </c>
      <c r="BN312" s="788"/>
    </row>
    <row r="313" spans="1:66" s="247" customFormat="1" x14ac:dyDescent="0.3">
      <c r="A313" s="245" t="s">
        <v>2551</v>
      </c>
      <c r="B313" s="649" t="s">
        <v>2553</v>
      </c>
      <c r="C313" s="245" t="s">
        <v>2552</v>
      </c>
      <c r="D313" s="478" t="s">
        <v>2015</v>
      </c>
      <c r="E313" s="478" t="s">
        <v>2015</v>
      </c>
      <c r="F313" s="478" t="s">
        <v>2910</v>
      </c>
      <c r="G313" s="248" t="s">
        <v>3</v>
      </c>
      <c r="H313" s="241" t="s">
        <v>816</v>
      </c>
      <c r="I313" s="241" t="s">
        <v>872</v>
      </c>
      <c r="J313" s="242" t="s">
        <v>917</v>
      </c>
      <c r="K313" s="1281" t="s">
        <v>2641</v>
      </c>
      <c r="L313" s="735" t="s">
        <v>853</v>
      </c>
      <c r="M313" s="1306" t="s">
        <v>3591</v>
      </c>
      <c r="N313" s="774"/>
      <c r="O313" s="1296"/>
      <c r="P313" s="238"/>
      <c r="Q313" s="1296" t="s">
        <v>832</v>
      </c>
      <c r="R313" s="337">
        <v>29258</v>
      </c>
      <c r="S313" s="239" t="s">
        <v>1483</v>
      </c>
      <c r="T313" s="239"/>
      <c r="U313" s="740"/>
      <c r="V313" s="740"/>
      <c r="W313" s="338" t="str">
        <f>IFERROR(IF(AND(BD_PRINCIPAL[[#This Row],[DESDE]]&lt;&gt;"",BD_PRINCIPAL[[#This Row],[HASTA]]&lt;&gt;""),_xlfn.DAYS(BD_PRINCIPAL[[#This Row],[HASTA]],BD_PRINCIPAL[[#This Row],[DESDE]]),"")+1,"")</f>
        <v/>
      </c>
      <c r="X313" s="338">
        <f>VLOOKUP(BD_PRINCIPAL[[#This Row],[ENCUADRE. ESC.]],ORDEN1,2,FALSE)</f>
        <v>1</v>
      </c>
      <c r="Y313" s="338">
        <f>VLOOKUP(BD_PRINCIPAL[[#This Row],[DOTACIÓN ACTUAL]],ORDEN2,4,FALSE)</f>
        <v>242</v>
      </c>
      <c r="Z313" s="338">
        <f>VLOOKUP(BD_PRINCIPAL[[#This Row],[GRADO]],ORDEN3,2,FALSE)</f>
        <v>11</v>
      </c>
      <c r="AA313" s="338">
        <f>IFERROR(VLOOKUP(BD_PRINCIPAL[[#This Row],[DOTACIÓN ACTUAL]],ORDEN2,3,FALSE),0)</f>
        <v>0</v>
      </c>
      <c r="AB313" s="238" t="s">
        <v>884</v>
      </c>
      <c r="AC313" s="238" t="s">
        <v>2</v>
      </c>
      <c r="AD313" s="238" t="s">
        <v>1</v>
      </c>
      <c r="AE313" s="238" t="s">
        <v>2</v>
      </c>
      <c r="AF313" s="238" t="s">
        <v>2</v>
      </c>
      <c r="AG313" s="238" t="s">
        <v>853</v>
      </c>
      <c r="AH313" s="246"/>
      <c r="AI313" s="246"/>
      <c r="AJ313" s="246"/>
      <c r="AK313" s="246"/>
      <c r="AL313" s="246"/>
      <c r="AM313" s="246"/>
      <c r="AN313" s="246"/>
      <c r="AO313" s="246"/>
      <c r="AP313" s="246"/>
      <c r="AQ313" s="246"/>
      <c r="AR313" s="246"/>
      <c r="AS313" s="246"/>
      <c r="AT313" s="246"/>
      <c r="AU313" s="246"/>
      <c r="AV313" s="246"/>
      <c r="AW313" s="246"/>
      <c r="AX313" s="246"/>
      <c r="AY313" s="246"/>
      <c r="AZ313" s="246"/>
      <c r="BA313" s="238"/>
      <c r="BB313" s="238"/>
      <c r="BC313" s="238"/>
      <c r="BD313" s="238"/>
      <c r="BE313" s="238"/>
      <c r="BF313" s="238"/>
      <c r="BG313" s="238"/>
      <c r="BH313" s="238"/>
      <c r="BI313" s="238"/>
      <c r="BJ313" s="238"/>
      <c r="BK313" s="238"/>
      <c r="BL313" s="238"/>
      <c r="BM313" s="775">
        <v>45111</v>
      </c>
      <c r="BN313" s="788"/>
    </row>
    <row r="314" spans="1:66" s="221" customFormat="1" x14ac:dyDescent="0.3">
      <c r="A314" s="219" t="s">
        <v>563</v>
      </c>
      <c r="B314" s="212" t="s">
        <v>182</v>
      </c>
      <c r="C314" s="219">
        <v>142975068</v>
      </c>
      <c r="D314" s="981" t="s">
        <v>770</v>
      </c>
      <c r="E314" s="621" t="s">
        <v>770</v>
      </c>
      <c r="F314" s="480" t="s">
        <v>182</v>
      </c>
      <c r="G314" s="214" t="s">
        <v>17</v>
      </c>
      <c r="H314" s="215" t="s">
        <v>816</v>
      </c>
      <c r="I314" s="215" t="s">
        <v>872</v>
      </c>
      <c r="J314" s="216" t="s">
        <v>917</v>
      </c>
      <c r="K314" s="1287" t="s">
        <v>2290</v>
      </c>
      <c r="L314" s="733" t="s">
        <v>853</v>
      </c>
      <c r="M314" s="1313" t="s">
        <v>2455</v>
      </c>
      <c r="N314" s="772"/>
      <c r="O314" s="1294"/>
      <c r="P314" s="212"/>
      <c r="Q314" s="1294" t="s">
        <v>832</v>
      </c>
      <c r="R314" s="217">
        <f>$B$1</f>
        <v>45388</v>
      </c>
      <c r="S314" s="223"/>
      <c r="T314" s="213"/>
      <c r="U314" s="218"/>
      <c r="V314" s="218"/>
      <c r="W314" s="219" t="str">
        <f>IFERROR(IF(AND(BD_PRINCIPAL[[#This Row],[DESDE]]&lt;&gt;"",BD_PRINCIPAL[[#This Row],[HASTA]]&lt;&gt;""),_xlfn.DAYS(BD_PRINCIPAL[[#This Row],[HASTA]],BD_PRINCIPAL[[#This Row],[DESDE]]),"")+1,"")</f>
        <v/>
      </c>
      <c r="X314" s="219">
        <f>VLOOKUP(BD_PRINCIPAL[[#This Row],[ENCUADRE. ESC.]],ORDEN1,2,FALSE)</f>
        <v>1</v>
      </c>
      <c r="Y314" s="219">
        <f>VLOOKUP(BD_PRINCIPAL[[#This Row],[DOTACIÓN ACTUAL]],ORDEN2,4,FALSE)</f>
        <v>263</v>
      </c>
      <c r="Z314" s="219">
        <f>VLOOKUP(BD_PRINCIPAL[[#This Row],[GRADO]],ORDEN3,2,FALSE)</f>
        <v>8</v>
      </c>
      <c r="AA314" s="219">
        <f>IFERROR(VLOOKUP(BD_PRINCIPAL[[#This Row],[DOTACIÓN ACTUAL]],ORDEN2,3,FALSE),0)</f>
        <v>0</v>
      </c>
      <c r="AB314" s="212" t="s">
        <v>1</v>
      </c>
      <c r="AC314" s="212" t="s">
        <v>2</v>
      </c>
      <c r="AD314" s="212" t="s">
        <v>1</v>
      </c>
      <c r="AE314" s="212" t="s">
        <v>2</v>
      </c>
      <c r="AF314" s="212" t="s">
        <v>1</v>
      </c>
      <c r="AG314" s="212" t="s">
        <v>853</v>
      </c>
      <c r="AH314" s="212"/>
      <c r="AI314" s="212"/>
      <c r="AJ314" s="212"/>
      <c r="AK314" s="212"/>
      <c r="AL314" s="212"/>
      <c r="AM314" s="212"/>
      <c r="AN314" s="212"/>
      <c r="AO314" s="212"/>
      <c r="AP314" s="212"/>
      <c r="AQ314" s="212"/>
      <c r="AR314" s="212"/>
      <c r="AS314" s="212"/>
      <c r="AT314" s="220"/>
      <c r="AU314" s="220"/>
      <c r="AV314" s="220"/>
      <c r="AW314" s="220"/>
      <c r="AX314" s="220"/>
      <c r="AY314" s="220"/>
      <c r="AZ314" s="220"/>
      <c r="BA314" s="212"/>
      <c r="BB314" s="212"/>
      <c r="BC314" s="212"/>
      <c r="BD314" s="212"/>
      <c r="BE314" s="212"/>
      <c r="BF314" s="212"/>
      <c r="BG314" s="212"/>
      <c r="BH314" s="212"/>
      <c r="BI314" s="212"/>
      <c r="BJ314" s="212"/>
      <c r="BK314" s="212"/>
      <c r="BL314" s="212"/>
      <c r="BM314" s="772">
        <v>45097</v>
      </c>
      <c r="BN314" s="789"/>
    </row>
    <row r="315" spans="1:66" s="221" customFormat="1" x14ac:dyDescent="0.3">
      <c r="A315" s="219" t="s">
        <v>432</v>
      </c>
      <c r="B315" s="212" t="s">
        <v>213</v>
      </c>
      <c r="C315" s="219">
        <v>184077213</v>
      </c>
      <c r="D315" s="981" t="s">
        <v>770</v>
      </c>
      <c r="E315" s="621" t="s">
        <v>770</v>
      </c>
      <c r="F315" s="480" t="s">
        <v>1912</v>
      </c>
      <c r="G315" s="214" t="s">
        <v>4</v>
      </c>
      <c r="H315" s="215" t="s">
        <v>816</v>
      </c>
      <c r="I315" s="215" t="s">
        <v>872</v>
      </c>
      <c r="J315" s="216" t="s">
        <v>917</v>
      </c>
      <c r="K315" s="1279" t="s">
        <v>2305</v>
      </c>
      <c r="L315" s="733" t="s">
        <v>853</v>
      </c>
      <c r="M315" s="1304" t="s">
        <v>2455</v>
      </c>
      <c r="N315" s="771"/>
      <c r="O315" s="1294"/>
      <c r="P315" s="212"/>
      <c r="Q315" s="1294" t="s">
        <v>832</v>
      </c>
      <c r="R315" s="217">
        <f>$B$1</f>
        <v>45388</v>
      </c>
      <c r="S315" s="223"/>
      <c r="T315" s="223"/>
      <c r="U315" s="224"/>
      <c r="V315" s="224"/>
      <c r="W315" s="219" t="str">
        <f>IFERROR(IF(AND(BD_PRINCIPAL[[#This Row],[DESDE]]&lt;&gt;"",BD_PRINCIPAL[[#This Row],[HASTA]]&lt;&gt;""),_xlfn.DAYS(BD_PRINCIPAL[[#This Row],[HASTA]],BD_PRINCIPAL[[#This Row],[DESDE]]),"")+1,"")</f>
        <v/>
      </c>
      <c r="X315" s="219">
        <f>VLOOKUP(BD_PRINCIPAL[[#This Row],[ENCUADRE. ESC.]],ORDEN1,2,FALSE)</f>
        <v>1</v>
      </c>
      <c r="Y315" s="219">
        <f>VLOOKUP(BD_PRINCIPAL[[#This Row],[DOTACIÓN ACTUAL]],ORDEN2,4,FALSE)</f>
        <v>263</v>
      </c>
      <c r="Z315" s="219">
        <f>VLOOKUP(BD_PRINCIPAL[[#This Row],[GRADO]],ORDEN3,2,FALSE)</f>
        <v>12</v>
      </c>
      <c r="AA315" s="219">
        <f>IFERROR(VLOOKUP(BD_PRINCIPAL[[#This Row],[DOTACIÓN ACTUAL]],ORDEN2,3,FALSE),0)</f>
        <v>0</v>
      </c>
      <c r="AB315" s="212" t="s">
        <v>1</v>
      </c>
      <c r="AC315" s="212" t="s">
        <v>2</v>
      </c>
      <c r="AD315" s="212" t="s">
        <v>1</v>
      </c>
      <c r="AE315" s="212" t="s">
        <v>2</v>
      </c>
      <c r="AF315" s="212" t="s">
        <v>1</v>
      </c>
      <c r="AG315" s="212" t="s">
        <v>853</v>
      </c>
      <c r="AH315" s="212"/>
      <c r="AI315" s="212"/>
      <c r="AJ315" s="212"/>
      <c r="AK315" s="212"/>
      <c r="AL315" s="212"/>
      <c r="AM315" s="212"/>
      <c r="AN315" s="212"/>
      <c r="AO315" s="212"/>
      <c r="AP315" s="212"/>
      <c r="AQ315" s="212"/>
      <c r="AR315" s="212"/>
      <c r="AS315" s="212"/>
      <c r="AT315" s="220"/>
      <c r="AU315" s="220"/>
      <c r="AV315" s="220"/>
      <c r="AW315" s="220"/>
      <c r="AX315" s="220"/>
      <c r="AY315" s="220"/>
      <c r="AZ315" s="220"/>
      <c r="BA315" s="212"/>
      <c r="BB315" s="212"/>
      <c r="BC315" s="212"/>
      <c r="BD315" s="212"/>
      <c r="BE315" s="212"/>
      <c r="BF315" s="212"/>
      <c r="BG315" s="212"/>
      <c r="BH315" s="212"/>
      <c r="BI315" s="212"/>
      <c r="BJ315" s="212"/>
      <c r="BK315" s="212"/>
      <c r="BL315" s="212"/>
      <c r="BM315" s="771">
        <v>45093</v>
      </c>
      <c r="BN315" s="789"/>
    </row>
    <row r="316" spans="1:66" s="221" customFormat="1" x14ac:dyDescent="0.3">
      <c r="A316" s="219" t="s">
        <v>543</v>
      </c>
      <c r="B316" s="212" t="s">
        <v>257</v>
      </c>
      <c r="C316" s="219">
        <v>127328900</v>
      </c>
      <c r="D316" s="309" t="s">
        <v>771</v>
      </c>
      <c r="E316" s="485" t="s">
        <v>771</v>
      </c>
      <c r="F316" s="480" t="s">
        <v>257</v>
      </c>
      <c r="G316" s="214" t="s">
        <v>89</v>
      </c>
      <c r="H316" s="215" t="s">
        <v>816</v>
      </c>
      <c r="I316" s="215" t="s">
        <v>872</v>
      </c>
      <c r="J316" s="216" t="s">
        <v>917</v>
      </c>
      <c r="K316" s="1279" t="s">
        <v>2290</v>
      </c>
      <c r="L316" s="733" t="s">
        <v>855</v>
      </c>
      <c r="M316" s="1304" t="s">
        <v>2455</v>
      </c>
      <c r="N316" s="772"/>
      <c r="O316" s="1294"/>
      <c r="P316" s="212"/>
      <c r="Q316" s="1294" t="s">
        <v>832</v>
      </c>
      <c r="R316" s="217">
        <f>$B$1</f>
        <v>45388</v>
      </c>
      <c r="S316" s="223"/>
      <c r="T316" s="213"/>
      <c r="U316" s="218"/>
      <c r="V316" s="218"/>
      <c r="W316" s="219" t="str">
        <f>IFERROR(IF(AND(BD_PRINCIPAL[[#This Row],[DESDE]]&lt;&gt;"",BD_PRINCIPAL[[#This Row],[HASTA]]&lt;&gt;""),_xlfn.DAYS(BD_PRINCIPAL[[#This Row],[HASTA]],BD_PRINCIPAL[[#This Row],[DESDE]]),"")+1,"")</f>
        <v/>
      </c>
      <c r="X316" s="219">
        <f>VLOOKUP(BD_PRINCIPAL[[#This Row],[ENCUADRE. ESC.]],ORDEN1,2,FALSE)</f>
        <v>1</v>
      </c>
      <c r="Y316" s="219">
        <f>VLOOKUP(BD_PRINCIPAL[[#This Row],[DOTACIÓN ACTUAL]],ORDEN2,4,FALSE)</f>
        <v>264</v>
      </c>
      <c r="Z316" s="219">
        <f>VLOOKUP(BD_PRINCIPAL[[#This Row],[GRADO]],ORDEN3,2,FALSE)</f>
        <v>9</v>
      </c>
      <c r="AA316" s="219">
        <f>IFERROR(VLOOKUP(BD_PRINCIPAL[[#This Row],[DOTACIÓN ACTUAL]],ORDEN2,3,FALSE),0)</f>
        <v>0</v>
      </c>
      <c r="AB316" s="212" t="s">
        <v>2</v>
      </c>
      <c r="AC316" s="212" t="s">
        <v>1</v>
      </c>
      <c r="AD316" s="212" t="s">
        <v>2</v>
      </c>
      <c r="AE316" s="212" t="s">
        <v>1</v>
      </c>
      <c r="AF316" s="212" t="s">
        <v>2</v>
      </c>
      <c r="AG316" s="212" t="s">
        <v>855</v>
      </c>
      <c r="AH316" s="212"/>
      <c r="AI316" s="212"/>
      <c r="AJ316" s="212"/>
      <c r="AK316" s="212"/>
      <c r="AL316" s="212"/>
      <c r="AM316" s="212"/>
      <c r="AN316" s="212"/>
      <c r="AO316" s="212"/>
      <c r="AP316" s="212"/>
      <c r="AQ316" s="212"/>
      <c r="AR316" s="212"/>
      <c r="AS316" s="212"/>
      <c r="AT316" s="220"/>
      <c r="AU316" s="220"/>
      <c r="AV316" s="220"/>
      <c r="AW316" s="220"/>
      <c r="AX316" s="220"/>
      <c r="AY316" s="220"/>
      <c r="AZ316" s="220"/>
      <c r="BA316" s="212"/>
      <c r="BB316" s="212"/>
      <c r="BC316" s="212"/>
      <c r="BD316" s="212"/>
      <c r="BE316" s="212"/>
      <c r="BF316" s="212"/>
      <c r="BG316" s="212"/>
      <c r="BH316" s="212"/>
      <c r="BI316" s="212"/>
      <c r="BJ316" s="212"/>
      <c r="BK316" s="212"/>
      <c r="BL316" s="212"/>
      <c r="BM316" s="772">
        <v>45133</v>
      </c>
      <c r="BN316" s="789"/>
    </row>
    <row r="317" spans="1:66" s="221" customFormat="1" x14ac:dyDescent="0.3">
      <c r="A317" s="219" t="s">
        <v>412</v>
      </c>
      <c r="B317" s="212" t="s">
        <v>684</v>
      </c>
      <c r="C317" s="219">
        <v>197142138</v>
      </c>
      <c r="D317" s="309" t="s">
        <v>771</v>
      </c>
      <c r="E317" s="485" t="s">
        <v>771</v>
      </c>
      <c r="F317" s="480" t="s">
        <v>1905</v>
      </c>
      <c r="G317" s="214" t="s">
        <v>4</v>
      </c>
      <c r="H317" s="215" t="s">
        <v>816</v>
      </c>
      <c r="I317" s="215" t="s">
        <v>872</v>
      </c>
      <c r="J317" s="216" t="s">
        <v>917</v>
      </c>
      <c r="K317" s="1279" t="s">
        <v>2305</v>
      </c>
      <c r="L317" s="733" t="s">
        <v>855</v>
      </c>
      <c r="M317" s="1304" t="s">
        <v>2455</v>
      </c>
      <c r="N317" s="772"/>
      <c r="O317" s="1294"/>
      <c r="P317" s="212"/>
      <c r="Q317" s="1294" t="s">
        <v>832</v>
      </c>
      <c r="R317" s="217">
        <f>$B$1</f>
        <v>45388</v>
      </c>
      <c r="S317" s="223"/>
      <c r="T317" s="213"/>
      <c r="U317" s="218"/>
      <c r="V317" s="218"/>
      <c r="W317" s="219" t="str">
        <f>IFERROR(IF(AND(BD_PRINCIPAL[[#This Row],[DESDE]]&lt;&gt;"",BD_PRINCIPAL[[#This Row],[HASTA]]&lt;&gt;""),_xlfn.DAYS(BD_PRINCIPAL[[#This Row],[HASTA]],BD_PRINCIPAL[[#This Row],[DESDE]]),"")+1,"")</f>
        <v/>
      </c>
      <c r="X317" s="219">
        <f>VLOOKUP(BD_PRINCIPAL[[#This Row],[ENCUADRE. ESC.]],ORDEN1,2,FALSE)</f>
        <v>1</v>
      </c>
      <c r="Y317" s="219">
        <f>VLOOKUP(BD_PRINCIPAL[[#This Row],[DOTACIÓN ACTUAL]],ORDEN2,4,FALSE)</f>
        <v>264</v>
      </c>
      <c r="Z317" s="219">
        <f>VLOOKUP(BD_PRINCIPAL[[#This Row],[GRADO]],ORDEN3,2,FALSE)</f>
        <v>12</v>
      </c>
      <c r="AA317" s="219">
        <f>IFERROR(VLOOKUP(BD_PRINCIPAL[[#This Row],[DOTACIÓN ACTUAL]],ORDEN2,3,FALSE),0)</f>
        <v>0</v>
      </c>
      <c r="AB317" s="212" t="s">
        <v>2</v>
      </c>
      <c r="AC317" s="212" t="s">
        <v>1</v>
      </c>
      <c r="AD317" s="212" t="s">
        <v>2</v>
      </c>
      <c r="AE317" s="212" t="s">
        <v>1</v>
      </c>
      <c r="AF317" s="212" t="s">
        <v>2</v>
      </c>
      <c r="AG317" s="212" t="s">
        <v>855</v>
      </c>
      <c r="AH317" s="212"/>
      <c r="AI317" s="212"/>
      <c r="AJ317" s="212"/>
      <c r="AK317" s="212"/>
      <c r="AL317" s="212"/>
      <c r="AM317" s="212"/>
      <c r="AN317" s="212"/>
      <c r="AO317" s="212"/>
      <c r="AP317" s="212"/>
      <c r="AQ317" s="212"/>
      <c r="AR317" s="212"/>
      <c r="AS317" s="212"/>
      <c r="AT317" s="220"/>
      <c r="AU317" s="220"/>
      <c r="AV317" s="220"/>
      <c r="AW317" s="220"/>
      <c r="AX317" s="220"/>
      <c r="AY317" s="220"/>
      <c r="AZ317" s="220"/>
      <c r="BA317" s="212"/>
      <c r="BB317" s="212"/>
      <c r="BC317" s="212"/>
      <c r="BD317" s="212"/>
      <c r="BE317" s="212"/>
      <c r="BF317" s="212"/>
      <c r="BG317" s="212"/>
      <c r="BH317" s="212"/>
      <c r="BI317" s="212"/>
      <c r="BJ317" s="212"/>
      <c r="BK317" s="212"/>
      <c r="BL317" s="212"/>
      <c r="BM317" s="772">
        <v>45057</v>
      </c>
      <c r="BN317" s="789"/>
    </row>
    <row r="318" spans="1:66" s="233" customFormat="1" x14ac:dyDescent="0.3">
      <c r="A318" s="231" t="s">
        <v>553</v>
      </c>
      <c r="B318" s="225" t="s">
        <v>1582</v>
      </c>
      <c r="C318" s="231">
        <v>116576139</v>
      </c>
      <c r="D318" s="317" t="s">
        <v>774</v>
      </c>
      <c r="E318" s="477" t="s">
        <v>774</v>
      </c>
      <c r="F318" s="477" t="s">
        <v>1919</v>
      </c>
      <c r="G318" s="227" t="s">
        <v>11</v>
      </c>
      <c r="H318" s="228" t="s">
        <v>816</v>
      </c>
      <c r="I318" s="228" t="s">
        <v>872</v>
      </c>
      <c r="J318" s="229" t="s">
        <v>917</v>
      </c>
      <c r="K318" s="1280" t="s">
        <v>2315</v>
      </c>
      <c r="L318" s="734" t="s">
        <v>1075</v>
      </c>
      <c r="M318" s="1305" t="s">
        <v>774</v>
      </c>
      <c r="N318" s="773"/>
      <c r="O318" s="1295"/>
      <c r="P318" s="225"/>
      <c r="Q318" s="1295" t="s">
        <v>832</v>
      </c>
      <c r="R318" s="234">
        <f>$B$1</f>
        <v>45388</v>
      </c>
      <c r="S318" s="226"/>
      <c r="T318" s="226"/>
      <c r="U318" s="230"/>
      <c r="V318" s="230"/>
      <c r="W318" s="231" t="str">
        <f>IFERROR(IF(AND(BD_PRINCIPAL[[#This Row],[DESDE]]&lt;&gt;"",BD_PRINCIPAL[[#This Row],[HASTA]]&lt;&gt;""),_xlfn.DAYS(BD_PRINCIPAL[[#This Row],[HASTA]],BD_PRINCIPAL[[#This Row],[DESDE]]),"")+1,"")</f>
        <v/>
      </c>
      <c r="X318" s="231">
        <f>VLOOKUP(BD_PRINCIPAL[[#This Row],[ENCUADRE. ESC.]],ORDEN1,2,FALSE)</f>
        <v>1</v>
      </c>
      <c r="Y318" s="231">
        <f>VLOOKUP(BD_PRINCIPAL[[#This Row],[DOTACIÓN ACTUAL]],ORDEN2,4,FALSE)</f>
        <v>266</v>
      </c>
      <c r="Z318" s="231">
        <f>VLOOKUP(BD_PRINCIPAL[[#This Row],[GRADO]],ORDEN3,2,FALSE)</f>
        <v>7</v>
      </c>
      <c r="AA318" s="231">
        <f>IFERROR(VLOOKUP(BD_PRINCIPAL[[#This Row],[DOTACIÓN ACTUAL]],ORDEN2,3,FALSE),0)</f>
        <v>0</v>
      </c>
      <c r="AB318" s="225" t="s">
        <v>1075</v>
      </c>
      <c r="AC318" s="225" t="s">
        <v>1075</v>
      </c>
      <c r="AD318" s="225" t="s">
        <v>1075</v>
      </c>
      <c r="AE318" s="225" t="s">
        <v>1075</v>
      </c>
      <c r="AF318" s="225" t="s">
        <v>1075</v>
      </c>
      <c r="AG318" s="225" t="s">
        <v>1075</v>
      </c>
      <c r="AH318" s="225"/>
      <c r="AI318" s="225"/>
      <c r="AJ318" s="225"/>
      <c r="AK318" s="225"/>
      <c r="AL318" s="225"/>
      <c r="AM318" s="225"/>
      <c r="AN318" s="225"/>
      <c r="AO318" s="225"/>
      <c r="AP318" s="225"/>
      <c r="AQ318" s="225"/>
      <c r="AR318" s="225"/>
      <c r="AS318" s="225"/>
      <c r="AT318" s="232"/>
      <c r="AU318" s="232"/>
      <c r="AV318" s="232"/>
      <c r="AW318" s="232"/>
      <c r="AX318" s="232"/>
      <c r="AY318" s="232"/>
      <c r="AZ318" s="232"/>
      <c r="BA318" s="225"/>
      <c r="BB318" s="225"/>
      <c r="BC318" s="225"/>
      <c r="BD318" s="225"/>
      <c r="BE318" s="225"/>
      <c r="BF318" s="225"/>
      <c r="BG318" s="225"/>
      <c r="BH318" s="225"/>
      <c r="BI318" s="225"/>
      <c r="BJ318" s="225"/>
      <c r="BK318" s="225"/>
      <c r="BL318" s="225"/>
      <c r="BM318" s="773">
        <v>45095</v>
      </c>
      <c r="BN318" s="790"/>
    </row>
    <row r="319" spans="1:66" s="233" customFormat="1" x14ac:dyDescent="0.3">
      <c r="A319" s="231" t="s">
        <v>565</v>
      </c>
      <c r="B319" s="225" t="s">
        <v>210</v>
      </c>
      <c r="C319" s="231">
        <v>163733137</v>
      </c>
      <c r="D319" s="317" t="s">
        <v>774</v>
      </c>
      <c r="E319" s="477" t="s">
        <v>774</v>
      </c>
      <c r="F319" s="477" t="s">
        <v>210</v>
      </c>
      <c r="G319" s="227" t="s">
        <v>209</v>
      </c>
      <c r="H319" s="228" t="s">
        <v>817</v>
      </c>
      <c r="I319" s="228" t="s">
        <v>872</v>
      </c>
      <c r="J319" s="229" t="s">
        <v>917</v>
      </c>
      <c r="K319" s="1280" t="s">
        <v>2290</v>
      </c>
      <c r="L319" s="734" t="s">
        <v>1075</v>
      </c>
      <c r="M319" s="1305" t="s">
        <v>774</v>
      </c>
      <c r="N319" s="773"/>
      <c r="O319" s="1295"/>
      <c r="P319" s="225"/>
      <c r="Q319" s="1295" t="s">
        <v>832</v>
      </c>
      <c r="R319" s="234">
        <f>$B$1</f>
        <v>45388</v>
      </c>
      <c r="S319" s="236"/>
      <c r="T319" s="226"/>
      <c r="U319" s="230"/>
      <c r="V319" s="230"/>
      <c r="W319" s="231" t="str">
        <f>IFERROR(IF(AND(BD_PRINCIPAL[[#This Row],[DESDE]]&lt;&gt;"",BD_PRINCIPAL[[#This Row],[HASTA]]&lt;&gt;""),_xlfn.DAYS(BD_PRINCIPAL[[#This Row],[HASTA]],BD_PRINCIPAL[[#This Row],[DESDE]]),"")+1,"")</f>
        <v/>
      </c>
      <c r="X319" s="231">
        <f>VLOOKUP(BD_PRINCIPAL[[#This Row],[ENCUADRE. ESC.]],ORDEN1,2,FALSE)</f>
        <v>1</v>
      </c>
      <c r="Y319" s="231">
        <f>VLOOKUP(BD_PRINCIPAL[[#This Row],[DOTACIÓN ACTUAL]],ORDEN2,4,FALSE)</f>
        <v>266</v>
      </c>
      <c r="Z319" s="231">
        <f>VLOOKUP(BD_PRINCIPAL[[#This Row],[GRADO]],ORDEN3,2,FALSE)</f>
        <v>10</v>
      </c>
      <c r="AA319" s="231">
        <f>IFERROR(VLOOKUP(BD_PRINCIPAL[[#This Row],[DOTACIÓN ACTUAL]],ORDEN2,3,FALSE),0)</f>
        <v>0</v>
      </c>
      <c r="AB319" s="225" t="s">
        <v>1075</v>
      </c>
      <c r="AC319" s="225" t="s">
        <v>1075</v>
      </c>
      <c r="AD319" s="225" t="s">
        <v>1075</v>
      </c>
      <c r="AE319" s="225" t="s">
        <v>1075</v>
      </c>
      <c r="AF319" s="225" t="s">
        <v>1075</v>
      </c>
      <c r="AG319" s="225" t="s">
        <v>1075</v>
      </c>
      <c r="AH319" s="225"/>
      <c r="AI319" s="225"/>
      <c r="AJ319" s="225"/>
      <c r="AK319" s="225"/>
      <c r="AL319" s="225"/>
      <c r="AM319" s="225"/>
      <c r="AN319" s="225"/>
      <c r="AO319" s="225"/>
      <c r="AP319" s="225"/>
      <c r="AQ319" s="225"/>
      <c r="AR319" s="225"/>
      <c r="AS319" s="225"/>
      <c r="AT319" s="232"/>
      <c r="AU319" s="232"/>
      <c r="AV319" s="232"/>
      <c r="AW319" s="232"/>
      <c r="AX319" s="232"/>
      <c r="AY319" s="232"/>
      <c r="AZ319" s="232"/>
      <c r="BA319" s="225"/>
      <c r="BB319" s="225"/>
      <c r="BC319" s="225"/>
      <c r="BD319" s="225"/>
      <c r="BE319" s="225"/>
      <c r="BF319" s="225"/>
      <c r="BG319" s="225"/>
      <c r="BH319" s="225"/>
      <c r="BI319" s="225"/>
      <c r="BJ319" s="225"/>
      <c r="BK319" s="225"/>
      <c r="BL319" s="225"/>
      <c r="BM319" s="773">
        <v>45095</v>
      </c>
      <c r="BN319" s="790"/>
    </row>
    <row r="320" spans="1:66" s="247" customFormat="1" ht="26.4" x14ac:dyDescent="0.3">
      <c r="A320" s="245" t="s">
        <v>554</v>
      </c>
      <c r="B320" s="238" t="s">
        <v>1583</v>
      </c>
      <c r="C320" s="245">
        <v>163649462</v>
      </c>
      <c r="D320" s="311" t="s">
        <v>193</v>
      </c>
      <c r="E320" s="478" t="s">
        <v>193</v>
      </c>
      <c r="F320" s="478" t="s">
        <v>1924</v>
      </c>
      <c r="G320" s="240" t="s">
        <v>209</v>
      </c>
      <c r="H320" s="241" t="s">
        <v>816</v>
      </c>
      <c r="I320" s="241" t="s">
        <v>872</v>
      </c>
      <c r="J320" s="242" t="s">
        <v>917</v>
      </c>
      <c r="K320" s="1281" t="s">
        <v>2291</v>
      </c>
      <c r="L320" s="735" t="s">
        <v>853</v>
      </c>
      <c r="M320" s="1306" t="s">
        <v>193</v>
      </c>
      <c r="N320" s="775"/>
      <c r="O320" s="1296"/>
      <c r="P320" s="238"/>
      <c r="Q320" s="1296" t="s">
        <v>832</v>
      </c>
      <c r="R320" s="243">
        <f>$B$1</f>
        <v>45388</v>
      </c>
      <c r="S320" s="249"/>
      <c r="T320" s="249"/>
      <c r="U320" s="250"/>
      <c r="V320" s="250"/>
      <c r="W320" s="245" t="str">
        <f>IFERROR(IF(AND(BD_PRINCIPAL[[#This Row],[DESDE]]&lt;&gt;"",BD_PRINCIPAL[[#This Row],[HASTA]]&lt;&gt;""),_xlfn.DAYS(BD_PRINCIPAL[[#This Row],[HASTA]],BD_PRINCIPAL[[#This Row],[DESDE]]),"")+1,"")</f>
        <v/>
      </c>
      <c r="X320" s="245">
        <f>VLOOKUP(BD_PRINCIPAL[[#This Row],[ENCUADRE. ESC.]],ORDEN1,2,FALSE)</f>
        <v>1</v>
      </c>
      <c r="Y320" s="245">
        <f>VLOOKUP(BD_PRINCIPAL[[#This Row],[DOTACIÓN ACTUAL]],ORDEN2,4,FALSE)</f>
        <v>267</v>
      </c>
      <c r="Z320" s="245">
        <f>VLOOKUP(BD_PRINCIPAL[[#This Row],[GRADO]],ORDEN3,2,FALSE)</f>
        <v>10</v>
      </c>
      <c r="AA320" s="245">
        <f>IFERROR(VLOOKUP(BD_PRINCIPAL[[#This Row],[DOTACIÓN ACTUAL]],ORDEN2,3,FALSE),0)</f>
        <v>0</v>
      </c>
      <c r="AB320" s="238" t="s">
        <v>853</v>
      </c>
      <c r="AC320" s="238" t="s">
        <v>853</v>
      </c>
      <c r="AD320" s="238" t="s">
        <v>853</v>
      </c>
      <c r="AE320" s="238" t="s">
        <v>853</v>
      </c>
      <c r="AF320" s="238" t="s">
        <v>853</v>
      </c>
      <c r="AG320" s="238" t="s">
        <v>853</v>
      </c>
      <c r="AH320" s="238"/>
      <c r="AI320" s="238"/>
      <c r="AJ320" s="238"/>
      <c r="AK320" s="238"/>
      <c r="AL320" s="238"/>
      <c r="AM320" s="238"/>
      <c r="AN320" s="238"/>
      <c r="AO320" s="238"/>
      <c r="AP320" s="238"/>
      <c r="AQ320" s="238"/>
      <c r="AR320" s="238"/>
      <c r="AS320" s="238"/>
      <c r="AT320" s="246"/>
      <c r="AU320" s="246"/>
      <c r="AV320" s="246"/>
      <c r="AW320" s="246"/>
      <c r="AX320" s="246"/>
      <c r="AY320" s="246"/>
      <c r="AZ320" s="246"/>
      <c r="BA320" s="238"/>
      <c r="BB320" s="238"/>
      <c r="BC320" s="238"/>
      <c r="BD320" s="238"/>
      <c r="BE320" s="238"/>
      <c r="BF320" s="238"/>
      <c r="BG320" s="238"/>
      <c r="BH320" s="238"/>
      <c r="BI320" s="238"/>
      <c r="BJ320" s="238"/>
      <c r="BK320" s="238"/>
      <c r="BL320" s="238"/>
      <c r="BM320" s="775">
        <v>45154</v>
      </c>
      <c r="BN320" s="788"/>
    </row>
    <row r="321" spans="1:66" s="247" customFormat="1" ht="26.4" x14ac:dyDescent="0.3">
      <c r="A321" s="245" t="s">
        <v>397</v>
      </c>
      <c r="B321" s="238" t="s">
        <v>149</v>
      </c>
      <c r="C321" s="245" t="s">
        <v>398</v>
      </c>
      <c r="D321" s="311" t="s">
        <v>193</v>
      </c>
      <c r="E321" s="478" t="s">
        <v>193</v>
      </c>
      <c r="F321" s="478" t="s">
        <v>149</v>
      </c>
      <c r="G321" s="240" t="s">
        <v>4</v>
      </c>
      <c r="H321" s="241" t="s">
        <v>816</v>
      </c>
      <c r="I321" s="241" t="s">
        <v>872</v>
      </c>
      <c r="J321" s="242" t="s">
        <v>917</v>
      </c>
      <c r="K321" s="1281" t="s">
        <v>2290</v>
      </c>
      <c r="L321" s="735" t="s">
        <v>853</v>
      </c>
      <c r="M321" s="1306" t="s">
        <v>193</v>
      </c>
      <c r="N321" s="786"/>
      <c r="O321" s="1296"/>
      <c r="P321" s="238"/>
      <c r="Q321" s="1296" t="s">
        <v>832</v>
      </c>
      <c r="R321" s="243">
        <f>$B$1</f>
        <v>45388</v>
      </c>
      <c r="S321" s="249"/>
      <c r="T321" s="249"/>
      <c r="U321" s="244"/>
      <c r="V321" s="244"/>
      <c r="W321" s="245" t="str">
        <f>IFERROR(IF(AND(BD_PRINCIPAL[[#This Row],[DESDE]]&lt;&gt;"",BD_PRINCIPAL[[#This Row],[HASTA]]&lt;&gt;""),_xlfn.DAYS(BD_PRINCIPAL[[#This Row],[HASTA]],BD_PRINCIPAL[[#This Row],[DESDE]]),"")+1,"")</f>
        <v/>
      </c>
      <c r="X321" s="245">
        <f>VLOOKUP(BD_PRINCIPAL[[#This Row],[ENCUADRE. ESC.]],ORDEN1,2,FALSE)</f>
        <v>1</v>
      </c>
      <c r="Y321" s="245">
        <f>VLOOKUP(BD_PRINCIPAL[[#This Row],[DOTACIÓN ACTUAL]],ORDEN2,4,FALSE)</f>
        <v>267</v>
      </c>
      <c r="Z321" s="245">
        <f>VLOOKUP(BD_PRINCIPAL[[#This Row],[GRADO]],ORDEN3,2,FALSE)</f>
        <v>12</v>
      </c>
      <c r="AA321" s="245">
        <f>IFERROR(VLOOKUP(BD_PRINCIPAL[[#This Row],[DOTACIÓN ACTUAL]],ORDEN2,3,FALSE),0)</f>
        <v>0</v>
      </c>
      <c r="AB321" s="238" t="s">
        <v>853</v>
      </c>
      <c r="AC321" s="238" t="s">
        <v>853</v>
      </c>
      <c r="AD321" s="238" t="s">
        <v>853</v>
      </c>
      <c r="AE321" s="238" t="s">
        <v>853</v>
      </c>
      <c r="AF321" s="238" t="s">
        <v>853</v>
      </c>
      <c r="AG321" s="238" t="s">
        <v>853</v>
      </c>
      <c r="AH321" s="238"/>
      <c r="AI321" s="238"/>
      <c r="AJ321" s="238"/>
      <c r="AK321" s="238"/>
      <c r="AL321" s="238"/>
      <c r="AM321" s="238"/>
      <c r="AN321" s="238"/>
      <c r="AO321" s="238"/>
      <c r="AP321" s="238"/>
      <c r="AQ321" s="238"/>
      <c r="AR321" s="238"/>
      <c r="AS321" s="238"/>
      <c r="AT321" s="246"/>
      <c r="AU321" s="246"/>
      <c r="AV321" s="246"/>
      <c r="AW321" s="246"/>
      <c r="AX321" s="246"/>
      <c r="AY321" s="246"/>
      <c r="AZ321" s="246"/>
      <c r="BA321" s="238"/>
      <c r="BB321" s="238"/>
      <c r="BC321" s="238"/>
      <c r="BD321" s="238"/>
      <c r="BE321" s="238"/>
      <c r="BF321" s="238"/>
      <c r="BG321" s="238"/>
      <c r="BH321" s="238"/>
      <c r="BI321" s="238"/>
      <c r="BJ321" s="238"/>
      <c r="BK321" s="238"/>
      <c r="BL321" s="238"/>
      <c r="BM321" s="786">
        <v>45063</v>
      </c>
      <c r="BN321" s="788"/>
    </row>
    <row r="322" spans="1:66" s="189" customFormat="1" ht="26.4" x14ac:dyDescent="0.3">
      <c r="A322" s="188" t="s">
        <v>2249</v>
      </c>
      <c r="B322" s="864" t="s">
        <v>2247</v>
      </c>
      <c r="C322" s="188" t="s">
        <v>2248</v>
      </c>
      <c r="D322" s="715" t="s">
        <v>193</v>
      </c>
      <c r="E322" s="479" t="s">
        <v>1416</v>
      </c>
      <c r="F322" s="479" t="s">
        <v>2703</v>
      </c>
      <c r="G322" s="191" t="s">
        <v>89</v>
      </c>
      <c r="H322" s="184" t="s">
        <v>816</v>
      </c>
      <c r="I322" s="184" t="s">
        <v>872</v>
      </c>
      <c r="J322" s="185" t="s">
        <v>917</v>
      </c>
      <c r="K322" s="1283" t="s">
        <v>2300</v>
      </c>
      <c r="L322" s="736" t="s">
        <v>853</v>
      </c>
      <c r="M322" s="1308" t="s">
        <v>1416</v>
      </c>
      <c r="N322" s="776"/>
      <c r="O322" s="1298"/>
      <c r="P322" s="181"/>
      <c r="Q322" s="1298" t="s">
        <v>832</v>
      </c>
      <c r="R322" s="865">
        <f>$B$1</f>
        <v>45388</v>
      </c>
      <c r="S322" s="190"/>
      <c r="T322" s="182"/>
      <c r="U322" s="192"/>
      <c r="V322" s="192"/>
      <c r="W322" s="339" t="str">
        <f>IFERROR(IF(AND(BD_PRINCIPAL[[#This Row],[DESDE]]&lt;&gt;"",BD_PRINCIPAL[[#This Row],[HASTA]]&lt;&gt;""),_xlfn.DAYS(BD_PRINCIPAL[[#This Row],[HASTA]],BD_PRINCIPAL[[#This Row],[DESDE]]),"")+1,"")</f>
        <v/>
      </c>
      <c r="X322" s="339">
        <f>VLOOKUP(BD_PRINCIPAL[[#This Row],[ENCUADRE. ESC.]],ORDEN1,2,FALSE)</f>
        <v>1</v>
      </c>
      <c r="Y322" s="339">
        <f>VLOOKUP(BD_PRINCIPAL[[#This Row],[DOTACIÓN ACTUAL]],ORDEN2,4,FALSE)</f>
        <v>269</v>
      </c>
      <c r="Z322" s="339">
        <f>VLOOKUP(BD_PRINCIPAL[[#This Row],[GRADO]],ORDEN3,2,FALSE)</f>
        <v>9</v>
      </c>
      <c r="AA322" s="339">
        <f>IFERROR(VLOOKUP(BD_PRINCIPAL[[#This Row],[DOTACIÓN ACTUAL]],ORDEN2,3,FALSE),0)</f>
        <v>0</v>
      </c>
      <c r="AB322" s="181" t="s">
        <v>853</v>
      </c>
      <c r="AC322" s="181" t="s">
        <v>853</v>
      </c>
      <c r="AD322" s="181" t="s">
        <v>853</v>
      </c>
      <c r="AE322" s="181" t="s">
        <v>853</v>
      </c>
      <c r="AF322" s="181" t="s">
        <v>853</v>
      </c>
      <c r="AG322" s="181" t="s">
        <v>853</v>
      </c>
      <c r="AH322" s="181"/>
      <c r="AI322" s="181"/>
      <c r="AJ322" s="181"/>
      <c r="AK322" s="181"/>
      <c r="AL322" s="181"/>
      <c r="AM322" s="181"/>
      <c r="AN322" s="181"/>
      <c r="AO322" s="181"/>
      <c r="AP322" s="181"/>
      <c r="AQ322" s="181"/>
      <c r="AR322" s="181"/>
      <c r="AS322" s="181"/>
      <c r="AT322" s="187"/>
      <c r="AU322" s="187"/>
      <c r="AV322" s="187"/>
      <c r="AW322" s="187"/>
      <c r="AX322" s="187"/>
      <c r="AY322" s="187"/>
      <c r="AZ322" s="187"/>
      <c r="BA322" s="181"/>
      <c r="BB322" s="181"/>
      <c r="BC322" s="181"/>
      <c r="BD322" s="181"/>
      <c r="BE322" s="181"/>
      <c r="BF322" s="181"/>
      <c r="BG322" s="181"/>
      <c r="BH322" s="181"/>
      <c r="BI322" s="181"/>
      <c r="BJ322" s="181"/>
      <c r="BK322" s="181"/>
      <c r="BL322" s="181"/>
      <c r="BM322" s="777">
        <v>45124</v>
      </c>
      <c r="BN322" s="792"/>
    </row>
    <row r="323" spans="1:66" s="221" customFormat="1" ht="26.4" x14ac:dyDescent="0.3">
      <c r="A323" s="219" t="s">
        <v>593</v>
      </c>
      <c r="B323" s="212" t="s">
        <v>1592</v>
      </c>
      <c r="C323" s="219">
        <v>169043728</v>
      </c>
      <c r="D323" s="715" t="s">
        <v>193</v>
      </c>
      <c r="E323" s="485" t="s">
        <v>1417</v>
      </c>
      <c r="F323" s="480" t="s">
        <v>1917</v>
      </c>
      <c r="G323" s="214" t="s">
        <v>209</v>
      </c>
      <c r="H323" s="215" t="s">
        <v>816</v>
      </c>
      <c r="I323" s="215" t="s">
        <v>872</v>
      </c>
      <c r="J323" s="216" t="s">
        <v>917</v>
      </c>
      <c r="K323" s="1279" t="s">
        <v>2291</v>
      </c>
      <c r="L323" s="733" t="s">
        <v>853</v>
      </c>
      <c r="M323" s="1304" t="s">
        <v>1417</v>
      </c>
      <c r="N323" s="772"/>
      <c r="O323" s="1294"/>
      <c r="P323" s="212"/>
      <c r="Q323" s="1294" t="s">
        <v>832</v>
      </c>
      <c r="R323" s="217">
        <f>$B$1</f>
        <v>45388</v>
      </c>
      <c r="S323" s="223"/>
      <c r="T323" s="223"/>
      <c r="U323" s="224"/>
      <c r="V323" s="224"/>
      <c r="W323" s="219" t="str">
        <f>IFERROR(IF(AND(BD_PRINCIPAL[[#This Row],[DESDE]]&lt;&gt;"",BD_PRINCIPAL[[#This Row],[HASTA]]&lt;&gt;""),_xlfn.DAYS(BD_PRINCIPAL[[#This Row],[HASTA]],BD_PRINCIPAL[[#This Row],[DESDE]]),"")+1,"")</f>
        <v/>
      </c>
      <c r="X323" s="219">
        <f>VLOOKUP(BD_PRINCIPAL[[#This Row],[ENCUADRE. ESC.]],ORDEN1,2,FALSE)</f>
        <v>1</v>
      </c>
      <c r="Y323" s="219">
        <f>VLOOKUP(BD_PRINCIPAL[[#This Row],[DOTACIÓN ACTUAL]],ORDEN2,4,FALSE)</f>
        <v>270</v>
      </c>
      <c r="Z323" s="219">
        <f>VLOOKUP(BD_PRINCIPAL[[#This Row],[GRADO]],ORDEN3,2,FALSE)</f>
        <v>10</v>
      </c>
      <c r="AA323" s="219">
        <f>IFERROR(VLOOKUP(BD_PRINCIPAL[[#This Row],[DOTACIÓN ACTUAL]],ORDEN2,3,FALSE),0)</f>
        <v>0</v>
      </c>
      <c r="AB323" s="212" t="s">
        <v>853</v>
      </c>
      <c r="AC323" s="212" t="s">
        <v>853</v>
      </c>
      <c r="AD323" s="212" t="s">
        <v>853</v>
      </c>
      <c r="AE323" s="212" t="s">
        <v>853</v>
      </c>
      <c r="AF323" s="212" t="s">
        <v>853</v>
      </c>
      <c r="AG323" s="212" t="s">
        <v>853</v>
      </c>
      <c r="AH323" s="212"/>
      <c r="AI323" s="212"/>
      <c r="AJ323" s="212"/>
      <c r="AK323" s="212"/>
      <c r="AL323" s="212"/>
      <c r="AM323" s="212"/>
      <c r="AN323" s="212"/>
      <c r="AO323" s="212"/>
      <c r="AP323" s="212"/>
      <c r="AQ323" s="212"/>
      <c r="AR323" s="212"/>
      <c r="AS323" s="212"/>
      <c r="AT323" s="220"/>
      <c r="AU323" s="220"/>
      <c r="AV323" s="220"/>
      <c r="AW323" s="220"/>
      <c r="AX323" s="220"/>
      <c r="AY323" s="220"/>
      <c r="AZ323" s="220"/>
      <c r="BA323" s="212"/>
      <c r="BB323" s="212"/>
      <c r="BC323" s="212"/>
      <c r="BD323" s="212"/>
      <c r="BE323" s="212"/>
      <c r="BF323" s="212"/>
      <c r="BG323" s="212"/>
      <c r="BH323" s="212"/>
      <c r="BI323" s="212"/>
      <c r="BJ323" s="212"/>
      <c r="BK323" s="212"/>
      <c r="BL323" s="212"/>
      <c r="BM323" s="772">
        <v>45149</v>
      </c>
      <c r="BN323" s="789"/>
    </row>
    <row r="324" spans="1:66" s="221" customFormat="1" ht="26.4" x14ac:dyDescent="0.3">
      <c r="A324" s="219" t="s">
        <v>416</v>
      </c>
      <c r="B324" s="212" t="s">
        <v>1870</v>
      </c>
      <c r="C324" s="219">
        <v>174573743</v>
      </c>
      <c r="D324" s="715" t="s">
        <v>193</v>
      </c>
      <c r="E324" s="480" t="s">
        <v>1417</v>
      </c>
      <c r="F324" s="480" t="s">
        <v>1870</v>
      </c>
      <c r="G324" s="214" t="s">
        <v>4</v>
      </c>
      <c r="H324" s="215" t="s">
        <v>816</v>
      </c>
      <c r="I324" s="215" t="s">
        <v>872</v>
      </c>
      <c r="J324" s="216" t="s">
        <v>917</v>
      </c>
      <c r="K324" s="1279" t="s">
        <v>2290</v>
      </c>
      <c r="L324" s="733" t="s">
        <v>853</v>
      </c>
      <c r="M324" s="1304" t="s">
        <v>1417</v>
      </c>
      <c r="N324" s="772"/>
      <c r="O324" s="1294"/>
      <c r="P324" s="212"/>
      <c r="Q324" s="1294" t="s">
        <v>832</v>
      </c>
      <c r="R324" s="217">
        <f>$B$1</f>
        <v>45388</v>
      </c>
      <c r="S324" s="213"/>
      <c r="T324" s="223"/>
      <c r="U324" s="218"/>
      <c r="V324" s="218"/>
      <c r="W324" s="219" t="str">
        <f>IFERROR(IF(AND(BD_PRINCIPAL[[#This Row],[DESDE]]&lt;&gt;"",BD_PRINCIPAL[[#This Row],[HASTA]]&lt;&gt;""),_xlfn.DAYS(BD_PRINCIPAL[[#This Row],[HASTA]],BD_PRINCIPAL[[#This Row],[DESDE]]),"")+1,"")</f>
        <v/>
      </c>
      <c r="X324" s="219">
        <f>VLOOKUP(BD_PRINCIPAL[[#This Row],[ENCUADRE. ESC.]],ORDEN1,2,FALSE)</f>
        <v>1</v>
      </c>
      <c r="Y324" s="219">
        <f>VLOOKUP(BD_PRINCIPAL[[#This Row],[DOTACIÓN ACTUAL]],ORDEN2,4,FALSE)</f>
        <v>270</v>
      </c>
      <c r="Z324" s="219">
        <f>VLOOKUP(BD_PRINCIPAL[[#This Row],[GRADO]],ORDEN3,2,FALSE)</f>
        <v>12</v>
      </c>
      <c r="AA324" s="219">
        <f>IFERROR(VLOOKUP(BD_PRINCIPAL[[#This Row],[DOTACIÓN ACTUAL]],ORDEN2,3,FALSE),0)</f>
        <v>0</v>
      </c>
      <c r="AB324" s="212" t="s">
        <v>853</v>
      </c>
      <c r="AC324" s="212" t="s">
        <v>853</v>
      </c>
      <c r="AD324" s="212" t="s">
        <v>853</v>
      </c>
      <c r="AE324" s="212" t="s">
        <v>853</v>
      </c>
      <c r="AF324" s="212" t="s">
        <v>853</v>
      </c>
      <c r="AG324" s="212" t="s">
        <v>853</v>
      </c>
      <c r="AH324" s="212"/>
      <c r="AI324" s="212"/>
      <c r="AJ324" s="212"/>
      <c r="AK324" s="212"/>
      <c r="AL324" s="212"/>
      <c r="AM324" s="212"/>
      <c r="AN324" s="212"/>
      <c r="AO324" s="212"/>
      <c r="AP324" s="212"/>
      <c r="AQ324" s="212"/>
      <c r="AR324" s="212"/>
      <c r="AS324" s="212"/>
      <c r="AT324" s="220"/>
      <c r="AU324" s="220"/>
      <c r="AV324" s="220"/>
      <c r="AW324" s="220"/>
      <c r="AX324" s="220"/>
      <c r="AY324" s="220"/>
      <c r="AZ324" s="220"/>
      <c r="BA324" s="212"/>
      <c r="BB324" s="212"/>
      <c r="BC324" s="212"/>
      <c r="BD324" s="212"/>
      <c r="BE324" s="212"/>
      <c r="BF324" s="212"/>
      <c r="BG324" s="212"/>
      <c r="BH324" s="212"/>
      <c r="BI324" s="212"/>
      <c r="BJ324" s="212"/>
      <c r="BK324" s="212"/>
      <c r="BL324" s="212"/>
      <c r="BM324" s="772">
        <v>45168</v>
      </c>
      <c r="BN324" s="789"/>
    </row>
    <row r="325" spans="1:66" s="189" customFormat="1" x14ac:dyDescent="0.3">
      <c r="A325" s="188" t="s">
        <v>415</v>
      </c>
      <c r="B325" s="181" t="s">
        <v>46</v>
      </c>
      <c r="C325" s="188">
        <v>134660279</v>
      </c>
      <c r="D325" s="873" t="s">
        <v>768</v>
      </c>
      <c r="E325" s="479" t="s">
        <v>218</v>
      </c>
      <c r="F325" s="479" t="s">
        <v>46</v>
      </c>
      <c r="G325" s="183" t="s">
        <v>17</v>
      </c>
      <c r="H325" s="184" t="s">
        <v>816</v>
      </c>
      <c r="I325" s="184" t="s">
        <v>872</v>
      </c>
      <c r="J325" s="185" t="s">
        <v>917</v>
      </c>
      <c r="K325" s="1283" t="s">
        <v>2290</v>
      </c>
      <c r="L325" s="736" t="s">
        <v>1075</v>
      </c>
      <c r="M325" s="1308" t="s">
        <v>218</v>
      </c>
      <c r="N325" s="777"/>
      <c r="O325" s="1298"/>
      <c r="P325" s="181"/>
      <c r="Q325" s="1298" t="s">
        <v>832</v>
      </c>
      <c r="R325" s="186">
        <f>$B$1</f>
        <v>45388</v>
      </c>
      <c r="S325" s="190"/>
      <c r="T325" s="980"/>
      <c r="U325" s="196"/>
      <c r="V325" s="196"/>
      <c r="W325" s="188" t="str">
        <f>IFERROR(IF(AND(BD_PRINCIPAL[[#This Row],[DESDE]]&lt;&gt;"",BD_PRINCIPAL[[#This Row],[HASTA]]&lt;&gt;""),_xlfn.DAYS(BD_PRINCIPAL[[#This Row],[HASTA]],BD_PRINCIPAL[[#This Row],[DESDE]]),"")+1,"")</f>
        <v/>
      </c>
      <c r="X325" s="188">
        <f>VLOOKUP(BD_PRINCIPAL[[#This Row],[ENCUADRE. ESC.]],ORDEN1,2,FALSE)</f>
        <v>1</v>
      </c>
      <c r="Y325" s="188">
        <f>VLOOKUP(BD_PRINCIPAL[[#This Row],[DOTACIÓN ACTUAL]],ORDEN2,4,FALSE)</f>
        <v>274</v>
      </c>
      <c r="Z325" s="188">
        <f>VLOOKUP(BD_PRINCIPAL[[#This Row],[GRADO]],ORDEN3,2,FALSE)</f>
        <v>8</v>
      </c>
      <c r="AA325" s="188">
        <f>IFERROR(VLOOKUP(BD_PRINCIPAL[[#This Row],[DOTACIÓN ACTUAL]],ORDEN2,3,FALSE),0)</f>
        <v>0</v>
      </c>
      <c r="AB325" s="181" t="s">
        <v>853</v>
      </c>
      <c r="AC325" s="181" t="s">
        <v>1075</v>
      </c>
      <c r="AD325" s="181" t="s">
        <v>1075</v>
      </c>
      <c r="AE325" s="181" t="s">
        <v>1075</v>
      </c>
      <c r="AF325" s="181" t="s">
        <v>1075</v>
      </c>
      <c r="AG325" s="181" t="s">
        <v>1075</v>
      </c>
      <c r="AH325" s="181"/>
      <c r="AI325" s="181"/>
      <c r="AJ325" s="181"/>
      <c r="AK325" s="181"/>
      <c r="AL325" s="181"/>
      <c r="AM325" s="181"/>
      <c r="AN325" s="181"/>
      <c r="AO325" s="181"/>
      <c r="AP325" s="181"/>
      <c r="AQ325" s="181"/>
      <c r="AR325" s="181"/>
      <c r="AS325" s="181"/>
      <c r="AT325" s="187"/>
      <c r="AU325" s="187"/>
      <c r="AV325" s="187"/>
      <c r="AW325" s="187"/>
      <c r="AX325" s="187"/>
      <c r="AY325" s="187"/>
      <c r="AZ325" s="187"/>
      <c r="BA325" s="181"/>
      <c r="BB325" s="181"/>
      <c r="BC325" s="181"/>
      <c r="BD325" s="181"/>
      <c r="BE325" s="181"/>
      <c r="BF325" s="181"/>
      <c r="BG325" s="181"/>
      <c r="BH325" s="181"/>
      <c r="BI325" s="181"/>
      <c r="BJ325" s="181"/>
      <c r="BK325" s="181"/>
      <c r="BL325" s="181"/>
      <c r="BM325" s="777">
        <v>45170</v>
      </c>
      <c r="BN325" s="792"/>
    </row>
    <row r="326" spans="1:66" s="189" customFormat="1" x14ac:dyDescent="0.3">
      <c r="A326" s="188" t="s">
        <v>2691</v>
      </c>
      <c r="B326" s="864" t="s">
        <v>2693</v>
      </c>
      <c r="C326" s="188" t="s">
        <v>2692</v>
      </c>
      <c r="D326" s="479" t="s">
        <v>218</v>
      </c>
      <c r="E326" s="479" t="s">
        <v>218</v>
      </c>
      <c r="F326" s="479" t="s">
        <v>2693</v>
      </c>
      <c r="G326" s="191" t="s">
        <v>209</v>
      </c>
      <c r="H326" s="184" t="s">
        <v>816</v>
      </c>
      <c r="I326" s="184" t="s">
        <v>872</v>
      </c>
      <c r="J326" s="185" t="s">
        <v>917</v>
      </c>
      <c r="K326" s="1283" t="s">
        <v>2290</v>
      </c>
      <c r="L326" s="736" t="s">
        <v>1075</v>
      </c>
      <c r="M326" s="1308" t="s">
        <v>218</v>
      </c>
      <c r="N326" s="776"/>
      <c r="O326" s="1298"/>
      <c r="P326" s="181"/>
      <c r="Q326" s="1298" t="s">
        <v>832</v>
      </c>
      <c r="R326" s="865" t="s">
        <v>2449</v>
      </c>
      <c r="S326" s="190"/>
      <c r="T326" s="182"/>
      <c r="U326" s="887"/>
      <c r="V326" s="887"/>
      <c r="W326" s="339" t="str">
        <f>IFERROR(IF(AND(BD_PRINCIPAL[[#This Row],[DESDE]]&lt;&gt;"",BD_PRINCIPAL[[#This Row],[HASTA]]&lt;&gt;""),_xlfn.DAYS(BD_PRINCIPAL[[#This Row],[HASTA]],BD_PRINCIPAL[[#This Row],[DESDE]]),"")+1,"")</f>
        <v/>
      </c>
      <c r="X326" s="339">
        <f>VLOOKUP(BD_PRINCIPAL[[#This Row],[ENCUADRE. ESC.]],ORDEN1,2,FALSE)</f>
        <v>1</v>
      </c>
      <c r="Y326" s="339">
        <f>VLOOKUP(BD_PRINCIPAL[[#This Row],[DOTACIÓN ACTUAL]],ORDEN2,4,FALSE)</f>
        <v>274</v>
      </c>
      <c r="Z326" s="339">
        <f>VLOOKUP(BD_PRINCIPAL[[#This Row],[GRADO]],ORDEN3,2,FALSE)</f>
        <v>10</v>
      </c>
      <c r="AA326" s="339">
        <f>IFERROR(VLOOKUP(BD_PRINCIPAL[[#This Row],[DOTACIÓN ACTUAL]],ORDEN2,3,FALSE),0)</f>
        <v>0</v>
      </c>
      <c r="AB326" s="181" t="s">
        <v>1075</v>
      </c>
      <c r="AC326" s="181" t="s">
        <v>1075</v>
      </c>
      <c r="AD326" s="181" t="s">
        <v>1075</v>
      </c>
      <c r="AE326" s="181" t="s">
        <v>1075</v>
      </c>
      <c r="AF326" s="181" t="s">
        <v>1075</v>
      </c>
      <c r="AG326" s="181" t="s">
        <v>1075</v>
      </c>
      <c r="AH326" s="187"/>
      <c r="AI326" s="187"/>
      <c r="AJ326" s="187"/>
      <c r="AK326" s="187"/>
      <c r="AL326" s="187"/>
      <c r="AM326" s="187"/>
      <c r="AN326" s="187"/>
      <c r="AO326" s="187"/>
      <c r="AP326" s="187"/>
      <c r="AQ326" s="187"/>
      <c r="AR326" s="187"/>
      <c r="AS326" s="187"/>
      <c r="AT326" s="187"/>
      <c r="AU326" s="187"/>
      <c r="AV326" s="187"/>
      <c r="AW326" s="187"/>
      <c r="AX326" s="187"/>
      <c r="AY326" s="187"/>
      <c r="AZ326" s="187"/>
      <c r="BA326" s="181"/>
      <c r="BB326" s="181"/>
      <c r="BC326" s="181"/>
      <c r="BD326" s="181"/>
      <c r="BE326" s="181"/>
      <c r="BF326" s="181"/>
      <c r="BG326" s="181"/>
      <c r="BH326" s="181"/>
      <c r="BI326" s="181"/>
      <c r="BJ326" s="181"/>
      <c r="BK326" s="181"/>
      <c r="BL326" s="181"/>
      <c r="BM326" s="899">
        <v>44567</v>
      </c>
      <c r="BN326" s="899"/>
    </row>
    <row r="327" spans="1:66" s="189" customFormat="1" x14ac:dyDescent="0.3">
      <c r="A327" s="188" t="s">
        <v>315</v>
      </c>
      <c r="B327" s="181" t="s">
        <v>1852</v>
      </c>
      <c r="C327" s="188" t="s">
        <v>316</v>
      </c>
      <c r="D327" s="867" t="s">
        <v>712</v>
      </c>
      <c r="E327" s="488" t="s">
        <v>218</v>
      </c>
      <c r="F327" s="479" t="s">
        <v>1852</v>
      </c>
      <c r="G327" s="183" t="s">
        <v>3</v>
      </c>
      <c r="H327" s="184" t="s">
        <v>816</v>
      </c>
      <c r="I327" s="184" t="s">
        <v>872</v>
      </c>
      <c r="J327" s="185" t="s">
        <v>917</v>
      </c>
      <c r="K327" s="1283" t="s">
        <v>2290</v>
      </c>
      <c r="L327" s="736" t="s">
        <v>1075</v>
      </c>
      <c r="M327" s="1308" t="s">
        <v>218</v>
      </c>
      <c r="N327" s="778"/>
      <c r="O327" s="1298"/>
      <c r="P327" s="181"/>
      <c r="Q327" s="1298" t="s">
        <v>832</v>
      </c>
      <c r="R327" s="186">
        <f>$B$1</f>
        <v>45388</v>
      </c>
      <c r="S327" s="190"/>
      <c r="T327" s="190" t="s">
        <v>2919</v>
      </c>
      <c r="U327" s="196"/>
      <c r="V327" s="196"/>
      <c r="W327" s="188" t="str">
        <f>IFERROR(IF(AND(BD_PRINCIPAL[[#This Row],[DESDE]]&lt;&gt;"",BD_PRINCIPAL[[#This Row],[HASTA]]&lt;&gt;""),_xlfn.DAYS(BD_PRINCIPAL[[#This Row],[HASTA]],BD_PRINCIPAL[[#This Row],[DESDE]]),"")+1,"")</f>
        <v/>
      </c>
      <c r="X327" s="188">
        <f>VLOOKUP(BD_PRINCIPAL[[#This Row],[ENCUADRE. ESC.]],ORDEN1,2,FALSE)</f>
        <v>1</v>
      </c>
      <c r="Y327" s="188">
        <f>VLOOKUP(BD_PRINCIPAL[[#This Row],[DOTACIÓN ACTUAL]],ORDEN2,4,FALSE)</f>
        <v>274</v>
      </c>
      <c r="Z327" s="188">
        <f>VLOOKUP(BD_PRINCIPAL[[#This Row],[GRADO]],ORDEN3,2,FALSE)</f>
        <v>11</v>
      </c>
      <c r="AA327" s="188">
        <f>IFERROR(VLOOKUP(BD_PRINCIPAL[[#This Row],[DOTACIÓN ACTUAL]],ORDEN2,3,FALSE),0)</f>
        <v>0</v>
      </c>
      <c r="AB327" s="181" t="s">
        <v>1</v>
      </c>
      <c r="AC327" s="181" t="s">
        <v>853</v>
      </c>
      <c r="AD327" s="181" t="s">
        <v>1075</v>
      </c>
      <c r="AE327" s="181" t="s">
        <v>1075</v>
      </c>
      <c r="AF327" s="181" t="s">
        <v>1075</v>
      </c>
      <c r="AG327" s="181" t="s">
        <v>1075</v>
      </c>
      <c r="AH327" s="181"/>
      <c r="AI327" s="181"/>
      <c r="AJ327" s="181"/>
      <c r="AK327" s="181"/>
      <c r="AL327" s="181"/>
      <c r="AM327" s="181"/>
      <c r="AN327" s="181"/>
      <c r="AO327" s="181"/>
      <c r="AP327" s="181"/>
      <c r="AQ327" s="181"/>
      <c r="AR327" s="181"/>
      <c r="AS327" s="181"/>
      <c r="AT327" s="187"/>
      <c r="AU327" s="187"/>
      <c r="AV327" s="187"/>
      <c r="AW327" s="187"/>
      <c r="AX327" s="187"/>
      <c r="AY327" s="187"/>
      <c r="AZ327" s="187"/>
      <c r="BA327" s="181"/>
      <c r="BB327" s="181"/>
      <c r="BC327" s="181"/>
      <c r="BD327" s="181"/>
      <c r="BE327" s="181"/>
      <c r="BF327" s="181"/>
      <c r="BG327" s="181"/>
      <c r="BH327" s="181"/>
      <c r="BI327" s="181"/>
      <c r="BJ327" s="181"/>
      <c r="BK327" s="181"/>
      <c r="BL327" s="181"/>
      <c r="BM327" s="778">
        <v>45042</v>
      </c>
      <c r="BN327" s="792"/>
    </row>
    <row r="328" spans="1:66" s="189" customFormat="1" x14ac:dyDescent="0.3">
      <c r="A328" s="188" t="s">
        <v>496</v>
      </c>
      <c r="B328" s="181" t="s">
        <v>205</v>
      </c>
      <c r="C328" s="188">
        <v>188038913</v>
      </c>
      <c r="D328" s="314" t="s">
        <v>218</v>
      </c>
      <c r="E328" s="479" t="s">
        <v>218</v>
      </c>
      <c r="F328" s="479" t="s">
        <v>205</v>
      </c>
      <c r="G328" s="183" t="s">
        <v>4</v>
      </c>
      <c r="H328" s="184" t="s">
        <v>816</v>
      </c>
      <c r="I328" s="184" t="s">
        <v>872</v>
      </c>
      <c r="J328" s="185" t="s">
        <v>917</v>
      </c>
      <c r="K328" s="1283" t="s">
        <v>2290</v>
      </c>
      <c r="L328" s="736" t="s">
        <v>1075</v>
      </c>
      <c r="M328" s="1308" t="s">
        <v>218</v>
      </c>
      <c r="N328" s="777"/>
      <c r="O328" s="1298"/>
      <c r="P328" s="181"/>
      <c r="Q328" s="1298" t="s">
        <v>832</v>
      </c>
      <c r="R328" s="186">
        <f>$B$1</f>
        <v>45388</v>
      </c>
      <c r="S328" s="190"/>
      <c r="T328" s="182"/>
      <c r="U328" s="192"/>
      <c r="V328" s="192"/>
      <c r="W328" s="188" t="str">
        <f>IFERROR(IF(AND(BD_PRINCIPAL[[#This Row],[DESDE]]&lt;&gt;"",BD_PRINCIPAL[[#This Row],[HASTA]]&lt;&gt;""),_xlfn.DAYS(BD_PRINCIPAL[[#This Row],[HASTA]],BD_PRINCIPAL[[#This Row],[DESDE]]),"")+1,"")</f>
        <v/>
      </c>
      <c r="X328" s="188">
        <f>VLOOKUP(BD_PRINCIPAL[[#This Row],[ENCUADRE. ESC.]],ORDEN1,2,FALSE)</f>
        <v>1</v>
      </c>
      <c r="Y328" s="188">
        <f>VLOOKUP(BD_PRINCIPAL[[#This Row],[DOTACIÓN ACTUAL]],ORDEN2,4,FALSE)</f>
        <v>274</v>
      </c>
      <c r="Z328" s="188">
        <f>VLOOKUP(BD_PRINCIPAL[[#This Row],[GRADO]],ORDEN3,2,FALSE)</f>
        <v>12</v>
      </c>
      <c r="AA328" s="188">
        <f>IFERROR(VLOOKUP(BD_PRINCIPAL[[#This Row],[DOTACIÓN ACTUAL]],ORDEN2,3,FALSE),0)</f>
        <v>0</v>
      </c>
      <c r="AB328" s="181" t="s">
        <v>1075</v>
      </c>
      <c r="AC328" s="181" t="s">
        <v>1075</v>
      </c>
      <c r="AD328" s="181" t="s">
        <v>1075</v>
      </c>
      <c r="AE328" s="181" t="s">
        <v>1075</v>
      </c>
      <c r="AF328" s="181" t="s">
        <v>1075</v>
      </c>
      <c r="AG328" s="181" t="s">
        <v>1075</v>
      </c>
      <c r="AH328" s="181"/>
      <c r="AI328" s="181"/>
      <c r="AJ328" s="181"/>
      <c r="AK328" s="181"/>
      <c r="AL328" s="181"/>
      <c r="AM328" s="181"/>
      <c r="AN328" s="181"/>
      <c r="AO328" s="181"/>
      <c r="AP328" s="181"/>
      <c r="AQ328" s="181"/>
      <c r="AR328" s="181"/>
      <c r="AS328" s="181"/>
      <c r="AT328" s="187"/>
      <c r="AU328" s="187"/>
      <c r="AV328" s="187"/>
      <c r="AW328" s="187"/>
      <c r="AX328" s="187"/>
      <c r="AY328" s="187"/>
      <c r="AZ328" s="187"/>
      <c r="BA328" s="181"/>
      <c r="BB328" s="181"/>
      <c r="BC328" s="181"/>
      <c r="BD328" s="181"/>
      <c r="BE328" s="181"/>
      <c r="BF328" s="181"/>
      <c r="BG328" s="181"/>
      <c r="BH328" s="181"/>
      <c r="BI328" s="181"/>
      <c r="BJ328" s="181"/>
      <c r="BK328" s="181"/>
      <c r="BL328" s="181"/>
      <c r="BM328" s="777">
        <v>45068</v>
      </c>
      <c r="BN328" s="792"/>
    </row>
    <row r="329" spans="1:66" s="221" customFormat="1" x14ac:dyDescent="0.3">
      <c r="A329" s="219" t="s">
        <v>558</v>
      </c>
      <c r="B329" s="212" t="s">
        <v>1872</v>
      </c>
      <c r="C329" s="219" t="s">
        <v>559</v>
      </c>
      <c r="D329" s="309" t="s">
        <v>16</v>
      </c>
      <c r="E329" s="480" t="s">
        <v>16</v>
      </c>
      <c r="F329" s="480" t="s">
        <v>1872</v>
      </c>
      <c r="G329" s="214" t="s">
        <v>17</v>
      </c>
      <c r="H329" s="215" t="s">
        <v>817</v>
      </c>
      <c r="I329" s="215" t="s">
        <v>872</v>
      </c>
      <c r="J329" s="216" t="s">
        <v>917</v>
      </c>
      <c r="K329" s="1279" t="s">
        <v>2290</v>
      </c>
      <c r="L329" s="733" t="s">
        <v>1075</v>
      </c>
      <c r="M329" s="1304" t="s">
        <v>16</v>
      </c>
      <c r="N329" s="772"/>
      <c r="O329" s="1294"/>
      <c r="P329" s="212"/>
      <c r="Q329" s="1294" t="s">
        <v>832</v>
      </c>
      <c r="R329" s="217">
        <f>$B$1</f>
        <v>45388</v>
      </c>
      <c r="S329" s="223"/>
      <c r="T329" s="223"/>
      <c r="U329" s="224"/>
      <c r="V329" s="224"/>
      <c r="W329" s="219" t="str">
        <f>IFERROR(IF(AND(BD_PRINCIPAL[[#This Row],[DESDE]]&lt;&gt;"",BD_PRINCIPAL[[#This Row],[HASTA]]&lt;&gt;""),_xlfn.DAYS(BD_PRINCIPAL[[#This Row],[HASTA]],BD_PRINCIPAL[[#This Row],[DESDE]]),"")+1,"")</f>
        <v/>
      </c>
      <c r="X329" s="219">
        <f>VLOOKUP(BD_PRINCIPAL[[#This Row],[ENCUADRE. ESC.]],ORDEN1,2,FALSE)</f>
        <v>1</v>
      </c>
      <c r="Y329" s="219">
        <f>VLOOKUP(BD_PRINCIPAL[[#This Row],[DOTACIÓN ACTUAL]],ORDEN2,4,FALSE)</f>
        <v>275</v>
      </c>
      <c r="Z329" s="219">
        <f>VLOOKUP(BD_PRINCIPAL[[#This Row],[GRADO]],ORDEN3,2,FALSE)</f>
        <v>8</v>
      </c>
      <c r="AA329" s="219">
        <f>IFERROR(VLOOKUP(BD_PRINCIPAL[[#This Row],[DOTACIÓN ACTUAL]],ORDEN2,3,FALSE),0)</f>
        <v>0</v>
      </c>
      <c r="AB329" s="212" t="s">
        <v>1075</v>
      </c>
      <c r="AC329" s="212" t="s">
        <v>1075</v>
      </c>
      <c r="AD329" s="212" t="s">
        <v>1075</v>
      </c>
      <c r="AE329" s="212" t="s">
        <v>1075</v>
      </c>
      <c r="AF329" s="212" t="s">
        <v>1075</v>
      </c>
      <c r="AG329" s="212" t="s">
        <v>1075</v>
      </c>
      <c r="AH329" s="212"/>
      <c r="AI329" s="212"/>
      <c r="AJ329" s="212"/>
      <c r="AK329" s="212"/>
      <c r="AL329" s="212"/>
      <c r="AM329" s="212"/>
      <c r="AN329" s="212"/>
      <c r="AO329" s="212"/>
      <c r="AP329" s="212"/>
      <c r="AQ329" s="212"/>
      <c r="AR329" s="212"/>
      <c r="AS329" s="212"/>
      <c r="AT329" s="220"/>
      <c r="AU329" s="220"/>
      <c r="AV329" s="220"/>
      <c r="AW329" s="220"/>
      <c r="AX329" s="220"/>
      <c r="AY329" s="220"/>
      <c r="AZ329" s="220"/>
      <c r="BA329" s="212"/>
      <c r="BB329" s="212"/>
      <c r="BC329" s="212"/>
      <c r="BD329" s="212"/>
      <c r="BE329" s="212"/>
      <c r="BF329" s="212"/>
      <c r="BG329" s="212"/>
      <c r="BH329" s="212"/>
      <c r="BI329" s="212"/>
      <c r="BJ329" s="212"/>
      <c r="BK329" s="212"/>
      <c r="BL329" s="212"/>
      <c r="BM329" s="772">
        <v>45092</v>
      </c>
      <c r="BN329" s="789"/>
    </row>
    <row r="330" spans="1:66" s="221" customFormat="1" x14ac:dyDescent="0.3">
      <c r="A330" s="219" t="s">
        <v>481</v>
      </c>
      <c r="B330" s="212" t="s">
        <v>233</v>
      </c>
      <c r="C330" s="219">
        <v>170139828</v>
      </c>
      <c r="D330" s="309" t="s">
        <v>16</v>
      </c>
      <c r="E330" s="485" t="s">
        <v>16</v>
      </c>
      <c r="F330" s="480" t="s">
        <v>233</v>
      </c>
      <c r="G330" s="222" t="s">
        <v>209</v>
      </c>
      <c r="H330" s="215" t="s">
        <v>816</v>
      </c>
      <c r="I330" s="215" t="s">
        <v>872</v>
      </c>
      <c r="J330" s="216" t="s">
        <v>917</v>
      </c>
      <c r="K330" s="1279" t="s">
        <v>2290</v>
      </c>
      <c r="L330" s="733" t="s">
        <v>1075</v>
      </c>
      <c r="M330" s="1304" t="s">
        <v>16</v>
      </c>
      <c r="N330" s="771"/>
      <c r="O330" s="1294"/>
      <c r="P330" s="212"/>
      <c r="Q330" s="1294" t="s">
        <v>832</v>
      </c>
      <c r="R330" s="217">
        <f>$B$1</f>
        <v>45388</v>
      </c>
      <c r="S330" s="223"/>
      <c r="T330" s="213"/>
      <c r="U330" s="218"/>
      <c r="V330" s="218"/>
      <c r="W330" s="219" t="str">
        <f>IFERROR(IF(AND(BD_PRINCIPAL[[#This Row],[DESDE]]&lt;&gt;"",BD_PRINCIPAL[[#This Row],[HASTA]]&lt;&gt;""),_xlfn.DAYS(BD_PRINCIPAL[[#This Row],[HASTA]],BD_PRINCIPAL[[#This Row],[DESDE]]),"")+1,"")</f>
        <v/>
      </c>
      <c r="X330" s="219">
        <f>VLOOKUP(BD_PRINCIPAL[[#This Row],[ENCUADRE. ESC.]],ORDEN1,2,FALSE)</f>
        <v>1</v>
      </c>
      <c r="Y330" s="219">
        <f>VLOOKUP(BD_PRINCIPAL[[#This Row],[DOTACIÓN ACTUAL]],ORDEN2,4,FALSE)</f>
        <v>275</v>
      </c>
      <c r="Z330" s="219">
        <f>VLOOKUP(BD_PRINCIPAL[[#This Row],[GRADO]],ORDEN3,2,FALSE)</f>
        <v>10</v>
      </c>
      <c r="AA330" s="219">
        <f>IFERROR(VLOOKUP(BD_PRINCIPAL[[#This Row],[DOTACIÓN ACTUAL]],ORDEN2,3,FALSE),0)</f>
        <v>0</v>
      </c>
      <c r="AB330" s="212" t="s">
        <v>1075</v>
      </c>
      <c r="AC330" s="212" t="s">
        <v>1075</v>
      </c>
      <c r="AD330" s="212" t="s">
        <v>1075</v>
      </c>
      <c r="AE330" s="212" t="s">
        <v>1075</v>
      </c>
      <c r="AF330" s="212" t="s">
        <v>1075</v>
      </c>
      <c r="AG330" s="212" t="s">
        <v>1075</v>
      </c>
      <c r="AH330" s="212"/>
      <c r="AI330" s="212"/>
      <c r="AJ330" s="212"/>
      <c r="AK330" s="212"/>
      <c r="AL330" s="212"/>
      <c r="AM330" s="212"/>
      <c r="AN330" s="212"/>
      <c r="AO330" s="212"/>
      <c r="AP330" s="212"/>
      <c r="AQ330" s="212"/>
      <c r="AR330" s="212"/>
      <c r="AS330" s="212"/>
      <c r="AT330" s="220"/>
      <c r="AU330" s="220"/>
      <c r="AV330" s="220"/>
      <c r="AW330" s="220"/>
      <c r="AX330" s="220"/>
      <c r="AY330" s="220"/>
      <c r="AZ330" s="220"/>
      <c r="BA330" s="212"/>
      <c r="BB330" s="212"/>
      <c r="BC330" s="212"/>
      <c r="BD330" s="212"/>
      <c r="BE330" s="212"/>
      <c r="BF330" s="212"/>
      <c r="BG330" s="212"/>
      <c r="BH330" s="212"/>
      <c r="BI330" s="212"/>
      <c r="BJ330" s="212"/>
      <c r="BK330" s="212"/>
      <c r="BL330" s="212"/>
      <c r="BM330" s="771">
        <v>45036</v>
      </c>
      <c r="BN330" s="789"/>
    </row>
    <row r="331" spans="1:66" s="233" customFormat="1" x14ac:dyDescent="0.3">
      <c r="A331" s="231" t="s">
        <v>491</v>
      </c>
      <c r="B331" s="225" t="s">
        <v>43</v>
      </c>
      <c r="C331" s="231">
        <v>113715820</v>
      </c>
      <c r="D331" s="310" t="s">
        <v>206</v>
      </c>
      <c r="E331" s="477" t="s">
        <v>206</v>
      </c>
      <c r="F331" s="477" t="s">
        <v>43</v>
      </c>
      <c r="G331" s="235" t="s">
        <v>11</v>
      </c>
      <c r="H331" s="228" t="s">
        <v>816</v>
      </c>
      <c r="I331" s="228" t="s">
        <v>872</v>
      </c>
      <c r="J331" s="229" t="s">
        <v>917</v>
      </c>
      <c r="K331" s="1280" t="s">
        <v>2290</v>
      </c>
      <c r="L331" s="734" t="s">
        <v>1075</v>
      </c>
      <c r="M331" s="1305" t="s">
        <v>206</v>
      </c>
      <c r="N331" s="780"/>
      <c r="O331" s="1295"/>
      <c r="P331" s="225"/>
      <c r="Q331" s="1295" t="s">
        <v>832</v>
      </c>
      <c r="R331" s="234">
        <f>$B$1</f>
        <v>45388</v>
      </c>
      <c r="S331" s="236"/>
      <c r="T331" s="236"/>
      <c r="U331" s="237"/>
      <c r="V331" s="237"/>
      <c r="W331" s="231" t="str">
        <f>IFERROR(IF(AND(BD_PRINCIPAL[[#This Row],[DESDE]]&lt;&gt;"",BD_PRINCIPAL[[#This Row],[HASTA]]&lt;&gt;""),_xlfn.DAYS(BD_PRINCIPAL[[#This Row],[HASTA]],BD_PRINCIPAL[[#This Row],[DESDE]]),"")+1,"")</f>
        <v/>
      </c>
      <c r="X331" s="231">
        <f>VLOOKUP(BD_PRINCIPAL[[#This Row],[ENCUADRE. ESC.]],ORDEN1,2,FALSE)</f>
        <v>1</v>
      </c>
      <c r="Y331" s="231">
        <f>VLOOKUP(BD_PRINCIPAL[[#This Row],[DOTACIÓN ACTUAL]],ORDEN2,4,FALSE)</f>
        <v>276</v>
      </c>
      <c r="Z331" s="231">
        <f>VLOOKUP(BD_PRINCIPAL[[#This Row],[GRADO]],ORDEN3,2,FALSE)</f>
        <v>7</v>
      </c>
      <c r="AA331" s="231">
        <f>IFERROR(VLOOKUP(BD_PRINCIPAL[[#This Row],[DOTACIÓN ACTUAL]],ORDEN2,3,FALSE),0)</f>
        <v>0</v>
      </c>
      <c r="AB331" s="225" t="s">
        <v>1075</v>
      </c>
      <c r="AC331" s="225" t="s">
        <v>1075</v>
      </c>
      <c r="AD331" s="225" t="s">
        <v>1075</v>
      </c>
      <c r="AE331" s="225" t="s">
        <v>1075</v>
      </c>
      <c r="AF331" s="225" t="s">
        <v>1075</v>
      </c>
      <c r="AG331" s="225" t="s">
        <v>1075</v>
      </c>
      <c r="AH331" s="225"/>
      <c r="AI331" s="225"/>
      <c r="AJ331" s="225"/>
      <c r="AK331" s="225"/>
      <c r="AL331" s="225"/>
      <c r="AM331" s="225"/>
      <c r="AN331" s="225"/>
      <c r="AO331" s="225"/>
      <c r="AP331" s="225"/>
      <c r="AQ331" s="225"/>
      <c r="AR331" s="225"/>
      <c r="AS331" s="225"/>
      <c r="AT331" s="232"/>
      <c r="AU331" s="232"/>
      <c r="AV331" s="232"/>
      <c r="AW331" s="232"/>
      <c r="AX331" s="232"/>
      <c r="AY331" s="232"/>
      <c r="AZ331" s="232"/>
      <c r="BA331" s="225"/>
      <c r="BB331" s="225"/>
      <c r="BC331" s="225"/>
      <c r="BD331" s="225"/>
      <c r="BE331" s="225"/>
      <c r="BF331" s="225"/>
      <c r="BG331" s="225"/>
      <c r="BH331" s="225"/>
      <c r="BI331" s="225"/>
      <c r="BJ331" s="225"/>
      <c r="BK331" s="225"/>
      <c r="BL331" s="225"/>
      <c r="BM331" s="780">
        <v>45048</v>
      </c>
      <c r="BN331" s="790"/>
    </row>
    <row r="332" spans="1:66" s="260" customFormat="1" ht="26.4" x14ac:dyDescent="0.3">
      <c r="A332" s="258" t="s">
        <v>332</v>
      </c>
      <c r="B332" s="251" t="s">
        <v>231</v>
      </c>
      <c r="C332" s="258">
        <v>185240339</v>
      </c>
      <c r="D332" s="873" t="s">
        <v>2001</v>
      </c>
      <c r="E332" s="481" t="s">
        <v>1000</v>
      </c>
      <c r="F332" s="481" t="s">
        <v>231</v>
      </c>
      <c r="G332" s="1018" t="s">
        <v>10</v>
      </c>
      <c r="H332" s="254" t="s">
        <v>817</v>
      </c>
      <c r="I332" s="254" t="s">
        <v>872</v>
      </c>
      <c r="J332" s="255" t="s">
        <v>918</v>
      </c>
      <c r="K332" s="1282" t="s">
        <v>2290</v>
      </c>
      <c r="L332" s="737" t="s">
        <v>853</v>
      </c>
      <c r="M332" s="1307" t="s">
        <v>1000</v>
      </c>
      <c r="N332" s="781"/>
      <c r="O332" s="1297"/>
      <c r="P332" s="251"/>
      <c r="Q332" s="1297" t="s">
        <v>832</v>
      </c>
      <c r="R332" s="256">
        <f>$B$1</f>
        <v>45388</v>
      </c>
      <c r="S332" s="252"/>
      <c r="T332" s="252" t="s">
        <v>1793</v>
      </c>
      <c r="U332" s="257">
        <v>45378</v>
      </c>
      <c r="V332" s="257">
        <v>45743</v>
      </c>
      <c r="W332" s="258">
        <f>IFERROR(IF(AND(BD_PRINCIPAL[[#This Row],[DESDE]]&lt;&gt;"",BD_PRINCIPAL[[#This Row],[HASTA]]&lt;&gt;""),_xlfn.DAYS(BD_PRINCIPAL[[#This Row],[HASTA]],BD_PRINCIPAL[[#This Row],[DESDE]]),"")+1,"")</f>
        <v>366</v>
      </c>
      <c r="X332" s="258">
        <f>VLOOKUP(BD_PRINCIPAL[[#This Row],[ENCUADRE. ESC.]],ORDEN1,2,FALSE)</f>
        <v>1</v>
      </c>
      <c r="Y332" s="258">
        <f>VLOOKUP(BD_PRINCIPAL[[#This Row],[DOTACIÓN ACTUAL]],ORDEN2,4,FALSE)</f>
        <v>278</v>
      </c>
      <c r="Z332" s="258">
        <f>VLOOKUP(BD_PRINCIPAL[[#This Row],[GRADO]],ORDEN3,2,FALSE)</f>
        <v>5</v>
      </c>
      <c r="AA332" s="258">
        <f>IFERROR(VLOOKUP(BD_PRINCIPAL[[#This Row],[DOTACIÓN ACTUAL]],ORDEN2,3,FALSE),0)</f>
        <v>0</v>
      </c>
      <c r="AB332" s="251" t="s">
        <v>853</v>
      </c>
      <c r="AC332" s="251" t="s">
        <v>853</v>
      </c>
      <c r="AD332" s="251" t="s">
        <v>853</v>
      </c>
      <c r="AE332" s="251" t="s">
        <v>853</v>
      </c>
      <c r="AF332" s="251" t="s">
        <v>853</v>
      </c>
      <c r="AG332" s="251" t="s">
        <v>853</v>
      </c>
      <c r="AH332" s="251"/>
      <c r="AI332" s="251"/>
      <c r="AJ332" s="251"/>
      <c r="AK332" s="251"/>
      <c r="AL332" s="251"/>
      <c r="AM332" s="251"/>
      <c r="AN332" s="251"/>
      <c r="AO332" s="251"/>
      <c r="AP332" s="251"/>
      <c r="AQ332" s="251"/>
      <c r="AR332" s="251"/>
      <c r="AS332" s="251"/>
      <c r="AT332" s="259"/>
      <c r="AU332" s="259"/>
      <c r="AV332" s="259"/>
      <c r="AW332" s="259"/>
      <c r="AX332" s="259"/>
      <c r="AY332" s="259"/>
      <c r="AZ332" s="259"/>
      <c r="BA332" s="251"/>
      <c r="BB332" s="251"/>
      <c r="BC332" s="251"/>
      <c r="BD332" s="251"/>
      <c r="BE332" s="251"/>
      <c r="BF332" s="251"/>
      <c r="BG332" s="251"/>
      <c r="BH332" s="251"/>
      <c r="BI332" s="251"/>
      <c r="BJ332" s="251"/>
      <c r="BK332" s="251"/>
      <c r="BL332" s="251"/>
      <c r="BM332" s="781">
        <v>44714</v>
      </c>
      <c r="BN332" s="791"/>
    </row>
    <row r="333" spans="1:66" s="260" customFormat="1" ht="26.4" x14ac:dyDescent="0.3">
      <c r="A333" s="258" t="s">
        <v>645</v>
      </c>
      <c r="B333" s="251" t="s">
        <v>646</v>
      </c>
      <c r="C333" s="258">
        <v>168179685</v>
      </c>
      <c r="D333" s="715" t="s">
        <v>1398</v>
      </c>
      <c r="E333" s="487" t="s">
        <v>1000</v>
      </c>
      <c r="F333" s="481" t="s">
        <v>2400</v>
      </c>
      <c r="G333" s="261" t="s">
        <v>209</v>
      </c>
      <c r="H333" s="254" t="s">
        <v>816</v>
      </c>
      <c r="I333" s="254" t="s">
        <v>872</v>
      </c>
      <c r="J333" s="255" t="s">
        <v>917</v>
      </c>
      <c r="K333" s="1282" t="s">
        <v>2308</v>
      </c>
      <c r="L333" s="737" t="s">
        <v>1075</v>
      </c>
      <c r="M333" s="1307" t="s">
        <v>1000</v>
      </c>
      <c r="N333" s="781"/>
      <c r="O333" s="1297"/>
      <c r="P333" s="251"/>
      <c r="Q333" s="1297" t="s">
        <v>832</v>
      </c>
      <c r="R333" s="256">
        <f>$B$1</f>
        <v>45388</v>
      </c>
      <c r="S333" s="262"/>
      <c r="T333" s="262" t="s">
        <v>2515</v>
      </c>
      <c r="U333" s="257"/>
      <c r="V333" s="257"/>
      <c r="W333" s="258" t="str">
        <f>IFERROR(IF(AND(BD_PRINCIPAL[[#This Row],[DESDE]]&lt;&gt;"",BD_PRINCIPAL[[#This Row],[HASTA]]&lt;&gt;""),_xlfn.DAYS(BD_PRINCIPAL[[#This Row],[HASTA]],BD_PRINCIPAL[[#This Row],[DESDE]]),"")+1,"")</f>
        <v/>
      </c>
      <c r="X333" s="258">
        <f>VLOOKUP(BD_PRINCIPAL[[#This Row],[ENCUADRE. ESC.]],ORDEN1,2,FALSE)</f>
        <v>1</v>
      </c>
      <c r="Y333" s="258">
        <f>VLOOKUP(BD_PRINCIPAL[[#This Row],[DOTACIÓN ACTUAL]],ORDEN2,4,FALSE)</f>
        <v>278</v>
      </c>
      <c r="Z333" s="258">
        <f>VLOOKUP(BD_PRINCIPAL[[#This Row],[GRADO]],ORDEN3,2,FALSE)</f>
        <v>10</v>
      </c>
      <c r="AA333" s="258">
        <f>IFERROR(VLOOKUP(BD_PRINCIPAL[[#This Row],[DOTACIÓN ACTUAL]],ORDEN2,3,FALSE),0)</f>
        <v>0</v>
      </c>
      <c r="AB333" s="251" t="s">
        <v>1075</v>
      </c>
      <c r="AC333" s="251" t="s">
        <v>1075</v>
      </c>
      <c r="AD333" s="251" t="s">
        <v>1075</v>
      </c>
      <c r="AE333" s="251" t="s">
        <v>1075</v>
      </c>
      <c r="AF333" s="251" t="s">
        <v>1075</v>
      </c>
      <c r="AG333" s="251" t="s">
        <v>1075</v>
      </c>
      <c r="AH333" s="251"/>
      <c r="AI333" s="251"/>
      <c r="AJ333" s="251"/>
      <c r="AK333" s="251"/>
      <c r="AL333" s="251"/>
      <c r="AM333" s="251"/>
      <c r="AN333" s="251"/>
      <c r="AO333" s="251"/>
      <c r="AP333" s="251"/>
      <c r="AQ333" s="251"/>
      <c r="AR333" s="251"/>
      <c r="AS333" s="251"/>
      <c r="AT333" s="259"/>
      <c r="AU333" s="259"/>
      <c r="AV333" s="259"/>
      <c r="AW333" s="259"/>
      <c r="AX333" s="259"/>
      <c r="AY333" s="259"/>
      <c r="AZ333" s="259"/>
      <c r="BA333" s="251"/>
      <c r="BB333" s="251"/>
      <c r="BC333" s="251"/>
      <c r="BD333" s="251"/>
      <c r="BE333" s="251"/>
      <c r="BF333" s="251"/>
      <c r="BG333" s="251"/>
      <c r="BH333" s="251"/>
      <c r="BI333" s="251"/>
      <c r="BJ333" s="251"/>
      <c r="BK333" s="251"/>
      <c r="BL333" s="251"/>
      <c r="BM333" s="781">
        <v>45126</v>
      </c>
      <c r="BN333" s="791"/>
    </row>
    <row r="334" spans="1:66" s="260" customFormat="1" ht="26.4" x14ac:dyDescent="0.3">
      <c r="A334" s="258" t="s">
        <v>2828</v>
      </c>
      <c r="B334" s="634" t="s">
        <v>2830</v>
      </c>
      <c r="C334" s="258" t="s">
        <v>2829</v>
      </c>
      <c r="D334" s="715" t="s">
        <v>717</v>
      </c>
      <c r="E334" s="481" t="s">
        <v>1000</v>
      </c>
      <c r="F334" s="481" t="s">
        <v>2830</v>
      </c>
      <c r="G334" s="261" t="s">
        <v>3</v>
      </c>
      <c r="H334" s="254" t="s">
        <v>817</v>
      </c>
      <c r="I334" s="254" t="s">
        <v>872</v>
      </c>
      <c r="J334" s="255" t="s">
        <v>917</v>
      </c>
      <c r="K334" s="1282" t="s">
        <v>2290</v>
      </c>
      <c r="L334" s="737" t="s">
        <v>853</v>
      </c>
      <c r="M334" s="1307" t="s">
        <v>1000</v>
      </c>
      <c r="N334" s="782"/>
      <c r="O334" s="1297"/>
      <c r="P334" s="251"/>
      <c r="Q334" s="1297" t="s">
        <v>832</v>
      </c>
      <c r="R334" s="632">
        <v>35025</v>
      </c>
      <c r="S334" s="262" t="s">
        <v>987</v>
      </c>
      <c r="T334" s="252"/>
      <c r="U334" s="870"/>
      <c r="V334" s="870"/>
      <c r="W334" s="633" t="str">
        <f>IFERROR(IF(AND(BD_PRINCIPAL[[#This Row],[DESDE]]&lt;&gt;"",BD_PRINCIPAL[[#This Row],[HASTA]]&lt;&gt;""),_xlfn.DAYS(BD_PRINCIPAL[[#This Row],[HASTA]],BD_PRINCIPAL[[#This Row],[DESDE]]),"")+1,"")</f>
        <v/>
      </c>
      <c r="X334" s="633">
        <f>VLOOKUP(BD_PRINCIPAL[[#This Row],[ENCUADRE. ESC.]],ORDEN1,2,FALSE)</f>
        <v>1</v>
      </c>
      <c r="Y334" s="633">
        <f>VLOOKUP(BD_PRINCIPAL[[#This Row],[DOTACIÓN ACTUAL]],ORDEN2,4,FALSE)</f>
        <v>278</v>
      </c>
      <c r="Z334" s="633">
        <f>VLOOKUP(BD_PRINCIPAL[[#This Row],[GRADO]],ORDEN3,2,FALSE)</f>
        <v>11</v>
      </c>
      <c r="AA334" s="633">
        <f>IFERROR(VLOOKUP(BD_PRINCIPAL[[#This Row],[DOTACIÓN ACTUAL]],ORDEN2,3,FALSE),0)</f>
        <v>0</v>
      </c>
      <c r="AB334" s="259" t="s">
        <v>853</v>
      </c>
      <c r="AC334" s="259" t="s">
        <v>6</v>
      </c>
      <c r="AD334" s="259" t="s">
        <v>2125</v>
      </c>
      <c r="AE334" s="259" t="s">
        <v>2</v>
      </c>
      <c r="AF334" s="259" t="s">
        <v>853</v>
      </c>
      <c r="AG334" s="259" t="s">
        <v>853</v>
      </c>
      <c r="AH334" s="259"/>
      <c r="AI334" s="259"/>
      <c r="AJ334" s="259"/>
      <c r="AK334" s="259"/>
      <c r="AL334" s="259"/>
      <c r="AM334" s="259"/>
      <c r="AN334" s="259"/>
      <c r="AO334" s="259"/>
      <c r="AP334" s="259"/>
      <c r="AQ334" s="259"/>
      <c r="AR334" s="259"/>
      <c r="AS334" s="259"/>
      <c r="AT334" s="259"/>
      <c r="AU334" s="259"/>
      <c r="AV334" s="259"/>
      <c r="AW334" s="259"/>
      <c r="AX334" s="259"/>
      <c r="AY334" s="259"/>
      <c r="AZ334" s="259"/>
      <c r="BA334" s="251"/>
      <c r="BB334" s="251"/>
      <c r="BC334" s="251"/>
      <c r="BD334" s="251"/>
      <c r="BE334" s="251"/>
      <c r="BF334" s="251"/>
      <c r="BG334" s="251"/>
      <c r="BH334" s="251"/>
      <c r="BI334" s="251"/>
      <c r="BJ334" s="251"/>
      <c r="BK334" s="251"/>
      <c r="BL334" s="251"/>
      <c r="BM334" s="948">
        <v>45376</v>
      </c>
      <c r="BN334" s="948"/>
    </row>
    <row r="335" spans="1:66" s="260" customFormat="1" ht="26.4" x14ac:dyDescent="0.3">
      <c r="A335" s="258" t="s">
        <v>564</v>
      </c>
      <c r="B335" s="251" t="s">
        <v>133</v>
      </c>
      <c r="C335" s="258">
        <v>202301258</v>
      </c>
      <c r="D335" s="316" t="s">
        <v>1000</v>
      </c>
      <c r="E335" s="481" t="s">
        <v>1000</v>
      </c>
      <c r="F335" s="481" t="s">
        <v>133</v>
      </c>
      <c r="G335" s="253" t="s">
        <v>3</v>
      </c>
      <c r="H335" s="254" t="s">
        <v>816</v>
      </c>
      <c r="I335" s="254" t="s">
        <v>872</v>
      </c>
      <c r="J335" s="255" t="s">
        <v>917</v>
      </c>
      <c r="K335" s="1282" t="s">
        <v>2290</v>
      </c>
      <c r="L335" s="737" t="s">
        <v>853</v>
      </c>
      <c r="M335" s="1307" t="s">
        <v>1000</v>
      </c>
      <c r="N335" s="783"/>
      <c r="O335" s="1297"/>
      <c r="P335" s="251"/>
      <c r="Q335" s="1297" t="s">
        <v>832</v>
      </c>
      <c r="R335" s="256">
        <f>$B$1</f>
        <v>45388</v>
      </c>
      <c r="S335" s="262" t="s">
        <v>3006</v>
      </c>
      <c r="T335" s="262" t="s">
        <v>2401</v>
      </c>
      <c r="U335" s="257"/>
      <c r="V335" s="257"/>
      <c r="W335" s="258" t="str">
        <f>IFERROR(IF(AND(BD_PRINCIPAL[[#This Row],[DESDE]]&lt;&gt;"",BD_PRINCIPAL[[#This Row],[HASTA]]&lt;&gt;""),_xlfn.DAYS(BD_PRINCIPAL[[#This Row],[HASTA]],BD_PRINCIPAL[[#This Row],[DESDE]]),"")+1,"")</f>
        <v/>
      </c>
      <c r="X335" s="258">
        <f>VLOOKUP(BD_PRINCIPAL[[#This Row],[ENCUADRE. ESC.]],ORDEN1,2,FALSE)</f>
        <v>1</v>
      </c>
      <c r="Y335" s="258">
        <f>VLOOKUP(BD_PRINCIPAL[[#This Row],[DOTACIÓN ACTUAL]],ORDEN2,4,FALSE)</f>
        <v>278</v>
      </c>
      <c r="Z335" s="258">
        <f>VLOOKUP(BD_PRINCIPAL[[#This Row],[GRADO]],ORDEN3,2,FALSE)</f>
        <v>11</v>
      </c>
      <c r="AA335" s="258">
        <f>IFERROR(VLOOKUP(BD_PRINCIPAL[[#This Row],[DOTACIÓN ACTUAL]],ORDEN2,3,FALSE),0)</f>
        <v>0</v>
      </c>
      <c r="AB335" s="251" t="s">
        <v>853</v>
      </c>
      <c r="AC335" s="251" t="s">
        <v>853</v>
      </c>
      <c r="AD335" s="251" t="s">
        <v>853</v>
      </c>
      <c r="AE335" s="251" t="s">
        <v>853</v>
      </c>
      <c r="AF335" s="251" t="s">
        <v>853</v>
      </c>
      <c r="AG335" s="251" t="s">
        <v>853</v>
      </c>
      <c r="AH335" s="251"/>
      <c r="AI335" s="251"/>
      <c r="AJ335" s="251"/>
      <c r="AK335" s="251"/>
      <c r="AL335" s="251"/>
      <c r="AM335" s="251"/>
      <c r="AN335" s="251"/>
      <c r="AO335" s="251"/>
      <c r="AP335" s="251"/>
      <c r="AQ335" s="251"/>
      <c r="AR335" s="251"/>
      <c r="AS335" s="251"/>
      <c r="AT335" s="259"/>
      <c r="AU335" s="259"/>
      <c r="AV335" s="259"/>
      <c r="AW335" s="259"/>
      <c r="AX335" s="259"/>
      <c r="AY335" s="259"/>
      <c r="AZ335" s="259"/>
      <c r="BA335" s="251"/>
      <c r="BB335" s="251"/>
      <c r="BC335" s="251"/>
      <c r="BD335" s="251"/>
      <c r="BE335" s="251"/>
      <c r="BF335" s="251"/>
      <c r="BG335" s="251"/>
      <c r="BH335" s="251"/>
      <c r="BI335" s="251"/>
      <c r="BJ335" s="251"/>
      <c r="BK335" s="251"/>
      <c r="BL335" s="251"/>
      <c r="BM335" s="783">
        <v>45051</v>
      </c>
      <c r="BN335" s="791"/>
    </row>
    <row r="336" spans="1:66" s="260" customFormat="1" ht="39.6" x14ac:dyDescent="0.3">
      <c r="A336" s="258" t="s">
        <v>344</v>
      </c>
      <c r="B336" s="251" t="s">
        <v>103</v>
      </c>
      <c r="C336" s="258">
        <v>200957334</v>
      </c>
      <c r="D336" s="715" t="s">
        <v>713</v>
      </c>
      <c r="E336" s="481" t="s">
        <v>1000</v>
      </c>
      <c r="F336" s="481" t="s">
        <v>103</v>
      </c>
      <c r="G336" s="253" t="s">
        <v>4</v>
      </c>
      <c r="H336" s="254" t="s">
        <v>816</v>
      </c>
      <c r="I336" s="254" t="s">
        <v>872</v>
      </c>
      <c r="J336" s="255" t="s">
        <v>917</v>
      </c>
      <c r="K336" s="1282" t="s">
        <v>2290</v>
      </c>
      <c r="L336" s="737" t="s">
        <v>853</v>
      </c>
      <c r="M336" s="1307" t="s">
        <v>1000</v>
      </c>
      <c r="N336" s="781"/>
      <c r="O336" s="1297"/>
      <c r="P336" s="251"/>
      <c r="Q336" s="1297" t="s">
        <v>832</v>
      </c>
      <c r="R336" s="256">
        <f>$B$1</f>
        <v>45388</v>
      </c>
      <c r="S336" s="262" t="s">
        <v>3451</v>
      </c>
      <c r="T336" s="262" t="s">
        <v>3454</v>
      </c>
      <c r="U336" s="257"/>
      <c r="V336" s="257"/>
      <c r="W336" s="258" t="str">
        <f>IFERROR(IF(AND(BD_PRINCIPAL[[#This Row],[DESDE]]&lt;&gt;"",BD_PRINCIPAL[[#This Row],[HASTA]]&lt;&gt;""),_xlfn.DAYS(BD_PRINCIPAL[[#This Row],[HASTA]],BD_PRINCIPAL[[#This Row],[DESDE]]),"")+1,"")</f>
        <v/>
      </c>
      <c r="X336" s="258">
        <f>VLOOKUP(BD_PRINCIPAL[[#This Row],[ENCUADRE. ESC.]],ORDEN1,2,FALSE)</f>
        <v>1</v>
      </c>
      <c r="Y336" s="258">
        <f>VLOOKUP(BD_PRINCIPAL[[#This Row],[DOTACIÓN ACTUAL]],ORDEN2,4,FALSE)</f>
        <v>278</v>
      </c>
      <c r="Z336" s="258">
        <f>VLOOKUP(BD_PRINCIPAL[[#This Row],[GRADO]],ORDEN3,2,FALSE)</f>
        <v>12</v>
      </c>
      <c r="AA336" s="258">
        <f>IFERROR(VLOOKUP(BD_PRINCIPAL[[#This Row],[DOTACIÓN ACTUAL]],ORDEN2,3,FALSE),0)</f>
        <v>0</v>
      </c>
      <c r="AB336" s="251" t="s">
        <v>853</v>
      </c>
      <c r="AC336" s="251" t="s">
        <v>853</v>
      </c>
      <c r="AD336" s="251" t="s">
        <v>853</v>
      </c>
      <c r="AE336" s="251" t="s">
        <v>853</v>
      </c>
      <c r="AF336" s="251" t="s">
        <v>853</v>
      </c>
      <c r="AG336" s="251" t="s">
        <v>853</v>
      </c>
      <c r="AH336" s="251"/>
      <c r="AI336" s="251"/>
      <c r="AJ336" s="251"/>
      <c r="AK336" s="251"/>
      <c r="AL336" s="251"/>
      <c r="AM336" s="251"/>
      <c r="AN336" s="251"/>
      <c r="AO336" s="251"/>
      <c r="AP336" s="251"/>
      <c r="AQ336" s="251"/>
      <c r="AR336" s="251"/>
      <c r="AS336" s="251"/>
      <c r="AT336" s="259"/>
      <c r="AU336" s="259"/>
      <c r="AV336" s="259"/>
      <c r="AW336" s="259"/>
      <c r="AX336" s="259"/>
      <c r="AY336" s="259"/>
      <c r="AZ336" s="259"/>
      <c r="BA336" s="251"/>
      <c r="BB336" s="251"/>
      <c r="BC336" s="251"/>
      <c r="BD336" s="251"/>
      <c r="BE336" s="251"/>
      <c r="BF336" s="251"/>
      <c r="BG336" s="251"/>
      <c r="BH336" s="251"/>
      <c r="BI336" s="251"/>
      <c r="BJ336" s="251"/>
      <c r="BK336" s="251"/>
      <c r="BL336" s="251"/>
      <c r="BM336" s="781">
        <v>45141</v>
      </c>
      <c r="BN336" s="791"/>
    </row>
    <row r="337" spans="1:66" s="260" customFormat="1" ht="52.8" x14ac:dyDescent="0.3">
      <c r="A337" s="258" t="s">
        <v>507</v>
      </c>
      <c r="B337" s="251" t="s">
        <v>104</v>
      </c>
      <c r="C337" s="258">
        <v>196813209</v>
      </c>
      <c r="D337" s="715" t="s">
        <v>716</v>
      </c>
      <c r="E337" s="487" t="s">
        <v>1000</v>
      </c>
      <c r="F337" s="481" t="s">
        <v>104</v>
      </c>
      <c r="G337" s="253" t="s">
        <v>4</v>
      </c>
      <c r="H337" s="254" t="s">
        <v>816</v>
      </c>
      <c r="I337" s="254" t="s">
        <v>872</v>
      </c>
      <c r="J337" s="255" t="s">
        <v>917</v>
      </c>
      <c r="K337" s="1282" t="s">
        <v>2290</v>
      </c>
      <c r="L337" s="737" t="s">
        <v>854</v>
      </c>
      <c r="M337" s="1307" t="s">
        <v>1000</v>
      </c>
      <c r="N337" s="781"/>
      <c r="O337" s="1297"/>
      <c r="P337" s="251"/>
      <c r="Q337" s="1297" t="s">
        <v>832</v>
      </c>
      <c r="R337" s="256">
        <f>$B$1</f>
        <v>45388</v>
      </c>
      <c r="S337" s="262" t="s">
        <v>1483</v>
      </c>
      <c r="T337" s="262" t="s">
        <v>3582</v>
      </c>
      <c r="U337" s="257"/>
      <c r="V337" s="257"/>
      <c r="W337" s="258" t="str">
        <f>IFERROR(IF(AND(BD_PRINCIPAL[[#This Row],[DESDE]]&lt;&gt;"",BD_PRINCIPAL[[#This Row],[HASTA]]&lt;&gt;""),_xlfn.DAYS(BD_PRINCIPAL[[#This Row],[HASTA]],BD_PRINCIPAL[[#This Row],[DESDE]]),"")+1,"")</f>
        <v/>
      </c>
      <c r="X337" s="258">
        <f>VLOOKUP(BD_PRINCIPAL[[#This Row],[ENCUADRE. ESC.]],ORDEN1,2,FALSE)</f>
        <v>1</v>
      </c>
      <c r="Y337" s="258">
        <f>VLOOKUP(BD_PRINCIPAL[[#This Row],[DOTACIÓN ACTUAL]],ORDEN2,4,FALSE)</f>
        <v>278</v>
      </c>
      <c r="Z337" s="258">
        <f>VLOOKUP(BD_PRINCIPAL[[#This Row],[GRADO]],ORDEN3,2,FALSE)</f>
        <v>12</v>
      </c>
      <c r="AA337" s="258">
        <f>IFERROR(VLOOKUP(BD_PRINCIPAL[[#This Row],[DOTACIÓN ACTUAL]],ORDEN2,3,FALSE),0)</f>
        <v>0</v>
      </c>
      <c r="AB337" s="251" t="s">
        <v>2</v>
      </c>
      <c r="AC337" s="251" t="s">
        <v>853</v>
      </c>
      <c r="AD337" s="251" t="s">
        <v>853</v>
      </c>
      <c r="AE337" s="251" t="s">
        <v>853</v>
      </c>
      <c r="AF337" s="251" t="s">
        <v>1</v>
      </c>
      <c r="AG337" s="251" t="s">
        <v>854</v>
      </c>
      <c r="AH337" s="251"/>
      <c r="AI337" s="251"/>
      <c r="AJ337" s="251"/>
      <c r="AK337" s="251"/>
      <c r="AL337" s="251"/>
      <c r="AM337" s="251"/>
      <c r="AN337" s="251"/>
      <c r="AO337" s="251"/>
      <c r="AP337" s="251"/>
      <c r="AQ337" s="251"/>
      <c r="AR337" s="251"/>
      <c r="AS337" s="251"/>
      <c r="AT337" s="259"/>
      <c r="AU337" s="259"/>
      <c r="AV337" s="259"/>
      <c r="AW337" s="259"/>
      <c r="AX337" s="259"/>
      <c r="AY337" s="259"/>
      <c r="AZ337" s="259"/>
      <c r="BA337" s="251"/>
      <c r="BB337" s="251"/>
      <c r="BC337" s="251"/>
      <c r="BD337" s="251"/>
      <c r="BE337" s="251"/>
      <c r="BF337" s="251"/>
      <c r="BG337" s="251"/>
      <c r="BH337" s="251"/>
      <c r="BI337" s="251"/>
      <c r="BJ337" s="251"/>
      <c r="BK337" s="251"/>
      <c r="BL337" s="251"/>
      <c r="BM337" s="781">
        <v>45028</v>
      </c>
      <c r="BN337" s="791"/>
    </row>
    <row r="338" spans="1:66" s="260" customFormat="1" ht="26.4" x14ac:dyDescent="0.3">
      <c r="A338" s="258" t="s">
        <v>582</v>
      </c>
      <c r="B338" s="251" t="s">
        <v>54</v>
      </c>
      <c r="C338" s="258">
        <v>179529548</v>
      </c>
      <c r="D338" s="715" t="s">
        <v>703</v>
      </c>
      <c r="E338" s="487" t="s">
        <v>1000</v>
      </c>
      <c r="F338" s="481" t="s">
        <v>54</v>
      </c>
      <c r="G338" s="253" t="s">
        <v>4</v>
      </c>
      <c r="H338" s="254" t="s">
        <v>816</v>
      </c>
      <c r="I338" s="254" t="s">
        <v>872</v>
      </c>
      <c r="J338" s="255" t="s">
        <v>917</v>
      </c>
      <c r="K338" s="1282" t="s">
        <v>2290</v>
      </c>
      <c r="L338" s="737" t="s">
        <v>1075</v>
      </c>
      <c r="M338" s="1307" t="s">
        <v>1000</v>
      </c>
      <c r="N338" s="781"/>
      <c r="O338" s="1297"/>
      <c r="P338" s="251"/>
      <c r="Q338" s="1297" t="s">
        <v>832</v>
      </c>
      <c r="R338" s="256">
        <f>$B$1</f>
        <v>45388</v>
      </c>
      <c r="S338" s="262" t="s">
        <v>3123</v>
      </c>
      <c r="T338" s="262" t="s">
        <v>3006</v>
      </c>
      <c r="U338" s="257"/>
      <c r="V338" s="257"/>
      <c r="W338" s="258" t="str">
        <f>IFERROR(IF(AND(BD_PRINCIPAL[[#This Row],[DESDE]]&lt;&gt;"",BD_PRINCIPAL[[#This Row],[HASTA]]&lt;&gt;""),_xlfn.DAYS(BD_PRINCIPAL[[#This Row],[HASTA]],BD_PRINCIPAL[[#This Row],[DESDE]]),"")+1,"")</f>
        <v/>
      </c>
      <c r="X338" s="258">
        <f>VLOOKUP(BD_PRINCIPAL[[#This Row],[ENCUADRE. ESC.]],ORDEN1,2,FALSE)</f>
        <v>1</v>
      </c>
      <c r="Y338" s="258">
        <f>VLOOKUP(BD_PRINCIPAL[[#This Row],[DOTACIÓN ACTUAL]],ORDEN2,4,FALSE)</f>
        <v>278</v>
      </c>
      <c r="Z338" s="258">
        <f>VLOOKUP(BD_PRINCIPAL[[#This Row],[GRADO]],ORDEN3,2,FALSE)</f>
        <v>12</v>
      </c>
      <c r="AA338" s="258">
        <f>IFERROR(VLOOKUP(BD_PRINCIPAL[[#This Row],[DOTACIÓN ACTUAL]],ORDEN2,3,FALSE),0)</f>
        <v>0</v>
      </c>
      <c r="AB338" s="251" t="s">
        <v>1075</v>
      </c>
      <c r="AC338" s="251" t="s">
        <v>1075</v>
      </c>
      <c r="AD338" s="251" t="s">
        <v>1075</v>
      </c>
      <c r="AE338" s="251" t="s">
        <v>1075</v>
      </c>
      <c r="AF338" s="251" t="s">
        <v>1075</v>
      </c>
      <c r="AG338" s="251" t="s">
        <v>1075</v>
      </c>
      <c r="AH338" s="251"/>
      <c r="AI338" s="251"/>
      <c r="AJ338" s="251"/>
      <c r="AK338" s="251"/>
      <c r="AL338" s="251"/>
      <c r="AM338" s="251"/>
      <c r="AN338" s="251"/>
      <c r="AO338" s="251"/>
      <c r="AP338" s="251"/>
      <c r="AQ338" s="251"/>
      <c r="AR338" s="251"/>
      <c r="AS338" s="251"/>
      <c r="AT338" s="259"/>
      <c r="AU338" s="259"/>
      <c r="AV338" s="259"/>
      <c r="AW338" s="259"/>
      <c r="AX338" s="259"/>
      <c r="AY338" s="259"/>
      <c r="AZ338" s="259"/>
      <c r="BA338" s="251"/>
      <c r="BB338" s="251"/>
      <c r="BC338" s="251"/>
      <c r="BD338" s="251"/>
      <c r="BE338" s="251"/>
      <c r="BF338" s="251"/>
      <c r="BG338" s="251"/>
      <c r="BH338" s="251"/>
      <c r="BI338" s="251"/>
      <c r="BJ338" s="251"/>
      <c r="BK338" s="251"/>
      <c r="BL338" s="251"/>
      <c r="BM338" s="781">
        <v>45111</v>
      </c>
      <c r="BN338" s="791"/>
    </row>
    <row r="339" spans="1:66" s="189" customFormat="1" x14ac:dyDescent="0.3">
      <c r="A339" s="188" t="s">
        <v>547</v>
      </c>
      <c r="B339" s="181" t="s">
        <v>1571</v>
      </c>
      <c r="C339" s="188">
        <v>167392482</v>
      </c>
      <c r="D339" s="715" t="s">
        <v>769</v>
      </c>
      <c r="E339" s="488" t="s">
        <v>936</v>
      </c>
      <c r="F339" s="479" t="s">
        <v>1916</v>
      </c>
      <c r="G339" s="183" t="s">
        <v>3</v>
      </c>
      <c r="H339" s="184" t="s">
        <v>816</v>
      </c>
      <c r="I339" s="184" t="s">
        <v>872</v>
      </c>
      <c r="J339" s="185" t="s">
        <v>917</v>
      </c>
      <c r="K339" s="1283" t="s">
        <v>2314</v>
      </c>
      <c r="L339" s="736" t="s">
        <v>855</v>
      </c>
      <c r="M339" s="1308" t="s">
        <v>936</v>
      </c>
      <c r="N339" s="777"/>
      <c r="O339" s="1298"/>
      <c r="P339" s="181"/>
      <c r="Q339" s="1298" t="s">
        <v>832</v>
      </c>
      <c r="R339" s="186">
        <f>$B$1</f>
        <v>45388</v>
      </c>
      <c r="S339" s="190" t="s">
        <v>3572</v>
      </c>
      <c r="T339" s="190"/>
      <c r="U339" s="196"/>
      <c r="V339" s="196"/>
      <c r="W339" s="188" t="str">
        <f>IFERROR(IF(AND(BD_PRINCIPAL[[#This Row],[DESDE]]&lt;&gt;"",BD_PRINCIPAL[[#This Row],[HASTA]]&lt;&gt;""),_xlfn.DAYS(BD_PRINCIPAL[[#This Row],[HASTA]],BD_PRINCIPAL[[#This Row],[DESDE]]),"")+1,"")</f>
        <v/>
      </c>
      <c r="X339" s="188">
        <f>VLOOKUP(BD_PRINCIPAL[[#This Row],[ENCUADRE. ESC.]],ORDEN1,2,FALSE)</f>
        <v>1</v>
      </c>
      <c r="Y339" s="188">
        <f>VLOOKUP(BD_PRINCIPAL[[#This Row],[DOTACIÓN ACTUAL]],ORDEN2,4,FALSE)</f>
        <v>279</v>
      </c>
      <c r="Z339" s="188">
        <f>VLOOKUP(BD_PRINCIPAL[[#This Row],[GRADO]],ORDEN3,2,FALSE)</f>
        <v>11</v>
      </c>
      <c r="AA339" s="188">
        <f>IFERROR(VLOOKUP(BD_PRINCIPAL[[#This Row],[DOTACIÓN ACTUAL]],ORDEN2,3,FALSE),0)</f>
        <v>0</v>
      </c>
      <c r="AB339" s="181" t="s">
        <v>1</v>
      </c>
      <c r="AC339" s="181" t="s">
        <v>853</v>
      </c>
      <c r="AD339" s="181" t="s">
        <v>2</v>
      </c>
      <c r="AE339" s="181" t="s">
        <v>853</v>
      </c>
      <c r="AF339" s="181" t="s">
        <v>853</v>
      </c>
      <c r="AG339" s="181" t="s">
        <v>855</v>
      </c>
      <c r="AH339" s="181"/>
      <c r="AI339" s="181"/>
      <c r="AJ339" s="181"/>
      <c r="AK339" s="181"/>
      <c r="AL339" s="181"/>
      <c r="AM339" s="181"/>
      <c r="AN339" s="181"/>
      <c r="AO339" s="181"/>
      <c r="AP339" s="181"/>
      <c r="AQ339" s="181"/>
      <c r="AR339" s="181"/>
      <c r="AS339" s="181"/>
      <c r="AT339" s="187"/>
      <c r="AU339" s="187"/>
      <c r="AV339" s="187"/>
      <c r="AW339" s="187"/>
      <c r="AX339" s="187"/>
      <c r="AY339" s="187"/>
      <c r="AZ339" s="187"/>
      <c r="BA339" s="181"/>
      <c r="BB339" s="181"/>
      <c r="BC339" s="181"/>
      <c r="BD339" s="181"/>
      <c r="BE339" s="181"/>
      <c r="BF339" s="181"/>
      <c r="BG339" s="181"/>
      <c r="BH339" s="181"/>
      <c r="BI339" s="181"/>
      <c r="BJ339" s="181"/>
      <c r="BK339" s="181"/>
      <c r="BL339" s="181"/>
      <c r="BM339" s="777">
        <v>45211</v>
      </c>
      <c r="BN339" s="792"/>
    </row>
    <row r="340" spans="1:66" s="233" customFormat="1" ht="26.4" x14ac:dyDescent="0.3">
      <c r="A340" s="231" t="s">
        <v>560</v>
      </c>
      <c r="B340" s="225" t="s">
        <v>1873</v>
      </c>
      <c r="C340" s="231">
        <v>124665388</v>
      </c>
      <c r="D340" s="317" t="s">
        <v>1081</v>
      </c>
      <c r="E340" s="477" t="s">
        <v>1081</v>
      </c>
      <c r="F340" s="477" t="s">
        <v>1873</v>
      </c>
      <c r="G340" s="227" t="s">
        <v>17</v>
      </c>
      <c r="H340" s="228" t="s">
        <v>816</v>
      </c>
      <c r="I340" s="228" t="s">
        <v>872</v>
      </c>
      <c r="J340" s="229" t="s">
        <v>917</v>
      </c>
      <c r="K340" s="1280" t="s">
        <v>2290</v>
      </c>
      <c r="L340" s="734" t="s">
        <v>1075</v>
      </c>
      <c r="M340" s="1305" t="s">
        <v>1081</v>
      </c>
      <c r="N340" s="773"/>
      <c r="O340" s="1295"/>
      <c r="P340" s="225"/>
      <c r="Q340" s="1295" t="s">
        <v>832</v>
      </c>
      <c r="R340" s="234">
        <f>$B$1</f>
        <v>45388</v>
      </c>
      <c r="S340" s="236"/>
      <c r="T340" s="226"/>
      <c r="U340" s="230"/>
      <c r="V340" s="230"/>
      <c r="W340" s="231" t="str">
        <f>IFERROR(IF(AND(BD_PRINCIPAL[[#This Row],[DESDE]]&lt;&gt;"",BD_PRINCIPAL[[#This Row],[HASTA]]&lt;&gt;""),_xlfn.DAYS(BD_PRINCIPAL[[#This Row],[HASTA]],BD_PRINCIPAL[[#This Row],[DESDE]]),"")+1,"")</f>
        <v/>
      </c>
      <c r="X340" s="231">
        <f>VLOOKUP(BD_PRINCIPAL[[#This Row],[ENCUADRE. ESC.]],ORDEN1,2,FALSE)</f>
        <v>1</v>
      </c>
      <c r="Y340" s="231">
        <f>VLOOKUP(BD_PRINCIPAL[[#This Row],[DOTACIÓN ACTUAL]],ORDEN2,4,FALSE)</f>
        <v>281</v>
      </c>
      <c r="Z340" s="231">
        <f>VLOOKUP(BD_PRINCIPAL[[#This Row],[GRADO]],ORDEN3,2,FALSE)</f>
        <v>8</v>
      </c>
      <c r="AA340" s="231">
        <f>IFERROR(VLOOKUP(BD_PRINCIPAL[[#This Row],[DOTACIÓN ACTUAL]],ORDEN2,3,FALSE),0)</f>
        <v>0</v>
      </c>
      <c r="AB340" s="225" t="s">
        <v>1075</v>
      </c>
      <c r="AC340" s="225" t="s">
        <v>1075</v>
      </c>
      <c r="AD340" s="225" t="s">
        <v>1075</v>
      </c>
      <c r="AE340" s="225" t="s">
        <v>1075</v>
      </c>
      <c r="AF340" s="225" t="s">
        <v>1075</v>
      </c>
      <c r="AG340" s="225" t="s">
        <v>1075</v>
      </c>
      <c r="AH340" s="225"/>
      <c r="AI340" s="225"/>
      <c r="AJ340" s="225"/>
      <c r="AK340" s="225"/>
      <c r="AL340" s="225"/>
      <c r="AM340" s="225"/>
      <c r="AN340" s="225"/>
      <c r="AO340" s="225"/>
      <c r="AP340" s="225"/>
      <c r="AQ340" s="225"/>
      <c r="AR340" s="225"/>
      <c r="AS340" s="225"/>
      <c r="AT340" s="232"/>
      <c r="AU340" s="232"/>
      <c r="AV340" s="232"/>
      <c r="AW340" s="232"/>
      <c r="AX340" s="232"/>
      <c r="AY340" s="232"/>
      <c r="AZ340" s="232"/>
      <c r="BA340" s="225"/>
      <c r="BB340" s="225"/>
      <c r="BC340" s="225"/>
      <c r="BD340" s="225"/>
      <c r="BE340" s="225"/>
      <c r="BF340" s="225"/>
      <c r="BG340" s="225"/>
      <c r="BH340" s="225"/>
      <c r="BI340" s="225"/>
      <c r="BJ340" s="225"/>
      <c r="BK340" s="225"/>
      <c r="BL340" s="225"/>
      <c r="BM340" s="773">
        <v>45114</v>
      </c>
      <c r="BN340" s="790"/>
    </row>
    <row r="341" spans="1:66" s="233" customFormat="1" ht="26.4" x14ac:dyDescent="0.3">
      <c r="A341" s="231" t="s">
        <v>600</v>
      </c>
      <c r="B341" s="225" t="s">
        <v>70</v>
      </c>
      <c r="C341" s="231">
        <v>99973668</v>
      </c>
      <c r="D341" s="310" t="s">
        <v>1081</v>
      </c>
      <c r="E341" s="484" t="s">
        <v>1081</v>
      </c>
      <c r="F341" s="477" t="s">
        <v>70</v>
      </c>
      <c r="G341" s="227" t="s">
        <v>89</v>
      </c>
      <c r="H341" s="228" t="s">
        <v>816</v>
      </c>
      <c r="I341" s="228" t="s">
        <v>872</v>
      </c>
      <c r="J341" s="229" t="s">
        <v>917</v>
      </c>
      <c r="K341" s="1280" t="s">
        <v>2290</v>
      </c>
      <c r="L341" s="734" t="s">
        <v>1075</v>
      </c>
      <c r="M341" s="1305" t="s">
        <v>1081</v>
      </c>
      <c r="N341" s="773"/>
      <c r="O341" s="1295"/>
      <c r="P341" s="225"/>
      <c r="Q341" s="1295" t="s">
        <v>832</v>
      </c>
      <c r="R341" s="234">
        <f>$B$1</f>
        <v>45388</v>
      </c>
      <c r="S341" s="236"/>
      <c r="T341" s="226"/>
      <c r="U341" s="230"/>
      <c r="V341" s="230"/>
      <c r="W341" s="231" t="str">
        <f>IFERROR(IF(AND(BD_PRINCIPAL[[#This Row],[DESDE]]&lt;&gt;"",BD_PRINCIPAL[[#This Row],[HASTA]]&lt;&gt;""),_xlfn.DAYS(BD_PRINCIPAL[[#This Row],[HASTA]],BD_PRINCIPAL[[#This Row],[DESDE]]),"")+1,"")</f>
        <v/>
      </c>
      <c r="X341" s="231">
        <f>VLOOKUP(BD_PRINCIPAL[[#This Row],[ENCUADRE. ESC.]],ORDEN1,2,FALSE)</f>
        <v>1</v>
      </c>
      <c r="Y341" s="231">
        <f>VLOOKUP(BD_PRINCIPAL[[#This Row],[DOTACIÓN ACTUAL]],ORDEN2,4,FALSE)</f>
        <v>281</v>
      </c>
      <c r="Z341" s="231">
        <f>VLOOKUP(BD_PRINCIPAL[[#This Row],[GRADO]],ORDEN3,2,FALSE)</f>
        <v>9</v>
      </c>
      <c r="AA341" s="231">
        <f>IFERROR(VLOOKUP(BD_PRINCIPAL[[#This Row],[DOTACIÓN ACTUAL]],ORDEN2,3,FALSE),0)</f>
        <v>0</v>
      </c>
      <c r="AB341" s="225" t="s">
        <v>1075</v>
      </c>
      <c r="AC341" s="225" t="s">
        <v>1075</v>
      </c>
      <c r="AD341" s="225" t="s">
        <v>1075</v>
      </c>
      <c r="AE341" s="225" t="s">
        <v>1075</v>
      </c>
      <c r="AF341" s="225" t="s">
        <v>1075</v>
      </c>
      <c r="AG341" s="225" t="s">
        <v>1075</v>
      </c>
      <c r="AH341" s="225"/>
      <c r="AI341" s="225"/>
      <c r="AJ341" s="225"/>
      <c r="AK341" s="225"/>
      <c r="AL341" s="225"/>
      <c r="AM341" s="225"/>
      <c r="AN341" s="225"/>
      <c r="AO341" s="225"/>
      <c r="AP341" s="225"/>
      <c r="AQ341" s="225"/>
      <c r="AR341" s="225"/>
      <c r="AS341" s="225"/>
      <c r="AT341" s="232"/>
      <c r="AU341" s="232"/>
      <c r="AV341" s="232"/>
      <c r="AW341" s="232"/>
      <c r="AX341" s="232"/>
      <c r="AY341" s="232"/>
      <c r="AZ341" s="232"/>
      <c r="BA341" s="225"/>
      <c r="BB341" s="225"/>
      <c r="BC341" s="225"/>
      <c r="BD341" s="225"/>
      <c r="BE341" s="225"/>
      <c r="BF341" s="225"/>
      <c r="BG341" s="225"/>
      <c r="BH341" s="225"/>
      <c r="BI341" s="225"/>
      <c r="BJ341" s="225"/>
      <c r="BK341" s="225"/>
      <c r="BL341" s="225"/>
      <c r="BM341" s="773">
        <v>45099</v>
      </c>
      <c r="BN341" s="790"/>
    </row>
    <row r="342" spans="1:66" s="233" customFormat="1" ht="26.4" x14ac:dyDescent="0.3">
      <c r="A342" s="231" t="s">
        <v>569</v>
      </c>
      <c r="B342" s="225" t="s">
        <v>246</v>
      </c>
      <c r="C342" s="231">
        <v>141709933</v>
      </c>
      <c r="D342" s="715" t="s">
        <v>701</v>
      </c>
      <c r="E342" s="477" t="s">
        <v>1081</v>
      </c>
      <c r="F342" s="477" t="s">
        <v>246</v>
      </c>
      <c r="G342" s="235" t="s">
        <v>209</v>
      </c>
      <c r="H342" s="228" t="s">
        <v>816</v>
      </c>
      <c r="I342" s="228" t="s">
        <v>872</v>
      </c>
      <c r="J342" s="229" t="s">
        <v>917</v>
      </c>
      <c r="K342" s="1280" t="s">
        <v>2290</v>
      </c>
      <c r="L342" s="734" t="s">
        <v>1075</v>
      </c>
      <c r="M342" s="1305" t="s">
        <v>1081</v>
      </c>
      <c r="N342" s="773"/>
      <c r="O342" s="1295"/>
      <c r="P342" s="225"/>
      <c r="Q342" s="1295" t="s">
        <v>832</v>
      </c>
      <c r="R342" s="234">
        <f>$B$1</f>
        <v>45388</v>
      </c>
      <c r="S342" s="236" t="s">
        <v>1483</v>
      </c>
      <c r="T342" s="226" t="s">
        <v>2919</v>
      </c>
      <c r="U342" s="230"/>
      <c r="V342" s="230"/>
      <c r="W342" s="231" t="str">
        <f>IFERROR(IF(AND(BD_PRINCIPAL[[#This Row],[DESDE]]&lt;&gt;"",BD_PRINCIPAL[[#This Row],[HASTA]]&lt;&gt;""),_xlfn.DAYS(BD_PRINCIPAL[[#This Row],[HASTA]],BD_PRINCIPAL[[#This Row],[DESDE]]),"")+1,"")</f>
        <v/>
      </c>
      <c r="X342" s="231">
        <f>VLOOKUP(BD_PRINCIPAL[[#This Row],[ENCUADRE. ESC.]],ORDEN1,2,FALSE)</f>
        <v>1</v>
      </c>
      <c r="Y342" s="231">
        <f>VLOOKUP(BD_PRINCIPAL[[#This Row],[DOTACIÓN ACTUAL]],ORDEN2,4,FALSE)</f>
        <v>281</v>
      </c>
      <c r="Z342" s="231">
        <f>VLOOKUP(BD_PRINCIPAL[[#This Row],[GRADO]],ORDEN3,2,FALSE)</f>
        <v>10</v>
      </c>
      <c r="AA342" s="231">
        <f>IFERROR(VLOOKUP(BD_PRINCIPAL[[#This Row],[DOTACIÓN ACTUAL]],ORDEN2,3,FALSE),0)</f>
        <v>0</v>
      </c>
      <c r="AB342" s="225" t="s">
        <v>1</v>
      </c>
      <c r="AC342" s="225" t="s">
        <v>1</v>
      </c>
      <c r="AD342" s="225" t="s">
        <v>1075</v>
      </c>
      <c r="AE342" s="225" t="s">
        <v>1075</v>
      </c>
      <c r="AF342" s="225" t="s">
        <v>1075</v>
      </c>
      <c r="AG342" s="225" t="s">
        <v>1075</v>
      </c>
      <c r="AH342" s="225"/>
      <c r="AI342" s="225"/>
      <c r="AJ342" s="225"/>
      <c r="AK342" s="225"/>
      <c r="AL342" s="225"/>
      <c r="AM342" s="225"/>
      <c r="AN342" s="225"/>
      <c r="AO342" s="225"/>
      <c r="AP342" s="225"/>
      <c r="AQ342" s="225"/>
      <c r="AR342" s="225"/>
      <c r="AS342" s="225"/>
      <c r="AT342" s="232"/>
      <c r="AU342" s="232"/>
      <c r="AV342" s="232"/>
      <c r="AW342" s="232"/>
      <c r="AX342" s="232"/>
      <c r="AY342" s="232"/>
      <c r="AZ342" s="232"/>
      <c r="BA342" s="225"/>
      <c r="BB342" s="225"/>
      <c r="BC342" s="225"/>
      <c r="BD342" s="225"/>
      <c r="BE342" s="225"/>
      <c r="BF342" s="225"/>
      <c r="BG342" s="225"/>
      <c r="BH342" s="225"/>
      <c r="BI342" s="225"/>
      <c r="BJ342" s="225"/>
      <c r="BK342" s="225"/>
      <c r="BL342" s="225"/>
      <c r="BM342" s="773">
        <v>45086</v>
      </c>
      <c r="BN342" s="790"/>
    </row>
    <row r="343" spans="1:66" s="233" customFormat="1" ht="26.4" x14ac:dyDescent="0.3">
      <c r="A343" s="231" t="s">
        <v>2319</v>
      </c>
      <c r="B343" s="746" t="s">
        <v>2321</v>
      </c>
      <c r="C343" s="231" t="s">
        <v>2320</v>
      </c>
      <c r="D343" s="715" t="s">
        <v>715</v>
      </c>
      <c r="E343" s="477" t="s">
        <v>1081</v>
      </c>
      <c r="F343" s="477" t="s">
        <v>2321</v>
      </c>
      <c r="G343" s="235" t="s">
        <v>4</v>
      </c>
      <c r="H343" s="228" t="s">
        <v>816</v>
      </c>
      <c r="I343" s="228" t="s">
        <v>872</v>
      </c>
      <c r="J343" s="229" t="s">
        <v>917</v>
      </c>
      <c r="K343" s="1280" t="s">
        <v>2290</v>
      </c>
      <c r="L343" s="734" t="s">
        <v>853</v>
      </c>
      <c r="M343" s="1305" t="s">
        <v>1081</v>
      </c>
      <c r="N343" s="779"/>
      <c r="O343" s="1295"/>
      <c r="P343" s="225"/>
      <c r="Q343" s="1295" t="s">
        <v>832</v>
      </c>
      <c r="R343" s="386">
        <f>$B$1</f>
        <v>45388</v>
      </c>
      <c r="S343" s="236" t="s">
        <v>3481</v>
      </c>
      <c r="T343" s="236" t="s">
        <v>2919</v>
      </c>
      <c r="U343" s="794"/>
      <c r="V343" s="794"/>
      <c r="W343" s="387" t="str">
        <f>IFERROR(IF(AND(BD_PRINCIPAL[[#This Row],[DESDE]]&lt;&gt;"",BD_PRINCIPAL[[#This Row],[HASTA]]&lt;&gt;""),_xlfn.DAYS(BD_PRINCIPAL[[#This Row],[HASTA]],BD_PRINCIPAL[[#This Row],[DESDE]]),"")+1,"")</f>
        <v/>
      </c>
      <c r="X343" s="387">
        <f>VLOOKUP(BD_PRINCIPAL[[#This Row],[ENCUADRE. ESC.]],ORDEN1,2,FALSE)</f>
        <v>1</v>
      </c>
      <c r="Y343" s="387">
        <f>VLOOKUP(BD_PRINCIPAL[[#This Row],[DOTACIÓN ACTUAL]],ORDEN2,4,FALSE)</f>
        <v>281</v>
      </c>
      <c r="Z343" s="387">
        <f>VLOOKUP(BD_PRINCIPAL[[#This Row],[GRADO]],ORDEN3,2,FALSE)</f>
        <v>12</v>
      </c>
      <c r="AA343" s="387">
        <f>IFERROR(VLOOKUP(BD_PRINCIPAL[[#This Row],[DOTACIÓN ACTUAL]],ORDEN2,3,FALSE),0)</f>
        <v>0</v>
      </c>
      <c r="AB343" s="225" t="s">
        <v>6</v>
      </c>
      <c r="AC343" s="225" t="s">
        <v>2125</v>
      </c>
      <c r="AD343" s="225" t="s">
        <v>853</v>
      </c>
      <c r="AE343" s="225" t="s">
        <v>853</v>
      </c>
      <c r="AF343" s="225" t="s">
        <v>853</v>
      </c>
      <c r="AG343" s="225" t="s">
        <v>853</v>
      </c>
      <c r="AH343" s="225"/>
      <c r="AI343" s="225"/>
      <c r="AJ343" s="225"/>
      <c r="AK343" s="225"/>
      <c r="AL343" s="225"/>
      <c r="AM343" s="225"/>
      <c r="AN343" s="225"/>
      <c r="AO343" s="225"/>
      <c r="AP343" s="225"/>
      <c r="AQ343" s="225"/>
      <c r="AR343" s="225"/>
      <c r="AS343" s="225"/>
      <c r="AT343" s="232"/>
      <c r="AU343" s="232"/>
      <c r="AV343" s="232"/>
      <c r="AW343" s="232"/>
      <c r="AX343" s="232"/>
      <c r="AY343" s="232"/>
      <c r="AZ343" s="232"/>
      <c r="BA343" s="225"/>
      <c r="BB343" s="225"/>
      <c r="BC343" s="225"/>
      <c r="BD343" s="225"/>
      <c r="BE343" s="225"/>
      <c r="BF343" s="225"/>
      <c r="BG343" s="225"/>
      <c r="BH343" s="225"/>
      <c r="BI343" s="225"/>
      <c r="BJ343" s="225"/>
      <c r="BK343" s="225"/>
      <c r="BL343" s="225"/>
      <c r="BM343" s="773">
        <v>45141</v>
      </c>
      <c r="BN343" s="790"/>
    </row>
    <row r="344" spans="1:66" s="260" customFormat="1" x14ac:dyDescent="0.3">
      <c r="A344" s="258" t="s">
        <v>498</v>
      </c>
      <c r="B344" s="251" t="s">
        <v>71</v>
      </c>
      <c r="C344" s="258">
        <v>143957497</v>
      </c>
      <c r="D344" s="312" t="s">
        <v>1532</v>
      </c>
      <c r="E344" s="481" t="s">
        <v>1532</v>
      </c>
      <c r="F344" s="481" t="s">
        <v>71</v>
      </c>
      <c r="G344" s="253" t="s">
        <v>17</v>
      </c>
      <c r="H344" s="254" t="s">
        <v>816</v>
      </c>
      <c r="I344" s="254" t="s">
        <v>872</v>
      </c>
      <c r="J344" s="255" t="s">
        <v>917</v>
      </c>
      <c r="K344" s="1282" t="s">
        <v>2290</v>
      </c>
      <c r="L344" s="737" t="s">
        <v>1075</v>
      </c>
      <c r="M344" s="1307" t="s">
        <v>1532</v>
      </c>
      <c r="N344" s="783"/>
      <c r="O344" s="1297"/>
      <c r="P344" s="251"/>
      <c r="Q344" s="1297" t="s">
        <v>832</v>
      </c>
      <c r="R344" s="256">
        <f>$B$1</f>
        <v>45388</v>
      </c>
      <c r="S344" s="252"/>
      <c r="T344" s="252"/>
      <c r="U344" s="257"/>
      <c r="V344" s="257"/>
      <c r="W344" s="258" t="str">
        <f>IFERROR(IF(AND(BD_PRINCIPAL[[#This Row],[DESDE]]&lt;&gt;"",BD_PRINCIPAL[[#This Row],[HASTA]]&lt;&gt;""),_xlfn.DAYS(BD_PRINCIPAL[[#This Row],[HASTA]],BD_PRINCIPAL[[#This Row],[DESDE]]),"")+1,"")</f>
        <v/>
      </c>
      <c r="X344" s="258">
        <f>VLOOKUP(BD_PRINCIPAL[[#This Row],[ENCUADRE. ESC.]],ORDEN1,2,FALSE)</f>
        <v>1</v>
      </c>
      <c r="Y344" s="258">
        <f>VLOOKUP(BD_PRINCIPAL[[#This Row],[DOTACIÓN ACTUAL]],ORDEN2,4,FALSE)</f>
        <v>283</v>
      </c>
      <c r="Z344" s="258">
        <f>VLOOKUP(BD_PRINCIPAL[[#This Row],[GRADO]],ORDEN3,2,FALSE)</f>
        <v>8</v>
      </c>
      <c r="AA344" s="258">
        <f>IFERROR(VLOOKUP(BD_PRINCIPAL[[#This Row],[DOTACIÓN ACTUAL]],ORDEN2,3,FALSE),0)</f>
        <v>0</v>
      </c>
      <c r="AB344" s="251" t="s">
        <v>1075</v>
      </c>
      <c r="AC344" s="251" t="s">
        <v>1075</v>
      </c>
      <c r="AD344" s="251" t="s">
        <v>1075</v>
      </c>
      <c r="AE344" s="251" t="s">
        <v>1075</v>
      </c>
      <c r="AF344" s="251" t="s">
        <v>1075</v>
      </c>
      <c r="AG344" s="251" t="s">
        <v>1075</v>
      </c>
      <c r="AH344" s="251"/>
      <c r="AI344" s="251"/>
      <c r="AJ344" s="251"/>
      <c r="AK344" s="251"/>
      <c r="AL344" s="251"/>
      <c r="AM344" s="251"/>
      <c r="AN344" s="251"/>
      <c r="AO344" s="251"/>
      <c r="AP344" s="251"/>
      <c r="AQ344" s="251"/>
      <c r="AR344" s="251"/>
      <c r="AS344" s="251"/>
      <c r="AT344" s="259"/>
      <c r="AU344" s="259"/>
      <c r="AV344" s="259"/>
      <c r="AW344" s="259"/>
      <c r="AX344" s="259"/>
      <c r="AY344" s="259"/>
      <c r="AZ344" s="259"/>
      <c r="BA344" s="251"/>
      <c r="BB344" s="251"/>
      <c r="BC344" s="251"/>
      <c r="BD344" s="251"/>
      <c r="BE344" s="251"/>
      <c r="BF344" s="251"/>
      <c r="BG344" s="251"/>
      <c r="BH344" s="251"/>
      <c r="BI344" s="251"/>
      <c r="BJ344" s="251"/>
      <c r="BK344" s="251"/>
      <c r="BL344" s="251"/>
      <c r="BM344" s="783">
        <v>45114</v>
      </c>
      <c r="BN344" s="791"/>
    </row>
    <row r="345" spans="1:66" s="260" customFormat="1" x14ac:dyDescent="0.3">
      <c r="A345" s="258" t="s">
        <v>502</v>
      </c>
      <c r="B345" s="251" t="s">
        <v>1874</v>
      </c>
      <c r="C345" s="258">
        <v>140565792</v>
      </c>
      <c r="D345" s="312" t="s">
        <v>1532</v>
      </c>
      <c r="E345" s="481" t="s">
        <v>1532</v>
      </c>
      <c r="F345" s="481" t="s">
        <v>1874</v>
      </c>
      <c r="G345" s="261" t="s">
        <v>209</v>
      </c>
      <c r="H345" s="254" t="s">
        <v>816</v>
      </c>
      <c r="I345" s="254" t="s">
        <v>872</v>
      </c>
      <c r="J345" s="255" t="s">
        <v>917</v>
      </c>
      <c r="K345" s="1282" t="s">
        <v>2290</v>
      </c>
      <c r="L345" s="737" t="s">
        <v>1075</v>
      </c>
      <c r="M345" s="1307" t="s">
        <v>1532</v>
      </c>
      <c r="N345" s="783" t="s">
        <v>3306</v>
      </c>
      <c r="O345" s="1297"/>
      <c r="P345" s="251"/>
      <c r="Q345" s="1297" t="s">
        <v>832</v>
      </c>
      <c r="R345" s="256">
        <f>$B$1</f>
        <v>45388</v>
      </c>
      <c r="S345" s="262"/>
      <c r="T345" s="252"/>
      <c r="U345" s="257"/>
      <c r="V345" s="257"/>
      <c r="W345" s="258" t="str">
        <f>IFERROR(IF(AND(BD_PRINCIPAL[[#This Row],[DESDE]]&lt;&gt;"",BD_PRINCIPAL[[#This Row],[HASTA]]&lt;&gt;""),_xlfn.DAYS(BD_PRINCIPAL[[#This Row],[HASTA]],BD_PRINCIPAL[[#This Row],[DESDE]]),"")+1,"")</f>
        <v/>
      </c>
      <c r="X345" s="258">
        <f>VLOOKUP(BD_PRINCIPAL[[#This Row],[ENCUADRE. ESC.]],ORDEN1,2,FALSE)</f>
        <v>1</v>
      </c>
      <c r="Y345" s="258">
        <f>VLOOKUP(BD_PRINCIPAL[[#This Row],[DOTACIÓN ACTUAL]],ORDEN2,4,FALSE)</f>
        <v>283</v>
      </c>
      <c r="Z345" s="258">
        <f>VLOOKUP(BD_PRINCIPAL[[#This Row],[GRADO]],ORDEN3,2,FALSE)</f>
        <v>10</v>
      </c>
      <c r="AA345" s="258">
        <f>IFERROR(VLOOKUP(BD_PRINCIPAL[[#This Row],[DOTACIÓN ACTUAL]],ORDEN2,3,FALSE),0)</f>
        <v>0</v>
      </c>
      <c r="AB345" s="251" t="s">
        <v>1075</v>
      </c>
      <c r="AC345" s="251" t="s">
        <v>1075</v>
      </c>
      <c r="AD345" s="251" t="s">
        <v>1075</v>
      </c>
      <c r="AE345" s="251" t="s">
        <v>1075</v>
      </c>
      <c r="AF345" s="251" t="s">
        <v>1075</v>
      </c>
      <c r="AG345" s="251" t="s">
        <v>1075</v>
      </c>
      <c r="AH345" s="251"/>
      <c r="AI345" s="251"/>
      <c r="AJ345" s="251"/>
      <c r="AK345" s="251"/>
      <c r="AL345" s="251"/>
      <c r="AM345" s="251"/>
      <c r="AN345" s="251"/>
      <c r="AO345" s="251"/>
      <c r="AP345" s="251"/>
      <c r="AQ345" s="251"/>
      <c r="AR345" s="251"/>
      <c r="AS345" s="251"/>
      <c r="AT345" s="259"/>
      <c r="AU345" s="259"/>
      <c r="AV345" s="259"/>
      <c r="AW345" s="259"/>
      <c r="AX345" s="259"/>
      <c r="AY345" s="259"/>
      <c r="AZ345" s="259"/>
      <c r="BA345" s="251"/>
      <c r="BB345" s="251"/>
      <c r="BC345" s="251"/>
      <c r="BD345" s="251"/>
      <c r="BE345" s="251"/>
      <c r="BF345" s="251"/>
      <c r="BG345" s="251"/>
      <c r="BH345" s="251"/>
      <c r="BI345" s="251"/>
      <c r="BJ345" s="251"/>
      <c r="BK345" s="251"/>
      <c r="BL345" s="251"/>
      <c r="BM345" s="783">
        <v>45078</v>
      </c>
      <c r="BN345" s="791"/>
    </row>
    <row r="346" spans="1:66" s="260" customFormat="1" x14ac:dyDescent="0.3">
      <c r="A346" s="258" t="s">
        <v>1535</v>
      </c>
      <c r="B346" s="251" t="s">
        <v>53</v>
      </c>
      <c r="C346" s="258">
        <v>183361058</v>
      </c>
      <c r="D346" s="715" t="s">
        <v>2001</v>
      </c>
      <c r="E346" s="481" t="s">
        <v>1532</v>
      </c>
      <c r="F346" s="481" t="s">
        <v>53</v>
      </c>
      <c r="G346" s="253" t="s">
        <v>3</v>
      </c>
      <c r="H346" s="254" t="s">
        <v>816</v>
      </c>
      <c r="I346" s="254" t="s">
        <v>872</v>
      </c>
      <c r="J346" s="255" t="s">
        <v>917</v>
      </c>
      <c r="K346" s="1282" t="s">
        <v>2290</v>
      </c>
      <c r="L346" s="737" t="s">
        <v>1075</v>
      </c>
      <c r="M346" s="1307" t="s">
        <v>1532</v>
      </c>
      <c r="N346" s="781"/>
      <c r="O346" s="1297"/>
      <c r="P346" s="251"/>
      <c r="Q346" s="1297" t="s">
        <v>832</v>
      </c>
      <c r="R346" s="256">
        <f>$B$1</f>
        <v>45388</v>
      </c>
      <c r="S346" s="262" t="s">
        <v>3121</v>
      </c>
      <c r="T346" s="262" t="s">
        <v>3121</v>
      </c>
      <c r="U346" s="257"/>
      <c r="V346" s="257"/>
      <c r="W346" s="258" t="str">
        <f>IFERROR(IF(AND(BD_PRINCIPAL[[#This Row],[DESDE]]&lt;&gt;"",BD_PRINCIPAL[[#This Row],[HASTA]]&lt;&gt;""),_xlfn.DAYS(BD_PRINCIPAL[[#This Row],[HASTA]],BD_PRINCIPAL[[#This Row],[DESDE]]),"")+1,"")</f>
        <v/>
      </c>
      <c r="X346" s="258">
        <f>VLOOKUP(BD_PRINCIPAL[[#This Row],[ENCUADRE. ESC.]],ORDEN1,2,FALSE)</f>
        <v>1</v>
      </c>
      <c r="Y346" s="258">
        <f>VLOOKUP(BD_PRINCIPAL[[#This Row],[DOTACIÓN ACTUAL]],ORDEN2,4,FALSE)</f>
        <v>283</v>
      </c>
      <c r="Z346" s="258">
        <f>VLOOKUP(BD_PRINCIPAL[[#This Row],[GRADO]],ORDEN3,2,FALSE)</f>
        <v>11</v>
      </c>
      <c r="AA346" s="258">
        <f>IFERROR(VLOOKUP(BD_PRINCIPAL[[#This Row],[DOTACIÓN ACTUAL]],ORDEN2,3,FALSE),0)</f>
        <v>0</v>
      </c>
      <c r="AB346" s="251" t="s">
        <v>1075</v>
      </c>
      <c r="AC346" s="251" t="s">
        <v>1075</v>
      </c>
      <c r="AD346" s="251" t="s">
        <v>1075</v>
      </c>
      <c r="AE346" s="251" t="s">
        <v>1075</v>
      </c>
      <c r="AF346" s="251" t="s">
        <v>1075</v>
      </c>
      <c r="AG346" s="251" t="s">
        <v>1075</v>
      </c>
      <c r="AH346" s="251"/>
      <c r="AI346" s="251"/>
      <c r="AJ346" s="251"/>
      <c r="AK346" s="251"/>
      <c r="AL346" s="251"/>
      <c r="AM346" s="251"/>
      <c r="AN346" s="251"/>
      <c r="AO346" s="251"/>
      <c r="AP346" s="251"/>
      <c r="AQ346" s="251"/>
      <c r="AR346" s="251"/>
      <c r="AS346" s="251"/>
      <c r="AT346" s="259"/>
      <c r="AU346" s="259"/>
      <c r="AV346" s="259"/>
      <c r="AW346" s="259"/>
      <c r="AX346" s="259"/>
      <c r="AY346" s="259"/>
      <c r="AZ346" s="259"/>
      <c r="BA346" s="251"/>
      <c r="BB346" s="251"/>
      <c r="BC346" s="251"/>
      <c r="BD346" s="251"/>
      <c r="BE346" s="251"/>
      <c r="BF346" s="251"/>
      <c r="BG346" s="251"/>
      <c r="BH346" s="251"/>
      <c r="BI346" s="251"/>
      <c r="BJ346" s="251"/>
      <c r="BK346" s="251"/>
      <c r="BL346" s="251"/>
      <c r="BM346" s="781">
        <v>45155</v>
      </c>
      <c r="BN346" s="791"/>
    </row>
    <row r="347" spans="1:66" s="260" customFormat="1" ht="26.4" x14ac:dyDescent="0.3">
      <c r="A347" s="258" t="s">
        <v>690</v>
      </c>
      <c r="B347" s="251" t="s">
        <v>91</v>
      </c>
      <c r="C347" s="258">
        <v>202539106</v>
      </c>
      <c r="D347" s="715" t="s">
        <v>2136</v>
      </c>
      <c r="E347" s="487" t="s">
        <v>1532</v>
      </c>
      <c r="F347" s="481" t="s">
        <v>91</v>
      </c>
      <c r="G347" s="253" t="s">
        <v>4</v>
      </c>
      <c r="H347" s="254" t="s">
        <v>817</v>
      </c>
      <c r="I347" s="254" t="s">
        <v>872</v>
      </c>
      <c r="J347" s="255" t="s">
        <v>917</v>
      </c>
      <c r="K347" s="1282" t="s">
        <v>2290</v>
      </c>
      <c r="L347" s="737" t="s">
        <v>1075</v>
      </c>
      <c r="M347" s="1307" t="s">
        <v>1532</v>
      </c>
      <c r="N347" s="781"/>
      <c r="O347" s="1297"/>
      <c r="P347" s="251"/>
      <c r="Q347" s="1297" t="s">
        <v>832</v>
      </c>
      <c r="R347" s="256">
        <f>$B$1</f>
        <v>45388</v>
      </c>
      <c r="S347" s="262" t="s">
        <v>3539</v>
      </c>
      <c r="T347" s="262" t="s">
        <v>2495</v>
      </c>
      <c r="U347" s="257"/>
      <c r="V347" s="257"/>
      <c r="W347" s="258" t="str">
        <f>IFERROR(IF(AND(BD_PRINCIPAL[[#This Row],[DESDE]]&lt;&gt;"",BD_PRINCIPAL[[#This Row],[HASTA]]&lt;&gt;""),_xlfn.DAYS(BD_PRINCIPAL[[#This Row],[HASTA]],BD_PRINCIPAL[[#This Row],[DESDE]]),"")+1,"")</f>
        <v/>
      </c>
      <c r="X347" s="258">
        <f>VLOOKUP(BD_PRINCIPAL[[#This Row],[ENCUADRE. ESC.]],ORDEN1,2,FALSE)</f>
        <v>1</v>
      </c>
      <c r="Y347" s="258">
        <f>VLOOKUP(BD_PRINCIPAL[[#This Row],[DOTACIÓN ACTUAL]],ORDEN2,4,FALSE)</f>
        <v>283</v>
      </c>
      <c r="Z347" s="258">
        <f>VLOOKUP(BD_PRINCIPAL[[#This Row],[GRADO]],ORDEN3,2,FALSE)</f>
        <v>12</v>
      </c>
      <c r="AA347" s="258">
        <f>IFERROR(VLOOKUP(BD_PRINCIPAL[[#This Row],[DOTACIÓN ACTUAL]],ORDEN2,3,FALSE),0)</f>
        <v>0</v>
      </c>
      <c r="AB347" s="251" t="s">
        <v>1075</v>
      </c>
      <c r="AC347" s="251" t="s">
        <v>1075</v>
      </c>
      <c r="AD347" s="251" t="s">
        <v>1075</v>
      </c>
      <c r="AE347" s="251" t="s">
        <v>1075</v>
      </c>
      <c r="AF347" s="251" t="s">
        <v>1075</v>
      </c>
      <c r="AG347" s="251" t="s">
        <v>1075</v>
      </c>
      <c r="AH347" s="251"/>
      <c r="AI347" s="251"/>
      <c r="AJ347" s="251"/>
      <c r="AK347" s="251"/>
      <c r="AL347" s="251"/>
      <c r="AM347" s="251"/>
      <c r="AN347" s="251"/>
      <c r="AO347" s="251"/>
      <c r="AP347" s="251"/>
      <c r="AQ347" s="251"/>
      <c r="AR347" s="251"/>
      <c r="AS347" s="251"/>
      <c r="AT347" s="259"/>
      <c r="AU347" s="259"/>
      <c r="AV347" s="259"/>
      <c r="AW347" s="259"/>
      <c r="AX347" s="259"/>
      <c r="AY347" s="259"/>
      <c r="AZ347" s="259"/>
      <c r="BA347" s="251"/>
      <c r="BB347" s="251"/>
      <c r="BC347" s="251"/>
      <c r="BD347" s="251"/>
      <c r="BE347" s="251"/>
      <c r="BF347" s="251"/>
      <c r="BG347" s="251"/>
      <c r="BH347" s="251"/>
      <c r="BI347" s="251"/>
      <c r="BJ347" s="251"/>
      <c r="BK347" s="251"/>
      <c r="BL347" s="251"/>
      <c r="BM347" s="781">
        <v>45092</v>
      </c>
      <c r="BN347" s="791"/>
    </row>
    <row r="348" spans="1:66" s="260" customFormat="1" x14ac:dyDescent="0.3">
      <c r="A348" s="258" t="s">
        <v>595</v>
      </c>
      <c r="B348" s="251" t="s">
        <v>1886</v>
      </c>
      <c r="C348" s="258">
        <v>168448937</v>
      </c>
      <c r="D348" s="487" t="s">
        <v>1532</v>
      </c>
      <c r="E348" s="487" t="s">
        <v>1532</v>
      </c>
      <c r="F348" s="481" t="s">
        <v>2144</v>
      </c>
      <c r="G348" s="253" t="s">
        <v>4</v>
      </c>
      <c r="H348" s="254" t="s">
        <v>816</v>
      </c>
      <c r="I348" s="254" t="s">
        <v>872</v>
      </c>
      <c r="J348" s="255" t="s">
        <v>917</v>
      </c>
      <c r="K348" s="1282" t="s">
        <v>2290</v>
      </c>
      <c r="L348" s="737" t="s">
        <v>1075</v>
      </c>
      <c r="M348" s="1307" t="s">
        <v>1532</v>
      </c>
      <c r="N348" s="781"/>
      <c r="O348" s="1297"/>
      <c r="P348" s="251"/>
      <c r="Q348" s="1297" t="s">
        <v>832</v>
      </c>
      <c r="R348" s="256">
        <f>$B$1</f>
        <v>45388</v>
      </c>
      <c r="S348" s="262"/>
      <c r="T348" s="252" t="s">
        <v>2750</v>
      </c>
      <c r="U348" s="257"/>
      <c r="V348" s="257"/>
      <c r="W348" s="258" t="str">
        <f>IFERROR(IF(AND(BD_PRINCIPAL[[#This Row],[DESDE]]&lt;&gt;"",BD_PRINCIPAL[[#This Row],[HASTA]]&lt;&gt;""),_xlfn.DAYS(BD_PRINCIPAL[[#This Row],[HASTA]],BD_PRINCIPAL[[#This Row],[DESDE]]),"")+1,"")</f>
        <v/>
      </c>
      <c r="X348" s="258">
        <f>VLOOKUP(BD_PRINCIPAL[[#This Row],[ENCUADRE. ESC.]],ORDEN1,2,FALSE)</f>
        <v>1</v>
      </c>
      <c r="Y348" s="258">
        <f>VLOOKUP(BD_PRINCIPAL[[#This Row],[DOTACIÓN ACTUAL]],ORDEN2,4,FALSE)</f>
        <v>283</v>
      </c>
      <c r="Z348" s="258">
        <f>VLOOKUP(BD_PRINCIPAL[[#This Row],[GRADO]],ORDEN3,2,FALSE)</f>
        <v>12</v>
      </c>
      <c r="AA348" s="258">
        <f>IFERROR(VLOOKUP(BD_PRINCIPAL[[#This Row],[DOTACIÓN ACTUAL]],ORDEN2,3,FALSE),0)</f>
        <v>0</v>
      </c>
      <c r="AB348" s="251" t="s">
        <v>1075</v>
      </c>
      <c r="AC348" s="251" t="s">
        <v>1075</v>
      </c>
      <c r="AD348" s="251" t="s">
        <v>1075</v>
      </c>
      <c r="AE348" s="251" t="s">
        <v>1075</v>
      </c>
      <c r="AF348" s="251" t="s">
        <v>1075</v>
      </c>
      <c r="AG348" s="251" t="s">
        <v>1075</v>
      </c>
      <c r="AH348" s="251"/>
      <c r="AI348" s="251"/>
      <c r="AJ348" s="251"/>
      <c r="AK348" s="251"/>
      <c r="AL348" s="251"/>
      <c r="AM348" s="251"/>
      <c r="AN348" s="251"/>
      <c r="AO348" s="251"/>
      <c r="AP348" s="251"/>
      <c r="AQ348" s="251"/>
      <c r="AR348" s="251"/>
      <c r="AS348" s="251"/>
      <c r="AT348" s="259"/>
      <c r="AU348" s="259"/>
      <c r="AV348" s="259"/>
      <c r="AW348" s="259"/>
      <c r="AX348" s="259"/>
      <c r="AY348" s="259"/>
      <c r="AZ348" s="259"/>
      <c r="BA348" s="251"/>
      <c r="BB348" s="251"/>
      <c r="BC348" s="251"/>
      <c r="BD348" s="251"/>
      <c r="BE348" s="251"/>
      <c r="BF348" s="251"/>
      <c r="BG348" s="251"/>
      <c r="BH348" s="251"/>
      <c r="BI348" s="251"/>
      <c r="BJ348" s="251"/>
      <c r="BK348" s="251"/>
      <c r="BL348" s="251"/>
      <c r="BM348" s="781">
        <v>45188</v>
      </c>
      <c r="BN348" s="791"/>
    </row>
    <row r="349" spans="1:66" s="189" customFormat="1" x14ac:dyDescent="0.3">
      <c r="A349" s="188" t="s">
        <v>2519</v>
      </c>
      <c r="B349" s="864" t="s">
        <v>2520</v>
      </c>
      <c r="C349" s="188">
        <v>138621901</v>
      </c>
      <c r="D349" s="313" t="s">
        <v>72</v>
      </c>
      <c r="E349" s="479" t="s">
        <v>72</v>
      </c>
      <c r="F349" s="479" t="s">
        <v>2789</v>
      </c>
      <c r="G349" s="191" t="s">
        <v>89</v>
      </c>
      <c r="H349" s="184" t="s">
        <v>817</v>
      </c>
      <c r="I349" s="184" t="s">
        <v>872</v>
      </c>
      <c r="J349" s="185" t="s">
        <v>917</v>
      </c>
      <c r="K349" s="1283" t="s">
        <v>2305</v>
      </c>
      <c r="L349" s="736" t="s">
        <v>853</v>
      </c>
      <c r="M349" s="1308" t="s">
        <v>72</v>
      </c>
      <c r="N349" s="776"/>
      <c r="O349" s="1298"/>
      <c r="P349" s="181"/>
      <c r="Q349" s="1298" t="s">
        <v>832</v>
      </c>
      <c r="R349" s="865">
        <v>29234</v>
      </c>
      <c r="S349" s="190"/>
      <c r="T349" s="190"/>
      <c r="U349" s="887"/>
      <c r="V349" s="887"/>
      <c r="W349" s="339" t="str">
        <f>IFERROR(IF(AND(BD_PRINCIPAL[[#This Row],[DESDE]]&lt;&gt;"",BD_PRINCIPAL[[#This Row],[HASTA]]&lt;&gt;""),_xlfn.DAYS(BD_PRINCIPAL[[#This Row],[HASTA]],BD_PRINCIPAL[[#This Row],[DESDE]]),"")+1,"")</f>
        <v/>
      </c>
      <c r="X349" s="339">
        <f>VLOOKUP(BD_PRINCIPAL[[#This Row],[ENCUADRE. ESC.]],ORDEN1,2,FALSE)</f>
        <v>1</v>
      </c>
      <c r="Y349" s="339">
        <f>VLOOKUP(BD_PRINCIPAL[[#This Row],[DOTACIÓN ACTUAL]],ORDEN2,4,FALSE)</f>
        <v>284</v>
      </c>
      <c r="Z349" s="339">
        <f>VLOOKUP(BD_PRINCIPAL[[#This Row],[GRADO]],ORDEN3,2,FALSE)</f>
        <v>9</v>
      </c>
      <c r="AA349" s="339">
        <f>IFERROR(VLOOKUP(BD_PRINCIPAL[[#This Row],[DOTACIÓN ACTUAL]],ORDEN2,3,FALSE),0)</f>
        <v>0</v>
      </c>
      <c r="AB349" s="181" t="s">
        <v>853</v>
      </c>
      <c r="AC349" s="181" t="s">
        <v>853</v>
      </c>
      <c r="AD349" s="181" t="s">
        <v>853</v>
      </c>
      <c r="AE349" s="181" t="s">
        <v>853</v>
      </c>
      <c r="AF349" s="181" t="s">
        <v>853</v>
      </c>
      <c r="AG349" s="181" t="s">
        <v>853</v>
      </c>
      <c r="AH349" s="187"/>
      <c r="AI349" s="187"/>
      <c r="AJ349" s="187"/>
      <c r="AK349" s="187"/>
      <c r="AL349" s="187"/>
      <c r="AM349" s="187"/>
      <c r="AN349" s="187"/>
      <c r="AO349" s="187"/>
      <c r="AP349" s="187"/>
      <c r="AQ349" s="187"/>
      <c r="AR349" s="187"/>
      <c r="AS349" s="187"/>
      <c r="AT349" s="187"/>
      <c r="AU349" s="187"/>
      <c r="AV349" s="187"/>
      <c r="AW349" s="187"/>
      <c r="AX349" s="187"/>
      <c r="AY349" s="187"/>
      <c r="AZ349" s="187"/>
      <c r="BA349" s="181"/>
      <c r="BB349" s="181"/>
      <c r="BC349" s="181"/>
      <c r="BD349" s="181"/>
      <c r="BE349" s="181"/>
      <c r="BF349" s="181"/>
      <c r="BG349" s="181"/>
      <c r="BH349" s="181"/>
      <c r="BI349" s="181"/>
      <c r="BJ349" s="181"/>
      <c r="BK349" s="181"/>
      <c r="BL349" s="181"/>
      <c r="BM349" s="777">
        <v>45239</v>
      </c>
      <c r="BN349" s="792"/>
    </row>
    <row r="350" spans="1:66" s="221" customFormat="1" x14ac:dyDescent="0.3">
      <c r="A350" s="219" t="s">
        <v>310</v>
      </c>
      <c r="B350" s="212" t="s">
        <v>1875</v>
      </c>
      <c r="C350" s="219">
        <v>182274976</v>
      </c>
      <c r="D350" s="1027" t="s">
        <v>791</v>
      </c>
      <c r="E350" s="946" t="s">
        <v>791</v>
      </c>
      <c r="F350" s="480" t="s">
        <v>1875</v>
      </c>
      <c r="G350" s="214" t="s">
        <v>3</v>
      </c>
      <c r="H350" s="215" t="s">
        <v>817</v>
      </c>
      <c r="I350" s="215" t="s">
        <v>872</v>
      </c>
      <c r="J350" s="216" t="s">
        <v>917</v>
      </c>
      <c r="K350" s="1287" t="s">
        <v>2290</v>
      </c>
      <c r="L350" s="733" t="s">
        <v>1075</v>
      </c>
      <c r="M350" s="1313" t="s">
        <v>791</v>
      </c>
      <c r="N350" s="772"/>
      <c r="O350" s="1294"/>
      <c r="P350" s="212"/>
      <c r="Q350" s="1294" t="s">
        <v>832</v>
      </c>
      <c r="R350" s="217">
        <f>$B$1</f>
        <v>45388</v>
      </c>
      <c r="S350" s="213" t="s">
        <v>1483</v>
      </c>
      <c r="T350" s="213"/>
      <c r="U350" s="218"/>
      <c r="V350" s="218"/>
      <c r="W350" s="219" t="str">
        <f>IFERROR(IF(AND(BD_PRINCIPAL[[#This Row],[DESDE]]&lt;&gt;"",BD_PRINCIPAL[[#This Row],[HASTA]]&lt;&gt;""),_xlfn.DAYS(BD_PRINCIPAL[[#This Row],[HASTA]],BD_PRINCIPAL[[#This Row],[DESDE]]),"")+1,"")</f>
        <v/>
      </c>
      <c r="X350" s="219">
        <f>VLOOKUP(BD_PRINCIPAL[[#This Row],[ENCUADRE. ESC.]],ORDEN1,2,FALSE)</f>
        <v>1</v>
      </c>
      <c r="Y350" s="219">
        <f>VLOOKUP(BD_PRINCIPAL[[#This Row],[DOTACIÓN ACTUAL]],ORDEN2,4,FALSE)</f>
        <v>285</v>
      </c>
      <c r="Z350" s="219">
        <f>VLOOKUP(BD_PRINCIPAL[[#This Row],[GRADO]],ORDEN3,2,FALSE)</f>
        <v>11</v>
      </c>
      <c r="AA350" s="219">
        <f>IFERROR(VLOOKUP(BD_PRINCIPAL[[#This Row],[DOTACIÓN ACTUAL]],ORDEN2,3,FALSE),0)</f>
        <v>0</v>
      </c>
      <c r="AB350" s="212" t="s">
        <v>1075</v>
      </c>
      <c r="AC350" s="212" t="s">
        <v>1075</v>
      </c>
      <c r="AD350" s="212" t="s">
        <v>1075</v>
      </c>
      <c r="AE350" s="212" t="s">
        <v>1075</v>
      </c>
      <c r="AF350" s="212" t="s">
        <v>1075</v>
      </c>
      <c r="AG350" s="212" t="s">
        <v>1075</v>
      </c>
      <c r="AH350" s="212"/>
      <c r="AI350" s="212"/>
      <c r="AJ350" s="212"/>
      <c r="AK350" s="212"/>
      <c r="AL350" s="212"/>
      <c r="AM350" s="212"/>
      <c r="AN350" s="212"/>
      <c r="AO350" s="212"/>
      <c r="AP350" s="212"/>
      <c r="AQ350" s="212"/>
      <c r="AR350" s="212"/>
      <c r="AS350" s="212"/>
      <c r="AT350" s="220"/>
      <c r="AU350" s="220"/>
      <c r="AV350" s="220"/>
      <c r="AW350" s="220"/>
      <c r="AX350" s="220"/>
      <c r="AY350" s="220"/>
      <c r="AZ350" s="220"/>
      <c r="BA350" s="212"/>
      <c r="BB350" s="212"/>
      <c r="BC350" s="212"/>
      <c r="BD350" s="212"/>
      <c r="BE350" s="212"/>
      <c r="BF350" s="212"/>
      <c r="BG350" s="212"/>
      <c r="BH350" s="212"/>
      <c r="BI350" s="212"/>
      <c r="BJ350" s="212"/>
      <c r="BK350" s="212"/>
      <c r="BL350" s="212"/>
      <c r="BM350" s="772">
        <v>45177</v>
      </c>
      <c r="BN350" s="789"/>
    </row>
    <row r="351" spans="1:66" s="233" customFormat="1" x14ac:dyDescent="0.3">
      <c r="A351" s="231" t="s">
        <v>3140</v>
      </c>
      <c r="B351" s="746" t="s">
        <v>3141</v>
      </c>
      <c r="C351" s="231">
        <v>120626221</v>
      </c>
      <c r="D351" s="310" t="s">
        <v>1720</v>
      </c>
      <c r="E351" s="477" t="s">
        <v>1720</v>
      </c>
      <c r="F351" s="477" t="s">
        <v>3141</v>
      </c>
      <c r="G351" s="235" t="s">
        <v>11</v>
      </c>
      <c r="H351" s="228" t="s">
        <v>816</v>
      </c>
      <c r="I351" s="228" t="s">
        <v>872</v>
      </c>
      <c r="J351" s="229" t="s">
        <v>917</v>
      </c>
      <c r="K351" s="1280" t="s">
        <v>2290</v>
      </c>
      <c r="L351" s="734" t="s">
        <v>1075</v>
      </c>
      <c r="M351" s="1305" t="s">
        <v>1720</v>
      </c>
      <c r="N351" s="779"/>
      <c r="O351" s="1295"/>
      <c r="P351" s="225"/>
      <c r="Q351" s="1295" t="s">
        <v>832</v>
      </c>
      <c r="R351" s="386">
        <v>32401</v>
      </c>
      <c r="S351" s="226"/>
      <c r="T351" s="226" t="s">
        <v>3148</v>
      </c>
      <c r="U351" s="794"/>
      <c r="V351" s="794"/>
      <c r="W351" s="387" t="str">
        <f>IFERROR(IF(AND(BD_PRINCIPAL[[#This Row],[DESDE]]&lt;&gt;"",BD_PRINCIPAL[[#This Row],[HASTA]]&lt;&gt;""),_xlfn.DAYS(BD_PRINCIPAL[[#This Row],[HASTA]],BD_PRINCIPAL[[#This Row],[DESDE]]),"")+1,"")</f>
        <v/>
      </c>
      <c r="X351" s="387">
        <f>VLOOKUP(BD_PRINCIPAL[[#This Row],[ENCUADRE. ESC.]],ORDEN1,2,FALSE)</f>
        <v>1</v>
      </c>
      <c r="Y351" s="387">
        <f>VLOOKUP(BD_PRINCIPAL[[#This Row],[DOTACIÓN ACTUAL]],ORDEN2,4,FALSE)</f>
        <v>286</v>
      </c>
      <c r="Z351" s="387">
        <f>VLOOKUP(BD_PRINCIPAL[[#This Row],[GRADO]],ORDEN3,2,FALSE)</f>
        <v>7</v>
      </c>
      <c r="AA351" s="387">
        <f>IFERROR(VLOOKUP(BD_PRINCIPAL[[#This Row],[DOTACIÓN ACTUAL]],ORDEN2,3,FALSE),0)</f>
        <v>0</v>
      </c>
      <c r="AB351" s="232" t="s">
        <v>1075</v>
      </c>
      <c r="AC351" s="232" t="s">
        <v>1075</v>
      </c>
      <c r="AD351" s="232" t="s">
        <v>1075</v>
      </c>
      <c r="AE351" s="232" t="s">
        <v>1075</v>
      </c>
      <c r="AF351" s="232" t="s">
        <v>1075</v>
      </c>
      <c r="AG351" s="232" t="s">
        <v>1075</v>
      </c>
      <c r="AH351" s="232"/>
      <c r="AI351" s="232"/>
      <c r="AJ351" s="232"/>
      <c r="AK351" s="232"/>
      <c r="AL351" s="232"/>
      <c r="AM351" s="232"/>
      <c r="AN351" s="232"/>
      <c r="AO351" s="232"/>
      <c r="AP351" s="232"/>
      <c r="AQ351" s="232"/>
      <c r="AR351" s="232"/>
      <c r="AS351" s="232"/>
      <c r="AT351" s="232"/>
      <c r="AU351" s="232"/>
      <c r="AV351" s="232"/>
      <c r="AW351" s="232"/>
      <c r="AX351" s="232"/>
      <c r="AY351" s="232"/>
      <c r="AZ351" s="232"/>
      <c r="BA351" s="225"/>
      <c r="BB351" s="225"/>
      <c r="BC351" s="225"/>
      <c r="BD351" s="225"/>
      <c r="BE351" s="225"/>
      <c r="BF351" s="225"/>
      <c r="BG351" s="225"/>
      <c r="BH351" s="225"/>
      <c r="BI351" s="225"/>
      <c r="BJ351" s="225"/>
      <c r="BK351" s="225"/>
      <c r="BL351" s="225"/>
      <c r="BM351" s="901"/>
      <c r="BN351" s="901"/>
    </row>
    <row r="352" spans="1:66" s="233" customFormat="1" ht="26.4" x14ac:dyDescent="0.3">
      <c r="A352" s="231" t="s">
        <v>573</v>
      </c>
      <c r="B352" s="225" t="s">
        <v>25</v>
      </c>
      <c r="C352" s="231">
        <v>128590870</v>
      </c>
      <c r="D352" s="715" t="s">
        <v>679</v>
      </c>
      <c r="E352" s="477" t="s">
        <v>1720</v>
      </c>
      <c r="F352" s="477" t="s">
        <v>25</v>
      </c>
      <c r="G352" s="227" t="s">
        <v>89</v>
      </c>
      <c r="H352" s="228" t="s">
        <v>816</v>
      </c>
      <c r="I352" s="228" t="s">
        <v>872</v>
      </c>
      <c r="J352" s="229" t="s">
        <v>917</v>
      </c>
      <c r="K352" s="1280" t="s">
        <v>2290</v>
      </c>
      <c r="L352" s="734" t="s">
        <v>1075</v>
      </c>
      <c r="M352" s="1305" t="s">
        <v>1720</v>
      </c>
      <c r="N352" s="780"/>
      <c r="O352" s="1295"/>
      <c r="P352" s="225"/>
      <c r="Q352" s="1295" t="s">
        <v>832</v>
      </c>
      <c r="R352" s="234">
        <f>$B$1</f>
        <v>45388</v>
      </c>
      <c r="S352" s="236"/>
      <c r="T352" s="236"/>
      <c r="U352" s="230"/>
      <c r="V352" s="230"/>
      <c r="W352" s="231" t="str">
        <f>IFERROR(IF(AND(BD_PRINCIPAL[[#This Row],[DESDE]]&lt;&gt;"",BD_PRINCIPAL[[#This Row],[HASTA]]&lt;&gt;""),_xlfn.DAYS(BD_PRINCIPAL[[#This Row],[HASTA]],BD_PRINCIPAL[[#This Row],[DESDE]]),"")+1,"")</f>
        <v/>
      </c>
      <c r="X352" s="231">
        <f>VLOOKUP(BD_PRINCIPAL[[#This Row],[ENCUADRE. ESC.]],ORDEN1,2,FALSE)</f>
        <v>1</v>
      </c>
      <c r="Y352" s="231">
        <f>VLOOKUP(BD_PRINCIPAL[[#This Row],[DOTACIÓN ACTUAL]],ORDEN2,4,FALSE)</f>
        <v>286</v>
      </c>
      <c r="Z352" s="231">
        <f>VLOOKUP(BD_PRINCIPAL[[#This Row],[GRADO]],ORDEN3,2,FALSE)</f>
        <v>9</v>
      </c>
      <c r="AA352" s="231">
        <f>IFERROR(VLOOKUP(BD_PRINCIPAL[[#This Row],[DOTACIÓN ACTUAL]],ORDEN2,3,FALSE),0)</f>
        <v>0</v>
      </c>
      <c r="AB352" s="225" t="s">
        <v>1075</v>
      </c>
      <c r="AC352" s="225" t="s">
        <v>1075</v>
      </c>
      <c r="AD352" s="225" t="s">
        <v>1075</v>
      </c>
      <c r="AE352" s="225" t="s">
        <v>1075</v>
      </c>
      <c r="AF352" s="225" t="s">
        <v>1075</v>
      </c>
      <c r="AG352" s="225" t="s">
        <v>1075</v>
      </c>
      <c r="AH352" s="225"/>
      <c r="AI352" s="225"/>
      <c r="AJ352" s="225"/>
      <c r="AK352" s="225"/>
      <c r="AL352" s="225"/>
      <c r="AM352" s="225"/>
      <c r="AN352" s="225"/>
      <c r="AO352" s="225"/>
      <c r="AP352" s="225"/>
      <c r="AQ352" s="225"/>
      <c r="AR352" s="225"/>
      <c r="AS352" s="225"/>
      <c r="AT352" s="232"/>
      <c r="AU352" s="232"/>
      <c r="AV352" s="232"/>
      <c r="AW352" s="232"/>
      <c r="AX352" s="232"/>
      <c r="AY352" s="232"/>
      <c r="AZ352" s="232"/>
      <c r="BA352" s="225"/>
      <c r="BB352" s="225"/>
      <c r="BC352" s="225"/>
      <c r="BD352" s="225"/>
      <c r="BE352" s="225"/>
      <c r="BF352" s="225"/>
      <c r="BG352" s="225"/>
      <c r="BH352" s="225"/>
      <c r="BI352" s="225"/>
      <c r="BJ352" s="225"/>
      <c r="BK352" s="225"/>
      <c r="BL352" s="225"/>
      <c r="BM352" s="780">
        <v>45110</v>
      </c>
      <c r="BN352" s="790"/>
    </row>
    <row r="353" spans="1:66" s="247" customFormat="1" ht="26.4" x14ac:dyDescent="0.3">
      <c r="A353" s="245" t="s">
        <v>574</v>
      </c>
      <c r="B353" s="238" t="s">
        <v>24</v>
      </c>
      <c r="C353" s="245">
        <v>123845730</v>
      </c>
      <c r="D353" s="311" t="s">
        <v>679</v>
      </c>
      <c r="E353" s="478" t="s">
        <v>679</v>
      </c>
      <c r="F353" s="478" t="s">
        <v>24</v>
      </c>
      <c r="G353" s="240" t="s">
        <v>17</v>
      </c>
      <c r="H353" s="241" t="s">
        <v>816</v>
      </c>
      <c r="I353" s="241" t="s">
        <v>872</v>
      </c>
      <c r="J353" s="242" t="s">
        <v>917</v>
      </c>
      <c r="K353" s="1281" t="s">
        <v>2290</v>
      </c>
      <c r="L353" s="735" t="s">
        <v>853</v>
      </c>
      <c r="M353" s="1306" t="s">
        <v>679</v>
      </c>
      <c r="N353" s="775"/>
      <c r="O353" s="1296"/>
      <c r="P353" s="238"/>
      <c r="Q353" s="1296" t="s">
        <v>832</v>
      </c>
      <c r="R353" s="243">
        <f>$B$1</f>
        <v>45388</v>
      </c>
      <c r="S353" s="249"/>
      <c r="T353" s="239"/>
      <c r="U353" s="244"/>
      <c r="V353" s="244"/>
      <c r="W353" s="245" t="str">
        <f>IFERROR(IF(AND(BD_PRINCIPAL[[#This Row],[DESDE]]&lt;&gt;"",BD_PRINCIPAL[[#This Row],[HASTA]]&lt;&gt;""),_xlfn.DAYS(BD_PRINCIPAL[[#This Row],[HASTA]],BD_PRINCIPAL[[#This Row],[DESDE]]),"")+1,"")</f>
        <v/>
      </c>
      <c r="X353" s="245">
        <f>VLOOKUP(BD_PRINCIPAL[[#This Row],[ENCUADRE. ESC.]],ORDEN1,2,FALSE)</f>
        <v>1</v>
      </c>
      <c r="Y353" s="245">
        <f>VLOOKUP(BD_PRINCIPAL[[#This Row],[DOTACIÓN ACTUAL]],ORDEN2,4,FALSE)</f>
        <v>287</v>
      </c>
      <c r="Z353" s="245">
        <f>VLOOKUP(BD_PRINCIPAL[[#This Row],[GRADO]],ORDEN3,2,FALSE)</f>
        <v>8</v>
      </c>
      <c r="AA353" s="245">
        <f>IFERROR(VLOOKUP(BD_PRINCIPAL[[#This Row],[DOTACIÓN ACTUAL]],ORDEN2,3,FALSE),0)</f>
        <v>0</v>
      </c>
      <c r="AB353" s="238" t="s">
        <v>853</v>
      </c>
      <c r="AC353" s="238" t="s">
        <v>853</v>
      </c>
      <c r="AD353" s="238" t="s">
        <v>853</v>
      </c>
      <c r="AE353" s="238" t="s">
        <v>853</v>
      </c>
      <c r="AF353" s="238" t="s">
        <v>853</v>
      </c>
      <c r="AG353" s="238" t="s">
        <v>853</v>
      </c>
      <c r="AH353" s="238"/>
      <c r="AI353" s="238"/>
      <c r="AJ353" s="238"/>
      <c r="AK353" s="238"/>
      <c r="AL353" s="238"/>
      <c r="AM353" s="238"/>
      <c r="AN353" s="238"/>
      <c r="AO353" s="238"/>
      <c r="AP353" s="238"/>
      <c r="AQ353" s="238"/>
      <c r="AR353" s="238"/>
      <c r="AS353" s="238"/>
      <c r="AT353" s="246"/>
      <c r="AU353" s="246"/>
      <c r="AV353" s="246"/>
      <c r="AW353" s="246"/>
      <c r="AX353" s="246"/>
      <c r="AY353" s="246"/>
      <c r="AZ353" s="246"/>
      <c r="BA353" s="238"/>
      <c r="BB353" s="238"/>
      <c r="BC353" s="238"/>
      <c r="BD353" s="238"/>
      <c r="BE353" s="238"/>
      <c r="BF353" s="238"/>
      <c r="BG353" s="238"/>
      <c r="BH353" s="238"/>
      <c r="BI353" s="238"/>
      <c r="BJ353" s="238"/>
      <c r="BK353" s="238"/>
      <c r="BL353" s="238"/>
      <c r="BM353" s="775">
        <v>45114</v>
      </c>
      <c r="BN353" s="788"/>
    </row>
    <row r="354" spans="1:66" s="247" customFormat="1" ht="26.4" x14ac:dyDescent="0.3">
      <c r="A354" s="245" t="s">
        <v>575</v>
      </c>
      <c r="B354" s="238" t="s">
        <v>121</v>
      </c>
      <c r="C354" s="245">
        <v>172014887</v>
      </c>
      <c r="D354" s="311" t="s">
        <v>679</v>
      </c>
      <c r="E354" s="478" t="s">
        <v>679</v>
      </c>
      <c r="F354" s="478" t="s">
        <v>3143</v>
      </c>
      <c r="G354" s="240" t="s">
        <v>3</v>
      </c>
      <c r="H354" s="241" t="s">
        <v>816</v>
      </c>
      <c r="I354" s="241" t="s">
        <v>872</v>
      </c>
      <c r="J354" s="242" t="s">
        <v>917</v>
      </c>
      <c r="K354" s="1281" t="s">
        <v>2670</v>
      </c>
      <c r="L354" s="735" t="s">
        <v>853</v>
      </c>
      <c r="M354" s="1306" t="s">
        <v>679</v>
      </c>
      <c r="N354" s="775"/>
      <c r="O354" s="1296"/>
      <c r="P354" s="238"/>
      <c r="Q354" s="1296" t="s">
        <v>832</v>
      </c>
      <c r="R354" s="243">
        <f>$B$1</f>
        <v>45388</v>
      </c>
      <c r="S354" s="249" t="s">
        <v>3539</v>
      </c>
      <c r="T354" s="249"/>
      <c r="U354" s="244"/>
      <c r="V354" s="244"/>
      <c r="W354" s="245" t="str">
        <f>IFERROR(IF(AND(BD_PRINCIPAL[[#This Row],[DESDE]]&lt;&gt;"",BD_PRINCIPAL[[#This Row],[HASTA]]&lt;&gt;""),_xlfn.DAYS(BD_PRINCIPAL[[#This Row],[HASTA]],BD_PRINCIPAL[[#This Row],[DESDE]]),"")+1,"")</f>
        <v/>
      </c>
      <c r="X354" s="245">
        <f>VLOOKUP(BD_PRINCIPAL[[#This Row],[ENCUADRE. ESC.]],ORDEN1,2,FALSE)</f>
        <v>1</v>
      </c>
      <c r="Y354" s="245">
        <f>VLOOKUP(BD_PRINCIPAL[[#This Row],[DOTACIÓN ACTUAL]],ORDEN2,4,FALSE)</f>
        <v>287</v>
      </c>
      <c r="Z354" s="245">
        <f>VLOOKUP(BD_PRINCIPAL[[#This Row],[GRADO]],ORDEN3,2,FALSE)</f>
        <v>11</v>
      </c>
      <c r="AA354" s="245">
        <f>IFERROR(VLOOKUP(BD_PRINCIPAL[[#This Row],[DOTACIÓN ACTUAL]],ORDEN2,3,FALSE),0)</f>
        <v>0</v>
      </c>
      <c r="AB354" s="238" t="s">
        <v>853</v>
      </c>
      <c r="AC354" s="238" t="s">
        <v>853</v>
      </c>
      <c r="AD354" s="238" t="s">
        <v>853</v>
      </c>
      <c r="AE354" s="238" t="s">
        <v>853</v>
      </c>
      <c r="AF354" s="238" t="s">
        <v>853</v>
      </c>
      <c r="AG354" s="238" t="s">
        <v>853</v>
      </c>
      <c r="AH354" s="238"/>
      <c r="AI354" s="238"/>
      <c r="AJ354" s="238"/>
      <c r="AK354" s="238"/>
      <c r="AL354" s="238"/>
      <c r="AM354" s="238"/>
      <c r="AN354" s="238"/>
      <c r="AO354" s="238"/>
      <c r="AP354" s="238"/>
      <c r="AQ354" s="238"/>
      <c r="AR354" s="238"/>
      <c r="AS354" s="238"/>
      <c r="AT354" s="246"/>
      <c r="AU354" s="246"/>
      <c r="AV354" s="246"/>
      <c r="AW354" s="246"/>
      <c r="AX354" s="246"/>
      <c r="AY354" s="246"/>
      <c r="AZ354" s="246"/>
      <c r="BA354" s="238"/>
      <c r="BB354" s="238"/>
      <c r="BC354" s="238"/>
      <c r="BD354" s="238"/>
      <c r="BE354" s="238"/>
      <c r="BF354" s="238"/>
      <c r="BG354" s="238"/>
      <c r="BH354" s="238"/>
      <c r="BI354" s="238"/>
      <c r="BJ354" s="238"/>
      <c r="BK354" s="238"/>
      <c r="BL354" s="238"/>
      <c r="BM354" s="775">
        <v>45078</v>
      </c>
      <c r="BN354" s="788"/>
    </row>
    <row r="355" spans="1:66" s="189" customFormat="1" x14ac:dyDescent="0.3">
      <c r="A355" s="188" t="s">
        <v>566</v>
      </c>
      <c r="B355" s="181" t="s">
        <v>26</v>
      </c>
      <c r="C355" s="188">
        <v>118837177</v>
      </c>
      <c r="D355" s="313" t="s">
        <v>83</v>
      </c>
      <c r="E355" s="479" t="s">
        <v>83</v>
      </c>
      <c r="F355" s="479" t="s">
        <v>26</v>
      </c>
      <c r="G355" s="183" t="s">
        <v>11</v>
      </c>
      <c r="H355" s="184" t="s">
        <v>816</v>
      </c>
      <c r="I355" s="184" t="s">
        <v>872</v>
      </c>
      <c r="J355" s="185" t="s">
        <v>917</v>
      </c>
      <c r="K355" s="1283" t="s">
        <v>2290</v>
      </c>
      <c r="L355" s="736" t="s">
        <v>1075</v>
      </c>
      <c r="M355" s="1308" t="s">
        <v>83</v>
      </c>
      <c r="N355" s="777"/>
      <c r="O355" s="1298"/>
      <c r="P355" s="181"/>
      <c r="Q355" s="1298" t="s">
        <v>832</v>
      </c>
      <c r="R355" s="186">
        <f>$B$1</f>
        <v>45388</v>
      </c>
      <c r="S355" s="190"/>
      <c r="T355" s="182" t="s">
        <v>2919</v>
      </c>
      <c r="U355" s="192"/>
      <c r="V355" s="192"/>
      <c r="W355" s="188" t="str">
        <f>IFERROR(IF(AND(BD_PRINCIPAL[[#This Row],[DESDE]]&lt;&gt;"",BD_PRINCIPAL[[#This Row],[HASTA]]&lt;&gt;""),_xlfn.DAYS(BD_PRINCIPAL[[#This Row],[HASTA]],BD_PRINCIPAL[[#This Row],[DESDE]]),"")+1,"")</f>
        <v/>
      </c>
      <c r="X355" s="188">
        <f>VLOOKUP(BD_PRINCIPAL[[#This Row],[ENCUADRE. ESC.]],ORDEN1,2,FALSE)</f>
        <v>1</v>
      </c>
      <c r="Y355" s="188">
        <f>VLOOKUP(BD_PRINCIPAL[[#This Row],[DOTACIÓN ACTUAL]],ORDEN2,4,FALSE)</f>
        <v>289</v>
      </c>
      <c r="Z355" s="188">
        <f>VLOOKUP(BD_PRINCIPAL[[#This Row],[GRADO]],ORDEN3,2,FALSE)</f>
        <v>7</v>
      </c>
      <c r="AA355" s="188">
        <f>IFERROR(VLOOKUP(BD_PRINCIPAL[[#This Row],[DOTACIÓN ACTUAL]],ORDEN2,3,FALSE),0)</f>
        <v>0</v>
      </c>
      <c r="AB355" s="181" t="s">
        <v>1075</v>
      </c>
      <c r="AC355" s="181" t="s">
        <v>1075</v>
      </c>
      <c r="AD355" s="181" t="s">
        <v>1075</v>
      </c>
      <c r="AE355" s="181" t="s">
        <v>1075</v>
      </c>
      <c r="AF355" s="181" t="s">
        <v>1075</v>
      </c>
      <c r="AG355" s="181" t="s">
        <v>1075</v>
      </c>
      <c r="AH355" s="181"/>
      <c r="AI355" s="181"/>
      <c r="AJ355" s="181"/>
      <c r="AK355" s="181"/>
      <c r="AL355" s="181"/>
      <c r="AM355" s="181"/>
      <c r="AN355" s="181"/>
      <c r="AO355" s="181"/>
      <c r="AP355" s="181"/>
      <c r="AQ355" s="181"/>
      <c r="AR355" s="181"/>
      <c r="AS355" s="181"/>
      <c r="AT355" s="187"/>
      <c r="AU355" s="187"/>
      <c r="AV355" s="187"/>
      <c r="AW355" s="187"/>
      <c r="AX355" s="187"/>
      <c r="AY355" s="187"/>
      <c r="AZ355" s="187"/>
      <c r="BA355" s="181"/>
      <c r="BB355" s="181"/>
      <c r="BC355" s="181"/>
      <c r="BD355" s="181"/>
      <c r="BE355" s="181"/>
      <c r="BF355" s="181"/>
      <c r="BG355" s="181"/>
      <c r="BH355" s="181"/>
      <c r="BI355" s="181"/>
      <c r="BJ355" s="181"/>
      <c r="BK355" s="181"/>
      <c r="BL355" s="181"/>
      <c r="BM355" s="777">
        <v>45078</v>
      </c>
      <c r="BN355" s="792"/>
    </row>
    <row r="356" spans="1:66" s="189" customFormat="1" x14ac:dyDescent="0.3">
      <c r="A356" s="188" t="s">
        <v>417</v>
      </c>
      <c r="B356" s="181" t="s">
        <v>162</v>
      </c>
      <c r="C356" s="188">
        <v>184508052</v>
      </c>
      <c r="D356" s="313" t="s">
        <v>83</v>
      </c>
      <c r="E356" s="488" t="s">
        <v>83</v>
      </c>
      <c r="F356" s="479" t="s">
        <v>162</v>
      </c>
      <c r="G356" s="183" t="s">
        <v>4</v>
      </c>
      <c r="H356" s="184" t="s">
        <v>816</v>
      </c>
      <c r="I356" s="184" t="s">
        <v>872</v>
      </c>
      <c r="J356" s="185" t="s">
        <v>917</v>
      </c>
      <c r="K356" s="1283" t="s">
        <v>2290</v>
      </c>
      <c r="L356" s="736" t="s">
        <v>1075</v>
      </c>
      <c r="M356" s="1308" t="s">
        <v>83</v>
      </c>
      <c r="N356" s="777"/>
      <c r="O356" s="1298"/>
      <c r="P356" s="181"/>
      <c r="Q356" s="1298" t="s">
        <v>832</v>
      </c>
      <c r="R356" s="186">
        <f>$B$1</f>
        <v>45388</v>
      </c>
      <c r="S356" s="190" t="s">
        <v>3539</v>
      </c>
      <c r="T356" s="190" t="s">
        <v>2919</v>
      </c>
      <c r="U356" s="192"/>
      <c r="V356" s="192"/>
      <c r="W356" s="188" t="str">
        <f>IFERROR(IF(AND(BD_PRINCIPAL[[#This Row],[DESDE]]&lt;&gt;"",BD_PRINCIPAL[[#This Row],[HASTA]]&lt;&gt;""),_xlfn.DAYS(BD_PRINCIPAL[[#This Row],[HASTA]],BD_PRINCIPAL[[#This Row],[DESDE]]),"")+1,"")</f>
        <v/>
      </c>
      <c r="X356" s="188">
        <f>VLOOKUP(BD_PRINCIPAL[[#This Row],[ENCUADRE. ESC.]],ORDEN1,2,FALSE)</f>
        <v>1</v>
      </c>
      <c r="Y356" s="188">
        <f>VLOOKUP(BD_PRINCIPAL[[#This Row],[DOTACIÓN ACTUAL]],ORDEN2,4,FALSE)</f>
        <v>289</v>
      </c>
      <c r="Z356" s="188">
        <f>VLOOKUP(BD_PRINCIPAL[[#This Row],[GRADO]],ORDEN3,2,FALSE)</f>
        <v>12</v>
      </c>
      <c r="AA356" s="188">
        <f>IFERROR(VLOOKUP(BD_PRINCIPAL[[#This Row],[DOTACIÓN ACTUAL]],ORDEN2,3,FALSE),0)</f>
        <v>0</v>
      </c>
      <c r="AB356" s="181" t="s">
        <v>1075</v>
      </c>
      <c r="AC356" s="181" t="s">
        <v>1075</v>
      </c>
      <c r="AD356" s="181" t="s">
        <v>1075</v>
      </c>
      <c r="AE356" s="181" t="s">
        <v>1075</v>
      </c>
      <c r="AF356" s="181" t="s">
        <v>1075</v>
      </c>
      <c r="AG356" s="181" t="s">
        <v>1075</v>
      </c>
      <c r="AH356" s="181"/>
      <c r="AI356" s="181"/>
      <c r="AJ356" s="181"/>
      <c r="AK356" s="181"/>
      <c r="AL356" s="181"/>
      <c r="AM356" s="181"/>
      <c r="AN356" s="181"/>
      <c r="AO356" s="181"/>
      <c r="AP356" s="181"/>
      <c r="AQ356" s="181"/>
      <c r="AR356" s="181"/>
      <c r="AS356" s="181"/>
      <c r="AT356" s="187"/>
      <c r="AU356" s="187"/>
      <c r="AV356" s="187"/>
      <c r="AW356" s="187"/>
      <c r="AX356" s="187"/>
      <c r="AY356" s="187"/>
      <c r="AZ356" s="187"/>
      <c r="BA356" s="181"/>
      <c r="BB356" s="181"/>
      <c r="BC356" s="181"/>
      <c r="BD356" s="181"/>
      <c r="BE356" s="181"/>
      <c r="BF356" s="181"/>
      <c r="BG356" s="181"/>
      <c r="BH356" s="181"/>
      <c r="BI356" s="181"/>
      <c r="BJ356" s="181"/>
      <c r="BK356" s="181"/>
      <c r="BL356" s="181"/>
      <c r="BM356" s="777">
        <v>45075</v>
      </c>
      <c r="BN356" s="792"/>
    </row>
    <row r="357" spans="1:66" s="189" customFormat="1" ht="52.8" x14ac:dyDescent="0.3">
      <c r="A357" s="188" t="s">
        <v>393</v>
      </c>
      <c r="B357" s="181" t="s">
        <v>116</v>
      </c>
      <c r="C357" s="188">
        <v>194367902</v>
      </c>
      <c r="D357" s="715" t="s">
        <v>721</v>
      </c>
      <c r="E357" s="488" t="s">
        <v>83</v>
      </c>
      <c r="F357" s="479" t="s">
        <v>116</v>
      </c>
      <c r="G357" s="183" t="s">
        <v>4</v>
      </c>
      <c r="H357" s="184" t="s">
        <v>816</v>
      </c>
      <c r="I357" s="184" t="s">
        <v>872</v>
      </c>
      <c r="J357" s="185" t="s">
        <v>917</v>
      </c>
      <c r="K357" s="1283" t="s">
        <v>2290</v>
      </c>
      <c r="L357" s="736" t="s">
        <v>1075</v>
      </c>
      <c r="M357" s="1308" t="s">
        <v>83</v>
      </c>
      <c r="N357" s="892"/>
      <c r="O357" s="1298"/>
      <c r="P357" s="181"/>
      <c r="Q357" s="1298" t="s">
        <v>832</v>
      </c>
      <c r="R357" s="186">
        <f>$B$1</f>
        <v>45388</v>
      </c>
      <c r="S357" s="190"/>
      <c r="T357" s="190" t="s">
        <v>3607</v>
      </c>
      <c r="U357" s="192"/>
      <c r="V357" s="192"/>
      <c r="W357" s="188" t="str">
        <f>IFERROR(IF(AND(BD_PRINCIPAL[[#This Row],[DESDE]]&lt;&gt;"",BD_PRINCIPAL[[#This Row],[HASTA]]&lt;&gt;""),_xlfn.DAYS(BD_PRINCIPAL[[#This Row],[HASTA]],BD_PRINCIPAL[[#This Row],[DESDE]]),"")+1,"")</f>
        <v/>
      </c>
      <c r="X357" s="188">
        <f>VLOOKUP(BD_PRINCIPAL[[#This Row],[ENCUADRE. ESC.]],ORDEN1,2,FALSE)</f>
        <v>1</v>
      </c>
      <c r="Y357" s="188">
        <f>VLOOKUP(BD_PRINCIPAL[[#This Row],[DOTACIÓN ACTUAL]],ORDEN2,4,FALSE)</f>
        <v>289</v>
      </c>
      <c r="Z357" s="188">
        <f>VLOOKUP(BD_PRINCIPAL[[#This Row],[GRADO]],ORDEN3,2,FALSE)</f>
        <v>12</v>
      </c>
      <c r="AA357" s="188">
        <f>IFERROR(VLOOKUP(BD_PRINCIPAL[[#This Row],[DOTACIÓN ACTUAL]],ORDEN2,3,FALSE),0)</f>
        <v>0</v>
      </c>
      <c r="AB357" s="181" t="s">
        <v>1075</v>
      </c>
      <c r="AC357" s="181" t="s">
        <v>1075</v>
      </c>
      <c r="AD357" s="181" t="s">
        <v>1075</v>
      </c>
      <c r="AE357" s="181" t="s">
        <v>1075</v>
      </c>
      <c r="AF357" s="181" t="s">
        <v>1075</v>
      </c>
      <c r="AG357" s="181" t="s">
        <v>1075</v>
      </c>
      <c r="AH357" s="181"/>
      <c r="AI357" s="181"/>
      <c r="AJ357" s="181"/>
      <c r="AK357" s="181"/>
      <c r="AL357" s="181"/>
      <c r="AM357" s="181"/>
      <c r="AN357" s="181"/>
      <c r="AO357" s="181"/>
      <c r="AP357" s="181"/>
      <c r="AQ357" s="181"/>
      <c r="AR357" s="181"/>
      <c r="AS357" s="181"/>
      <c r="AT357" s="187"/>
      <c r="AU357" s="187"/>
      <c r="AV357" s="187"/>
      <c r="AW357" s="187"/>
      <c r="AX357" s="187"/>
      <c r="AY357" s="187"/>
      <c r="AZ357" s="187"/>
      <c r="BA357" s="181"/>
      <c r="BB357" s="181"/>
      <c r="BC357" s="181"/>
      <c r="BD357" s="181"/>
      <c r="BE357" s="181"/>
      <c r="BF357" s="181"/>
      <c r="BG357" s="181"/>
      <c r="BH357" s="181"/>
      <c r="BI357" s="181"/>
      <c r="BJ357" s="181"/>
      <c r="BK357" s="181"/>
      <c r="BL357" s="181"/>
      <c r="BM357" s="892">
        <v>45128</v>
      </c>
      <c r="BN357" s="792"/>
    </row>
    <row r="358" spans="1:66" s="221" customFormat="1" ht="92.4" x14ac:dyDescent="0.3">
      <c r="A358" s="219" t="s">
        <v>580</v>
      </c>
      <c r="B358" s="212" t="s">
        <v>57</v>
      </c>
      <c r="C358" s="219">
        <v>169041776</v>
      </c>
      <c r="D358" s="308" t="s">
        <v>1080</v>
      </c>
      <c r="E358" s="480" t="s">
        <v>1080</v>
      </c>
      <c r="F358" s="480" t="s">
        <v>57</v>
      </c>
      <c r="G358" s="214" t="s">
        <v>3</v>
      </c>
      <c r="H358" s="215" t="s">
        <v>816</v>
      </c>
      <c r="I358" s="215" t="s">
        <v>872</v>
      </c>
      <c r="J358" s="216" t="s">
        <v>917</v>
      </c>
      <c r="K358" s="1279" t="s">
        <v>2290</v>
      </c>
      <c r="L358" s="733" t="s">
        <v>1075</v>
      </c>
      <c r="M358" s="1304" t="s">
        <v>1080</v>
      </c>
      <c r="N358" s="772"/>
      <c r="O358" s="1294"/>
      <c r="P358" s="212"/>
      <c r="Q358" s="1294" t="s">
        <v>832</v>
      </c>
      <c r="R358" s="217">
        <f>$B$1</f>
        <v>45388</v>
      </c>
      <c r="S358" s="223"/>
      <c r="T358" s="223" t="s">
        <v>3608</v>
      </c>
      <c r="U358" s="218"/>
      <c r="V358" s="218"/>
      <c r="W358" s="219" t="str">
        <f>IFERROR(IF(AND(BD_PRINCIPAL[[#This Row],[DESDE]]&lt;&gt;"",BD_PRINCIPAL[[#This Row],[HASTA]]&lt;&gt;""),_xlfn.DAYS(BD_PRINCIPAL[[#This Row],[HASTA]],BD_PRINCIPAL[[#This Row],[DESDE]]),"")+1,"")</f>
        <v/>
      </c>
      <c r="X358" s="219">
        <f>VLOOKUP(BD_PRINCIPAL[[#This Row],[ENCUADRE. ESC.]],ORDEN1,2,FALSE)</f>
        <v>1</v>
      </c>
      <c r="Y358" s="219">
        <f>VLOOKUP(BD_PRINCIPAL[[#This Row],[DOTACIÓN ACTUAL]],ORDEN2,4,FALSE)</f>
        <v>290</v>
      </c>
      <c r="Z358" s="219">
        <f>VLOOKUP(BD_PRINCIPAL[[#This Row],[GRADO]],ORDEN3,2,FALSE)</f>
        <v>11</v>
      </c>
      <c r="AA358" s="219">
        <f>IFERROR(VLOOKUP(BD_PRINCIPAL[[#This Row],[DOTACIÓN ACTUAL]],ORDEN2,3,FALSE),0)</f>
        <v>0</v>
      </c>
      <c r="AB358" s="212" t="s">
        <v>1075</v>
      </c>
      <c r="AC358" s="212" t="s">
        <v>1075</v>
      </c>
      <c r="AD358" s="212" t="s">
        <v>1075</v>
      </c>
      <c r="AE358" s="212" t="s">
        <v>1075</v>
      </c>
      <c r="AF358" s="212" t="s">
        <v>1075</v>
      </c>
      <c r="AG358" s="212" t="s">
        <v>1075</v>
      </c>
      <c r="AH358" s="212"/>
      <c r="AI358" s="212"/>
      <c r="AJ358" s="212"/>
      <c r="AK358" s="212"/>
      <c r="AL358" s="212"/>
      <c r="AM358" s="212"/>
      <c r="AN358" s="212"/>
      <c r="AO358" s="212"/>
      <c r="AP358" s="212"/>
      <c r="AQ358" s="212"/>
      <c r="AR358" s="212"/>
      <c r="AS358" s="212"/>
      <c r="AT358" s="220"/>
      <c r="AU358" s="220"/>
      <c r="AV358" s="220"/>
      <c r="AW358" s="220"/>
      <c r="AX358" s="220"/>
      <c r="AY358" s="220"/>
      <c r="AZ358" s="220"/>
      <c r="BA358" s="212"/>
      <c r="BB358" s="212"/>
      <c r="BC358" s="212"/>
      <c r="BD358" s="212"/>
      <c r="BE358" s="212"/>
      <c r="BF358" s="212"/>
      <c r="BG358" s="212"/>
      <c r="BH358" s="212"/>
      <c r="BI358" s="212"/>
      <c r="BJ358" s="212"/>
      <c r="BK358" s="212"/>
      <c r="BL358" s="212"/>
      <c r="BM358" s="772">
        <v>45082</v>
      </c>
      <c r="BN358" s="789"/>
    </row>
    <row r="359" spans="1:66" s="221" customFormat="1" x14ac:dyDescent="0.3">
      <c r="A359" s="219" t="s">
        <v>378</v>
      </c>
      <c r="B359" s="212" t="s">
        <v>160</v>
      </c>
      <c r="C359" s="219">
        <v>200200772</v>
      </c>
      <c r="D359" s="309" t="s">
        <v>1080</v>
      </c>
      <c r="E359" s="485" t="s">
        <v>1080</v>
      </c>
      <c r="F359" s="480" t="s">
        <v>160</v>
      </c>
      <c r="G359" s="214" t="s">
        <v>4</v>
      </c>
      <c r="H359" s="215" t="s">
        <v>817</v>
      </c>
      <c r="I359" s="215" t="s">
        <v>872</v>
      </c>
      <c r="J359" s="216" t="s">
        <v>917</v>
      </c>
      <c r="K359" s="1279" t="s">
        <v>2290</v>
      </c>
      <c r="L359" s="733" t="s">
        <v>1075</v>
      </c>
      <c r="M359" s="1304" t="s">
        <v>1080</v>
      </c>
      <c r="N359" s="772"/>
      <c r="O359" s="1294"/>
      <c r="P359" s="212"/>
      <c r="Q359" s="1294" t="s">
        <v>832</v>
      </c>
      <c r="R359" s="217">
        <f>$B$1</f>
        <v>45388</v>
      </c>
      <c r="S359" s="223"/>
      <c r="T359" s="223"/>
      <c r="U359" s="218"/>
      <c r="V359" s="218"/>
      <c r="W359" s="219" t="str">
        <f>IFERROR(IF(AND(BD_PRINCIPAL[[#This Row],[DESDE]]&lt;&gt;"",BD_PRINCIPAL[[#This Row],[HASTA]]&lt;&gt;""),_xlfn.DAYS(BD_PRINCIPAL[[#This Row],[HASTA]],BD_PRINCIPAL[[#This Row],[DESDE]]),"")+1,"")</f>
        <v/>
      </c>
      <c r="X359" s="219">
        <f>VLOOKUP(BD_PRINCIPAL[[#This Row],[ENCUADRE. ESC.]],ORDEN1,2,FALSE)</f>
        <v>1</v>
      </c>
      <c r="Y359" s="219">
        <f>VLOOKUP(BD_PRINCIPAL[[#This Row],[DOTACIÓN ACTUAL]],ORDEN2,4,FALSE)</f>
        <v>290</v>
      </c>
      <c r="Z359" s="219">
        <f>VLOOKUP(BD_PRINCIPAL[[#This Row],[GRADO]],ORDEN3,2,FALSE)</f>
        <v>12</v>
      </c>
      <c r="AA359" s="219">
        <f>IFERROR(VLOOKUP(BD_PRINCIPAL[[#This Row],[DOTACIÓN ACTUAL]],ORDEN2,3,FALSE),0)</f>
        <v>0</v>
      </c>
      <c r="AB359" s="212" t="s">
        <v>1075</v>
      </c>
      <c r="AC359" s="212" t="s">
        <v>1075</v>
      </c>
      <c r="AD359" s="212" t="s">
        <v>1075</v>
      </c>
      <c r="AE359" s="212" t="s">
        <v>1075</v>
      </c>
      <c r="AF359" s="212" t="s">
        <v>1075</v>
      </c>
      <c r="AG359" s="212" t="s">
        <v>1075</v>
      </c>
      <c r="AH359" s="212"/>
      <c r="AI359" s="212"/>
      <c r="AJ359" s="212"/>
      <c r="AK359" s="212"/>
      <c r="AL359" s="212"/>
      <c r="AM359" s="212"/>
      <c r="AN359" s="212"/>
      <c r="AO359" s="212"/>
      <c r="AP359" s="212"/>
      <c r="AQ359" s="212"/>
      <c r="AR359" s="212"/>
      <c r="AS359" s="212"/>
      <c r="AT359" s="220"/>
      <c r="AU359" s="220"/>
      <c r="AV359" s="220"/>
      <c r="AW359" s="220"/>
      <c r="AX359" s="220"/>
      <c r="AY359" s="220"/>
      <c r="AZ359" s="220"/>
      <c r="BA359" s="212"/>
      <c r="BB359" s="212"/>
      <c r="BC359" s="212"/>
      <c r="BD359" s="212"/>
      <c r="BE359" s="212"/>
      <c r="BF359" s="212"/>
      <c r="BG359" s="212"/>
      <c r="BH359" s="212"/>
      <c r="BI359" s="212"/>
      <c r="BJ359" s="212"/>
      <c r="BK359" s="212"/>
      <c r="BL359" s="212"/>
      <c r="BM359" s="772">
        <v>45064</v>
      </c>
      <c r="BN359" s="789"/>
    </row>
    <row r="360" spans="1:66" s="247" customFormat="1" ht="26.4" x14ac:dyDescent="0.3">
      <c r="A360" s="245" t="s">
        <v>508</v>
      </c>
      <c r="B360" s="238" t="s">
        <v>73</v>
      </c>
      <c r="C360" s="245">
        <v>120322702</v>
      </c>
      <c r="D360" s="715" t="s">
        <v>1839</v>
      </c>
      <c r="E360" s="478" t="s">
        <v>1985</v>
      </c>
      <c r="F360" s="478" t="s">
        <v>73</v>
      </c>
      <c r="G360" s="248" t="s">
        <v>11</v>
      </c>
      <c r="H360" s="241" t="s">
        <v>816</v>
      </c>
      <c r="I360" s="241" t="s">
        <v>872</v>
      </c>
      <c r="J360" s="242" t="s">
        <v>917</v>
      </c>
      <c r="K360" s="1281" t="s">
        <v>2290</v>
      </c>
      <c r="L360" s="735" t="s">
        <v>853</v>
      </c>
      <c r="M360" s="1306" t="s">
        <v>1985</v>
      </c>
      <c r="N360" s="774"/>
      <c r="O360" s="1296"/>
      <c r="P360" s="238"/>
      <c r="Q360" s="1296" t="s">
        <v>832</v>
      </c>
      <c r="R360" s="243">
        <f>$B$1</f>
        <v>45388</v>
      </c>
      <c r="S360" s="249"/>
      <c r="T360" s="239" t="s">
        <v>1985</v>
      </c>
      <c r="U360" s="244"/>
      <c r="V360" s="244"/>
      <c r="W360" s="338" t="str">
        <f>IFERROR(IF(AND(BD_PRINCIPAL[[#This Row],[DESDE]]&lt;&gt;"",BD_PRINCIPAL[[#This Row],[HASTA]]&lt;&gt;""),_xlfn.DAYS(BD_PRINCIPAL[[#This Row],[HASTA]],BD_PRINCIPAL[[#This Row],[DESDE]]),"")+1,"")</f>
        <v/>
      </c>
      <c r="X360" s="338">
        <f>VLOOKUP(BD_PRINCIPAL[[#This Row],[ENCUADRE. ESC.]],ORDEN1,2,FALSE)</f>
        <v>1</v>
      </c>
      <c r="Y360" s="338">
        <f>VLOOKUP(BD_PRINCIPAL[[#This Row],[DOTACIÓN ACTUAL]],ORDEN2,4,FALSE)</f>
        <v>292</v>
      </c>
      <c r="Z360" s="338">
        <f>VLOOKUP(BD_PRINCIPAL[[#This Row],[GRADO]],ORDEN3,2,FALSE)</f>
        <v>7</v>
      </c>
      <c r="AA360" s="338">
        <f>IFERROR(VLOOKUP(BD_PRINCIPAL[[#This Row],[DOTACIÓN ACTUAL]],ORDEN2,3,FALSE),0)</f>
        <v>0</v>
      </c>
      <c r="AB360" s="238" t="s">
        <v>853</v>
      </c>
      <c r="AC360" s="238" t="s">
        <v>853</v>
      </c>
      <c r="AD360" s="238" t="s">
        <v>853</v>
      </c>
      <c r="AE360" s="238" t="s">
        <v>853</v>
      </c>
      <c r="AF360" s="238" t="s">
        <v>853</v>
      </c>
      <c r="AG360" s="238" t="s">
        <v>853</v>
      </c>
      <c r="AH360" s="238"/>
      <c r="AI360" s="238"/>
      <c r="AJ360" s="238"/>
      <c r="AK360" s="238"/>
      <c r="AL360" s="238"/>
      <c r="AM360" s="238"/>
      <c r="AN360" s="238"/>
      <c r="AO360" s="238"/>
      <c r="AP360" s="238"/>
      <c r="AQ360" s="238"/>
      <c r="AR360" s="238"/>
      <c r="AS360" s="238"/>
      <c r="AT360" s="246"/>
      <c r="AU360" s="246"/>
      <c r="AV360" s="246"/>
      <c r="AW360" s="246"/>
      <c r="AX360" s="246"/>
      <c r="AY360" s="246"/>
      <c r="AZ360" s="246"/>
      <c r="BA360" s="238"/>
      <c r="BB360" s="238"/>
      <c r="BC360" s="238"/>
      <c r="BD360" s="238"/>
      <c r="BE360" s="238"/>
      <c r="BF360" s="238"/>
      <c r="BG360" s="238"/>
      <c r="BH360" s="238"/>
      <c r="BI360" s="238"/>
      <c r="BJ360" s="238"/>
      <c r="BK360" s="238"/>
      <c r="BL360" s="238"/>
      <c r="BM360" s="775">
        <v>45135</v>
      </c>
      <c r="BN360" s="788"/>
    </row>
    <row r="361" spans="1:66" s="247" customFormat="1" ht="26.4" x14ac:dyDescent="0.3">
      <c r="A361" s="245" t="s">
        <v>511</v>
      </c>
      <c r="B361" s="238" t="s">
        <v>75</v>
      </c>
      <c r="C361" s="245" t="s">
        <v>512</v>
      </c>
      <c r="D361" s="716" t="s">
        <v>1839</v>
      </c>
      <c r="E361" s="478" t="s">
        <v>1985</v>
      </c>
      <c r="F361" s="478" t="s">
        <v>2702</v>
      </c>
      <c r="G361" s="248" t="s">
        <v>209</v>
      </c>
      <c r="H361" s="241" t="s">
        <v>816</v>
      </c>
      <c r="I361" s="241" t="s">
        <v>872</v>
      </c>
      <c r="J361" s="242" t="s">
        <v>917</v>
      </c>
      <c r="K361" s="1281" t="s">
        <v>2293</v>
      </c>
      <c r="L361" s="735" t="s">
        <v>853</v>
      </c>
      <c r="M361" s="1306" t="s">
        <v>1985</v>
      </c>
      <c r="N361" s="775"/>
      <c r="O361" s="1296"/>
      <c r="P361" s="238"/>
      <c r="Q361" s="1296" t="s">
        <v>832</v>
      </c>
      <c r="R361" s="243">
        <f>$B$1</f>
        <v>45388</v>
      </c>
      <c r="S361" s="249"/>
      <c r="T361" s="249" t="s">
        <v>1985</v>
      </c>
      <c r="U361" s="244"/>
      <c r="V361" s="244"/>
      <c r="W361" s="245" t="str">
        <f>IFERROR(IF(AND(BD_PRINCIPAL[[#This Row],[DESDE]]&lt;&gt;"",BD_PRINCIPAL[[#This Row],[HASTA]]&lt;&gt;""),_xlfn.DAYS(BD_PRINCIPAL[[#This Row],[HASTA]],BD_PRINCIPAL[[#This Row],[DESDE]]),"")+1,"")</f>
        <v/>
      </c>
      <c r="X361" s="245">
        <f>VLOOKUP(BD_PRINCIPAL[[#This Row],[ENCUADRE. ESC.]],ORDEN1,2,FALSE)</f>
        <v>1</v>
      </c>
      <c r="Y361" s="245">
        <f>VLOOKUP(BD_PRINCIPAL[[#This Row],[DOTACIÓN ACTUAL]],ORDEN2,4,FALSE)</f>
        <v>292</v>
      </c>
      <c r="Z361" s="245">
        <f>VLOOKUP(BD_PRINCIPAL[[#This Row],[GRADO]],ORDEN3,2,FALSE)</f>
        <v>10</v>
      </c>
      <c r="AA361" s="245">
        <f>IFERROR(VLOOKUP(BD_PRINCIPAL[[#This Row],[DOTACIÓN ACTUAL]],ORDEN2,3,FALSE),0)</f>
        <v>0</v>
      </c>
      <c r="AB361" s="238" t="s">
        <v>853</v>
      </c>
      <c r="AC361" s="238" t="s">
        <v>853</v>
      </c>
      <c r="AD361" s="238" t="s">
        <v>853</v>
      </c>
      <c r="AE361" s="238" t="s">
        <v>853</v>
      </c>
      <c r="AF361" s="238" t="s">
        <v>853</v>
      </c>
      <c r="AG361" s="238" t="s">
        <v>853</v>
      </c>
      <c r="AH361" s="238"/>
      <c r="AI361" s="238"/>
      <c r="AJ361" s="238"/>
      <c r="AK361" s="238"/>
      <c r="AL361" s="238"/>
      <c r="AM361" s="238"/>
      <c r="AN361" s="238"/>
      <c r="AO361" s="238"/>
      <c r="AP361" s="238"/>
      <c r="AQ361" s="238"/>
      <c r="AR361" s="238"/>
      <c r="AS361" s="238"/>
      <c r="AT361" s="246"/>
      <c r="AU361" s="246"/>
      <c r="AV361" s="246"/>
      <c r="AW361" s="246"/>
      <c r="AX361" s="246"/>
      <c r="AY361" s="246"/>
      <c r="AZ361" s="246"/>
      <c r="BA361" s="238"/>
      <c r="BB361" s="238"/>
      <c r="BC361" s="238"/>
      <c r="BD361" s="238"/>
      <c r="BE361" s="238"/>
      <c r="BF361" s="238"/>
      <c r="BG361" s="238"/>
      <c r="BH361" s="238"/>
      <c r="BI361" s="238"/>
      <c r="BJ361" s="238"/>
      <c r="BK361" s="238"/>
      <c r="BL361" s="238"/>
      <c r="BM361" s="775">
        <v>45152</v>
      </c>
      <c r="BN361" s="788"/>
    </row>
    <row r="362" spans="1:66" s="260" customFormat="1" ht="26.4" x14ac:dyDescent="0.3">
      <c r="A362" s="258" t="s">
        <v>515</v>
      </c>
      <c r="B362" s="251" t="s">
        <v>1584</v>
      </c>
      <c r="C362" s="258">
        <v>176446412</v>
      </c>
      <c r="D362" s="716" t="s">
        <v>1839</v>
      </c>
      <c r="E362" s="481" t="s">
        <v>1986</v>
      </c>
      <c r="F362" s="481" t="s">
        <v>1918</v>
      </c>
      <c r="G362" s="253" t="s">
        <v>3</v>
      </c>
      <c r="H362" s="254" t="s">
        <v>816</v>
      </c>
      <c r="I362" s="254" t="s">
        <v>872</v>
      </c>
      <c r="J362" s="255" t="s">
        <v>917</v>
      </c>
      <c r="K362" s="1282" t="s">
        <v>2317</v>
      </c>
      <c r="L362" s="737" t="s">
        <v>2</v>
      </c>
      <c r="M362" s="1307" t="s">
        <v>1986</v>
      </c>
      <c r="N362" s="781"/>
      <c r="O362" s="1297"/>
      <c r="P362" s="251"/>
      <c r="Q362" s="1297" t="s">
        <v>832</v>
      </c>
      <c r="R362" s="256">
        <f>$B$1</f>
        <v>45388</v>
      </c>
      <c r="S362" s="252"/>
      <c r="T362" s="252" t="s">
        <v>1986</v>
      </c>
      <c r="U362" s="257"/>
      <c r="V362" s="257"/>
      <c r="W362" s="258" t="str">
        <f>IFERROR(IF(AND(BD_PRINCIPAL[[#This Row],[DESDE]]&lt;&gt;"",BD_PRINCIPAL[[#This Row],[HASTA]]&lt;&gt;""),_xlfn.DAYS(BD_PRINCIPAL[[#This Row],[HASTA]],BD_PRINCIPAL[[#This Row],[DESDE]]),"")+1,"")</f>
        <v/>
      </c>
      <c r="X362" s="258">
        <f>VLOOKUP(BD_PRINCIPAL[[#This Row],[ENCUADRE. ESC.]],ORDEN1,2,FALSE)</f>
        <v>1</v>
      </c>
      <c r="Y362" s="258">
        <f>VLOOKUP(BD_PRINCIPAL[[#This Row],[DOTACIÓN ACTUAL]],ORDEN2,4,FALSE)</f>
        <v>293</v>
      </c>
      <c r="Z362" s="258">
        <f>VLOOKUP(BD_PRINCIPAL[[#This Row],[GRADO]],ORDEN3,2,FALSE)</f>
        <v>11</v>
      </c>
      <c r="AA362" s="258">
        <f>IFERROR(VLOOKUP(BD_PRINCIPAL[[#This Row],[DOTACIÓN ACTUAL]],ORDEN2,3,FALSE),0)</f>
        <v>0</v>
      </c>
      <c r="AB362" s="251" t="s">
        <v>2</v>
      </c>
      <c r="AC362" s="251" t="s">
        <v>2</v>
      </c>
      <c r="AD362" s="251" t="s">
        <v>2</v>
      </c>
      <c r="AE362" s="251" t="s">
        <v>2</v>
      </c>
      <c r="AF362" s="251" t="s">
        <v>2</v>
      </c>
      <c r="AG362" s="251" t="s">
        <v>2</v>
      </c>
      <c r="AH362" s="251"/>
      <c r="AI362" s="251"/>
      <c r="AJ362" s="251"/>
      <c r="AK362" s="251"/>
      <c r="AL362" s="251"/>
      <c r="AM362" s="251"/>
      <c r="AN362" s="251"/>
      <c r="AO362" s="251"/>
      <c r="AP362" s="251"/>
      <c r="AQ362" s="251"/>
      <c r="AR362" s="251"/>
      <c r="AS362" s="251"/>
      <c r="AT362" s="259"/>
      <c r="AU362" s="259"/>
      <c r="AV362" s="259"/>
      <c r="AW362" s="259"/>
      <c r="AX362" s="259"/>
      <c r="AY362" s="259"/>
      <c r="AZ362" s="259"/>
      <c r="BA362" s="251"/>
      <c r="BB362" s="251"/>
      <c r="BC362" s="251"/>
      <c r="BD362" s="251"/>
      <c r="BE362" s="251"/>
      <c r="BF362" s="251"/>
      <c r="BG362" s="251"/>
      <c r="BH362" s="251"/>
      <c r="BI362" s="251"/>
      <c r="BJ362" s="251"/>
      <c r="BK362" s="251"/>
      <c r="BL362" s="251"/>
      <c r="BM362" s="781">
        <v>45095</v>
      </c>
      <c r="BN362" s="791"/>
    </row>
    <row r="363" spans="1:66" s="260" customFormat="1" ht="26.4" x14ac:dyDescent="0.3">
      <c r="A363" s="258" t="s">
        <v>478</v>
      </c>
      <c r="B363" s="251" t="s">
        <v>128</v>
      </c>
      <c r="C363" s="258">
        <v>205002235</v>
      </c>
      <c r="D363" s="716" t="s">
        <v>1839</v>
      </c>
      <c r="E363" s="487" t="s">
        <v>1986</v>
      </c>
      <c r="F363" s="481" t="s">
        <v>128</v>
      </c>
      <c r="G363" s="253" t="s">
        <v>4</v>
      </c>
      <c r="H363" s="254" t="s">
        <v>816</v>
      </c>
      <c r="I363" s="254" t="s">
        <v>872</v>
      </c>
      <c r="J363" s="255" t="s">
        <v>917</v>
      </c>
      <c r="K363" s="1282" t="s">
        <v>2290</v>
      </c>
      <c r="L363" s="737" t="s">
        <v>2</v>
      </c>
      <c r="M363" s="1307" t="s">
        <v>1986</v>
      </c>
      <c r="N363" s="783"/>
      <c r="O363" s="1297"/>
      <c r="P363" s="251"/>
      <c r="Q363" s="1297" t="s">
        <v>832</v>
      </c>
      <c r="R363" s="256">
        <f>$B$1</f>
        <v>45388</v>
      </c>
      <c r="S363" s="262"/>
      <c r="T363" s="252" t="s">
        <v>1986</v>
      </c>
      <c r="U363" s="257"/>
      <c r="V363" s="257"/>
      <c r="W363" s="258" t="str">
        <f>IFERROR(IF(AND(BD_PRINCIPAL[[#This Row],[DESDE]]&lt;&gt;"",BD_PRINCIPAL[[#This Row],[HASTA]]&lt;&gt;""),_xlfn.DAYS(BD_PRINCIPAL[[#This Row],[HASTA]],BD_PRINCIPAL[[#This Row],[DESDE]]),"")+1,"")</f>
        <v/>
      </c>
      <c r="X363" s="258">
        <f>VLOOKUP(BD_PRINCIPAL[[#This Row],[ENCUADRE. ESC.]],ORDEN1,2,FALSE)</f>
        <v>1</v>
      </c>
      <c r="Y363" s="258">
        <f>VLOOKUP(BD_PRINCIPAL[[#This Row],[DOTACIÓN ACTUAL]],ORDEN2,4,FALSE)</f>
        <v>293</v>
      </c>
      <c r="Z363" s="258">
        <f>VLOOKUP(BD_PRINCIPAL[[#This Row],[GRADO]],ORDEN3,2,FALSE)</f>
        <v>12</v>
      </c>
      <c r="AA363" s="258">
        <f>IFERROR(VLOOKUP(BD_PRINCIPAL[[#This Row],[DOTACIÓN ACTUAL]],ORDEN2,3,FALSE),0)</f>
        <v>0</v>
      </c>
      <c r="AB363" s="251" t="s">
        <v>2</v>
      </c>
      <c r="AC363" s="251" t="s">
        <v>2</v>
      </c>
      <c r="AD363" s="251" t="s">
        <v>2</v>
      </c>
      <c r="AE363" s="251" t="s">
        <v>2</v>
      </c>
      <c r="AF363" s="251" t="s">
        <v>2</v>
      </c>
      <c r="AG363" s="251" t="s">
        <v>2</v>
      </c>
      <c r="AH363" s="251"/>
      <c r="AI363" s="251"/>
      <c r="AJ363" s="251"/>
      <c r="AK363" s="251"/>
      <c r="AL363" s="251"/>
      <c r="AM363" s="251"/>
      <c r="AN363" s="251"/>
      <c r="AO363" s="251"/>
      <c r="AP363" s="251"/>
      <c r="AQ363" s="251"/>
      <c r="AR363" s="251"/>
      <c r="AS363" s="251"/>
      <c r="AT363" s="259"/>
      <c r="AU363" s="259"/>
      <c r="AV363" s="259"/>
      <c r="AW363" s="259"/>
      <c r="AX363" s="259"/>
      <c r="AY363" s="259"/>
      <c r="AZ363" s="259"/>
      <c r="BA363" s="251"/>
      <c r="BB363" s="251"/>
      <c r="BC363" s="251"/>
      <c r="BD363" s="251"/>
      <c r="BE363" s="251"/>
      <c r="BF363" s="251"/>
      <c r="BG363" s="251"/>
      <c r="BH363" s="251"/>
      <c r="BI363" s="251"/>
      <c r="BJ363" s="251"/>
      <c r="BK363" s="251"/>
      <c r="BL363" s="251"/>
      <c r="BM363" s="783">
        <v>45372</v>
      </c>
      <c r="BN363" s="791"/>
    </row>
    <row r="364" spans="1:66" s="260" customFormat="1" ht="26.4" x14ac:dyDescent="0.3">
      <c r="A364" s="258" t="s">
        <v>465</v>
      </c>
      <c r="B364" s="251" t="s">
        <v>158</v>
      </c>
      <c r="C364" s="258">
        <v>196965106</v>
      </c>
      <c r="D364" s="715" t="s">
        <v>1839</v>
      </c>
      <c r="E364" s="481" t="s">
        <v>1986</v>
      </c>
      <c r="F364" s="481" t="s">
        <v>158</v>
      </c>
      <c r="G364" s="253" t="s">
        <v>4</v>
      </c>
      <c r="H364" s="254" t="s">
        <v>816</v>
      </c>
      <c r="I364" s="254" t="s">
        <v>872</v>
      </c>
      <c r="J364" s="255" t="s">
        <v>917</v>
      </c>
      <c r="K364" s="1282" t="s">
        <v>2290</v>
      </c>
      <c r="L364" s="737" t="s">
        <v>2</v>
      </c>
      <c r="M364" s="1307" t="s">
        <v>1986</v>
      </c>
      <c r="N364" s="781"/>
      <c r="O364" s="1297"/>
      <c r="P364" s="251"/>
      <c r="Q364" s="1297" t="s">
        <v>832</v>
      </c>
      <c r="R364" s="256">
        <f>$B$1</f>
        <v>45388</v>
      </c>
      <c r="S364" s="262"/>
      <c r="T364" s="252" t="s">
        <v>1986</v>
      </c>
      <c r="U364" s="257"/>
      <c r="V364" s="257"/>
      <c r="W364" s="258" t="str">
        <f>IFERROR(IF(AND(BD_PRINCIPAL[[#This Row],[DESDE]]&lt;&gt;"",BD_PRINCIPAL[[#This Row],[HASTA]]&lt;&gt;""),_xlfn.DAYS(BD_PRINCIPAL[[#This Row],[HASTA]],BD_PRINCIPAL[[#This Row],[DESDE]]),"")+1,"")</f>
        <v/>
      </c>
      <c r="X364" s="258">
        <f>VLOOKUP(BD_PRINCIPAL[[#This Row],[ENCUADRE. ESC.]],ORDEN1,2,FALSE)</f>
        <v>1</v>
      </c>
      <c r="Y364" s="258">
        <f>VLOOKUP(BD_PRINCIPAL[[#This Row],[DOTACIÓN ACTUAL]],ORDEN2,4,FALSE)</f>
        <v>293</v>
      </c>
      <c r="Z364" s="258">
        <f>VLOOKUP(BD_PRINCIPAL[[#This Row],[GRADO]],ORDEN3,2,FALSE)</f>
        <v>12</v>
      </c>
      <c r="AA364" s="258">
        <f>IFERROR(VLOOKUP(BD_PRINCIPAL[[#This Row],[DOTACIÓN ACTUAL]],ORDEN2,3,FALSE),0)</f>
        <v>0</v>
      </c>
      <c r="AB364" s="251" t="s">
        <v>2</v>
      </c>
      <c r="AC364" s="251" t="s">
        <v>2</v>
      </c>
      <c r="AD364" s="251" t="s">
        <v>2</v>
      </c>
      <c r="AE364" s="251" t="s">
        <v>2</v>
      </c>
      <c r="AF364" s="251" t="s">
        <v>2</v>
      </c>
      <c r="AG364" s="251" t="s">
        <v>2</v>
      </c>
      <c r="AH364" s="251"/>
      <c r="AI364" s="251"/>
      <c r="AJ364" s="251"/>
      <c r="AK364" s="251"/>
      <c r="AL364" s="251"/>
      <c r="AM364" s="251"/>
      <c r="AN364" s="251"/>
      <c r="AO364" s="251"/>
      <c r="AP364" s="251"/>
      <c r="AQ364" s="251"/>
      <c r="AR364" s="251"/>
      <c r="AS364" s="251"/>
      <c r="AT364" s="259"/>
      <c r="AU364" s="259"/>
      <c r="AV364" s="259"/>
      <c r="AW364" s="259"/>
      <c r="AX364" s="259"/>
      <c r="AY364" s="259"/>
      <c r="AZ364" s="259"/>
      <c r="BA364" s="251"/>
      <c r="BB364" s="251"/>
      <c r="BC364" s="251"/>
      <c r="BD364" s="251"/>
      <c r="BE364" s="251"/>
      <c r="BF364" s="251"/>
      <c r="BG364" s="251"/>
      <c r="BH364" s="251"/>
      <c r="BI364" s="251"/>
      <c r="BJ364" s="251"/>
      <c r="BK364" s="251"/>
      <c r="BL364" s="251"/>
      <c r="BM364" s="781">
        <v>45146</v>
      </c>
      <c r="BN364" s="791"/>
    </row>
    <row r="365" spans="1:66" s="260" customFormat="1" ht="26.4" x14ac:dyDescent="0.3">
      <c r="A365" s="258" t="s">
        <v>514</v>
      </c>
      <c r="B365" s="251" t="s">
        <v>98</v>
      </c>
      <c r="C365" s="258">
        <v>202416926</v>
      </c>
      <c r="D365" s="716" t="s">
        <v>1839</v>
      </c>
      <c r="E365" s="481" t="s">
        <v>1986</v>
      </c>
      <c r="F365" s="481" t="s">
        <v>98</v>
      </c>
      <c r="G365" s="253" t="s">
        <v>4</v>
      </c>
      <c r="H365" s="254" t="s">
        <v>816</v>
      </c>
      <c r="I365" s="254" t="s">
        <v>872</v>
      </c>
      <c r="J365" s="255" t="s">
        <v>917</v>
      </c>
      <c r="K365" s="1282" t="s">
        <v>2290</v>
      </c>
      <c r="L365" s="737" t="s">
        <v>2</v>
      </c>
      <c r="M365" s="1307" t="s">
        <v>1986</v>
      </c>
      <c r="N365" s="781"/>
      <c r="O365" s="1297"/>
      <c r="P365" s="251"/>
      <c r="Q365" s="1297" t="s">
        <v>832</v>
      </c>
      <c r="R365" s="256">
        <f>$B$1</f>
        <v>45388</v>
      </c>
      <c r="S365" s="262"/>
      <c r="T365" s="252" t="s">
        <v>1986</v>
      </c>
      <c r="U365" s="257"/>
      <c r="V365" s="257"/>
      <c r="W365" s="258" t="str">
        <f>IFERROR(IF(AND(BD_PRINCIPAL[[#This Row],[DESDE]]&lt;&gt;"",BD_PRINCIPAL[[#This Row],[HASTA]]&lt;&gt;""),_xlfn.DAYS(BD_PRINCIPAL[[#This Row],[HASTA]],BD_PRINCIPAL[[#This Row],[DESDE]]),"")+1,"")</f>
        <v/>
      </c>
      <c r="X365" s="258">
        <f>VLOOKUP(BD_PRINCIPAL[[#This Row],[ENCUADRE. ESC.]],ORDEN1,2,FALSE)</f>
        <v>1</v>
      </c>
      <c r="Y365" s="258">
        <f>VLOOKUP(BD_PRINCIPAL[[#This Row],[DOTACIÓN ACTUAL]],ORDEN2,4,FALSE)</f>
        <v>293</v>
      </c>
      <c r="Z365" s="258">
        <f>VLOOKUP(BD_PRINCIPAL[[#This Row],[GRADO]],ORDEN3,2,FALSE)</f>
        <v>12</v>
      </c>
      <c r="AA365" s="258">
        <f>IFERROR(VLOOKUP(BD_PRINCIPAL[[#This Row],[DOTACIÓN ACTUAL]],ORDEN2,3,FALSE),0)</f>
        <v>0</v>
      </c>
      <c r="AB365" s="251" t="s">
        <v>2</v>
      </c>
      <c r="AC365" s="251" t="s">
        <v>2</v>
      </c>
      <c r="AD365" s="251" t="s">
        <v>2</v>
      </c>
      <c r="AE365" s="251" t="s">
        <v>2</v>
      </c>
      <c r="AF365" s="251" t="s">
        <v>2</v>
      </c>
      <c r="AG365" s="251" t="s">
        <v>2</v>
      </c>
      <c r="AH365" s="251"/>
      <c r="AI365" s="251"/>
      <c r="AJ365" s="251"/>
      <c r="AK365" s="251"/>
      <c r="AL365" s="251"/>
      <c r="AM365" s="251"/>
      <c r="AN365" s="251"/>
      <c r="AO365" s="251"/>
      <c r="AP365" s="251"/>
      <c r="AQ365" s="251"/>
      <c r="AR365" s="251"/>
      <c r="AS365" s="251"/>
      <c r="AT365" s="259"/>
      <c r="AU365" s="259"/>
      <c r="AV365" s="259"/>
      <c r="AW365" s="259"/>
      <c r="AX365" s="259"/>
      <c r="AY365" s="259"/>
      <c r="AZ365" s="259"/>
      <c r="BA365" s="251"/>
      <c r="BB365" s="251"/>
      <c r="BC365" s="251"/>
      <c r="BD365" s="251"/>
      <c r="BE365" s="251"/>
      <c r="BF365" s="251"/>
      <c r="BG365" s="251"/>
      <c r="BH365" s="251"/>
      <c r="BI365" s="251"/>
      <c r="BJ365" s="251"/>
      <c r="BK365" s="251"/>
      <c r="BL365" s="251"/>
      <c r="BM365" s="781">
        <v>45363</v>
      </c>
      <c r="BN365" s="791"/>
    </row>
    <row r="366" spans="1:66" s="189" customFormat="1" ht="26.4" x14ac:dyDescent="0.3">
      <c r="A366" s="188" t="s">
        <v>510</v>
      </c>
      <c r="B366" s="181" t="s">
        <v>74</v>
      </c>
      <c r="C366" s="188">
        <v>157543784</v>
      </c>
      <c r="D366" s="716" t="s">
        <v>1839</v>
      </c>
      <c r="E366" s="479" t="s">
        <v>1987</v>
      </c>
      <c r="F366" s="479" t="s">
        <v>74</v>
      </c>
      <c r="G366" s="191" t="s">
        <v>209</v>
      </c>
      <c r="H366" s="184" t="s">
        <v>816</v>
      </c>
      <c r="I366" s="184" t="s">
        <v>872</v>
      </c>
      <c r="J366" s="185" t="s">
        <v>917</v>
      </c>
      <c r="K366" s="1283" t="s">
        <v>2290</v>
      </c>
      <c r="L366" s="736" t="s">
        <v>1</v>
      </c>
      <c r="M366" s="1308" t="s">
        <v>1987</v>
      </c>
      <c r="N366" s="777"/>
      <c r="O366" s="1298"/>
      <c r="P366" s="181"/>
      <c r="Q366" s="1298" t="s">
        <v>832</v>
      </c>
      <c r="R366" s="186">
        <f>$B$1</f>
        <v>45388</v>
      </c>
      <c r="S366" s="190"/>
      <c r="T366" s="182" t="s">
        <v>1987</v>
      </c>
      <c r="U366" s="192"/>
      <c r="V366" s="192"/>
      <c r="W366" s="188" t="str">
        <f>IFERROR(IF(AND(BD_PRINCIPAL[[#This Row],[DESDE]]&lt;&gt;"",BD_PRINCIPAL[[#This Row],[HASTA]]&lt;&gt;""),_xlfn.DAYS(BD_PRINCIPAL[[#This Row],[HASTA]],BD_PRINCIPAL[[#This Row],[DESDE]]),"")+1,"")</f>
        <v/>
      </c>
      <c r="X366" s="188">
        <f>VLOOKUP(BD_PRINCIPAL[[#This Row],[ENCUADRE. ESC.]],ORDEN1,2,FALSE)</f>
        <v>1</v>
      </c>
      <c r="Y366" s="188">
        <f>VLOOKUP(BD_PRINCIPAL[[#This Row],[DOTACIÓN ACTUAL]],ORDEN2,4,FALSE)</f>
        <v>294</v>
      </c>
      <c r="Z366" s="188">
        <f>VLOOKUP(BD_PRINCIPAL[[#This Row],[GRADO]],ORDEN3,2,FALSE)</f>
        <v>10</v>
      </c>
      <c r="AA366" s="188">
        <f>IFERROR(VLOOKUP(BD_PRINCIPAL[[#This Row],[DOTACIÓN ACTUAL]],ORDEN2,3,FALSE),0)</f>
        <v>0</v>
      </c>
      <c r="AB366" s="181" t="s">
        <v>1</v>
      </c>
      <c r="AC366" s="181" t="s">
        <v>1</v>
      </c>
      <c r="AD366" s="181" t="s">
        <v>1</v>
      </c>
      <c r="AE366" s="181" t="s">
        <v>1</v>
      </c>
      <c r="AF366" s="181" t="s">
        <v>1</v>
      </c>
      <c r="AG366" s="181" t="s">
        <v>1</v>
      </c>
      <c r="AH366" s="181"/>
      <c r="AI366" s="181"/>
      <c r="AJ366" s="181"/>
      <c r="AK366" s="181"/>
      <c r="AL366" s="181"/>
      <c r="AM366" s="181"/>
      <c r="AN366" s="181"/>
      <c r="AO366" s="181"/>
      <c r="AP366" s="181"/>
      <c r="AQ366" s="181"/>
      <c r="AR366" s="181"/>
      <c r="AS366" s="181"/>
      <c r="AT366" s="187"/>
      <c r="AU366" s="187"/>
      <c r="AV366" s="187"/>
      <c r="AW366" s="187"/>
      <c r="AX366" s="187"/>
      <c r="AY366" s="187"/>
      <c r="AZ366" s="187"/>
      <c r="BA366" s="181"/>
      <c r="BB366" s="181"/>
      <c r="BC366" s="181"/>
      <c r="BD366" s="181"/>
      <c r="BE366" s="181"/>
      <c r="BF366" s="181"/>
      <c r="BG366" s="181"/>
      <c r="BH366" s="181"/>
      <c r="BI366" s="181"/>
      <c r="BJ366" s="181"/>
      <c r="BK366" s="181"/>
      <c r="BL366" s="181"/>
      <c r="BM366" s="777">
        <v>45120</v>
      </c>
      <c r="BN366" s="792"/>
    </row>
    <row r="367" spans="1:66" s="189" customFormat="1" ht="26.4" x14ac:dyDescent="0.3">
      <c r="A367" s="188" t="s">
        <v>490</v>
      </c>
      <c r="B367" s="181" t="s">
        <v>1585</v>
      </c>
      <c r="C367" s="188">
        <v>182856770</v>
      </c>
      <c r="D367" s="716" t="s">
        <v>1839</v>
      </c>
      <c r="E367" s="479" t="s">
        <v>1987</v>
      </c>
      <c r="F367" s="479" t="s">
        <v>1922</v>
      </c>
      <c r="G367" s="183" t="s">
        <v>3</v>
      </c>
      <c r="H367" s="184" t="s">
        <v>816</v>
      </c>
      <c r="I367" s="184" t="s">
        <v>872</v>
      </c>
      <c r="J367" s="185" t="s">
        <v>917</v>
      </c>
      <c r="K367" s="1283" t="s">
        <v>2291</v>
      </c>
      <c r="L367" s="736" t="s">
        <v>1</v>
      </c>
      <c r="M367" s="1308" t="s">
        <v>1987</v>
      </c>
      <c r="N367" s="778"/>
      <c r="O367" s="1298"/>
      <c r="P367" s="181"/>
      <c r="Q367" s="1298" t="s">
        <v>832</v>
      </c>
      <c r="R367" s="186">
        <f>$B$1</f>
        <v>45388</v>
      </c>
      <c r="S367" s="182"/>
      <c r="T367" s="190" t="s">
        <v>1987</v>
      </c>
      <c r="U367" s="196"/>
      <c r="V367" s="196"/>
      <c r="W367" s="188" t="str">
        <f>IFERROR(IF(AND(BD_PRINCIPAL[[#This Row],[DESDE]]&lt;&gt;"",BD_PRINCIPAL[[#This Row],[HASTA]]&lt;&gt;""),_xlfn.DAYS(BD_PRINCIPAL[[#This Row],[HASTA]],BD_PRINCIPAL[[#This Row],[DESDE]]),"")+1,"")</f>
        <v/>
      </c>
      <c r="X367" s="188">
        <f>VLOOKUP(BD_PRINCIPAL[[#This Row],[ENCUADRE. ESC.]],ORDEN1,2,FALSE)</f>
        <v>1</v>
      </c>
      <c r="Y367" s="188">
        <f>VLOOKUP(BD_PRINCIPAL[[#This Row],[DOTACIÓN ACTUAL]],ORDEN2,4,FALSE)</f>
        <v>294</v>
      </c>
      <c r="Z367" s="188">
        <f>VLOOKUP(BD_PRINCIPAL[[#This Row],[GRADO]],ORDEN3,2,FALSE)</f>
        <v>11</v>
      </c>
      <c r="AA367" s="188">
        <f>IFERROR(VLOOKUP(BD_PRINCIPAL[[#This Row],[DOTACIÓN ACTUAL]],ORDEN2,3,FALSE),0)</f>
        <v>0</v>
      </c>
      <c r="AB367" s="181" t="s">
        <v>1</v>
      </c>
      <c r="AC367" s="181" t="s">
        <v>1</v>
      </c>
      <c r="AD367" s="181" t="s">
        <v>1</v>
      </c>
      <c r="AE367" s="181" t="s">
        <v>1</v>
      </c>
      <c r="AF367" s="181" t="s">
        <v>1</v>
      </c>
      <c r="AG367" s="181" t="s">
        <v>1</v>
      </c>
      <c r="AH367" s="181"/>
      <c r="AI367" s="181"/>
      <c r="AJ367" s="181"/>
      <c r="AK367" s="181"/>
      <c r="AL367" s="181"/>
      <c r="AM367" s="181"/>
      <c r="AN367" s="181"/>
      <c r="AO367" s="181"/>
      <c r="AP367" s="181"/>
      <c r="AQ367" s="181"/>
      <c r="AR367" s="181"/>
      <c r="AS367" s="181"/>
      <c r="AT367" s="187"/>
      <c r="AU367" s="187"/>
      <c r="AV367" s="187"/>
      <c r="AW367" s="187"/>
      <c r="AX367" s="187"/>
      <c r="AY367" s="187"/>
      <c r="AZ367" s="187"/>
      <c r="BA367" s="181"/>
      <c r="BB367" s="181"/>
      <c r="BC367" s="181"/>
      <c r="BD367" s="181"/>
      <c r="BE367" s="181"/>
      <c r="BF367" s="181"/>
      <c r="BG367" s="181"/>
      <c r="BH367" s="181"/>
      <c r="BI367" s="181"/>
      <c r="BJ367" s="181"/>
      <c r="BK367" s="181"/>
      <c r="BL367" s="181"/>
      <c r="BM367" s="778">
        <v>45127</v>
      </c>
      <c r="BN367" s="792"/>
    </row>
    <row r="368" spans="1:66" s="189" customFormat="1" ht="52.8" x14ac:dyDescent="0.3">
      <c r="A368" s="188" t="s">
        <v>536</v>
      </c>
      <c r="B368" s="181" t="s">
        <v>253</v>
      </c>
      <c r="C368" s="188">
        <v>200878523</v>
      </c>
      <c r="D368" s="715" t="s">
        <v>742</v>
      </c>
      <c r="E368" s="488" t="s">
        <v>1987</v>
      </c>
      <c r="F368" s="479" t="s">
        <v>253</v>
      </c>
      <c r="G368" s="183" t="s">
        <v>4</v>
      </c>
      <c r="H368" s="184" t="s">
        <v>816</v>
      </c>
      <c r="I368" s="184" t="s">
        <v>872</v>
      </c>
      <c r="J368" s="185" t="s">
        <v>917</v>
      </c>
      <c r="K368" s="1283" t="s">
        <v>2290</v>
      </c>
      <c r="L368" s="736" t="s">
        <v>1</v>
      </c>
      <c r="M368" s="1308" t="s">
        <v>1987</v>
      </c>
      <c r="N368" s="777"/>
      <c r="O368" s="1298"/>
      <c r="P368" s="181"/>
      <c r="Q368" s="1298" t="s">
        <v>832</v>
      </c>
      <c r="R368" s="186">
        <f>$B$1</f>
        <v>45388</v>
      </c>
      <c r="S368" s="190" t="s">
        <v>3515</v>
      </c>
      <c r="T368" s="190" t="s">
        <v>3540</v>
      </c>
      <c r="U368" s="192"/>
      <c r="V368" s="192"/>
      <c r="W368" s="188" t="str">
        <f>IFERROR(IF(AND(BD_PRINCIPAL[[#This Row],[DESDE]]&lt;&gt;"",BD_PRINCIPAL[[#This Row],[HASTA]]&lt;&gt;""),_xlfn.DAYS(BD_PRINCIPAL[[#This Row],[HASTA]],BD_PRINCIPAL[[#This Row],[DESDE]]),"")+1,"")</f>
        <v/>
      </c>
      <c r="X368" s="188">
        <f>VLOOKUP(BD_PRINCIPAL[[#This Row],[ENCUADRE. ESC.]],ORDEN1,2,FALSE)</f>
        <v>1</v>
      </c>
      <c r="Y368" s="188">
        <f>VLOOKUP(BD_PRINCIPAL[[#This Row],[DOTACIÓN ACTUAL]],ORDEN2,4,FALSE)</f>
        <v>294</v>
      </c>
      <c r="Z368" s="188">
        <f>VLOOKUP(BD_PRINCIPAL[[#This Row],[GRADO]],ORDEN3,2,FALSE)</f>
        <v>12</v>
      </c>
      <c r="AA368" s="188">
        <f>IFERROR(VLOOKUP(BD_PRINCIPAL[[#This Row],[DOTACIÓN ACTUAL]],ORDEN2,3,FALSE),0)</f>
        <v>0</v>
      </c>
      <c r="AB368" s="181" t="s">
        <v>2125</v>
      </c>
      <c r="AC368" s="181" t="s">
        <v>1</v>
      </c>
      <c r="AD368" s="181" t="s">
        <v>1</v>
      </c>
      <c r="AE368" s="181" t="s">
        <v>1</v>
      </c>
      <c r="AF368" s="181" t="s">
        <v>1</v>
      </c>
      <c r="AG368" s="181" t="s">
        <v>1</v>
      </c>
      <c r="AH368" s="181"/>
      <c r="AI368" s="181"/>
      <c r="AJ368" s="181"/>
      <c r="AK368" s="181"/>
      <c r="AL368" s="181"/>
      <c r="AM368" s="181"/>
      <c r="AN368" s="181"/>
      <c r="AO368" s="181"/>
      <c r="AP368" s="181"/>
      <c r="AQ368" s="181"/>
      <c r="AR368" s="181"/>
      <c r="AS368" s="181"/>
      <c r="AT368" s="187"/>
      <c r="AU368" s="187"/>
      <c r="AV368" s="187"/>
      <c r="AW368" s="187"/>
      <c r="AX368" s="187"/>
      <c r="AY368" s="187"/>
      <c r="AZ368" s="187"/>
      <c r="BA368" s="181"/>
      <c r="BB368" s="181"/>
      <c r="BC368" s="181"/>
      <c r="BD368" s="181"/>
      <c r="BE368" s="181"/>
      <c r="BF368" s="181"/>
      <c r="BG368" s="181"/>
      <c r="BH368" s="181"/>
      <c r="BI368" s="181"/>
      <c r="BJ368" s="181"/>
      <c r="BK368" s="181"/>
      <c r="BL368" s="181"/>
      <c r="BM368" s="777">
        <v>45057</v>
      </c>
      <c r="BN368" s="792"/>
    </row>
    <row r="369" spans="1:66" s="189" customFormat="1" ht="26.4" x14ac:dyDescent="0.3">
      <c r="A369" s="188" t="s">
        <v>477</v>
      </c>
      <c r="B369" s="181" t="s">
        <v>144</v>
      </c>
      <c r="C369" s="188">
        <v>205988939</v>
      </c>
      <c r="D369" s="715" t="s">
        <v>1839</v>
      </c>
      <c r="E369" s="488" t="s">
        <v>1987</v>
      </c>
      <c r="F369" s="479" t="s">
        <v>144</v>
      </c>
      <c r="G369" s="183" t="s">
        <v>4</v>
      </c>
      <c r="H369" s="184" t="s">
        <v>816</v>
      </c>
      <c r="I369" s="184" t="s">
        <v>872</v>
      </c>
      <c r="J369" s="185" t="s">
        <v>917</v>
      </c>
      <c r="K369" s="1283" t="s">
        <v>2290</v>
      </c>
      <c r="L369" s="736" t="s">
        <v>1</v>
      </c>
      <c r="M369" s="1308" t="s">
        <v>1987</v>
      </c>
      <c r="N369" s="778"/>
      <c r="O369" s="1298"/>
      <c r="P369" s="181"/>
      <c r="Q369" s="1298" t="s">
        <v>832</v>
      </c>
      <c r="R369" s="186">
        <f>$B$1</f>
        <v>45388</v>
      </c>
      <c r="S369" s="190"/>
      <c r="T369" s="182" t="s">
        <v>1987</v>
      </c>
      <c r="U369" s="192"/>
      <c r="V369" s="192"/>
      <c r="W369" s="188" t="str">
        <f>IFERROR(IF(AND(BD_PRINCIPAL[[#This Row],[DESDE]]&lt;&gt;"",BD_PRINCIPAL[[#This Row],[HASTA]]&lt;&gt;""),_xlfn.DAYS(BD_PRINCIPAL[[#This Row],[HASTA]],BD_PRINCIPAL[[#This Row],[DESDE]]),"")+1,"")</f>
        <v/>
      </c>
      <c r="X369" s="188">
        <f>VLOOKUP(BD_PRINCIPAL[[#This Row],[ENCUADRE. ESC.]],ORDEN1,2,FALSE)</f>
        <v>1</v>
      </c>
      <c r="Y369" s="188">
        <f>VLOOKUP(BD_PRINCIPAL[[#This Row],[DOTACIÓN ACTUAL]],ORDEN2,4,FALSE)</f>
        <v>294</v>
      </c>
      <c r="Z369" s="188">
        <f>VLOOKUP(BD_PRINCIPAL[[#This Row],[GRADO]],ORDEN3,2,FALSE)</f>
        <v>12</v>
      </c>
      <c r="AA369" s="188">
        <f>IFERROR(VLOOKUP(BD_PRINCIPAL[[#This Row],[DOTACIÓN ACTUAL]],ORDEN2,3,FALSE),0)</f>
        <v>0</v>
      </c>
      <c r="AB369" s="181" t="s">
        <v>1</v>
      </c>
      <c r="AC369" s="181" t="s">
        <v>1</v>
      </c>
      <c r="AD369" s="181" t="s">
        <v>1</v>
      </c>
      <c r="AE369" s="181" t="s">
        <v>1</v>
      </c>
      <c r="AF369" s="181" t="s">
        <v>1</v>
      </c>
      <c r="AG369" s="181" t="s">
        <v>1</v>
      </c>
      <c r="AH369" s="181"/>
      <c r="AI369" s="181"/>
      <c r="AJ369" s="181"/>
      <c r="AK369" s="181"/>
      <c r="AL369" s="181"/>
      <c r="AM369" s="181"/>
      <c r="AN369" s="181"/>
      <c r="AO369" s="181"/>
      <c r="AP369" s="181"/>
      <c r="AQ369" s="181"/>
      <c r="AR369" s="181"/>
      <c r="AS369" s="181"/>
      <c r="AT369" s="187"/>
      <c r="AU369" s="187"/>
      <c r="AV369" s="187"/>
      <c r="AW369" s="187"/>
      <c r="AX369" s="187"/>
      <c r="AY369" s="187"/>
      <c r="AZ369" s="187"/>
      <c r="BA369" s="181"/>
      <c r="BB369" s="181"/>
      <c r="BC369" s="181"/>
      <c r="BD369" s="181"/>
      <c r="BE369" s="181"/>
      <c r="BF369" s="181"/>
      <c r="BG369" s="181"/>
      <c r="BH369" s="181"/>
      <c r="BI369" s="181"/>
      <c r="BJ369" s="181"/>
      <c r="BK369" s="181"/>
      <c r="BL369" s="181"/>
      <c r="BM369" s="778">
        <v>45100</v>
      </c>
      <c r="BN369" s="792"/>
    </row>
    <row r="370" spans="1:66" s="247" customFormat="1" x14ac:dyDescent="0.3">
      <c r="A370" s="245" t="s">
        <v>517</v>
      </c>
      <c r="B370" s="238" t="s">
        <v>1866</v>
      </c>
      <c r="C370" s="245">
        <v>120239929</v>
      </c>
      <c r="D370" s="873" t="s">
        <v>762</v>
      </c>
      <c r="E370" s="478" t="s">
        <v>13</v>
      </c>
      <c r="F370" s="478" t="s">
        <v>1866</v>
      </c>
      <c r="G370" s="240" t="s">
        <v>17</v>
      </c>
      <c r="H370" s="241" t="s">
        <v>816</v>
      </c>
      <c r="I370" s="241" t="s">
        <v>872</v>
      </c>
      <c r="J370" s="242" t="s">
        <v>917</v>
      </c>
      <c r="K370" s="1281" t="s">
        <v>2290</v>
      </c>
      <c r="L370" s="735" t="s">
        <v>885</v>
      </c>
      <c r="M370" s="1306" t="s">
        <v>13</v>
      </c>
      <c r="N370" s="775"/>
      <c r="O370" s="1296"/>
      <c r="P370" s="238"/>
      <c r="Q370" s="1296" t="s">
        <v>832</v>
      </c>
      <c r="R370" s="243">
        <f>$B$1</f>
        <v>45388</v>
      </c>
      <c r="S370" s="249"/>
      <c r="T370" s="249"/>
      <c r="U370" s="244">
        <v>45387</v>
      </c>
      <c r="V370" s="244">
        <v>45390</v>
      </c>
      <c r="W370" s="245">
        <f>IFERROR(IF(AND(BD_PRINCIPAL[[#This Row],[DESDE]]&lt;&gt;"",BD_PRINCIPAL[[#This Row],[HASTA]]&lt;&gt;""),_xlfn.DAYS(BD_PRINCIPAL[[#This Row],[HASTA]],BD_PRINCIPAL[[#This Row],[DESDE]]),"")+1,"")</f>
        <v>4</v>
      </c>
      <c r="X370" s="245">
        <f>VLOOKUP(BD_PRINCIPAL[[#This Row],[ENCUADRE. ESC.]],ORDEN1,2,FALSE)</f>
        <v>1</v>
      </c>
      <c r="Y370" s="245">
        <f>VLOOKUP(BD_PRINCIPAL[[#This Row],[DOTACIÓN ACTUAL]],ORDEN2,4,FALSE)</f>
        <v>297</v>
      </c>
      <c r="Z370" s="245">
        <f>VLOOKUP(BD_PRINCIPAL[[#This Row],[GRADO]],ORDEN3,2,FALSE)</f>
        <v>8</v>
      </c>
      <c r="AA370" s="245">
        <f>IFERROR(VLOOKUP(BD_PRINCIPAL[[#This Row],[DOTACIÓN ACTUAL]],ORDEN2,3,FALSE),0)</f>
        <v>0</v>
      </c>
      <c r="AB370" s="238" t="s">
        <v>2125</v>
      </c>
      <c r="AC370" s="238" t="s">
        <v>1</v>
      </c>
      <c r="AD370" s="238" t="s">
        <v>853</v>
      </c>
      <c r="AE370" s="238" t="s">
        <v>2</v>
      </c>
      <c r="AF370" s="238" t="s">
        <v>885</v>
      </c>
      <c r="AG370" s="238" t="s">
        <v>885</v>
      </c>
      <c r="AH370" s="238"/>
      <c r="AI370" s="238"/>
      <c r="AJ370" s="238"/>
      <c r="AK370" s="238"/>
      <c r="AL370" s="238"/>
      <c r="AM370" s="238"/>
      <c r="AN370" s="238"/>
      <c r="AO370" s="238"/>
      <c r="AP370" s="238"/>
      <c r="AQ370" s="238"/>
      <c r="AR370" s="238"/>
      <c r="AS370" s="238"/>
      <c r="AT370" s="246"/>
      <c r="AU370" s="246"/>
      <c r="AV370" s="246"/>
      <c r="AW370" s="246"/>
      <c r="AX370" s="246"/>
      <c r="AY370" s="246"/>
      <c r="AZ370" s="246"/>
      <c r="BA370" s="238"/>
      <c r="BB370" s="238"/>
      <c r="BC370" s="238"/>
      <c r="BD370" s="238"/>
      <c r="BE370" s="238"/>
      <c r="BF370" s="238"/>
      <c r="BG370" s="238"/>
      <c r="BH370" s="238"/>
      <c r="BI370" s="238"/>
      <c r="BJ370" s="238"/>
      <c r="BK370" s="238"/>
      <c r="BL370" s="238"/>
      <c r="BM370" s="775">
        <v>45155</v>
      </c>
      <c r="BN370" s="788"/>
    </row>
    <row r="371" spans="1:66" s="247" customFormat="1" x14ac:dyDescent="0.3">
      <c r="A371" s="245" t="s">
        <v>526</v>
      </c>
      <c r="B371" s="238" t="s">
        <v>1868</v>
      </c>
      <c r="C371" s="245">
        <v>152979126</v>
      </c>
      <c r="D371" s="715" t="s">
        <v>2937</v>
      </c>
      <c r="E371" s="486" t="s">
        <v>13</v>
      </c>
      <c r="F371" s="478" t="s">
        <v>1868</v>
      </c>
      <c r="G371" s="240" t="s">
        <v>89</v>
      </c>
      <c r="H371" s="241" t="s">
        <v>816</v>
      </c>
      <c r="I371" s="241" t="s">
        <v>872</v>
      </c>
      <c r="J371" s="242" t="s">
        <v>917</v>
      </c>
      <c r="K371" s="1281" t="s">
        <v>2290</v>
      </c>
      <c r="L371" s="735" t="s">
        <v>885</v>
      </c>
      <c r="M371" s="1306" t="s">
        <v>13</v>
      </c>
      <c r="N371" s="775"/>
      <c r="O371" s="1296"/>
      <c r="P371" s="238"/>
      <c r="Q371" s="1296" t="s">
        <v>832</v>
      </c>
      <c r="R371" s="243">
        <f>$B$1</f>
        <v>45388</v>
      </c>
      <c r="S371" s="249"/>
      <c r="T371" s="239" t="s">
        <v>2919</v>
      </c>
      <c r="U371" s="244">
        <v>45373</v>
      </c>
      <c r="V371" s="244">
        <v>45392</v>
      </c>
      <c r="W371" s="245">
        <f>IFERROR(IF(AND(BD_PRINCIPAL[[#This Row],[DESDE]]&lt;&gt;"",BD_PRINCIPAL[[#This Row],[HASTA]]&lt;&gt;""),_xlfn.DAYS(BD_PRINCIPAL[[#This Row],[HASTA]],BD_PRINCIPAL[[#This Row],[DESDE]]),"")+1,"")</f>
        <v>20</v>
      </c>
      <c r="X371" s="245">
        <f>VLOOKUP(BD_PRINCIPAL[[#This Row],[ENCUADRE. ESC.]],ORDEN1,2,FALSE)</f>
        <v>1</v>
      </c>
      <c r="Y371" s="245">
        <f>VLOOKUP(BD_PRINCIPAL[[#This Row],[DOTACIÓN ACTUAL]],ORDEN2,4,FALSE)</f>
        <v>297</v>
      </c>
      <c r="Z371" s="245">
        <f>VLOOKUP(BD_PRINCIPAL[[#This Row],[GRADO]],ORDEN3,2,FALSE)</f>
        <v>9</v>
      </c>
      <c r="AA371" s="245">
        <f>IFERROR(VLOOKUP(BD_PRINCIPAL[[#This Row],[DOTACIÓN ACTUAL]],ORDEN2,3,FALSE),0)</f>
        <v>0</v>
      </c>
      <c r="AB371" s="238" t="s">
        <v>885</v>
      </c>
      <c r="AC371" s="238" t="s">
        <v>885</v>
      </c>
      <c r="AD371" s="238" t="s">
        <v>885</v>
      </c>
      <c r="AE371" s="238" t="s">
        <v>885</v>
      </c>
      <c r="AF371" s="238" t="s">
        <v>885</v>
      </c>
      <c r="AG371" s="238" t="s">
        <v>885</v>
      </c>
      <c r="AH371" s="238"/>
      <c r="AI371" s="238"/>
      <c r="AJ371" s="238"/>
      <c r="AK371" s="238"/>
      <c r="AL371" s="238"/>
      <c r="AM371" s="238"/>
      <c r="AN371" s="238"/>
      <c r="AO371" s="238"/>
      <c r="AP371" s="238"/>
      <c r="AQ371" s="238"/>
      <c r="AR371" s="238"/>
      <c r="AS371" s="238"/>
      <c r="AT371" s="246"/>
      <c r="AU371" s="246"/>
      <c r="AV371" s="246"/>
      <c r="AW371" s="246"/>
      <c r="AX371" s="246"/>
      <c r="AY371" s="246"/>
      <c r="AZ371" s="246"/>
      <c r="BA371" s="238"/>
      <c r="BB371" s="238"/>
      <c r="BC371" s="238"/>
      <c r="BD371" s="238"/>
      <c r="BE371" s="238"/>
      <c r="BF371" s="238"/>
      <c r="BG371" s="238"/>
      <c r="BH371" s="238"/>
      <c r="BI371" s="238"/>
      <c r="BJ371" s="238"/>
      <c r="BK371" s="238"/>
      <c r="BL371" s="238"/>
      <c r="BM371" s="775">
        <v>45049</v>
      </c>
      <c r="BN371" s="788"/>
    </row>
    <row r="372" spans="1:66" s="247" customFormat="1" x14ac:dyDescent="0.3">
      <c r="A372" s="245" t="s">
        <v>361</v>
      </c>
      <c r="B372" s="238" t="s">
        <v>188</v>
      </c>
      <c r="C372" s="245">
        <v>138489949</v>
      </c>
      <c r="D372" s="715" t="s">
        <v>701</v>
      </c>
      <c r="E372" s="486" t="s">
        <v>13</v>
      </c>
      <c r="F372" s="478" t="s">
        <v>2700</v>
      </c>
      <c r="G372" s="248" t="s">
        <v>89</v>
      </c>
      <c r="H372" s="241" t="s">
        <v>816</v>
      </c>
      <c r="I372" s="241" t="s">
        <v>872</v>
      </c>
      <c r="J372" s="242" t="s">
        <v>917</v>
      </c>
      <c r="K372" s="1281" t="s">
        <v>2670</v>
      </c>
      <c r="L372" s="735" t="s">
        <v>885</v>
      </c>
      <c r="M372" s="1306" t="s">
        <v>13</v>
      </c>
      <c r="N372" s="775"/>
      <c r="O372" s="1296"/>
      <c r="P372" s="238"/>
      <c r="Q372" s="1296" t="s">
        <v>832</v>
      </c>
      <c r="R372" s="243">
        <f>$B$1</f>
        <v>45388</v>
      </c>
      <c r="S372" s="249"/>
      <c r="T372" s="239" t="s">
        <v>2920</v>
      </c>
      <c r="U372" s="244">
        <v>45386</v>
      </c>
      <c r="V372" s="244">
        <v>45406</v>
      </c>
      <c r="W372" s="245">
        <f>IFERROR(IF(AND(BD_PRINCIPAL[[#This Row],[DESDE]]&lt;&gt;"",BD_PRINCIPAL[[#This Row],[HASTA]]&lt;&gt;""),_xlfn.DAYS(BD_PRINCIPAL[[#This Row],[HASTA]],BD_PRINCIPAL[[#This Row],[DESDE]]),"")+1,"")</f>
        <v>21</v>
      </c>
      <c r="X372" s="245">
        <f>VLOOKUP(BD_PRINCIPAL[[#This Row],[ENCUADRE. ESC.]],ORDEN1,2,FALSE)</f>
        <v>1</v>
      </c>
      <c r="Y372" s="245">
        <f>VLOOKUP(BD_PRINCIPAL[[#This Row],[DOTACIÓN ACTUAL]],ORDEN2,4,FALSE)</f>
        <v>297</v>
      </c>
      <c r="Z372" s="245">
        <f>VLOOKUP(BD_PRINCIPAL[[#This Row],[GRADO]],ORDEN3,2,FALSE)</f>
        <v>9</v>
      </c>
      <c r="AA372" s="245">
        <f>IFERROR(VLOOKUP(BD_PRINCIPAL[[#This Row],[DOTACIÓN ACTUAL]],ORDEN2,3,FALSE),0)</f>
        <v>0</v>
      </c>
      <c r="AB372" s="238" t="s">
        <v>1</v>
      </c>
      <c r="AC372" s="238" t="s">
        <v>853</v>
      </c>
      <c r="AD372" s="238" t="s">
        <v>2</v>
      </c>
      <c r="AE372" s="238" t="s">
        <v>885</v>
      </c>
      <c r="AF372" s="238" t="s">
        <v>885</v>
      </c>
      <c r="AG372" s="238" t="s">
        <v>885</v>
      </c>
      <c r="AH372" s="238"/>
      <c r="AI372" s="238"/>
      <c r="AJ372" s="238"/>
      <c r="AK372" s="238"/>
      <c r="AL372" s="238"/>
      <c r="AM372" s="238"/>
      <c r="AN372" s="238"/>
      <c r="AO372" s="238"/>
      <c r="AP372" s="238"/>
      <c r="AQ372" s="238"/>
      <c r="AR372" s="238"/>
      <c r="AS372" s="238"/>
      <c r="AT372" s="246"/>
      <c r="AU372" s="246"/>
      <c r="AV372" s="246"/>
      <c r="AW372" s="246"/>
      <c r="AX372" s="246"/>
      <c r="AY372" s="246"/>
      <c r="AZ372" s="246"/>
      <c r="BA372" s="238"/>
      <c r="BB372" s="238"/>
      <c r="BC372" s="238"/>
      <c r="BD372" s="238"/>
      <c r="BE372" s="238"/>
      <c r="BF372" s="238"/>
      <c r="BG372" s="238"/>
      <c r="BH372" s="238"/>
      <c r="BI372" s="238"/>
      <c r="BJ372" s="238"/>
      <c r="BK372" s="238"/>
      <c r="BL372" s="238"/>
      <c r="BM372" s="775">
        <v>45385</v>
      </c>
      <c r="BN372" s="788"/>
    </row>
    <row r="373" spans="1:66" s="247" customFormat="1" x14ac:dyDescent="0.3">
      <c r="A373" s="245" t="s">
        <v>546</v>
      </c>
      <c r="B373" s="238" t="s">
        <v>1867</v>
      </c>
      <c r="C373" s="245">
        <v>162959816</v>
      </c>
      <c r="D373" s="715" t="s">
        <v>2937</v>
      </c>
      <c r="E373" s="478" t="s">
        <v>13</v>
      </c>
      <c r="F373" s="478" t="s">
        <v>2145</v>
      </c>
      <c r="G373" s="248" t="s">
        <v>209</v>
      </c>
      <c r="H373" s="241" t="s">
        <v>816</v>
      </c>
      <c r="I373" s="241" t="s">
        <v>872</v>
      </c>
      <c r="J373" s="242" t="s">
        <v>917</v>
      </c>
      <c r="K373" s="1281" t="s">
        <v>2290</v>
      </c>
      <c r="L373" s="735" t="s">
        <v>885</v>
      </c>
      <c r="M373" s="1306" t="s">
        <v>13</v>
      </c>
      <c r="N373" s="775"/>
      <c r="O373" s="1296"/>
      <c r="P373" s="238"/>
      <c r="Q373" s="1296" t="s">
        <v>832</v>
      </c>
      <c r="R373" s="243">
        <f>$B$1</f>
        <v>45388</v>
      </c>
      <c r="S373" s="249"/>
      <c r="T373" s="239" t="s">
        <v>2938</v>
      </c>
      <c r="U373" s="244">
        <v>45371</v>
      </c>
      <c r="V373" s="244">
        <v>45392</v>
      </c>
      <c r="W373" s="245">
        <f>IFERROR(IF(AND(BD_PRINCIPAL[[#This Row],[DESDE]]&lt;&gt;"",BD_PRINCIPAL[[#This Row],[HASTA]]&lt;&gt;""),_xlfn.DAYS(BD_PRINCIPAL[[#This Row],[HASTA]],BD_PRINCIPAL[[#This Row],[DESDE]]),"")+1,"")</f>
        <v>22</v>
      </c>
      <c r="X373" s="245">
        <f>VLOOKUP(BD_PRINCIPAL[[#This Row],[ENCUADRE. ESC.]],ORDEN1,2,FALSE)</f>
        <v>1</v>
      </c>
      <c r="Y373" s="245">
        <f>VLOOKUP(BD_PRINCIPAL[[#This Row],[DOTACIÓN ACTUAL]],ORDEN2,4,FALSE)</f>
        <v>297</v>
      </c>
      <c r="Z373" s="245">
        <f>VLOOKUP(BD_PRINCIPAL[[#This Row],[GRADO]],ORDEN3,2,FALSE)</f>
        <v>10</v>
      </c>
      <c r="AA373" s="245">
        <f>IFERROR(VLOOKUP(BD_PRINCIPAL[[#This Row],[DOTACIÓN ACTUAL]],ORDEN2,3,FALSE),0)</f>
        <v>0</v>
      </c>
      <c r="AB373" s="238" t="s">
        <v>885</v>
      </c>
      <c r="AC373" s="238" t="s">
        <v>885</v>
      </c>
      <c r="AD373" s="238" t="s">
        <v>885</v>
      </c>
      <c r="AE373" s="238" t="s">
        <v>885</v>
      </c>
      <c r="AF373" s="238" t="s">
        <v>885</v>
      </c>
      <c r="AG373" s="238" t="s">
        <v>885</v>
      </c>
      <c r="AH373" s="238"/>
      <c r="AI373" s="238"/>
      <c r="AJ373" s="238"/>
      <c r="AK373" s="238"/>
      <c r="AL373" s="238"/>
      <c r="AM373" s="238"/>
      <c r="AN373" s="238"/>
      <c r="AO373" s="238"/>
      <c r="AP373" s="238"/>
      <c r="AQ373" s="238"/>
      <c r="AR373" s="238"/>
      <c r="AS373" s="238"/>
      <c r="AT373" s="246"/>
      <c r="AU373" s="246"/>
      <c r="AV373" s="246"/>
      <c r="AW373" s="246"/>
      <c r="AX373" s="246"/>
      <c r="AY373" s="246"/>
      <c r="AZ373" s="246"/>
      <c r="BA373" s="238"/>
      <c r="BB373" s="238"/>
      <c r="BC373" s="238"/>
      <c r="BD373" s="238"/>
      <c r="BE373" s="238"/>
      <c r="BF373" s="238"/>
      <c r="BG373" s="238"/>
      <c r="BH373" s="238"/>
      <c r="BI373" s="238"/>
      <c r="BJ373" s="238"/>
      <c r="BK373" s="238"/>
      <c r="BL373" s="238"/>
      <c r="BM373" s="775">
        <v>45140</v>
      </c>
      <c r="BN373" s="788"/>
    </row>
    <row r="374" spans="1:66" s="247" customFormat="1" ht="39.6" x14ac:dyDescent="0.3">
      <c r="A374" s="245" t="s">
        <v>583</v>
      </c>
      <c r="B374" s="238" t="s">
        <v>1848</v>
      </c>
      <c r="C374" s="245" t="s">
        <v>584</v>
      </c>
      <c r="D374" s="715" t="s">
        <v>794</v>
      </c>
      <c r="E374" s="486" t="s">
        <v>13</v>
      </c>
      <c r="F374" s="478" t="s">
        <v>1848</v>
      </c>
      <c r="G374" s="240" t="s">
        <v>3</v>
      </c>
      <c r="H374" s="241" t="s">
        <v>816</v>
      </c>
      <c r="I374" s="241" t="s">
        <v>872</v>
      </c>
      <c r="J374" s="242" t="s">
        <v>917</v>
      </c>
      <c r="K374" s="1281" t="s">
        <v>2290</v>
      </c>
      <c r="L374" s="735" t="s">
        <v>885</v>
      </c>
      <c r="M374" s="1306" t="s">
        <v>13</v>
      </c>
      <c r="N374" s="775"/>
      <c r="O374" s="1296"/>
      <c r="P374" s="238"/>
      <c r="Q374" s="1296" t="s">
        <v>832</v>
      </c>
      <c r="R374" s="243">
        <f>$B$1</f>
        <v>45388</v>
      </c>
      <c r="S374" s="249"/>
      <c r="T374" s="249" t="s">
        <v>2939</v>
      </c>
      <c r="U374" s="244">
        <v>45386</v>
      </c>
      <c r="V374" s="244">
        <v>45391</v>
      </c>
      <c r="W374" s="245">
        <f>IFERROR(IF(AND(BD_PRINCIPAL[[#This Row],[DESDE]]&lt;&gt;"",BD_PRINCIPAL[[#This Row],[HASTA]]&lt;&gt;""),_xlfn.DAYS(BD_PRINCIPAL[[#This Row],[HASTA]],BD_PRINCIPAL[[#This Row],[DESDE]]),"")+1,"")</f>
        <v>6</v>
      </c>
      <c r="X374" s="245">
        <f>VLOOKUP(BD_PRINCIPAL[[#This Row],[ENCUADRE. ESC.]],ORDEN1,2,FALSE)</f>
        <v>1</v>
      </c>
      <c r="Y374" s="245">
        <f>VLOOKUP(BD_PRINCIPAL[[#This Row],[DOTACIÓN ACTUAL]],ORDEN2,4,FALSE)</f>
        <v>297</v>
      </c>
      <c r="Z374" s="245">
        <f>VLOOKUP(BD_PRINCIPAL[[#This Row],[GRADO]],ORDEN3,2,FALSE)</f>
        <v>11</v>
      </c>
      <c r="AA374" s="245">
        <f>IFERROR(VLOOKUP(BD_PRINCIPAL[[#This Row],[DOTACIÓN ACTUAL]],ORDEN2,3,FALSE),0)</f>
        <v>0</v>
      </c>
      <c r="AB374" s="238" t="s">
        <v>944</v>
      </c>
      <c r="AC374" s="238" t="s">
        <v>945</v>
      </c>
      <c r="AD374" s="238" t="s">
        <v>2125</v>
      </c>
      <c r="AE374" s="238" t="s">
        <v>885</v>
      </c>
      <c r="AF374" s="238" t="s">
        <v>885</v>
      </c>
      <c r="AG374" s="238" t="s">
        <v>885</v>
      </c>
      <c r="AH374" s="238"/>
      <c r="AI374" s="238"/>
      <c r="AJ374" s="238"/>
      <c r="AK374" s="238"/>
      <c r="AL374" s="238"/>
      <c r="AM374" s="238"/>
      <c r="AN374" s="238"/>
      <c r="AO374" s="238"/>
      <c r="AP374" s="238"/>
      <c r="AQ374" s="238"/>
      <c r="AR374" s="238"/>
      <c r="AS374" s="238"/>
      <c r="AT374" s="246"/>
      <c r="AU374" s="246"/>
      <c r="AV374" s="246"/>
      <c r="AW374" s="246"/>
      <c r="AX374" s="246"/>
      <c r="AY374" s="246"/>
      <c r="AZ374" s="246"/>
      <c r="BA374" s="238"/>
      <c r="BB374" s="238"/>
      <c r="BC374" s="238"/>
      <c r="BD374" s="238"/>
      <c r="BE374" s="238"/>
      <c r="BF374" s="238"/>
      <c r="BG374" s="238"/>
      <c r="BH374" s="238"/>
      <c r="BI374" s="238"/>
      <c r="BJ374" s="238"/>
      <c r="BK374" s="238"/>
      <c r="BL374" s="238"/>
      <c r="BM374" s="775">
        <v>45070</v>
      </c>
      <c r="BN374" s="788"/>
    </row>
    <row r="375" spans="1:66" s="247" customFormat="1" x14ac:dyDescent="0.3">
      <c r="A375" s="245" t="s">
        <v>492</v>
      </c>
      <c r="B375" s="238" t="s">
        <v>178</v>
      </c>
      <c r="C375" s="245">
        <v>196490051</v>
      </c>
      <c r="D375" s="715" t="s">
        <v>1997</v>
      </c>
      <c r="E375" s="486" t="s">
        <v>13</v>
      </c>
      <c r="F375" s="478" t="s">
        <v>178</v>
      </c>
      <c r="G375" s="240" t="s">
        <v>4</v>
      </c>
      <c r="H375" s="241" t="s">
        <v>817</v>
      </c>
      <c r="I375" s="241" t="s">
        <v>872</v>
      </c>
      <c r="J375" s="242" t="s">
        <v>917</v>
      </c>
      <c r="K375" s="1281" t="s">
        <v>2290</v>
      </c>
      <c r="L375" s="735" t="s">
        <v>885</v>
      </c>
      <c r="M375" s="1306" t="s">
        <v>13</v>
      </c>
      <c r="N375" s="786"/>
      <c r="O375" s="1296"/>
      <c r="P375" s="238"/>
      <c r="Q375" s="1296" t="s">
        <v>832</v>
      </c>
      <c r="R375" s="243">
        <f>$B$1</f>
        <v>45388</v>
      </c>
      <c r="S375" s="249"/>
      <c r="T375" s="239"/>
      <c r="U375" s="244">
        <v>45384</v>
      </c>
      <c r="V375" s="244">
        <v>45390</v>
      </c>
      <c r="W375" s="245">
        <f>IFERROR(IF(AND(BD_PRINCIPAL[[#This Row],[DESDE]]&lt;&gt;"",BD_PRINCIPAL[[#This Row],[HASTA]]&lt;&gt;""),_xlfn.DAYS(BD_PRINCIPAL[[#This Row],[HASTA]],BD_PRINCIPAL[[#This Row],[DESDE]]),"")+1,"")</f>
        <v>7</v>
      </c>
      <c r="X375" s="245">
        <f>VLOOKUP(BD_PRINCIPAL[[#This Row],[ENCUADRE. ESC.]],ORDEN1,2,FALSE)</f>
        <v>1</v>
      </c>
      <c r="Y375" s="245">
        <f>VLOOKUP(BD_PRINCIPAL[[#This Row],[DOTACIÓN ACTUAL]],ORDEN2,4,FALSE)</f>
        <v>297</v>
      </c>
      <c r="Z375" s="245">
        <f>VLOOKUP(BD_PRINCIPAL[[#This Row],[GRADO]],ORDEN3,2,FALSE)</f>
        <v>12</v>
      </c>
      <c r="AA375" s="245">
        <f>IFERROR(VLOOKUP(BD_PRINCIPAL[[#This Row],[DOTACIÓN ACTUAL]],ORDEN2,3,FALSE),0)</f>
        <v>0</v>
      </c>
      <c r="AB375" s="238" t="s">
        <v>885</v>
      </c>
      <c r="AC375" s="238" t="s">
        <v>885</v>
      </c>
      <c r="AD375" s="238" t="s">
        <v>885</v>
      </c>
      <c r="AE375" s="238" t="s">
        <v>885</v>
      </c>
      <c r="AF375" s="238" t="s">
        <v>885</v>
      </c>
      <c r="AG375" s="238" t="s">
        <v>885</v>
      </c>
      <c r="AH375" s="238"/>
      <c r="AI375" s="238"/>
      <c r="AJ375" s="238"/>
      <c r="AK375" s="238"/>
      <c r="AL375" s="238"/>
      <c r="AM375" s="238"/>
      <c r="AN375" s="238"/>
      <c r="AO375" s="238"/>
      <c r="AP375" s="238"/>
      <c r="AQ375" s="238"/>
      <c r="AR375" s="238"/>
      <c r="AS375" s="238"/>
      <c r="AT375" s="246"/>
      <c r="AU375" s="246"/>
      <c r="AV375" s="246"/>
      <c r="AW375" s="246"/>
      <c r="AX375" s="246"/>
      <c r="AY375" s="246"/>
      <c r="AZ375" s="246"/>
      <c r="BA375" s="238"/>
      <c r="BB375" s="238"/>
      <c r="BC375" s="238"/>
      <c r="BD375" s="238"/>
      <c r="BE375" s="238"/>
      <c r="BF375" s="238"/>
      <c r="BG375" s="238"/>
      <c r="BH375" s="238"/>
      <c r="BI375" s="238"/>
      <c r="BJ375" s="238"/>
      <c r="BK375" s="238"/>
      <c r="BL375" s="238"/>
      <c r="BM375" s="786">
        <v>45124</v>
      </c>
      <c r="BN375" s="788"/>
    </row>
    <row r="376" spans="1:66" s="247" customFormat="1" ht="52.8" x14ac:dyDescent="0.3">
      <c r="A376" s="245" t="s">
        <v>2255</v>
      </c>
      <c r="B376" s="649" t="s">
        <v>2257</v>
      </c>
      <c r="C376" s="245" t="s">
        <v>2256</v>
      </c>
      <c r="D376" s="715" t="s">
        <v>1000</v>
      </c>
      <c r="E376" s="486" t="s">
        <v>13</v>
      </c>
      <c r="F376" s="478" t="s">
        <v>2534</v>
      </c>
      <c r="G376" s="248" t="s">
        <v>14</v>
      </c>
      <c r="H376" s="241" t="s">
        <v>816</v>
      </c>
      <c r="I376" s="241" t="s">
        <v>872</v>
      </c>
      <c r="J376" s="242" t="s">
        <v>917</v>
      </c>
      <c r="K376" s="1281" t="s">
        <v>2290</v>
      </c>
      <c r="L376" s="735" t="s">
        <v>885</v>
      </c>
      <c r="M376" s="1306" t="s">
        <v>13</v>
      </c>
      <c r="N376" s="774"/>
      <c r="O376" s="1296"/>
      <c r="P376" s="238"/>
      <c r="Q376" s="1296" t="s">
        <v>832</v>
      </c>
      <c r="R376" s="337">
        <f>$B$1</f>
        <v>45388</v>
      </c>
      <c r="S376" s="249" t="s">
        <v>3006</v>
      </c>
      <c r="T376" s="249" t="s">
        <v>2970</v>
      </c>
      <c r="U376" s="244">
        <v>45376</v>
      </c>
      <c r="V376" s="244">
        <v>45390</v>
      </c>
      <c r="W376" s="338">
        <f>IFERROR(IF(AND(BD_PRINCIPAL[[#This Row],[DESDE]]&lt;&gt;"",BD_PRINCIPAL[[#This Row],[HASTA]]&lt;&gt;""),_xlfn.DAYS(BD_PRINCIPAL[[#This Row],[HASTA]],BD_PRINCIPAL[[#This Row],[DESDE]]),"")+1,"")</f>
        <v>15</v>
      </c>
      <c r="X376" s="338">
        <f>VLOOKUP(BD_PRINCIPAL[[#This Row],[ENCUADRE. ESC.]],ORDEN1,2,FALSE)</f>
        <v>1</v>
      </c>
      <c r="Y376" s="338">
        <f>VLOOKUP(BD_PRINCIPAL[[#This Row],[DOTACIÓN ACTUAL]],ORDEN2,4,FALSE)</f>
        <v>297</v>
      </c>
      <c r="Z376" s="338">
        <f>VLOOKUP(BD_PRINCIPAL[[#This Row],[GRADO]],ORDEN3,2,FALSE)</f>
        <v>13</v>
      </c>
      <c r="AA376" s="338">
        <f>IFERROR(VLOOKUP(BD_PRINCIPAL[[#This Row],[DOTACIÓN ACTUAL]],ORDEN2,3,FALSE),0)</f>
        <v>0</v>
      </c>
      <c r="AB376" s="238" t="s">
        <v>885</v>
      </c>
      <c r="AC376" s="238" t="s">
        <v>885</v>
      </c>
      <c r="AD376" s="238" t="s">
        <v>885</v>
      </c>
      <c r="AE376" s="238" t="s">
        <v>885</v>
      </c>
      <c r="AF376" s="238" t="s">
        <v>885</v>
      </c>
      <c r="AG376" s="238" t="s">
        <v>885</v>
      </c>
      <c r="AH376" s="238"/>
      <c r="AI376" s="238"/>
      <c r="AJ376" s="238"/>
      <c r="AK376" s="238"/>
      <c r="AL376" s="238"/>
      <c r="AM376" s="238"/>
      <c r="AN376" s="238"/>
      <c r="AO376" s="238"/>
      <c r="AP376" s="238"/>
      <c r="AQ376" s="238"/>
      <c r="AR376" s="238"/>
      <c r="AS376" s="238"/>
      <c r="AT376" s="246"/>
      <c r="AU376" s="246"/>
      <c r="AV376" s="246"/>
      <c r="AW376" s="246"/>
      <c r="AX376" s="246"/>
      <c r="AY376" s="246"/>
      <c r="AZ376" s="246"/>
      <c r="BA376" s="238"/>
      <c r="BB376" s="238"/>
      <c r="BC376" s="238"/>
      <c r="BD376" s="238"/>
      <c r="BE376" s="238"/>
      <c r="BF376" s="238"/>
      <c r="BG376" s="238"/>
      <c r="BH376" s="238"/>
      <c r="BI376" s="238"/>
      <c r="BJ376" s="238"/>
      <c r="BK376" s="238"/>
      <c r="BL376" s="238"/>
      <c r="BM376" s="775">
        <v>45119</v>
      </c>
      <c r="BN376" s="788"/>
    </row>
    <row r="377" spans="1:66" s="260" customFormat="1" ht="26.4" x14ac:dyDescent="0.3">
      <c r="A377" s="258" t="s">
        <v>661</v>
      </c>
      <c r="B377" s="251" t="s">
        <v>660</v>
      </c>
      <c r="C377" s="258">
        <v>200903307</v>
      </c>
      <c r="D377" s="715" t="s">
        <v>2001</v>
      </c>
      <c r="E377" s="481" t="s">
        <v>1527</v>
      </c>
      <c r="F377" s="481" t="s">
        <v>660</v>
      </c>
      <c r="G377" s="253" t="s">
        <v>4</v>
      </c>
      <c r="H377" s="254" t="s">
        <v>817</v>
      </c>
      <c r="I377" s="254" t="s">
        <v>872</v>
      </c>
      <c r="J377" s="255" t="s">
        <v>917</v>
      </c>
      <c r="K377" s="1282" t="s">
        <v>2290</v>
      </c>
      <c r="L377" s="737" t="s">
        <v>909</v>
      </c>
      <c r="M377" s="1307" t="s">
        <v>1527</v>
      </c>
      <c r="N377" s="783"/>
      <c r="O377" s="1297"/>
      <c r="P377" s="251"/>
      <c r="Q377" s="1297" t="s">
        <v>832</v>
      </c>
      <c r="R377" s="256">
        <f>$B$1</f>
        <v>45388</v>
      </c>
      <c r="S377" s="252"/>
      <c r="T377" s="252" t="s">
        <v>1793</v>
      </c>
      <c r="U377" s="257">
        <v>45360</v>
      </c>
      <c r="V377" s="257">
        <v>45387</v>
      </c>
      <c r="W377" s="258">
        <f>IFERROR(IF(AND(BD_PRINCIPAL[[#This Row],[DESDE]]&lt;&gt;"",BD_PRINCIPAL[[#This Row],[HASTA]]&lt;&gt;""),_xlfn.DAYS(BD_PRINCIPAL[[#This Row],[HASTA]],BD_PRINCIPAL[[#This Row],[DESDE]]),"")+1,"")</f>
        <v>28</v>
      </c>
      <c r="X377" s="258">
        <f>VLOOKUP(BD_PRINCIPAL[[#This Row],[ENCUADRE. ESC.]],ORDEN1,2,FALSE)</f>
        <v>1</v>
      </c>
      <c r="Y377" s="258">
        <f>VLOOKUP(BD_PRINCIPAL[[#This Row],[DOTACIÓN ACTUAL]],ORDEN2,4,FALSE)</f>
        <v>298</v>
      </c>
      <c r="Z377" s="258">
        <f>VLOOKUP(BD_PRINCIPAL[[#This Row],[GRADO]],ORDEN3,2,FALSE)</f>
        <v>12</v>
      </c>
      <c r="AA377" s="258">
        <f>IFERROR(VLOOKUP(BD_PRINCIPAL[[#This Row],[DOTACIÓN ACTUAL]],ORDEN2,3,FALSE),0)</f>
        <v>0</v>
      </c>
      <c r="AB377" s="251" t="s">
        <v>909</v>
      </c>
      <c r="AC377" s="251" t="s">
        <v>909</v>
      </c>
      <c r="AD377" s="251" t="s">
        <v>909</v>
      </c>
      <c r="AE377" s="251" t="s">
        <v>909</v>
      </c>
      <c r="AF377" s="251" t="s">
        <v>909</v>
      </c>
      <c r="AG377" s="251" t="s">
        <v>909</v>
      </c>
      <c r="AH377" s="251"/>
      <c r="AI377" s="251"/>
      <c r="AJ377" s="251"/>
      <c r="AK377" s="251"/>
      <c r="AL377" s="251"/>
      <c r="AM377" s="251"/>
      <c r="AN377" s="251"/>
      <c r="AO377" s="251"/>
      <c r="AP377" s="251"/>
      <c r="AQ377" s="251"/>
      <c r="AR377" s="251"/>
      <c r="AS377" s="251"/>
      <c r="AT377" s="259"/>
      <c r="AU377" s="259"/>
      <c r="AV377" s="259"/>
      <c r="AW377" s="259"/>
      <c r="AX377" s="259"/>
      <c r="AY377" s="259"/>
      <c r="AZ377" s="259"/>
      <c r="BA377" s="251"/>
      <c r="BB377" s="251"/>
      <c r="BC377" s="251"/>
      <c r="BD377" s="251"/>
      <c r="BE377" s="251"/>
      <c r="BF377" s="251"/>
      <c r="BG377" s="251"/>
      <c r="BH377" s="251"/>
      <c r="BI377" s="251"/>
      <c r="BJ377" s="251"/>
      <c r="BK377" s="251"/>
      <c r="BL377" s="251"/>
      <c r="BM377" s="783">
        <v>44091</v>
      </c>
      <c r="BN377" s="791"/>
    </row>
    <row r="378" spans="1:66" s="260" customFormat="1" ht="26.4" x14ac:dyDescent="0.3">
      <c r="A378" s="258" t="s">
        <v>384</v>
      </c>
      <c r="B378" s="251" t="s">
        <v>97</v>
      </c>
      <c r="C378" s="258" t="s">
        <v>385</v>
      </c>
      <c r="D378" s="716" t="s">
        <v>2001</v>
      </c>
      <c r="E378" s="487" t="s">
        <v>1527</v>
      </c>
      <c r="F378" s="481" t="s">
        <v>97</v>
      </c>
      <c r="G378" s="253" t="s">
        <v>14</v>
      </c>
      <c r="H378" s="254" t="s">
        <v>816</v>
      </c>
      <c r="I378" s="254" t="s">
        <v>872</v>
      </c>
      <c r="J378" s="255" t="s">
        <v>917</v>
      </c>
      <c r="K378" s="1282" t="s">
        <v>2290</v>
      </c>
      <c r="L378" s="737" t="s">
        <v>909</v>
      </c>
      <c r="M378" s="1307" t="s">
        <v>1527</v>
      </c>
      <c r="N378" s="781"/>
      <c r="O378" s="1297"/>
      <c r="P378" s="251"/>
      <c r="Q378" s="1297" t="s">
        <v>832</v>
      </c>
      <c r="R378" s="256">
        <f>$B$1</f>
        <v>45388</v>
      </c>
      <c r="S378" s="262"/>
      <c r="T378" s="262"/>
      <c r="U378" s="819">
        <v>45386</v>
      </c>
      <c r="V378" s="819"/>
      <c r="W378" s="258" t="str">
        <f>IFERROR(IF(AND(BD_PRINCIPAL[[#This Row],[DESDE]]&lt;&gt;"",BD_PRINCIPAL[[#This Row],[HASTA]]&lt;&gt;""),_xlfn.DAYS(BD_PRINCIPAL[[#This Row],[HASTA]],BD_PRINCIPAL[[#This Row],[DESDE]]),"")+1,"")</f>
        <v/>
      </c>
      <c r="X378" s="258">
        <f>VLOOKUP(BD_PRINCIPAL[[#This Row],[ENCUADRE. ESC.]],ORDEN1,2,FALSE)</f>
        <v>1</v>
      </c>
      <c r="Y378" s="258">
        <f>VLOOKUP(BD_PRINCIPAL[[#This Row],[DOTACIÓN ACTUAL]],ORDEN2,4,FALSE)</f>
        <v>298</v>
      </c>
      <c r="Z378" s="258">
        <f>VLOOKUP(BD_PRINCIPAL[[#This Row],[GRADO]],ORDEN3,2,FALSE)</f>
        <v>13</v>
      </c>
      <c r="AA378" s="258">
        <f>IFERROR(VLOOKUP(BD_PRINCIPAL[[#This Row],[DOTACIÓN ACTUAL]],ORDEN2,3,FALSE),0)</f>
        <v>0</v>
      </c>
      <c r="AB378" s="251" t="s">
        <v>909</v>
      </c>
      <c r="AC378" s="251" t="s">
        <v>909</v>
      </c>
      <c r="AD378" s="251" t="s">
        <v>909</v>
      </c>
      <c r="AE378" s="251" t="s">
        <v>909</v>
      </c>
      <c r="AF378" s="251" t="s">
        <v>909</v>
      </c>
      <c r="AG378" s="251" t="s">
        <v>909</v>
      </c>
      <c r="AH378" s="251"/>
      <c r="AI378" s="251"/>
      <c r="AJ378" s="251"/>
      <c r="AK378" s="251"/>
      <c r="AL378" s="251"/>
      <c r="AM378" s="251"/>
      <c r="AN378" s="251"/>
      <c r="AO378" s="251"/>
      <c r="AP378" s="251"/>
      <c r="AQ378" s="251"/>
      <c r="AR378" s="251"/>
      <c r="AS378" s="251"/>
      <c r="AT378" s="259"/>
      <c r="AU378" s="259"/>
      <c r="AV378" s="259"/>
      <c r="AW378" s="259"/>
      <c r="AX378" s="259"/>
      <c r="AY378" s="259"/>
      <c r="AZ378" s="259"/>
      <c r="BA378" s="251"/>
      <c r="BB378" s="251"/>
      <c r="BC378" s="251"/>
      <c r="BD378" s="251"/>
      <c r="BE378" s="251"/>
      <c r="BF378" s="251"/>
      <c r="BG378" s="251"/>
      <c r="BH378" s="251"/>
      <c r="BI378" s="251"/>
      <c r="BJ378" s="251"/>
      <c r="BK378" s="251"/>
      <c r="BL378" s="251"/>
      <c r="BM378" s="781">
        <v>45062</v>
      </c>
      <c r="BN378" s="791"/>
    </row>
    <row r="379" spans="1:66" s="189" customFormat="1" ht="39.6" x14ac:dyDescent="0.3">
      <c r="A379" s="188" t="s">
        <v>317</v>
      </c>
      <c r="B379" s="181" t="s">
        <v>1595</v>
      </c>
      <c r="C379" s="188">
        <v>138334546</v>
      </c>
      <c r="D379" s="867" t="s">
        <v>728</v>
      </c>
      <c r="E379" s="488" t="s">
        <v>807</v>
      </c>
      <c r="F379" s="479" t="s">
        <v>2557</v>
      </c>
      <c r="G379" s="183" t="s">
        <v>17</v>
      </c>
      <c r="H379" s="184" t="s">
        <v>817</v>
      </c>
      <c r="I379" s="184" t="s">
        <v>872</v>
      </c>
      <c r="J379" s="185" t="s">
        <v>917</v>
      </c>
      <c r="K379" s="1283" t="s">
        <v>2300</v>
      </c>
      <c r="L379" s="736" t="s">
        <v>909</v>
      </c>
      <c r="M379" s="1308" t="s">
        <v>807</v>
      </c>
      <c r="N379" s="777"/>
      <c r="O379" s="1298"/>
      <c r="P379" s="181"/>
      <c r="Q379" s="1298" t="s">
        <v>832</v>
      </c>
      <c r="R379" s="186">
        <f>$B$1</f>
        <v>45388</v>
      </c>
      <c r="S379" s="190"/>
      <c r="T379" s="190" t="s">
        <v>2919</v>
      </c>
      <c r="U379" s="192">
        <v>45373</v>
      </c>
      <c r="V379" s="192">
        <v>45393</v>
      </c>
      <c r="W379" s="188">
        <f>IFERROR(IF(AND(BD_PRINCIPAL[[#This Row],[DESDE]]&lt;&gt;"",BD_PRINCIPAL[[#This Row],[HASTA]]&lt;&gt;""),_xlfn.DAYS(BD_PRINCIPAL[[#This Row],[HASTA]],BD_PRINCIPAL[[#This Row],[DESDE]]),"")+1,"")</f>
        <v>21</v>
      </c>
      <c r="X379" s="188">
        <f>VLOOKUP(BD_PRINCIPAL[[#This Row],[ENCUADRE. ESC.]],ORDEN1,2,FALSE)</f>
        <v>1</v>
      </c>
      <c r="Y379" s="188">
        <f>VLOOKUP(BD_PRINCIPAL[[#This Row],[DOTACIÓN ACTUAL]],ORDEN2,4,FALSE)</f>
        <v>299</v>
      </c>
      <c r="Z379" s="188">
        <f>VLOOKUP(BD_PRINCIPAL[[#This Row],[GRADO]],ORDEN3,2,FALSE)</f>
        <v>8</v>
      </c>
      <c r="AA379" s="188">
        <f>IFERROR(VLOOKUP(BD_PRINCIPAL[[#This Row],[DOTACIÓN ACTUAL]],ORDEN2,3,FALSE),0)</f>
        <v>0</v>
      </c>
      <c r="AB379" s="181" t="s">
        <v>909</v>
      </c>
      <c r="AC379" s="181" t="s">
        <v>909</v>
      </c>
      <c r="AD379" s="181" t="s">
        <v>909</v>
      </c>
      <c r="AE379" s="181" t="s">
        <v>909</v>
      </c>
      <c r="AF379" s="181" t="s">
        <v>909</v>
      </c>
      <c r="AG379" s="181" t="s">
        <v>909</v>
      </c>
      <c r="AH379" s="181"/>
      <c r="AI379" s="181"/>
      <c r="AJ379" s="181"/>
      <c r="AK379" s="181"/>
      <c r="AL379" s="181"/>
      <c r="AM379" s="181"/>
      <c r="AN379" s="181"/>
      <c r="AO379" s="181"/>
      <c r="AP379" s="181"/>
      <c r="AQ379" s="181"/>
      <c r="AR379" s="181"/>
      <c r="AS379" s="181"/>
      <c r="AT379" s="187"/>
      <c r="AU379" s="187"/>
      <c r="AV379" s="187"/>
      <c r="AW379" s="187"/>
      <c r="AX379" s="187"/>
      <c r="AY379" s="187"/>
      <c r="AZ379" s="187"/>
      <c r="BA379" s="181"/>
      <c r="BB379" s="181"/>
      <c r="BC379" s="181"/>
      <c r="BD379" s="181"/>
      <c r="BE379" s="181"/>
      <c r="BF379" s="181"/>
      <c r="BG379" s="181"/>
      <c r="BH379" s="181"/>
      <c r="BI379" s="181"/>
      <c r="BJ379" s="181"/>
      <c r="BK379" s="181"/>
      <c r="BL379" s="181"/>
      <c r="BM379" s="777">
        <v>45056</v>
      </c>
      <c r="BN379" s="792"/>
    </row>
    <row r="380" spans="1:66" s="189" customFormat="1" ht="39.6" x14ac:dyDescent="0.3">
      <c r="A380" s="188" t="s">
        <v>324</v>
      </c>
      <c r="B380" s="181" t="s">
        <v>248</v>
      </c>
      <c r="C380" s="188">
        <v>132561311</v>
      </c>
      <c r="D380" s="715" t="s">
        <v>1832</v>
      </c>
      <c r="E380" s="479" t="s">
        <v>807</v>
      </c>
      <c r="F380" s="479" t="s">
        <v>248</v>
      </c>
      <c r="G380" s="183" t="s">
        <v>89</v>
      </c>
      <c r="H380" s="184" t="s">
        <v>816</v>
      </c>
      <c r="I380" s="184" t="s">
        <v>872</v>
      </c>
      <c r="J380" s="185" t="s">
        <v>917</v>
      </c>
      <c r="K380" s="1283" t="s">
        <v>2290</v>
      </c>
      <c r="L380" s="736" t="s">
        <v>909</v>
      </c>
      <c r="M380" s="1308" t="s">
        <v>807</v>
      </c>
      <c r="N380" s="777"/>
      <c r="O380" s="1298"/>
      <c r="P380" s="181"/>
      <c r="Q380" s="1298" t="s">
        <v>832</v>
      </c>
      <c r="R380" s="186">
        <f>$B$1</f>
        <v>45388</v>
      </c>
      <c r="S380" s="182"/>
      <c r="T380" s="182" t="s">
        <v>2919</v>
      </c>
      <c r="U380" s="192">
        <v>45366</v>
      </c>
      <c r="V380" s="192">
        <v>45390</v>
      </c>
      <c r="W380" s="188">
        <f>IFERROR(IF(AND(BD_PRINCIPAL[[#This Row],[DESDE]]&lt;&gt;"",BD_PRINCIPAL[[#This Row],[HASTA]]&lt;&gt;""),_xlfn.DAYS(BD_PRINCIPAL[[#This Row],[HASTA]],BD_PRINCIPAL[[#This Row],[DESDE]]),"")+1,"")</f>
        <v>25</v>
      </c>
      <c r="X380" s="188">
        <f>VLOOKUP(BD_PRINCIPAL[[#This Row],[ENCUADRE. ESC.]],ORDEN1,2,FALSE)</f>
        <v>1</v>
      </c>
      <c r="Y380" s="188">
        <f>VLOOKUP(BD_PRINCIPAL[[#This Row],[DOTACIÓN ACTUAL]],ORDEN2,4,FALSE)</f>
        <v>299</v>
      </c>
      <c r="Z380" s="188">
        <f>VLOOKUP(BD_PRINCIPAL[[#This Row],[GRADO]],ORDEN3,2,FALSE)</f>
        <v>9</v>
      </c>
      <c r="AA380" s="188">
        <f>IFERROR(VLOOKUP(BD_PRINCIPAL[[#This Row],[DOTACIÓN ACTUAL]],ORDEN2,3,FALSE),0)</f>
        <v>0</v>
      </c>
      <c r="AB380" s="181" t="s">
        <v>909</v>
      </c>
      <c r="AC380" s="181" t="s">
        <v>909</v>
      </c>
      <c r="AD380" s="181" t="s">
        <v>909</v>
      </c>
      <c r="AE380" s="181" t="s">
        <v>909</v>
      </c>
      <c r="AF380" s="181" t="s">
        <v>909</v>
      </c>
      <c r="AG380" s="181" t="s">
        <v>909</v>
      </c>
      <c r="AH380" s="181"/>
      <c r="AI380" s="181"/>
      <c r="AJ380" s="181"/>
      <c r="AK380" s="181"/>
      <c r="AL380" s="181"/>
      <c r="AM380" s="181"/>
      <c r="AN380" s="181"/>
      <c r="AO380" s="181"/>
      <c r="AP380" s="181"/>
      <c r="AQ380" s="181"/>
      <c r="AR380" s="181"/>
      <c r="AS380" s="181"/>
      <c r="AT380" s="187"/>
      <c r="AU380" s="187"/>
      <c r="AV380" s="187"/>
      <c r="AW380" s="187"/>
      <c r="AX380" s="187"/>
      <c r="AY380" s="187"/>
      <c r="AZ380" s="187"/>
      <c r="BA380" s="181"/>
      <c r="BB380" s="181"/>
      <c r="BC380" s="181"/>
      <c r="BD380" s="181"/>
      <c r="BE380" s="181"/>
      <c r="BF380" s="181"/>
      <c r="BG380" s="181"/>
      <c r="BH380" s="181"/>
      <c r="BI380" s="181"/>
      <c r="BJ380" s="181"/>
      <c r="BK380" s="181"/>
      <c r="BL380" s="181"/>
      <c r="BM380" s="777">
        <v>45030</v>
      </c>
      <c r="BN380" s="792"/>
    </row>
    <row r="381" spans="1:66" s="189" customFormat="1" ht="39.6" x14ac:dyDescent="0.3">
      <c r="A381" s="188" t="s">
        <v>460</v>
      </c>
      <c r="B381" s="181" t="s">
        <v>1570</v>
      </c>
      <c r="C381" s="188">
        <v>145674875</v>
      </c>
      <c r="D381" s="715" t="s">
        <v>1832</v>
      </c>
      <c r="E381" s="488" t="s">
        <v>807</v>
      </c>
      <c r="F381" s="479" t="s">
        <v>2489</v>
      </c>
      <c r="G381" s="183" t="s">
        <v>89</v>
      </c>
      <c r="H381" s="184" t="s">
        <v>816</v>
      </c>
      <c r="I381" s="184" t="s">
        <v>872</v>
      </c>
      <c r="J381" s="185" t="s">
        <v>917</v>
      </c>
      <c r="K381" s="1283" t="s">
        <v>2290</v>
      </c>
      <c r="L381" s="736" t="s">
        <v>909</v>
      </c>
      <c r="M381" s="1308" t="s">
        <v>807</v>
      </c>
      <c r="N381" s="778"/>
      <c r="O381" s="1298"/>
      <c r="P381" s="181"/>
      <c r="Q381" s="1298" t="s">
        <v>832</v>
      </c>
      <c r="R381" s="186">
        <f>$B$1</f>
        <v>45388</v>
      </c>
      <c r="S381" s="190"/>
      <c r="T381" s="182" t="s">
        <v>2919</v>
      </c>
      <c r="U381" s="192">
        <v>45386</v>
      </c>
      <c r="V381" s="192">
        <v>45415</v>
      </c>
      <c r="W381" s="188">
        <f>IFERROR(IF(AND(BD_PRINCIPAL[[#This Row],[DESDE]]&lt;&gt;"",BD_PRINCIPAL[[#This Row],[HASTA]]&lt;&gt;""),_xlfn.DAYS(BD_PRINCIPAL[[#This Row],[HASTA]],BD_PRINCIPAL[[#This Row],[DESDE]]),"")+1,"")</f>
        <v>30</v>
      </c>
      <c r="X381" s="188">
        <f>VLOOKUP(BD_PRINCIPAL[[#This Row],[ENCUADRE. ESC.]],ORDEN1,2,FALSE)</f>
        <v>1</v>
      </c>
      <c r="Y381" s="188">
        <f>VLOOKUP(BD_PRINCIPAL[[#This Row],[DOTACIÓN ACTUAL]],ORDEN2,4,FALSE)</f>
        <v>299</v>
      </c>
      <c r="Z381" s="188">
        <f>VLOOKUP(BD_PRINCIPAL[[#This Row],[GRADO]],ORDEN3,2,FALSE)</f>
        <v>9</v>
      </c>
      <c r="AA381" s="188">
        <f>IFERROR(VLOOKUP(BD_PRINCIPAL[[#This Row],[DOTACIÓN ACTUAL]],ORDEN2,3,FALSE),0)</f>
        <v>0</v>
      </c>
      <c r="AB381" s="181" t="s">
        <v>909</v>
      </c>
      <c r="AC381" s="181" t="s">
        <v>909</v>
      </c>
      <c r="AD381" s="181" t="s">
        <v>909</v>
      </c>
      <c r="AE381" s="181" t="s">
        <v>909</v>
      </c>
      <c r="AF381" s="181" t="s">
        <v>909</v>
      </c>
      <c r="AG381" s="181" t="s">
        <v>909</v>
      </c>
      <c r="AH381" s="181"/>
      <c r="AI381" s="181"/>
      <c r="AJ381" s="181"/>
      <c r="AK381" s="181"/>
      <c r="AL381" s="181"/>
      <c r="AM381" s="181"/>
      <c r="AN381" s="181"/>
      <c r="AO381" s="181"/>
      <c r="AP381" s="181"/>
      <c r="AQ381" s="181"/>
      <c r="AR381" s="181"/>
      <c r="AS381" s="181"/>
      <c r="AT381" s="187"/>
      <c r="AU381" s="187"/>
      <c r="AV381" s="187"/>
      <c r="AW381" s="187"/>
      <c r="AX381" s="187"/>
      <c r="AY381" s="187"/>
      <c r="AZ381" s="187"/>
      <c r="BA381" s="181"/>
      <c r="BB381" s="181"/>
      <c r="BC381" s="181"/>
      <c r="BD381" s="181"/>
      <c r="BE381" s="181"/>
      <c r="BF381" s="181"/>
      <c r="BG381" s="181"/>
      <c r="BH381" s="181"/>
      <c r="BI381" s="181"/>
      <c r="BJ381" s="181"/>
      <c r="BK381" s="181"/>
      <c r="BL381" s="181"/>
      <c r="BM381" s="778">
        <v>45090</v>
      </c>
      <c r="BN381" s="792"/>
    </row>
    <row r="382" spans="1:66" s="189" customFormat="1" ht="52.8" x14ac:dyDescent="0.3">
      <c r="A382" s="188" t="s">
        <v>674</v>
      </c>
      <c r="B382" s="181" t="s">
        <v>1891</v>
      </c>
      <c r="C382" s="188">
        <v>164465772</v>
      </c>
      <c r="D382" s="715" t="s">
        <v>714</v>
      </c>
      <c r="E382" s="479" t="s">
        <v>807</v>
      </c>
      <c r="F382" s="479" t="s">
        <v>2636</v>
      </c>
      <c r="G382" s="183" t="s">
        <v>209</v>
      </c>
      <c r="H382" s="184" t="s">
        <v>816</v>
      </c>
      <c r="I382" s="184" t="s">
        <v>872</v>
      </c>
      <c r="J382" s="185" t="s">
        <v>917</v>
      </c>
      <c r="K382" s="1283" t="s">
        <v>2290</v>
      </c>
      <c r="L382" s="736" t="s">
        <v>909</v>
      </c>
      <c r="M382" s="1308" t="s">
        <v>807</v>
      </c>
      <c r="N382" s="777"/>
      <c r="O382" s="1298"/>
      <c r="P382" s="181"/>
      <c r="Q382" s="1298" t="s">
        <v>832</v>
      </c>
      <c r="R382" s="186">
        <f>$B$1</f>
        <v>45388</v>
      </c>
      <c r="S382" s="190"/>
      <c r="T382" s="190" t="s">
        <v>2969</v>
      </c>
      <c r="U382" s="192">
        <v>45378</v>
      </c>
      <c r="V382" s="192">
        <v>45407</v>
      </c>
      <c r="W382" s="188">
        <f>IFERROR(IF(AND(BD_PRINCIPAL[[#This Row],[DESDE]]&lt;&gt;"",BD_PRINCIPAL[[#This Row],[HASTA]]&lt;&gt;""),_xlfn.DAYS(BD_PRINCIPAL[[#This Row],[HASTA]],BD_PRINCIPAL[[#This Row],[DESDE]]),"")+1,"")</f>
        <v>30</v>
      </c>
      <c r="X382" s="188">
        <f>VLOOKUP(BD_PRINCIPAL[[#This Row],[ENCUADRE. ESC.]],ORDEN1,2,FALSE)</f>
        <v>1</v>
      </c>
      <c r="Y382" s="188">
        <f>VLOOKUP(BD_PRINCIPAL[[#This Row],[DOTACIÓN ACTUAL]],ORDEN2,4,FALSE)</f>
        <v>299</v>
      </c>
      <c r="Z382" s="188">
        <f>VLOOKUP(BD_PRINCIPAL[[#This Row],[GRADO]],ORDEN3,2,FALSE)</f>
        <v>10</v>
      </c>
      <c r="AA382" s="188">
        <f>IFERROR(VLOOKUP(BD_PRINCIPAL[[#This Row],[DOTACIÓN ACTUAL]],ORDEN2,3,FALSE),0)</f>
        <v>0</v>
      </c>
      <c r="AB382" s="181" t="s">
        <v>909</v>
      </c>
      <c r="AC382" s="181" t="s">
        <v>909</v>
      </c>
      <c r="AD382" s="181" t="s">
        <v>909</v>
      </c>
      <c r="AE382" s="181" t="s">
        <v>909</v>
      </c>
      <c r="AF382" s="181" t="s">
        <v>909</v>
      </c>
      <c r="AG382" s="181" t="s">
        <v>909</v>
      </c>
      <c r="AH382" s="181"/>
      <c r="AI382" s="181"/>
      <c r="AJ382" s="181"/>
      <c r="AK382" s="181"/>
      <c r="AL382" s="181"/>
      <c r="AM382" s="181"/>
      <c r="AN382" s="181"/>
      <c r="AO382" s="181"/>
      <c r="AP382" s="181"/>
      <c r="AQ382" s="181"/>
      <c r="AR382" s="181"/>
      <c r="AS382" s="181"/>
      <c r="AT382" s="187"/>
      <c r="AU382" s="187"/>
      <c r="AV382" s="187"/>
      <c r="AW382" s="187"/>
      <c r="AX382" s="187"/>
      <c r="AY382" s="187"/>
      <c r="AZ382" s="187"/>
      <c r="BA382" s="181"/>
      <c r="BB382" s="181"/>
      <c r="BC382" s="181"/>
      <c r="BD382" s="181"/>
      <c r="BE382" s="181"/>
      <c r="BF382" s="181"/>
      <c r="BG382" s="181"/>
      <c r="BH382" s="181"/>
      <c r="BI382" s="181"/>
      <c r="BJ382" s="181"/>
      <c r="BK382" s="181"/>
      <c r="BL382" s="181"/>
      <c r="BM382" s="777">
        <v>45113</v>
      </c>
      <c r="BN382" s="792"/>
    </row>
    <row r="383" spans="1:66" s="189" customFormat="1" ht="39.6" x14ac:dyDescent="0.3">
      <c r="A383" s="188" t="s">
        <v>1779</v>
      </c>
      <c r="B383" s="181" t="s">
        <v>1780</v>
      </c>
      <c r="C383" s="188">
        <v>164095290</v>
      </c>
      <c r="D383" s="872" t="s">
        <v>1992</v>
      </c>
      <c r="E383" s="876" t="s">
        <v>807</v>
      </c>
      <c r="F383" s="479" t="s">
        <v>1780</v>
      </c>
      <c r="G383" s="191" t="s">
        <v>209</v>
      </c>
      <c r="H383" s="184" t="s">
        <v>816</v>
      </c>
      <c r="I383" s="184" t="s">
        <v>872</v>
      </c>
      <c r="J383" s="185" t="s">
        <v>917</v>
      </c>
      <c r="K383" s="1283" t="s">
        <v>2290</v>
      </c>
      <c r="L383" s="736" t="s">
        <v>909</v>
      </c>
      <c r="M383" s="1308" t="s">
        <v>807</v>
      </c>
      <c r="N383" s="776"/>
      <c r="O383" s="1298"/>
      <c r="P383" s="181"/>
      <c r="Q383" s="1298" t="s">
        <v>832</v>
      </c>
      <c r="R383" s="865">
        <f>$B$1</f>
        <v>45388</v>
      </c>
      <c r="S383" s="182"/>
      <c r="T383" s="182" t="s">
        <v>2919</v>
      </c>
      <c r="U383" s="192">
        <v>45358</v>
      </c>
      <c r="V383" s="192">
        <v>45399</v>
      </c>
      <c r="W383" s="339">
        <f>IFERROR(IF(AND(BD_PRINCIPAL[[#This Row],[DESDE]]&lt;&gt;"",BD_PRINCIPAL[[#This Row],[HASTA]]&lt;&gt;""),_xlfn.DAYS(BD_PRINCIPAL[[#This Row],[HASTA]],BD_PRINCIPAL[[#This Row],[DESDE]]),"")+1,"")</f>
        <v>42</v>
      </c>
      <c r="X383" s="339">
        <f>VLOOKUP(BD_PRINCIPAL[[#This Row],[ENCUADRE. ESC.]],ORDEN1,2,FALSE)</f>
        <v>1</v>
      </c>
      <c r="Y383" s="339">
        <f>VLOOKUP(BD_PRINCIPAL[[#This Row],[DOTACIÓN ACTUAL]],ORDEN2,4,FALSE)</f>
        <v>299</v>
      </c>
      <c r="Z383" s="339">
        <f>VLOOKUP(BD_PRINCIPAL[[#This Row],[GRADO]],ORDEN3,2,FALSE)</f>
        <v>10</v>
      </c>
      <c r="AA383" s="339">
        <f>IFERROR(VLOOKUP(BD_PRINCIPAL[[#This Row],[DOTACIÓN ACTUAL]],ORDEN2,3,FALSE),0)</f>
        <v>0</v>
      </c>
      <c r="AB383" s="181" t="s">
        <v>909</v>
      </c>
      <c r="AC383" s="181" t="s">
        <v>909</v>
      </c>
      <c r="AD383" s="181" t="s">
        <v>909</v>
      </c>
      <c r="AE383" s="181" t="s">
        <v>909</v>
      </c>
      <c r="AF383" s="181" t="s">
        <v>909</v>
      </c>
      <c r="AG383" s="181" t="s">
        <v>909</v>
      </c>
      <c r="AH383" s="181"/>
      <c r="AI383" s="181"/>
      <c r="AJ383" s="181"/>
      <c r="AK383" s="181"/>
      <c r="AL383" s="181"/>
      <c r="AM383" s="181"/>
      <c r="AN383" s="181"/>
      <c r="AO383" s="181"/>
      <c r="AP383" s="181"/>
      <c r="AQ383" s="181"/>
      <c r="AR383" s="181"/>
      <c r="AS383" s="181"/>
      <c r="AT383" s="187"/>
      <c r="AU383" s="187"/>
      <c r="AV383" s="187"/>
      <c r="AW383" s="187"/>
      <c r="AX383" s="187"/>
      <c r="AY383" s="187"/>
      <c r="AZ383" s="187"/>
      <c r="BA383" s="181"/>
      <c r="BB383" s="181"/>
      <c r="BC383" s="181"/>
      <c r="BD383" s="181"/>
      <c r="BE383" s="181"/>
      <c r="BF383" s="181"/>
      <c r="BG383" s="181"/>
      <c r="BH383" s="181"/>
      <c r="BI383" s="181"/>
      <c r="BJ383" s="181"/>
      <c r="BK383" s="181"/>
      <c r="BL383" s="181"/>
      <c r="BM383" s="777">
        <v>45138</v>
      </c>
      <c r="BN383" s="792"/>
    </row>
    <row r="384" spans="1:66" s="189" customFormat="1" ht="39.6" x14ac:dyDescent="0.3">
      <c r="A384" s="188" t="s">
        <v>2031</v>
      </c>
      <c r="B384" s="864" t="s">
        <v>2032</v>
      </c>
      <c r="C384" s="188">
        <v>165225996</v>
      </c>
      <c r="D384" s="715" t="s">
        <v>700</v>
      </c>
      <c r="E384" s="479" t="s">
        <v>807</v>
      </c>
      <c r="F384" s="479" t="s">
        <v>2504</v>
      </c>
      <c r="G384" s="191" t="s">
        <v>3</v>
      </c>
      <c r="H384" s="184" t="s">
        <v>816</v>
      </c>
      <c r="I384" s="184" t="s">
        <v>872</v>
      </c>
      <c r="J384" s="185" t="s">
        <v>917</v>
      </c>
      <c r="K384" s="1283" t="s">
        <v>2309</v>
      </c>
      <c r="L384" s="736" t="s">
        <v>909</v>
      </c>
      <c r="M384" s="1308" t="s">
        <v>807</v>
      </c>
      <c r="N384" s="776"/>
      <c r="O384" s="1298"/>
      <c r="P384" s="181"/>
      <c r="Q384" s="1298" t="s">
        <v>832</v>
      </c>
      <c r="R384" s="865">
        <f>$B$1</f>
        <v>45388</v>
      </c>
      <c r="S384" s="190"/>
      <c r="T384" s="182" t="s">
        <v>2919</v>
      </c>
      <c r="U384" s="192">
        <v>45385</v>
      </c>
      <c r="V384" s="192">
        <v>45412</v>
      </c>
      <c r="W384" s="339">
        <f>IFERROR(IF(AND(BD_PRINCIPAL[[#This Row],[DESDE]]&lt;&gt;"",BD_PRINCIPAL[[#This Row],[HASTA]]&lt;&gt;""),_xlfn.DAYS(BD_PRINCIPAL[[#This Row],[HASTA]],BD_PRINCIPAL[[#This Row],[DESDE]]),"")+1,"")</f>
        <v>28</v>
      </c>
      <c r="X384" s="339">
        <f>VLOOKUP(BD_PRINCIPAL[[#This Row],[ENCUADRE. ESC.]],ORDEN1,2,FALSE)</f>
        <v>1</v>
      </c>
      <c r="Y384" s="339">
        <f>VLOOKUP(BD_PRINCIPAL[[#This Row],[DOTACIÓN ACTUAL]],ORDEN2,4,FALSE)</f>
        <v>299</v>
      </c>
      <c r="Z384" s="339">
        <f>VLOOKUP(BD_PRINCIPAL[[#This Row],[GRADO]],ORDEN3,2,FALSE)</f>
        <v>11</v>
      </c>
      <c r="AA384" s="339">
        <f>IFERROR(VLOOKUP(BD_PRINCIPAL[[#This Row],[DOTACIÓN ACTUAL]],ORDEN2,3,FALSE),0)</f>
        <v>0</v>
      </c>
      <c r="AB384" s="181" t="s">
        <v>909</v>
      </c>
      <c r="AC384" s="181" t="s">
        <v>909</v>
      </c>
      <c r="AD384" s="181" t="s">
        <v>909</v>
      </c>
      <c r="AE384" s="181" t="s">
        <v>909</v>
      </c>
      <c r="AF384" s="181" t="s">
        <v>909</v>
      </c>
      <c r="AG384" s="181" t="s">
        <v>909</v>
      </c>
      <c r="AH384" s="181"/>
      <c r="AI384" s="181"/>
      <c r="AJ384" s="181"/>
      <c r="AK384" s="181"/>
      <c r="AL384" s="181"/>
      <c r="AM384" s="181"/>
      <c r="AN384" s="181"/>
      <c r="AO384" s="181"/>
      <c r="AP384" s="181"/>
      <c r="AQ384" s="181"/>
      <c r="AR384" s="181"/>
      <c r="AS384" s="181"/>
      <c r="AT384" s="187"/>
      <c r="AU384" s="187"/>
      <c r="AV384" s="187"/>
      <c r="AW384" s="187"/>
      <c r="AX384" s="187"/>
      <c r="AY384" s="187"/>
      <c r="AZ384" s="187"/>
      <c r="BA384" s="181"/>
      <c r="BB384" s="181"/>
      <c r="BC384" s="181"/>
      <c r="BD384" s="181"/>
      <c r="BE384" s="181"/>
      <c r="BF384" s="181"/>
      <c r="BG384" s="181"/>
      <c r="BH384" s="181"/>
      <c r="BI384" s="181"/>
      <c r="BJ384" s="181"/>
      <c r="BK384" s="181"/>
      <c r="BL384" s="181"/>
      <c r="BM384" s="777">
        <v>45055</v>
      </c>
      <c r="BN384" s="792"/>
    </row>
    <row r="385" spans="1:66" s="189" customFormat="1" ht="39.6" x14ac:dyDescent="0.3">
      <c r="A385" s="188" t="s">
        <v>488</v>
      </c>
      <c r="B385" s="181" t="s">
        <v>682</v>
      </c>
      <c r="C385" s="188">
        <v>189511590</v>
      </c>
      <c r="D385" s="866" t="s">
        <v>714</v>
      </c>
      <c r="E385" s="973" t="s">
        <v>807</v>
      </c>
      <c r="F385" s="479" t="s">
        <v>682</v>
      </c>
      <c r="G385" s="183" t="s">
        <v>4</v>
      </c>
      <c r="H385" s="184" t="s">
        <v>816</v>
      </c>
      <c r="I385" s="184" t="s">
        <v>872</v>
      </c>
      <c r="J385" s="185" t="s">
        <v>917</v>
      </c>
      <c r="K385" s="1283" t="s">
        <v>2290</v>
      </c>
      <c r="L385" s="736" t="s">
        <v>909</v>
      </c>
      <c r="M385" s="1308" t="s">
        <v>807</v>
      </c>
      <c r="N385" s="777"/>
      <c r="O385" s="1298"/>
      <c r="P385" s="181"/>
      <c r="Q385" s="1298" t="s">
        <v>832</v>
      </c>
      <c r="R385" s="186">
        <f>$B$1</f>
        <v>45388</v>
      </c>
      <c r="S385" s="190"/>
      <c r="T385" s="190" t="s">
        <v>2919</v>
      </c>
      <c r="U385" s="196">
        <v>45381</v>
      </c>
      <c r="V385" s="196">
        <v>45395</v>
      </c>
      <c r="W385" s="188">
        <f>IFERROR(IF(AND(BD_PRINCIPAL[[#This Row],[DESDE]]&lt;&gt;"",BD_PRINCIPAL[[#This Row],[HASTA]]&lt;&gt;""),_xlfn.DAYS(BD_PRINCIPAL[[#This Row],[HASTA]],BD_PRINCIPAL[[#This Row],[DESDE]]),"")+1,"")</f>
        <v>15</v>
      </c>
      <c r="X385" s="188">
        <f>VLOOKUP(BD_PRINCIPAL[[#This Row],[ENCUADRE. ESC.]],ORDEN1,2,FALSE)</f>
        <v>1</v>
      </c>
      <c r="Y385" s="188">
        <f>VLOOKUP(BD_PRINCIPAL[[#This Row],[DOTACIÓN ACTUAL]],ORDEN2,4,FALSE)</f>
        <v>299</v>
      </c>
      <c r="Z385" s="188">
        <f>VLOOKUP(BD_PRINCIPAL[[#This Row],[GRADO]],ORDEN3,2,FALSE)</f>
        <v>12</v>
      </c>
      <c r="AA385" s="188">
        <f>IFERROR(VLOOKUP(BD_PRINCIPAL[[#This Row],[DOTACIÓN ACTUAL]],ORDEN2,3,FALSE),0)</f>
        <v>0</v>
      </c>
      <c r="AB385" s="181" t="s">
        <v>909</v>
      </c>
      <c r="AC385" s="181" t="s">
        <v>909</v>
      </c>
      <c r="AD385" s="181" t="s">
        <v>909</v>
      </c>
      <c r="AE385" s="181" t="s">
        <v>909</v>
      </c>
      <c r="AF385" s="181" t="s">
        <v>909</v>
      </c>
      <c r="AG385" s="181" t="s">
        <v>909</v>
      </c>
      <c r="AH385" s="181"/>
      <c r="AI385" s="181"/>
      <c r="AJ385" s="181"/>
      <c r="AK385" s="181"/>
      <c r="AL385" s="181"/>
      <c r="AM385" s="181"/>
      <c r="AN385" s="181"/>
      <c r="AO385" s="181"/>
      <c r="AP385" s="181"/>
      <c r="AQ385" s="181"/>
      <c r="AR385" s="181"/>
      <c r="AS385" s="181"/>
      <c r="AT385" s="187"/>
      <c r="AU385" s="187"/>
      <c r="AV385" s="187"/>
      <c r="AW385" s="187"/>
      <c r="AX385" s="187"/>
      <c r="AY385" s="187"/>
      <c r="AZ385" s="187"/>
      <c r="BA385" s="181"/>
      <c r="BB385" s="181"/>
      <c r="BC385" s="181"/>
      <c r="BD385" s="181"/>
      <c r="BE385" s="181"/>
      <c r="BF385" s="181"/>
      <c r="BG385" s="181"/>
      <c r="BH385" s="181"/>
      <c r="BI385" s="181"/>
      <c r="BJ385" s="181"/>
      <c r="BK385" s="181"/>
      <c r="BL385" s="181"/>
      <c r="BM385" s="777">
        <v>45146</v>
      </c>
      <c r="BN385" s="792"/>
    </row>
    <row r="386" spans="1:66" s="189" customFormat="1" ht="39.6" x14ac:dyDescent="0.3">
      <c r="A386" s="966" t="s">
        <v>1539</v>
      </c>
      <c r="B386" s="181" t="s">
        <v>147</v>
      </c>
      <c r="C386" s="966">
        <v>190656322</v>
      </c>
      <c r="D386" s="867" t="s">
        <v>1832</v>
      </c>
      <c r="E386" s="488" t="s">
        <v>807</v>
      </c>
      <c r="F386" s="479" t="s">
        <v>147</v>
      </c>
      <c r="G386" s="967" t="s">
        <v>4</v>
      </c>
      <c r="H386" s="184" t="s">
        <v>816</v>
      </c>
      <c r="I386" s="184" t="s">
        <v>872</v>
      </c>
      <c r="J386" s="185" t="s">
        <v>917</v>
      </c>
      <c r="K386" s="968" t="s">
        <v>2290</v>
      </c>
      <c r="L386" s="736" t="s">
        <v>909</v>
      </c>
      <c r="M386" s="969" t="s">
        <v>807</v>
      </c>
      <c r="N386" s="777"/>
      <c r="O386" s="1298"/>
      <c r="P386" s="181"/>
      <c r="Q386" s="1298" t="s">
        <v>832</v>
      </c>
      <c r="R386" s="186">
        <f>$B$1</f>
        <v>45388</v>
      </c>
      <c r="S386" s="190" t="s">
        <v>3411</v>
      </c>
      <c r="T386" s="190" t="s">
        <v>2919</v>
      </c>
      <c r="U386" s="192">
        <v>45347</v>
      </c>
      <c r="V386" s="192">
        <v>45436</v>
      </c>
      <c r="W386" s="188">
        <f>IFERROR(IF(AND(BD_PRINCIPAL[[#This Row],[DESDE]]&lt;&gt;"",BD_PRINCIPAL[[#This Row],[HASTA]]&lt;&gt;""),_xlfn.DAYS(BD_PRINCIPAL[[#This Row],[HASTA]],BD_PRINCIPAL[[#This Row],[DESDE]]),"")+1,"")</f>
        <v>90</v>
      </c>
      <c r="X386" s="188">
        <f>VLOOKUP(BD_PRINCIPAL[[#This Row],[ENCUADRE. ESC.]],ORDEN1,2,FALSE)</f>
        <v>1</v>
      </c>
      <c r="Y386" s="188">
        <f>VLOOKUP(BD_PRINCIPAL[[#This Row],[DOTACIÓN ACTUAL]],ORDEN2,4,FALSE)</f>
        <v>299</v>
      </c>
      <c r="Z386" s="188">
        <f>VLOOKUP(BD_PRINCIPAL[[#This Row],[GRADO]],ORDEN3,2,FALSE)</f>
        <v>12</v>
      </c>
      <c r="AA386" s="188">
        <f>IFERROR(VLOOKUP(BD_PRINCIPAL[[#This Row],[DOTACIÓN ACTUAL]],ORDEN2,3,FALSE),0)</f>
        <v>0</v>
      </c>
      <c r="AB386" s="181" t="s">
        <v>909</v>
      </c>
      <c r="AC386" s="181" t="s">
        <v>909</v>
      </c>
      <c r="AD386" s="181" t="s">
        <v>909</v>
      </c>
      <c r="AE386" s="181" t="s">
        <v>909</v>
      </c>
      <c r="AF386" s="181" t="s">
        <v>909</v>
      </c>
      <c r="AG386" s="181" t="s">
        <v>909</v>
      </c>
      <c r="AH386" s="181"/>
      <c r="AI386" s="181"/>
      <c r="AJ386" s="181"/>
      <c r="AK386" s="181"/>
      <c r="AL386" s="181"/>
      <c r="AM386" s="181"/>
      <c r="AN386" s="181"/>
      <c r="AO386" s="181"/>
      <c r="AP386" s="181"/>
      <c r="AQ386" s="181"/>
      <c r="AR386" s="181"/>
      <c r="AS386" s="181"/>
      <c r="AT386" s="187"/>
      <c r="AU386" s="187"/>
      <c r="AV386" s="187"/>
      <c r="AW386" s="187"/>
      <c r="AX386" s="187"/>
      <c r="AY386" s="187"/>
      <c r="AZ386" s="187"/>
      <c r="BA386" s="181"/>
      <c r="BB386" s="181"/>
      <c r="BC386" s="181"/>
      <c r="BD386" s="181"/>
      <c r="BE386" s="181"/>
      <c r="BF386" s="181"/>
      <c r="BG386" s="181"/>
      <c r="BH386" s="181"/>
      <c r="BI386" s="181"/>
      <c r="BJ386" s="181"/>
      <c r="BK386" s="181"/>
      <c r="BL386" s="181"/>
      <c r="BM386" s="777">
        <v>45197</v>
      </c>
      <c r="BN386" s="792"/>
    </row>
    <row r="387" spans="1:66" s="221" customFormat="1" ht="39.6" x14ac:dyDescent="0.3">
      <c r="A387" s="219" t="s">
        <v>2645</v>
      </c>
      <c r="B387" s="728" t="s">
        <v>2646</v>
      </c>
      <c r="C387" s="219">
        <v>141192795</v>
      </c>
      <c r="D387" s="715" t="s">
        <v>709</v>
      </c>
      <c r="E387" s="480" t="s">
        <v>809</v>
      </c>
      <c r="F387" s="480" t="s">
        <v>2646</v>
      </c>
      <c r="G387" s="222" t="s">
        <v>1650</v>
      </c>
      <c r="H387" s="215" t="s">
        <v>816</v>
      </c>
      <c r="I387" s="215" t="s">
        <v>872</v>
      </c>
      <c r="J387" s="216" t="s">
        <v>918</v>
      </c>
      <c r="K387" s="1279" t="s">
        <v>2290</v>
      </c>
      <c r="L387" s="733" t="s">
        <v>909</v>
      </c>
      <c r="M387" s="1304" t="s">
        <v>809</v>
      </c>
      <c r="N387" s="787"/>
      <c r="O387" s="1294"/>
      <c r="P387" s="212"/>
      <c r="Q387" s="1294" t="s">
        <v>832</v>
      </c>
      <c r="R387" s="498" t="s">
        <v>2623</v>
      </c>
      <c r="S387" s="213"/>
      <c r="T387" s="213"/>
      <c r="U387" s="747">
        <v>45386</v>
      </c>
      <c r="V387" s="747">
        <v>45400</v>
      </c>
      <c r="W387" s="499">
        <f>IFERROR(IF(AND(BD_PRINCIPAL[[#This Row],[DESDE]]&lt;&gt;"",BD_PRINCIPAL[[#This Row],[HASTA]]&lt;&gt;""),_xlfn.DAYS(BD_PRINCIPAL[[#This Row],[HASTA]],BD_PRINCIPAL[[#This Row],[DESDE]]),"")+1,"")</f>
        <v>15</v>
      </c>
      <c r="X387" s="499">
        <f>VLOOKUP(BD_PRINCIPAL[[#This Row],[ENCUADRE. ESC.]],ORDEN1,2,FALSE)</f>
        <v>1</v>
      </c>
      <c r="Y387" s="499">
        <f>VLOOKUP(BD_PRINCIPAL[[#This Row],[DOTACIÓN ACTUAL]],ORDEN2,4,FALSE)</f>
        <v>300</v>
      </c>
      <c r="Z387" s="499">
        <f>VLOOKUP(BD_PRINCIPAL[[#This Row],[GRADO]],ORDEN3,2,FALSE)</f>
        <v>3</v>
      </c>
      <c r="AA387" s="499">
        <f>IFERROR(VLOOKUP(BD_PRINCIPAL[[#This Row],[DOTACIÓN ACTUAL]],ORDEN2,3,FALSE),0)</f>
        <v>0</v>
      </c>
      <c r="AB387" s="212" t="s">
        <v>853</v>
      </c>
      <c r="AC387" s="212" t="s">
        <v>853</v>
      </c>
      <c r="AD387" s="212" t="s">
        <v>853</v>
      </c>
      <c r="AE387" s="212" t="s">
        <v>853</v>
      </c>
      <c r="AF387" s="212" t="s">
        <v>909</v>
      </c>
      <c r="AG387" s="212" t="s">
        <v>909</v>
      </c>
      <c r="AH387" s="220"/>
      <c r="AI387" s="220"/>
      <c r="AJ387" s="220"/>
      <c r="AK387" s="220"/>
      <c r="AL387" s="220"/>
      <c r="AM387" s="220"/>
      <c r="AN387" s="220"/>
      <c r="AO387" s="220"/>
      <c r="AP387" s="220"/>
      <c r="AQ387" s="220"/>
      <c r="AR387" s="220"/>
      <c r="AS387" s="220"/>
      <c r="AT387" s="220"/>
      <c r="AU387" s="220"/>
      <c r="AV387" s="220"/>
      <c r="AW387" s="220"/>
      <c r="AX387" s="220"/>
      <c r="AY387" s="220"/>
      <c r="AZ387" s="220"/>
      <c r="BA387" s="212"/>
      <c r="BB387" s="212"/>
      <c r="BC387" s="212"/>
      <c r="BD387" s="212"/>
      <c r="BE387" s="212"/>
      <c r="BF387" s="212"/>
      <c r="BG387" s="212"/>
      <c r="BH387" s="212"/>
      <c r="BI387" s="212"/>
      <c r="BJ387" s="212"/>
      <c r="BK387" s="212"/>
      <c r="BL387" s="212"/>
      <c r="BM387" s="890"/>
      <c r="BN387" s="890"/>
    </row>
    <row r="388" spans="1:66" s="221" customFormat="1" ht="39.6" x14ac:dyDescent="0.3">
      <c r="A388" s="219" t="s">
        <v>2633</v>
      </c>
      <c r="B388" s="728" t="s">
        <v>2628</v>
      </c>
      <c r="C388" s="219">
        <v>196147578</v>
      </c>
      <c r="D388" s="873" t="s">
        <v>732</v>
      </c>
      <c r="E388" s="480" t="s">
        <v>809</v>
      </c>
      <c r="F388" s="480" t="s">
        <v>2634</v>
      </c>
      <c r="G388" s="222" t="s">
        <v>10</v>
      </c>
      <c r="H388" s="215" t="s">
        <v>816</v>
      </c>
      <c r="I388" s="215" t="s">
        <v>872</v>
      </c>
      <c r="J388" s="216" t="s">
        <v>918</v>
      </c>
      <c r="K388" s="1279" t="s">
        <v>2290</v>
      </c>
      <c r="L388" s="733" t="s">
        <v>909</v>
      </c>
      <c r="M388" s="1304" t="s">
        <v>809</v>
      </c>
      <c r="N388" s="787"/>
      <c r="O388" s="1294"/>
      <c r="P388" s="212"/>
      <c r="Q388" s="1294" t="s">
        <v>832</v>
      </c>
      <c r="R388" s="498" t="s">
        <v>2623</v>
      </c>
      <c r="S388" s="223"/>
      <c r="T388" s="223" t="s">
        <v>2924</v>
      </c>
      <c r="U388" s="747"/>
      <c r="V388" s="747"/>
      <c r="W388" s="499" t="str">
        <f>IFERROR(IF(AND(BD_PRINCIPAL[[#This Row],[DESDE]]&lt;&gt;"",BD_PRINCIPAL[[#This Row],[HASTA]]&lt;&gt;""),_xlfn.DAYS(BD_PRINCIPAL[[#This Row],[HASTA]],BD_PRINCIPAL[[#This Row],[DESDE]]),"")+1,"")</f>
        <v/>
      </c>
      <c r="X388" s="499">
        <f>VLOOKUP(BD_PRINCIPAL[[#This Row],[ENCUADRE. ESC.]],ORDEN1,2,FALSE)</f>
        <v>1</v>
      </c>
      <c r="Y388" s="499">
        <f>VLOOKUP(BD_PRINCIPAL[[#This Row],[DOTACIÓN ACTUAL]],ORDEN2,4,FALSE)</f>
        <v>300</v>
      </c>
      <c r="Z388" s="499">
        <f>VLOOKUP(BD_PRINCIPAL[[#This Row],[GRADO]],ORDEN3,2,FALSE)</f>
        <v>5</v>
      </c>
      <c r="AA388" s="499">
        <f>IFERROR(VLOOKUP(BD_PRINCIPAL[[#This Row],[DOTACIÓN ACTUAL]],ORDEN2,3,FALSE),0)</f>
        <v>0</v>
      </c>
      <c r="AB388" s="212" t="s">
        <v>853</v>
      </c>
      <c r="AC388" s="212" t="s">
        <v>854</v>
      </c>
      <c r="AD388" s="212" t="s">
        <v>2125</v>
      </c>
      <c r="AE388" s="212" t="s">
        <v>1</v>
      </c>
      <c r="AF388" s="212" t="s">
        <v>909</v>
      </c>
      <c r="AG388" s="212" t="s">
        <v>909</v>
      </c>
      <c r="AH388" s="220"/>
      <c r="AI388" s="220"/>
      <c r="AJ388" s="220"/>
      <c r="AK388" s="220"/>
      <c r="AL388" s="220"/>
      <c r="AM388" s="220"/>
      <c r="AN388" s="220"/>
      <c r="AO388" s="220"/>
      <c r="AP388" s="220"/>
      <c r="AQ388" s="220"/>
      <c r="AR388" s="220"/>
      <c r="AS388" s="220"/>
      <c r="AT388" s="220"/>
      <c r="AU388" s="220"/>
      <c r="AV388" s="220"/>
      <c r="AW388" s="220"/>
      <c r="AX388" s="220"/>
      <c r="AY388" s="220"/>
      <c r="AZ388" s="220"/>
      <c r="BA388" s="212"/>
      <c r="BB388" s="212"/>
      <c r="BC388" s="212"/>
      <c r="BD388" s="212"/>
      <c r="BE388" s="212"/>
      <c r="BF388" s="212"/>
      <c r="BG388" s="212"/>
      <c r="BH388" s="212"/>
      <c r="BI388" s="212"/>
      <c r="BJ388" s="212"/>
      <c r="BK388" s="212"/>
      <c r="BL388" s="212"/>
      <c r="BM388" s="890"/>
      <c r="BN388" s="890"/>
    </row>
    <row r="389" spans="1:66" s="221" customFormat="1" ht="39.6" x14ac:dyDescent="0.3">
      <c r="A389" s="219" t="s">
        <v>279</v>
      </c>
      <c r="B389" s="212" t="s">
        <v>1553</v>
      </c>
      <c r="C389" s="219">
        <v>116961989</v>
      </c>
      <c r="D389" s="867" t="s">
        <v>719</v>
      </c>
      <c r="E389" s="485" t="s">
        <v>809</v>
      </c>
      <c r="F389" s="480" t="s">
        <v>2261</v>
      </c>
      <c r="G389" s="214" t="s">
        <v>17</v>
      </c>
      <c r="H389" s="215" t="s">
        <v>816</v>
      </c>
      <c r="I389" s="215" t="s">
        <v>872</v>
      </c>
      <c r="J389" s="216" t="s">
        <v>917</v>
      </c>
      <c r="K389" s="1279" t="s">
        <v>2294</v>
      </c>
      <c r="L389" s="733" t="s">
        <v>909</v>
      </c>
      <c r="M389" s="1304" t="s">
        <v>809</v>
      </c>
      <c r="N389" s="772"/>
      <c r="O389" s="1294"/>
      <c r="P389" s="212"/>
      <c r="Q389" s="1294" t="s">
        <v>832</v>
      </c>
      <c r="R389" s="217">
        <f>$B$1</f>
        <v>45388</v>
      </c>
      <c r="S389" s="223"/>
      <c r="T389" s="213" t="s">
        <v>2919</v>
      </c>
      <c r="U389" s="218">
        <v>45386</v>
      </c>
      <c r="V389" s="218">
        <v>45388</v>
      </c>
      <c r="W389" s="219">
        <f>IFERROR(IF(AND(BD_PRINCIPAL[[#This Row],[DESDE]]&lt;&gt;"",BD_PRINCIPAL[[#This Row],[HASTA]]&lt;&gt;""),_xlfn.DAYS(BD_PRINCIPAL[[#This Row],[HASTA]],BD_PRINCIPAL[[#This Row],[DESDE]]),"")+1,"")</f>
        <v>3</v>
      </c>
      <c r="X389" s="219">
        <f>VLOOKUP(BD_PRINCIPAL[[#This Row],[ENCUADRE. ESC.]],ORDEN1,2,FALSE)</f>
        <v>1</v>
      </c>
      <c r="Y389" s="219">
        <f>VLOOKUP(BD_PRINCIPAL[[#This Row],[DOTACIÓN ACTUAL]],ORDEN2,4,FALSE)</f>
        <v>300</v>
      </c>
      <c r="Z389" s="219">
        <f>VLOOKUP(BD_PRINCIPAL[[#This Row],[GRADO]],ORDEN3,2,FALSE)</f>
        <v>8</v>
      </c>
      <c r="AA389" s="219">
        <f>IFERROR(VLOOKUP(BD_PRINCIPAL[[#This Row],[DOTACIÓN ACTUAL]],ORDEN2,3,FALSE),0)</f>
        <v>0</v>
      </c>
      <c r="AB389" s="212" t="s">
        <v>855</v>
      </c>
      <c r="AC389" s="212" t="s">
        <v>853</v>
      </c>
      <c r="AD389" s="212" t="s">
        <v>853</v>
      </c>
      <c r="AE389" s="212" t="s">
        <v>853</v>
      </c>
      <c r="AF389" s="212" t="s">
        <v>909</v>
      </c>
      <c r="AG389" s="212" t="s">
        <v>909</v>
      </c>
      <c r="AH389" s="212"/>
      <c r="AI389" s="212"/>
      <c r="AJ389" s="212"/>
      <c r="AK389" s="212"/>
      <c r="AL389" s="212"/>
      <c r="AM389" s="212"/>
      <c r="AN389" s="212"/>
      <c r="AO389" s="212"/>
      <c r="AP389" s="212"/>
      <c r="AQ389" s="212"/>
      <c r="AR389" s="212"/>
      <c r="AS389" s="212"/>
      <c r="AT389" s="220"/>
      <c r="AU389" s="220"/>
      <c r="AV389" s="220"/>
      <c r="AW389" s="220"/>
      <c r="AX389" s="220"/>
      <c r="AY389" s="220"/>
      <c r="AZ389" s="220"/>
      <c r="BA389" s="212"/>
      <c r="BB389" s="212"/>
      <c r="BC389" s="212"/>
      <c r="BD389" s="212"/>
      <c r="BE389" s="212"/>
      <c r="BF389" s="212"/>
      <c r="BG389" s="212"/>
      <c r="BH389" s="212"/>
      <c r="BI389" s="212"/>
      <c r="BJ389" s="212"/>
      <c r="BK389" s="212"/>
      <c r="BL389" s="212"/>
      <c r="BM389" s="772">
        <v>45111</v>
      </c>
      <c r="BN389" s="789"/>
    </row>
    <row r="390" spans="1:66" s="221" customFormat="1" ht="39.6" x14ac:dyDescent="0.3">
      <c r="A390" s="219" t="s">
        <v>567</v>
      </c>
      <c r="B390" s="212" t="s">
        <v>1847</v>
      </c>
      <c r="C390" s="219">
        <v>130964621</v>
      </c>
      <c r="D390" s="873" t="s">
        <v>745</v>
      </c>
      <c r="E390" s="480" t="s">
        <v>809</v>
      </c>
      <c r="F390" s="480" t="s">
        <v>1847</v>
      </c>
      <c r="G390" s="214" t="s">
        <v>17</v>
      </c>
      <c r="H390" s="215" t="s">
        <v>816</v>
      </c>
      <c r="I390" s="215" t="s">
        <v>872</v>
      </c>
      <c r="J390" s="216" t="s">
        <v>917</v>
      </c>
      <c r="K390" s="1279" t="s">
        <v>2290</v>
      </c>
      <c r="L390" s="733" t="s">
        <v>909</v>
      </c>
      <c r="M390" s="1304" t="s">
        <v>809</v>
      </c>
      <c r="N390" s="772"/>
      <c r="O390" s="1294"/>
      <c r="P390" s="212"/>
      <c r="Q390" s="1294" t="s">
        <v>832</v>
      </c>
      <c r="R390" s="217">
        <f>$B$1</f>
        <v>45388</v>
      </c>
      <c r="S390" s="213"/>
      <c r="T390" s="213"/>
      <c r="U390" s="218">
        <v>45378</v>
      </c>
      <c r="V390" s="218">
        <v>45392</v>
      </c>
      <c r="W390" s="219">
        <f>IFERROR(IF(AND(BD_PRINCIPAL[[#This Row],[DESDE]]&lt;&gt;"",BD_PRINCIPAL[[#This Row],[HASTA]]&lt;&gt;""),_xlfn.DAYS(BD_PRINCIPAL[[#This Row],[HASTA]],BD_PRINCIPAL[[#This Row],[DESDE]]),"")+1,"")</f>
        <v>15</v>
      </c>
      <c r="X390" s="219">
        <f>VLOOKUP(BD_PRINCIPAL[[#This Row],[ENCUADRE. ESC.]],ORDEN1,2,FALSE)</f>
        <v>1</v>
      </c>
      <c r="Y390" s="219">
        <f>VLOOKUP(BD_PRINCIPAL[[#This Row],[DOTACIÓN ACTUAL]],ORDEN2,4,FALSE)</f>
        <v>300</v>
      </c>
      <c r="Z390" s="219">
        <f>VLOOKUP(BD_PRINCIPAL[[#This Row],[GRADO]],ORDEN3,2,FALSE)</f>
        <v>8</v>
      </c>
      <c r="AA390" s="219">
        <f>IFERROR(VLOOKUP(BD_PRINCIPAL[[#This Row],[DOTACIÓN ACTUAL]],ORDEN2,3,FALSE),0)</f>
        <v>0</v>
      </c>
      <c r="AB390" s="212" t="s">
        <v>909</v>
      </c>
      <c r="AC390" s="212" t="s">
        <v>909</v>
      </c>
      <c r="AD390" s="212" t="s">
        <v>909</v>
      </c>
      <c r="AE390" s="212" t="s">
        <v>909</v>
      </c>
      <c r="AF390" s="212" t="s">
        <v>909</v>
      </c>
      <c r="AG390" s="212" t="s">
        <v>909</v>
      </c>
      <c r="AH390" s="212"/>
      <c r="AI390" s="212"/>
      <c r="AJ390" s="212"/>
      <c r="AK390" s="212"/>
      <c r="AL390" s="212"/>
      <c r="AM390" s="212"/>
      <c r="AN390" s="212"/>
      <c r="AO390" s="212"/>
      <c r="AP390" s="212"/>
      <c r="AQ390" s="212"/>
      <c r="AR390" s="212"/>
      <c r="AS390" s="212"/>
      <c r="AT390" s="220"/>
      <c r="AU390" s="220"/>
      <c r="AV390" s="220"/>
      <c r="AW390" s="220"/>
      <c r="AX390" s="220"/>
      <c r="AY390" s="220"/>
      <c r="AZ390" s="220"/>
      <c r="BA390" s="212"/>
      <c r="BB390" s="212"/>
      <c r="BC390" s="212"/>
      <c r="BD390" s="212"/>
      <c r="BE390" s="212"/>
      <c r="BF390" s="212"/>
      <c r="BG390" s="212"/>
      <c r="BH390" s="212"/>
      <c r="BI390" s="212"/>
      <c r="BJ390" s="212"/>
      <c r="BK390" s="212"/>
      <c r="BL390" s="212"/>
      <c r="BM390" s="772">
        <v>45029</v>
      </c>
      <c r="BN390" s="789"/>
    </row>
    <row r="391" spans="1:66" s="221" customFormat="1" ht="39.6" x14ac:dyDescent="0.3">
      <c r="A391" s="219" t="s">
        <v>662</v>
      </c>
      <c r="B391" s="212" t="s">
        <v>1580</v>
      </c>
      <c r="C391" s="219">
        <v>150365996</v>
      </c>
      <c r="D391" s="715" t="s">
        <v>1832</v>
      </c>
      <c r="E391" s="480" t="s">
        <v>809</v>
      </c>
      <c r="F391" s="480" t="s">
        <v>2072</v>
      </c>
      <c r="G391" s="222" t="s">
        <v>89</v>
      </c>
      <c r="H391" s="215" t="s">
        <v>816</v>
      </c>
      <c r="I391" s="215" t="s">
        <v>872</v>
      </c>
      <c r="J391" s="216" t="s">
        <v>917</v>
      </c>
      <c r="K391" s="1279" t="s">
        <v>2303</v>
      </c>
      <c r="L391" s="733" t="s">
        <v>909</v>
      </c>
      <c r="M391" s="1304" t="s">
        <v>809</v>
      </c>
      <c r="N391" s="772"/>
      <c r="O391" s="1294"/>
      <c r="P391" s="212"/>
      <c r="Q391" s="1294" t="s">
        <v>832</v>
      </c>
      <c r="R391" s="217">
        <f>$B$1</f>
        <v>45388</v>
      </c>
      <c r="S391" s="223" t="s">
        <v>3410</v>
      </c>
      <c r="T391" s="223" t="s">
        <v>2919</v>
      </c>
      <c r="U391" s="218">
        <v>45372</v>
      </c>
      <c r="V391" s="218">
        <v>45391</v>
      </c>
      <c r="W391" s="219">
        <f>IFERROR(IF(AND(BD_PRINCIPAL[[#This Row],[DESDE]]&lt;&gt;"",BD_PRINCIPAL[[#This Row],[HASTA]]&lt;&gt;""),_xlfn.DAYS(BD_PRINCIPAL[[#This Row],[HASTA]],BD_PRINCIPAL[[#This Row],[DESDE]]),"")+1,"")</f>
        <v>20</v>
      </c>
      <c r="X391" s="219">
        <f>VLOOKUP(BD_PRINCIPAL[[#This Row],[ENCUADRE. ESC.]],ORDEN1,2,FALSE)</f>
        <v>1</v>
      </c>
      <c r="Y391" s="219">
        <f>VLOOKUP(BD_PRINCIPAL[[#This Row],[DOTACIÓN ACTUAL]],ORDEN2,4,FALSE)</f>
        <v>300</v>
      </c>
      <c r="Z391" s="219">
        <f>VLOOKUP(BD_PRINCIPAL[[#This Row],[GRADO]],ORDEN3,2,FALSE)</f>
        <v>9</v>
      </c>
      <c r="AA391" s="219">
        <f>IFERROR(VLOOKUP(BD_PRINCIPAL[[#This Row],[DOTACIÓN ACTUAL]],ORDEN2,3,FALSE),0)</f>
        <v>0</v>
      </c>
      <c r="AB391" s="212" t="s">
        <v>909</v>
      </c>
      <c r="AC391" s="212" t="s">
        <v>909</v>
      </c>
      <c r="AD391" s="212" t="s">
        <v>909</v>
      </c>
      <c r="AE391" s="212" t="s">
        <v>909</v>
      </c>
      <c r="AF391" s="212" t="s">
        <v>909</v>
      </c>
      <c r="AG391" s="212" t="s">
        <v>909</v>
      </c>
      <c r="AH391" s="212"/>
      <c r="AI391" s="212"/>
      <c r="AJ391" s="212"/>
      <c r="AK391" s="212"/>
      <c r="AL391" s="212"/>
      <c r="AM391" s="212"/>
      <c r="AN391" s="212"/>
      <c r="AO391" s="212"/>
      <c r="AP391" s="212"/>
      <c r="AQ391" s="212"/>
      <c r="AR391" s="212"/>
      <c r="AS391" s="212"/>
      <c r="AT391" s="220"/>
      <c r="AU391" s="220"/>
      <c r="AV391" s="220"/>
      <c r="AW391" s="220"/>
      <c r="AX391" s="220"/>
      <c r="AY391" s="220"/>
      <c r="AZ391" s="220"/>
      <c r="BA391" s="212"/>
      <c r="BB391" s="212"/>
      <c r="BC391" s="212"/>
      <c r="BD391" s="212"/>
      <c r="BE391" s="212"/>
      <c r="BF391" s="212"/>
      <c r="BG391" s="212"/>
      <c r="BH391" s="212"/>
      <c r="BI391" s="212"/>
      <c r="BJ391" s="212"/>
      <c r="BK391" s="212"/>
      <c r="BL391" s="212"/>
      <c r="BM391" s="772">
        <v>45194</v>
      </c>
      <c r="BN391" s="789"/>
    </row>
    <row r="392" spans="1:66" s="221" customFormat="1" ht="39.6" x14ac:dyDescent="0.3">
      <c r="A392" s="219" t="s">
        <v>550</v>
      </c>
      <c r="B392" s="212" t="s">
        <v>1591</v>
      </c>
      <c r="C392" s="219">
        <v>156128856</v>
      </c>
      <c r="D392" s="885" t="s">
        <v>2001</v>
      </c>
      <c r="E392" s="946" t="s">
        <v>809</v>
      </c>
      <c r="F392" s="480" t="s">
        <v>1923</v>
      </c>
      <c r="G392" s="222" t="s">
        <v>89</v>
      </c>
      <c r="H392" s="215" t="s">
        <v>816</v>
      </c>
      <c r="I392" s="215" t="s">
        <v>872</v>
      </c>
      <c r="J392" s="216" t="s">
        <v>917</v>
      </c>
      <c r="K392" s="1279" t="s">
        <v>2316</v>
      </c>
      <c r="L392" s="733" t="s">
        <v>909</v>
      </c>
      <c r="M392" s="1304" t="s">
        <v>809</v>
      </c>
      <c r="N392" s="772"/>
      <c r="O392" s="1294"/>
      <c r="P392" s="212"/>
      <c r="Q392" s="1294" t="s">
        <v>832</v>
      </c>
      <c r="R392" s="217">
        <f>$B$1</f>
        <v>45388</v>
      </c>
      <c r="S392" s="223"/>
      <c r="T392" s="213"/>
      <c r="U392" s="218" t="s">
        <v>3545</v>
      </c>
      <c r="V392" s="218" t="s">
        <v>3546</v>
      </c>
      <c r="W392" s="219" t="str">
        <f>IFERROR(IF(AND(BD_PRINCIPAL[[#This Row],[DESDE]]&lt;&gt;"",BD_PRINCIPAL[[#This Row],[HASTA]]&lt;&gt;""),_xlfn.DAYS(BD_PRINCIPAL[[#This Row],[HASTA]],BD_PRINCIPAL[[#This Row],[DESDE]]),"")+1,"")</f>
        <v/>
      </c>
      <c r="X392" s="219">
        <f>VLOOKUP(BD_PRINCIPAL[[#This Row],[ENCUADRE. ESC.]],ORDEN1,2,FALSE)</f>
        <v>1</v>
      </c>
      <c r="Y392" s="219">
        <f>VLOOKUP(BD_PRINCIPAL[[#This Row],[DOTACIÓN ACTUAL]],ORDEN2,4,FALSE)</f>
        <v>300</v>
      </c>
      <c r="Z392" s="219">
        <f>VLOOKUP(BD_PRINCIPAL[[#This Row],[GRADO]],ORDEN3,2,FALSE)</f>
        <v>9</v>
      </c>
      <c r="AA392" s="219">
        <f>IFERROR(VLOOKUP(BD_PRINCIPAL[[#This Row],[DOTACIÓN ACTUAL]],ORDEN2,3,FALSE),0)</f>
        <v>0</v>
      </c>
      <c r="AB392" s="212" t="s">
        <v>909</v>
      </c>
      <c r="AC392" s="212" t="s">
        <v>909</v>
      </c>
      <c r="AD392" s="212" t="s">
        <v>909</v>
      </c>
      <c r="AE392" s="212" t="s">
        <v>909</v>
      </c>
      <c r="AF392" s="212" t="s">
        <v>909</v>
      </c>
      <c r="AG392" s="212" t="s">
        <v>909</v>
      </c>
      <c r="AH392" s="212"/>
      <c r="AI392" s="212"/>
      <c r="AJ392" s="212"/>
      <c r="AK392" s="212"/>
      <c r="AL392" s="212"/>
      <c r="AM392" s="212"/>
      <c r="AN392" s="212"/>
      <c r="AO392" s="212"/>
      <c r="AP392" s="212"/>
      <c r="AQ392" s="212"/>
      <c r="AR392" s="212"/>
      <c r="AS392" s="212"/>
      <c r="AT392" s="220"/>
      <c r="AU392" s="220"/>
      <c r="AV392" s="220"/>
      <c r="AW392" s="220"/>
      <c r="AX392" s="220"/>
      <c r="AY392" s="220"/>
      <c r="AZ392" s="220"/>
      <c r="BA392" s="212"/>
      <c r="BB392" s="212"/>
      <c r="BC392" s="212"/>
      <c r="BD392" s="212"/>
      <c r="BE392" s="212"/>
      <c r="BF392" s="212"/>
      <c r="BG392" s="212"/>
      <c r="BH392" s="212"/>
      <c r="BI392" s="212"/>
      <c r="BJ392" s="212"/>
      <c r="BK392" s="212"/>
      <c r="BL392" s="212"/>
      <c r="BM392" s="772">
        <v>44635</v>
      </c>
      <c r="BN392" s="789"/>
    </row>
    <row r="393" spans="1:66" s="221" customFormat="1" ht="39.6" x14ac:dyDescent="0.3">
      <c r="A393" s="219" t="s">
        <v>534</v>
      </c>
      <c r="B393" s="212" t="s">
        <v>1889</v>
      </c>
      <c r="C393" s="219">
        <v>132988560</v>
      </c>
      <c r="D393" s="715" t="s">
        <v>2001</v>
      </c>
      <c r="E393" s="480" t="s">
        <v>809</v>
      </c>
      <c r="F393" s="480" t="s">
        <v>1889</v>
      </c>
      <c r="G393" s="214" t="s">
        <v>89</v>
      </c>
      <c r="H393" s="215" t="s">
        <v>816</v>
      </c>
      <c r="I393" s="215" t="s">
        <v>872</v>
      </c>
      <c r="J393" s="216" t="s">
        <v>917</v>
      </c>
      <c r="K393" s="1279" t="s">
        <v>2290</v>
      </c>
      <c r="L393" s="733" t="s">
        <v>909</v>
      </c>
      <c r="M393" s="1304" t="s">
        <v>809</v>
      </c>
      <c r="N393" s="771"/>
      <c r="O393" s="1294"/>
      <c r="P393" s="212"/>
      <c r="Q393" s="982" t="s">
        <v>832</v>
      </c>
      <c r="R393" s="217">
        <f>$B$1</f>
        <v>45388</v>
      </c>
      <c r="S393" s="213"/>
      <c r="T393" s="213"/>
      <c r="U393" s="218">
        <v>45367</v>
      </c>
      <c r="V393" s="218">
        <v>45396</v>
      </c>
      <c r="W393" s="219">
        <f>IFERROR(IF(AND(BD_PRINCIPAL[[#This Row],[DESDE]]&lt;&gt;"",BD_PRINCIPAL[[#This Row],[HASTA]]&lt;&gt;""),_xlfn.DAYS(BD_PRINCIPAL[[#This Row],[HASTA]],BD_PRINCIPAL[[#This Row],[DESDE]]),"")+1,"")</f>
        <v>30</v>
      </c>
      <c r="X393" s="219">
        <f>VLOOKUP(BD_PRINCIPAL[[#This Row],[ENCUADRE. ESC.]],ORDEN1,2,FALSE)</f>
        <v>1</v>
      </c>
      <c r="Y393" s="219">
        <f>VLOOKUP(BD_PRINCIPAL[[#This Row],[DOTACIÓN ACTUAL]],ORDEN2,4,FALSE)</f>
        <v>300</v>
      </c>
      <c r="Z393" s="219">
        <f>VLOOKUP(BD_PRINCIPAL[[#This Row],[GRADO]],ORDEN3,2,FALSE)</f>
        <v>9</v>
      </c>
      <c r="AA393" s="219">
        <f>IFERROR(VLOOKUP(BD_PRINCIPAL[[#This Row],[DOTACIÓN ACTUAL]],ORDEN2,3,FALSE),0)</f>
        <v>0</v>
      </c>
      <c r="AB393" s="212" t="s">
        <v>909</v>
      </c>
      <c r="AC393" s="212" t="s">
        <v>909</v>
      </c>
      <c r="AD393" s="212" t="s">
        <v>909</v>
      </c>
      <c r="AE393" s="212" t="s">
        <v>909</v>
      </c>
      <c r="AF393" s="212" t="s">
        <v>909</v>
      </c>
      <c r="AG393" s="212" t="s">
        <v>909</v>
      </c>
      <c r="AH393" s="212"/>
      <c r="AI393" s="212"/>
      <c r="AJ393" s="212"/>
      <c r="AK393" s="212"/>
      <c r="AL393" s="212"/>
      <c r="AM393" s="212"/>
      <c r="AN393" s="212"/>
      <c r="AO393" s="212"/>
      <c r="AP393" s="212"/>
      <c r="AQ393" s="212"/>
      <c r="AR393" s="212"/>
      <c r="AS393" s="212"/>
      <c r="AT393" s="220"/>
      <c r="AU393" s="220"/>
      <c r="AV393" s="220"/>
      <c r="AW393" s="220"/>
      <c r="AX393" s="220"/>
      <c r="AY393" s="220"/>
      <c r="AZ393" s="220"/>
      <c r="BA393" s="212"/>
      <c r="BB393" s="212"/>
      <c r="BC393" s="212"/>
      <c r="BD393" s="212"/>
      <c r="BE393" s="212"/>
      <c r="BF393" s="212"/>
      <c r="BG393" s="212"/>
      <c r="BH393" s="212"/>
      <c r="BI393" s="212"/>
      <c r="BJ393" s="212"/>
      <c r="BK393" s="212"/>
      <c r="BL393" s="212"/>
      <c r="BM393" s="771">
        <v>44692</v>
      </c>
      <c r="BN393" s="789"/>
    </row>
    <row r="394" spans="1:66" s="221" customFormat="1" ht="39.6" x14ac:dyDescent="0.3">
      <c r="A394" s="219" t="s">
        <v>655</v>
      </c>
      <c r="B394" s="212" t="s">
        <v>1579</v>
      </c>
      <c r="C394" s="219" t="s">
        <v>656</v>
      </c>
      <c r="D394" s="715" t="s">
        <v>767</v>
      </c>
      <c r="E394" s="480" t="s">
        <v>809</v>
      </c>
      <c r="F394" s="480" t="s">
        <v>1920</v>
      </c>
      <c r="G394" s="222" t="s">
        <v>209</v>
      </c>
      <c r="H394" s="215" t="s">
        <v>816</v>
      </c>
      <c r="I394" s="215" t="s">
        <v>872</v>
      </c>
      <c r="J394" s="216" t="s">
        <v>917</v>
      </c>
      <c r="K394" s="1279" t="s">
        <v>2311</v>
      </c>
      <c r="L394" s="733" t="s">
        <v>909</v>
      </c>
      <c r="M394" s="1304" t="s">
        <v>809</v>
      </c>
      <c r="N394" s="772"/>
      <c r="O394" s="1294"/>
      <c r="P394" s="212"/>
      <c r="Q394" s="1294" t="s">
        <v>832</v>
      </c>
      <c r="R394" s="217">
        <f>$B$1</f>
        <v>45388</v>
      </c>
      <c r="S394" s="223"/>
      <c r="T394" s="223" t="s">
        <v>3003</v>
      </c>
      <c r="U394" s="218">
        <v>45376</v>
      </c>
      <c r="V394" s="218">
        <v>45396</v>
      </c>
      <c r="W394" s="219">
        <f>IFERROR(IF(AND(BD_PRINCIPAL[[#This Row],[DESDE]]&lt;&gt;"",BD_PRINCIPAL[[#This Row],[HASTA]]&lt;&gt;""),_xlfn.DAYS(BD_PRINCIPAL[[#This Row],[HASTA]],BD_PRINCIPAL[[#This Row],[DESDE]]),"")+1,"")</f>
        <v>21</v>
      </c>
      <c r="X394" s="219">
        <f>VLOOKUP(BD_PRINCIPAL[[#This Row],[ENCUADRE. ESC.]],ORDEN1,2,FALSE)</f>
        <v>1</v>
      </c>
      <c r="Y394" s="219">
        <f>VLOOKUP(BD_PRINCIPAL[[#This Row],[DOTACIÓN ACTUAL]],ORDEN2,4,FALSE)</f>
        <v>300</v>
      </c>
      <c r="Z394" s="219">
        <f>VLOOKUP(BD_PRINCIPAL[[#This Row],[GRADO]],ORDEN3,2,FALSE)</f>
        <v>10</v>
      </c>
      <c r="AA394" s="219">
        <f>IFERROR(VLOOKUP(BD_PRINCIPAL[[#This Row],[DOTACIÓN ACTUAL]],ORDEN2,3,FALSE),0)</f>
        <v>0</v>
      </c>
      <c r="AB394" s="212" t="s">
        <v>909</v>
      </c>
      <c r="AC394" s="212" t="s">
        <v>909</v>
      </c>
      <c r="AD394" s="212" t="s">
        <v>909</v>
      </c>
      <c r="AE394" s="212" t="s">
        <v>909</v>
      </c>
      <c r="AF394" s="212" t="s">
        <v>909</v>
      </c>
      <c r="AG394" s="212" t="s">
        <v>909</v>
      </c>
      <c r="AH394" s="212"/>
      <c r="AI394" s="212"/>
      <c r="AJ394" s="212"/>
      <c r="AK394" s="212"/>
      <c r="AL394" s="212"/>
      <c r="AM394" s="212"/>
      <c r="AN394" s="212"/>
      <c r="AO394" s="212"/>
      <c r="AP394" s="212"/>
      <c r="AQ394" s="212"/>
      <c r="AR394" s="212"/>
      <c r="AS394" s="212"/>
      <c r="AT394" s="220"/>
      <c r="AU394" s="220"/>
      <c r="AV394" s="220"/>
      <c r="AW394" s="220"/>
      <c r="AX394" s="220"/>
      <c r="AY394" s="220"/>
      <c r="AZ394" s="220"/>
      <c r="BA394" s="212"/>
      <c r="BB394" s="212"/>
      <c r="BC394" s="212"/>
      <c r="BD394" s="212"/>
      <c r="BE394" s="212"/>
      <c r="BF394" s="212"/>
      <c r="BG394" s="212"/>
      <c r="BH394" s="212"/>
      <c r="BI394" s="212"/>
      <c r="BJ394" s="212"/>
      <c r="BK394" s="212"/>
      <c r="BL394" s="212"/>
      <c r="BM394" s="772">
        <v>45197</v>
      </c>
      <c r="BN394" s="789"/>
    </row>
    <row r="395" spans="1:66" s="221" customFormat="1" ht="39.6" x14ac:dyDescent="0.3">
      <c r="A395" s="219" t="s">
        <v>350</v>
      </c>
      <c r="B395" s="212" t="s">
        <v>1890</v>
      </c>
      <c r="C395" s="219">
        <v>133985352</v>
      </c>
      <c r="D395" s="715" t="s">
        <v>1832</v>
      </c>
      <c r="E395" s="480" t="s">
        <v>809</v>
      </c>
      <c r="F395" s="480" t="s">
        <v>1890</v>
      </c>
      <c r="G395" s="222" t="s">
        <v>209</v>
      </c>
      <c r="H395" s="215" t="s">
        <v>816</v>
      </c>
      <c r="I395" s="215" t="s">
        <v>872</v>
      </c>
      <c r="J395" s="216" t="s">
        <v>917</v>
      </c>
      <c r="K395" s="1279" t="s">
        <v>2290</v>
      </c>
      <c r="L395" s="733" t="s">
        <v>909</v>
      </c>
      <c r="M395" s="1304" t="s">
        <v>809</v>
      </c>
      <c r="N395" s="772"/>
      <c r="O395" s="1294"/>
      <c r="P395" s="212"/>
      <c r="Q395" s="1294" t="s">
        <v>832</v>
      </c>
      <c r="R395" s="217">
        <f>$B$1</f>
        <v>45388</v>
      </c>
      <c r="S395" s="223"/>
      <c r="T395" s="213" t="s">
        <v>2919</v>
      </c>
      <c r="U395" s="218">
        <v>45384</v>
      </c>
      <c r="V395" s="218">
        <v>45404</v>
      </c>
      <c r="W395" s="219">
        <f>IFERROR(IF(AND(BD_PRINCIPAL[[#This Row],[DESDE]]&lt;&gt;"",BD_PRINCIPAL[[#This Row],[HASTA]]&lt;&gt;""),_xlfn.DAYS(BD_PRINCIPAL[[#This Row],[HASTA]],BD_PRINCIPAL[[#This Row],[DESDE]]),"")+1,"")</f>
        <v>21</v>
      </c>
      <c r="X395" s="219">
        <f>VLOOKUP(BD_PRINCIPAL[[#This Row],[ENCUADRE. ESC.]],ORDEN1,2,FALSE)</f>
        <v>1</v>
      </c>
      <c r="Y395" s="219">
        <f>VLOOKUP(BD_PRINCIPAL[[#This Row],[DOTACIÓN ACTUAL]],ORDEN2,4,FALSE)</f>
        <v>300</v>
      </c>
      <c r="Z395" s="219">
        <f>VLOOKUP(BD_PRINCIPAL[[#This Row],[GRADO]],ORDEN3,2,FALSE)</f>
        <v>10</v>
      </c>
      <c r="AA395" s="219">
        <f>IFERROR(VLOOKUP(BD_PRINCIPAL[[#This Row],[DOTACIÓN ACTUAL]],ORDEN2,3,FALSE),0)</f>
        <v>0</v>
      </c>
      <c r="AB395" s="212" t="s">
        <v>909</v>
      </c>
      <c r="AC395" s="212" t="s">
        <v>909</v>
      </c>
      <c r="AD395" s="212" t="s">
        <v>909</v>
      </c>
      <c r="AE395" s="212" t="s">
        <v>909</v>
      </c>
      <c r="AF395" s="212" t="s">
        <v>909</v>
      </c>
      <c r="AG395" s="212" t="s">
        <v>909</v>
      </c>
      <c r="AH395" s="212"/>
      <c r="AI395" s="212"/>
      <c r="AJ395" s="212"/>
      <c r="AK395" s="212"/>
      <c r="AL395" s="212"/>
      <c r="AM395" s="212"/>
      <c r="AN395" s="212"/>
      <c r="AO395" s="212"/>
      <c r="AP395" s="212"/>
      <c r="AQ395" s="212"/>
      <c r="AR395" s="212"/>
      <c r="AS395" s="212"/>
      <c r="AT395" s="220"/>
      <c r="AU395" s="220"/>
      <c r="AV395" s="220"/>
      <c r="AW395" s="220"/>
      <c r="AX395" s="220"/>
      <c r="AY395" s="220"/>
      <c r="AZ395" s="220"/>
      <c r="BA395" s="212"/>
      <c r="BB395" s="212"/>
      <c r="BC395" s="212"/>
      <c r="BD395" s="212"/>
      <c r="BE395" s="212"/>
      <c r="BF395" s="212"/>
      <c r="BG395" s="212"/>
      <c r="BH395" s="212"/>
      <c r="BI395" s="212"/>
      <c r="BJ395" s="212"/>
      <c r="BK395" s="212"/>
      <c r="BL395" s="212"/>
      <c r="BM395" s="772">
        <v>45035</v>
      </c>
      <c r="BN395" s="789"/>
    </row>
    <row r="396" spans="1:66" s="221" customFormat="1" ht="39.6" x14ac:dyDescent="0.3">
      <c r="A396" s="219" t="s">
        <v>531</v>
      </c>
      <c r="B396" s="212" t="s">
        <v>1563</v>
      </c>
      <c r="C396" s="219">
        <v>157123793</v>
      </c>
      <c r="D396" s="715" t="s">
        <v>1832</v>
      </c>
      <c r="E396" s="480" t="s">
        <v>809</v>
      </c>
      <c r="F396" s="480" t="s">
        <v>1911</v>
      </c>
      <c r="G396" s="222" t="s">
        <v>209</v>
      </c>
      <c r="H396" s="215" t="s">
        <v>816</v>
      </c>
      <c r="I396" s="215" t="s">
        <v>872</v>
      </c>
      <c r="J396" s="216" t="s">
        <v>917</v>
      </c>
      <c r="K396" s="1279" t="s">
        <v>2316</v>
      </c>
      <c r="L396" s="733" t="s">
        <v>909</v>
      </c>
      <c r="M396" s="1304" t="s">
        <v>809</v>
      </c>
      <c r="N396" s="772"/>
      <c r="O396" s="1294"/>
      <c r="P396" s="212"/>
      <c r="Q396" s="1294" t="s">
        <v>832</v>
      </c>
      <c r="R396" s="217">
        <f>$B$1</f>
        <v>45388</v>
      </c>
      <c r="S396" s="213"/>
      <c r="T396" s="213" t="s">
        <v>2919</v>
      </c>
      <c r="U396" s="218">
        <v>45387</v>
      </c>
      <c r="V396" s="218">
        <v>45401</v>
      </c>
      <c r="W396" s="219">
        <f>IFERROR(IF(AND(BD_PRINCIPAL[[#This Row],[DESDE]]&lt;&gt;"",BD_PRINCIPAL[[#This Row],[HASTA]]&lt;&gt;""),_xlfn.DAYS(BD_PRINCIPAL[[#This Row],[HASTA]],BD_PRINCIPAL[[#This Row],[DESDE]]),"")+1,"")</f>
        <v>15</v>
      </c>
      <c r="X396" s="219">
        <f>VLOOKUP(BD_PRINCIPAL[[#This Row],[ENCUADRE. ESC.]],ORDEN1,2,FALSE)</f>
        <v>1</v>
      </c>
      <c r="Y396" s="219">
        <f>VLOOKUP(BD_PRINCIPAL[[#This Row],[DOTACIÓN ACTUAL]],ORDEN2,4,FALSE)</f>
        <v>300</v>
      </c>
      <c r="Z396" s="219">
        <f>VLOOKUP(BD_PRINCIPAL[[#This Row],[GRADO]],ORDEN3,2,FALSE)</f>
        <v>10</v>
      </c>
      <c r="AA396" s="219">
        <f>IFERROR(VLOOKUP(BD_PRINCIPAL[[#This Row],[DOTACIÓN ACTUAL]],ORDEN2,3,FALSE),0)</f>
        <v>0</v>
      </c>
      <c r="AB396" s="212" t="s">
        <v>909</v>
      </c>
      <c r="AC396" s="212" t="s">
        <v>909</v>
      </c>
      <c r="AD396" s="212" t="s">
        <v>909</v>
      </c>
      <c r="AE396" s="212" t="s">
        <v>909</v>
      </c>
      <c r="AF396" s="212" t="s">
        <v>909</v>
      </c>
      <c r="AG396" s="212" t="s">
        <v>909</v>
      </c>
      <c r="AH396" s="212"/>
      <c r="AI396" s="212"/>
      <c r="AJ396" s="212"/>
      <c r="AK396" s="212"/>
      <c r="AL396" s="212"/>
      <c r="AM396" s="212"/>
      <c r="AN396" s="212"/>
      <c r="AO396" s="212"/>
      <c r="AP396" s="212"/>
      <c r="AQ396" s="212"/>
      <c r="AR396" s="212"/>
      <c r="AS396" s="212"/>
      <c r="AT396" s="220"/>
      <c r="AU396" s="220"/>
      <c r="AV396" s="220"/>
      <c r="AW396" s="220"/>
      <c r="AX396" s="220"/>
      <c r="AY396" s="220"/>
      <c r="AZ396" s="220"/>
      <c r="BA396" s="212"/>
      <c r="BB396" s="212"/>
      <c r="BC396" s="212"/>
      <c r="BD396" s="212"/>
      <c r="BE396" s="212"/>
      <c r="BF396" s="212"/>
      <c r="BG396" s="212"/>
      <c r="BH396" s="212"/>
      <c r="BI396" s="212"/>
      <c r="BJ396" s="212"/>
      <c r="BK396" s="212"/>
      <c r="BL396" s="212"/>
      <c r="BM396" s="772">
        <v>44735</v>
      </c>
      <c r="BN396" s="789"/>
    </row>
    <row r="397" spans="1:66" s="221" customFormat="1" ht="39.6" x14ac:dyDescent="0.3">
      <c r="A397" s="219" t="s">
        <v>579</v>
      </c>
      <c r="B397" s="212" t="s">
        <v>1876</v>
      </c>
      <c r="C397" s="219">
        <v>140429740</v>
      </c>
      <c r="D397" s="715" t="s">
        <v>83</v>
      </c>
      <c r="E397" s="480" t="s">
        <v>809</v>
      </c>
      <c r="F397" s="480" t="s">
        <v>1876</v>
      </c>
      <c r="G397" s="222" t="s">
        <v>209</v>
      </c>
      <c r="H397" s="215" t="s">
        <v>817</v>
      </c>
      <c r="I397" s="215" t="s">
        <v>872</v>
      </c>
      <c r="J397" s="216" t="s">
        <v>917</v>
      </c>
      <c r="K397" s="1279" t="s">
        <v>2290</v>
      </c>
      <c r="L397" s="733" t="s">
        <v>909</v>
      </c>
      <c r="M397" s="1304" t="s">
        <v>809</v>
      </c>
      <c r="N397" s="772"/>
      <c r="O397" s="1294"/>
      <c r="P397" s="212"/>
      <c r="Q397" s="1294" t="s">
        <v>832</v>
      </c>
      <c r="R397" s="217">
        <f>$B$1</f>
        <v>45388</v>
      </c>
      <c r="S397" s="213"/>
      <c r="T397" s="213"/>
      <c r="U397" s="218">
        <v>45376</v>
      </c>
      <c r="V397" s="218">
        <v>45389</v>
      </c>
      <c r="W397" s="219">
        <f>IFERROR(IF(AND(BD_PRINCIPAL[[#This Row],[DESDE]]&lt;&gt;"",BD_PRINCIPAL[[#This Row],[HASTA]]&lt;&gt;""),_xlfn.DAYS(BD_PRINCIPAL[[#This Row],[HASTA]],BD_PRINCIPAL[[#This Row],[DESDE]]),"")+1,"")</f>
        <v>14</v>
      </c>
      <c r="X397" s="219">
        <f>VLOOKUP(BD_PRINCIPAL[[#This Row],[ENCUADRE. ESC.]],ORDEN1,2,FALSE)</f>
        <v>1</v>
      </c>
      <c r="Y397" s="219">
        <f>VLOOKUP(BD_PRINCIPAL[[#This Row],[DOTACIÓN ACTUAL]],ORDEN2,4,FALSE)</f>
        <v>300</v>
      </c>
      <c r="Z397" s="219">
        <f>VLOOKUP(BD_PRINCIPAL[[#This Row],[GRADO]],ORDEN3,2,FALSE)</f>
        <v>10</v>
      </c>
      <c r="AA397" s="219">
        <f>IFERROR(VLOOKUP(BD_PRINCIPAL[[#This Row],[DOTACIÓN ACTUAL]],ORDEN2,3,FALSE),0)</f>
        <v>0</v>
      </c>
      <c r="AB397" s="212" t="s">
        <v>909</v>
      </c>
      <c r="AC397" s="212" t="s">
        <v>909</v>
      </c>
      <c r="AD397" s="212" t="s">
        <v>909</v>
      </c>
      <c r="AE397" s="212" t="s">
        <v>909</v>
      </c>
      <c r="AF397" s="212" t="s">
        <v>909</v>
      </c>
      <c r="AG397" s="212" t="s">
        <v>909</v>
      </c>
      <c r="AH397" s="212"/>
      <c r="AI397" s="212"/>
      <c r="AJ397" s="212"/>
      <c r="AK397" s="212"/>
      <c r="AL397" s="212"/>
      <c r="AM397" s="212"/>
      <c r="AN397" s="212"/>
      <c r="AO397" s="212"/>
      <c r="AP397" s="212"/>
      <c r="AQ397" s="212"/>
      <c r="AR397" s="212"/>
      <c r="AS397" s="212"/>
      <c r="AT397" s="979"/>
      <c r="AU397" s="979"/>
      <c r="AV397" s="979"/>
      <c r="AW397" s="979"/>
      <c r="AX397" s="979"/>
      <c r="AY397" s="979"/>
      <c r="AZ397" s="979"/>
      <c r="BA397" s="212"/>
      <c r="BB397" s="212"/>
      <c r="BC397" s="212"/>
      <c r="BD397" s="212"/>
      <c r="BE397" s="212"/>
      <c r="BF397" s="212"/>
      <c r="BG397" s="212"/>
      <c r="BH397" s="212"/>
      <c r="BI397" s="212"/>
      <c r="BJ397" s="212"/>
      <c r="BK397" s="212"/>
      <c r="BL397" s="212"/>
      <c r="BM397" s="772">
        <v>45084</v>
      </c>
      <c r="BN397" s="789"/>
    </row>
    <row r="398" spans="1:66" s="221" customFormat="1" ht="39.6" x14ac:dyDescent="0.3">
      <c r="A398" s="219" t="s">
        <v>2822</v>
      </c>
      <c r="B398" s="728" t="s">
        <v>2820</v>
      </c>
      <c r="C398" s="219">
        <v>155690178</v>
      </c>
      <c r="D398" s="873" t="s">
        <v>715</v>
      </c>
      <c r="E398" s="480" t="s">
        <v>809</v>
      </c>
      <c r="F398" s="480" t="s">
        <v>2820</v>
      </c>
      <c r="G398" s="222" t="s">
        <v>209</v>
      </c>
      <c r="H398" s="215" t="s">
        <v>816</v>
      </c>
      <c r="I398" s="215" t="s">
        <v>872</v>
      </c>
      <c r="J398" s="216" t="s">
        <v>917</v>
      </c>
      <c r="K398" s="1279" t="s">
        <v>2290</v>
      </c>
      <c r="L398" s="733" t="s">
        <v>909</v>
      </c>
      <c r="M398" s="1304" t="s">
        <v>809</v>
      </c>
      <c r="N398" s="787"/>
      <c r="O398" s="1294"/>
      <c r="P398" s="212"/>
      <c r="Q398" s="1294" t="s">
        <v>832</v>
      </c>
      <c r="R398" s="498" t="s">
        <v>2821</v>
      </c>
      <c r="S398" s="213"/>
      <c r="T398" s="213"/>
      <c r="U398" s="747">
        <v>45384</v>
      </c>
      <c r="V398" s="747">
        <v>45404</v>
      </c>
      <c r="W398" s="499">
        <f>IFERROR(IF(AND(BD_PRINCIPAL[[#This Row],[DESDE]]&lt;&gt;"",BD_PRINCIPAL[[#This Row],[HASTA]]&lt;&gt;""),_xlfn.DAYS(BD_PRINCIPAL[[#This Row],[HASTA]],BD_PRINCIPAL[[#This Row],[DESDE]]),"")+1,"")</f>
        <v>21</v>
      </c>
      <c r="X398" s="499">
        <f>VLOOKUP(BD_PRINCIPAL[[#This Row],[ENCUADRE. ESC.]],ORDEN1,2,FALSE)</f>
        <v>1</v>
      </c>
      <c r="Y398" s="499">
        <f>VLOOKUP(BD_PRINCIPAL[[#This Row],[DOTACIÓN ACTUAL]],ORDEN2,4,FALSE)</f>
        <v>300</v>
      </c>
      <c r="Z398" s="499">
        <f>VLOOKUP(BD_PRINCIPAL[[#This Row],[GRADO]],ORDEN3,2,FALSE)</f>
        <v>10</v>
      </c>
      <c r="AA398" s="499">
        <f>IFERROR(VLOOKUP(BD_PRINCIPAL[[#This Row],[DOTACIÓN ACTUAL]],ORDEN2,3,FALSE),0)</f>
        <v>0</v>
      </c>
      <c r="AB398" s="220" t="s">
        <v>909</v>
      </c>
      <c r="AC398" s="220" t="s">
        <v>909</v>
      </c>
      <c r="AD398" s="220" t="s">
        <v>909</v>
      </c>
      <c r="AE398" s="220" t="s">
        <v>909</v>
      </c>
      <c r="AF398" s="220" t="s">
        <v>909</v>
      </c>
      <c r="AG398" s="220" t="s">
        <v>909</v>
      </c>
      <c r="AH398" s="220"/>
      <c r="AI398" s="220"/>
      <c r="AJ398" s="220"/>
      <c r="AK398" s="220"/>
      <c r="AL398" s="220"/>
      <c r="AM398" s="220"/>
      <c r="AN398" s="220"/>
      <c r="AO398" s="220"/>
      <c r="AP398" s="220"/>
      <c r="AQ398" s="220"/>
      <c r="AR398" s="220"/>
      <c r="AS398" s="220"/>
      <c r="AT398" s="220"/>
      <c r="AU398" s="220"/>
      <c r="AV398" s="220"/>
      <c r="AW398" s="220"/>
      <c r="AX398" s="220"/>
      <c r="AY398" s="220"/>
      <c r="AZ398" s="220"/>
      <c r="BA398" s="212"/>
      <c r="BB398" s="212"/>
      <c r="BC398" s="212"/>
      <c r="BD398" s="212"/>
      <c r="BE398" s="212"/>
      <c r="BF398" s="212"/>
      <c r="BG398" s="212"/>
      <c r="BH398" s="212"/>
      <c r="BI398" s="212"/>
      <c r="BJ398" s="212"/>
      <c r="BK398" s="212"/>
      <c r="BL398" s="212"/>
      <c r="BM398" s="890">
        <v>45363</v>
      </c>
      <c r="BN398" s="890"/>
    </row>
    <row r="399" spans="1:66" s="221" customFormat="1" ht="39.6" x14ac:dyDescent="0.3">
      <c r="A399" s="219" t="s">
        <v>480</v>
      </c>
      <c r="B399" s="212" t="s">
        <v>1578</v>
      </c>
      <c r="C399" s="219">
        <v>168271344</v>
      </c>
      <c r="D399" s="715" t="s">
        <v>195</v>
      </c>
      <c r="E399" s="485" t="s">
        <v>809</v>
      </c>
      <c r="F399" s="480" t="s">
        <v>1915</v>
      </c>
      <c r="G399" s="214" t="s">
        <v>209</v>
      </c>
      <c r="H399" s="215" t="s">
        <v>816</v>
      </c>
      <c r="I399" s="215" t="s">
        <v>872</v>
      </c>
      <c r="J399" s="216" t="s">
        <v>917</v>
      </c>
      <c r="K399" s="1279" t="s">
        <v>2311</v>
      </c>
      <c r="L399" s="733" t="s">
        <v>909</v>
      </c>
      <c r="M399" s="1304" t="s">
        <v>809</v>
      </c>
      <c r="N399" s="772"/>
      <c r="O399" s="1294"/>
      <c r="P399" s="212"/>
      <c r="Q399" s="1294" t="s">
        <v>832</v>
      </c>
      <c r="R399" s="217">
        <f>$B$1</f>
        <v>45388</v>
      </c>
      <c r="S399" s="223"/>
      <c r="T399" s="213" t="s">
        <v>2919</v>
      </c>
      <c r="U399" s="218">
        <v>45380</v>
      </c>
      <c r="V399" s="218">
        <v>45396</v>
      </c>
      <c r="W399" s="219">
        <f>IFERROR(IF(AND(BD_PRINCIPAL[[#This Row],[DESDE]]&lt;&gt;"",BD_PRINCIPAL[[#This Row],[HASTA]]&lt;&gt;""),_xlfn.DAYS(BD_PRINCIPAL[[#This Row],[HASTA]],BD_PRINCIPAL[[#This Row],[DESDE]]),"")+1,"")</f>
        <v>17</v>
      </c>
      <c r="X399" s="219">
        <f>VLOOKUP(BD_PRINCIPAL[[#This Row],[ENCUADRE. ESC.]],ORDEN1,2,FALSE)</f>
        <v>1</v>
      </c>
      <c r="Y399" s="219">
        <f>VLOOKUP(BD_PRINCIPAL[[#This Row],[DOTACIÓN ACTUAL]],ORDEN2,4,FALSE)</f>
        <v>300</v>
      </c>
      <c r="Z399" s="219">
        <f>VLOOKUP(BD_PRINCIPAL[[#This Row],[GRADO]],ORDEN3,2,FALSE)</f>
        <v>10</v>
      </c>
      <c r="AA399" s="219">
        <f>IFERROR(VLOOKUP(BD_PRINCIPAL[[#This Row],[DOTACIÓN ACTUAL]],ORDEN2,3,FALSE),0)</f>
        <v>0</v>
      </c>
      <c r="AB399" s="212" t="s">
        <v>909</v>
      </c>
      <c r="AC399" s="212" t="s">
        <v>909</v>
      </c>
      <c r="AD399" s="212" t="s">
        <v>909</v>
      </c>
      <c r="AE399" s="212" t="s">
        <v>909</v>
      </c>
      <c r="AF399" s="212" t="s">
        <v>909</v>
      </c>
      <c r="AG399" s="212" t="s">
        <v>909</v>
      </c>
      <c r="AH399" s="212"/>
      <c r="AI399" s="212"/>
      <c r="AJ399" s="212"/>
      <c r="AK399" s="212"/>
      <c r="AL399" s="212"/>
      <c r="AM399" s="212"/>
      <c r="AN399" s="212"/>
      <c r="AO399" s="212"/>
      <c r="AP399" s="212"/>
      <c r="AQ399" s="212"/>
      <c r="AR399" s="212"/>
      <c r="AS399" s="212"/>
      <c r="AT399" s="220"/>
      <c r="AU399" s="220"/>
      <c r="AV399" s="220"/>
      <c r="AW399" s="220"/>
      <c r="AX399" s="220"/>
      <c r="AY399" s="220"/>
      <c r="AZ399" s="220"/>
      <c r="BA399" s="212"/>
      <c r="BB399" s="212"/>
      <c r="BC399" s="212"/>
      <c r="BD399" s="212"/>
      <c r="BE399" s="212"/>
      <c r="BF399" s="212"/>
      <c r="BG399" s="212"/>
      <c r="BH399" s="212"/>
      <c r="BI399" s="212"/>
      <c r="BJ399" s="212"/>
      <c r="BK399" s="212"/>
      <c r="BL399" s="212"/>
      <c r="BM399" s="772">
        <v>45135</v>
      </c>
      <c r="BN399" s="789"/>
    </row>
    <row r="400" spans="1:66" s="221" customFormat="1" ht="39.6" x14ac:dyDescent="0.3">
      <c r="A400" s="219" t="s">
        <v>1787</v>
      </c>
      <c r="B400" s="212" t="s">
        <v>1788</v>
      </c>
      <c r="C400" s="219">
        <v>152643640</v>
      </c>
      <c r="D400" s="715" t="s">
        <v>1832</v>
      </c>
      <c r="E400" s="480" t="s">
        <v>809</v>
      </c>
      <c r="F400" s="480" t="s">
        <v>1788</v>
      </c>
      <c r="G400" s="222" t="s">
        <v>209</v>
      </c>
      <c r="H400" s="215" t="s">
        <v>816</v>
      </c>
      <c r="I400" s="215" t="s">
        <v>872</v>
      </c>
      <c r="J400" s="216" t="s">
        <v>917</v>
      </c>
      <c r="K400" s="1279" t="s">
        <v>2290</v>
      </c>
      <c r="L400" s="733" t="s">
        <v>909</v>
      </c>
      <c r="M400" s="1304" t="s">
        <v>809</v>
      </c>
      <c r="N400" s="787"/>
      <c r="O400" s="1294"/>
      <c r="P400" s="212"/>
      <c r="Q400" s="1294" t="s">
        <v>832</v>
      </c>
      <c r="R400" s="498">
        <f>$B$1</f>
        <v>45388</v>
      </c>
      <c r="S400" s="223"/>
      <c r="T400" s="213"/>
      <c r="U400" s="218">
        <v>45351</v>
      </c>
      <c r="V400" s="218">
        <v>45392</v>
      </c>
      <c r="W400" s="499">
        <f>IFERROR(IF(AND(BD_PRINCIPAL[[#This Row],[DESDE]]&lt;&gt;"",BD_PRINCIPAL[[#This Row],[HASTA]]&lt;&gt;""),_xlfn.DAYS(BD_PRINCIPAL[[#This Row],[HASTA]],BD_PRINCIPAL[[#This Row],[DESDE]]),"")+1,"")</f>
        <v>42</v>
      </c>
      <c r="X400" s="499">
        <f>VLOOKUP(BD_PRINCIPAL[[#This Row],[ENCUADRE. ESC.]],ORDEN1,2,FALSE)</f>
        <v>1</v>
      </c>
      <c r="Y400" s="499">
        <f>VLOOKUP(BD_PRINCIPAL[[#This Row],[DOTACIÓN ACTUAL]],ORDEN2,4,FALSE)</f>
        <v>300</v>
      </c>
      <c r="Z400" s="499">
        <f>VLOOKUP(BD_PRINCIPAL[[#This Row],[GRADO]],ORDEN3,2,FALSE)</f>
        <v>10</v>
      </c>
      <c r="AA400" s="499">
        <f>IFERROR(VLOOKUP(BD_PRINCIPAL[[#This Row],[DOTACIÓN ACTUAL]],ORDEN2,3,FALSE),0)</f>
        <v>0</v>
      </c>
      <c r="AB400" s="212" t="s">
        <v>909</v>
      </c>
      <c r="AC400" s="212" t="s">
        <v>909</v>
      </c>
      <c r="AD400" s="212" t="s">
        <v>909</v>
      </c>
      <c r="AE400" s="212" t="s">
        <v>909</v>
      </c>
      <c r="AF400" s="212" t="s">
        <v>909</v>
      </c>
      <c r="AG400" s="212" t="s">
        <v>909</v>
      </c>
      <c r="AH400" s="212"/>
      <c r="AI400" s="212"/>
      <c r="AJ400" s="212"/>
      <c r="AK400" s="212"/>
      <c r="AL400" s="212"/>
      <c r="AM400" s="212"/>
      <c r="AN400" s="212"/>
      <c r="AO400" s="212"/>
      <c r="AP400" s="212"/>
      <c r="AQ400" s="212"/>
      <c r="AR400" s="212"/>
      <c r="AS400" s="212"/>
      <c r="AT400" s="220"/>
      <c r="AU400" s="220"/>
      <c r="AV400" s="220"/>
      <c r="AW400" s="220"/>
      <c r="AX400" s="220"/>
      <c r="AY400" s="220"/>
      <c r="AZ400" s="220"/>
      <c r="BA400" s="212"/>
      <c r="BB400" s="212"/>
      <c r="BC400" s="212"/>
      <c r="BD400" s="212"/>
      <c r="BE400" s="212"/>
      <c r="BF400" s="212"/>
      <c r="BG400" s="212"/>
      <c r="BH400" s="212"/>
      <c r="BI400" s="212"/>
      <c r="BJ400" s="212"/>
      <c r="BK400" s="212"/>
      <c r="BL400" s="212"/>
      <c r="BM400" s="772">
        <v>45037</v>
      </c>
      <c r="BN400" s="789"/>
    </row>
    <row r="401" spans="1:66" s="221" customFormat="1" ht="39.6" x14ac:dyDescent="0.3">
      <c r="A401" s="219" t="s">
        <v>489</v>
      </c>
      <c r="B401" s="212" t="s">
        <v>1883</v>
      </c>
      <c r="C401" s="219">
        <v>157041843</v>
      </c>
      <c r="D401" s="715" t="s">
        <v>702</v>
      </c>
      <c r="E401" s="480" t="s">
        <v>809</v>
      </c>
      <c r="F401" s="480" t="s">
        <v>1883</v>
      </c>
      <c r="G401" s="222" t="s">
        <v>209</v>
      </c>
      <c r="H401" s="215" t="s">
        <v>816</v>
      </c>
      <c r="I401" s="215" t="s">
        <v>872</v>
      </c>
      <c r="J401" s="216" t="s">
        <v>917</v>
      </c>
      <c r="K401" s="1279" t="s">
        <v>2290</v>
      </c>
      <c r="L401" s="733" t="s">
        <v>909</v>
      </c>
      <c r="M401" s="1304" t="s">
        <v>809</v>
      </c>
      <c r="N401" s="772"/>
      <c r="O401" s="1294"/>
      <c r="P401" s="212"/>
      <c r="Q401" s="1294" t="s">
        <v>832</v>
      </c>
      <c r="R401" s="217">
        <f>$B$1</f>
        <v>45388</v>
      </c>
      <c r="S401" s="223"/>
      <c r="T401" s="213" t="s">
        <v>2919</v>
      </c>
      <c r="U401" s="224">
        <v>45377</v>
      </c>
      <c r="V401" s="224">
        <v>45391</v>
      </c>
      <c r="W401" s="219">
        <f>IFERROR(IF(AND(BD_PRINCIPAL[[#This Row],[DESDE]]&lt;&gt;"",BD_PRINCIPAL[[#This Row],[HASTA]]&lt;&gt;""),_xlfn.DAYS(BD_PRINCIPAL[[#This Row],[HASTA]],BD_PRINCIPAL[[#This Row],[DESDE]]),"")+1,"")</f>
        <v>15</v>
      </c>
      <c r="X401" s="219">
        <f>VLOOKUP(BD_PRINCIPAL[[#This Row],[ENCUADRE. ESC.]],ORDEN1,2,FALSE)</f>
        <v>1</v>
      </c>
      <c r="Y401" s="219">
        <f>VLOOKUP(BD_PRINCIPAL[[#This Row],[DOTACIÓN ACTUAL]],ORDEN2,4,FALSE)</f>
        <v>300</v>
      </c>
      <c r="Z401" s="219">
        <f>VLOOKUP(BD_PRINCIPAL[[#This Row],[GRADO]],ORDEN3,2,FALSE)</f>
        <v>10</v>
      </c>
      <c r="AA401" s="219">
        <f>IFERROR(VLOOKUP(BD_PRINCIPAL[[#This Row],[DOTACIÓN ACTUAL]],ORDEN2,3,FALSE),0)</f>
        <v>0</v>
      </c>
      <c r="AB401" s="212" t="s">
        <v>909</v>
      </c>
      <c r="AC401" s="212" t="s">
        <v>909</v>
      </c>
      <c r="AD401" s="212" t="s">
        <v>909</v>
      </c>
      <c r="AE401" s="212" t="s">
        <v>909</v>
      </c>
      <c r="AF401" s="212" t="s">
        <v>909</v>
      </c>
      <c r="AG401" s="212" t="s">
        <v>909</v>
      </c>
      <c r="AH401" s="212"/>
      <c r="AI401" s="212"/>
      <c r="AJ401" s="212"/>
      <c r="AK401" s="212"/>
      <c r="AL401" s="212"/>
      <c r="AM401" s="212"/>
      <c r="AN401" s="212"/>
      <c r="AO401" s="212"/>
      <c r="AP401" s="212"/>
      <c r="AQ401" s="212"/>
      <c r="AR401" s="212"/>
      <c r="AS401" s="212"/>
      <c r="AT401" s="220"/>
      <c r="AU401" s="220"/>
      <c r="AV401" s="220"/>
      <c r="AW401" s="220"/>
      <c r="AX401" s="220"/>
      <c r="AY401" s="220"/>
      <c r="AZ401" s="220"/>
      <c r="BA401" s="212"/>
      <c r="BB401" s="212"/>
      <c r="BC401" s="212"/>
      <c r="BD401" s="212"/>
      <c r="BE401" s="212"/>
      <c r="BF401" s="212"/>
      <c r="BG401" s="212"/>
      <c r="BH401" s="212"/>
      <c r="BI401" s="212"/>
      <c r="BJ401" s="212"/>
      <c r="BK401" s="212"/>
      <c r="BL401" s="212"/>
      <c r="BM401" s="772">
        <v>45126</v>
      </c>
      <c r="BN401" s="789"/>
    </row>
    <row r="402" spans="1:66" s="221" customFormat="1" ht="39.6" x14ac:dyDescent="0.3">
      <c r="A402" s="219" t="s">
        <v>591</v>
      </c>
      <c r="B402" s="212" t="s">
        <v>221</v>
      </c>
      <c r="C402" s="219">
        <v>175139958</v>
      </c>
      <c r="D402" s="715" t="s">
        <v>704</v>
      </c>
      <c r="E402" s="480" t="s">
        <v>809</v>
      </c>
      <c r="F402" s="480" t="s">
        <v>221</v>
      </c>
      <c r="G402" s="214" t="s">
        <v>3</v>
      </c>
      <c r="H402" s="215" t="s">
        <v>816</v>
      </c>
      <c r="I402" s="215" t="s">
        <v>872</v>
      </c>
      <c r="J402" s="216" t="s">
        <v>917</v>
      </c>
      <c r="K402" s="1279" t="s">
        <v>2290</v>
      </c>
      <c r="L402" s="733" t="s">
        <v>909</v>
      </c>
      <c r="M402" s="1304" t="s">
        <v>809</v>
      </c>
      <c r="N402" s="772"/>
      <c r="O402" s="1294"/>
      <c r="P402" s="212"/>
      <c r="Q402" s="1294" t="s">
        <v>832</v>
      </c>
      <c r="R402" s="217">
        <f>$B$1</f>
        <v>45388</v>
      </c>
      <c r="S402" s="223"/>
      <c r="T402" s="213" t="s">
        <v>2919</v>
      </c>
      <c r="U402" s="218">
        <v>45384</v>
      </c>
      <c r="V402" s="218">
        <v>45389</v>
      </c>
      <c r="W402" s="219">
        <f>IFERROR(IF(AND(BD_PRINCIPAL[[#This Row],[DESDE]]&lt;&gt;"",BD_PRINCIPAL[[#This Row],[HASTA]]&lt;&gt;""),_xlfn.DAYS(BD_PRINCIPAL[[#This Row],[HASTA]],BD_PRINCIPAL[[#This Row],[DESDE]]),"")+1,"")</f>
        <v>6</v>
      </c>
      <c r="X402" s="219">
        <f>VLOOKUP(BD_PRINCIPAL[[#This Row],[ENCUADRE. ESC.]],ORDEN1,2,FALSE)</f>
        <v>1</v>
      </c>
      <c r="Y402" s="219">
        <f>VLOOKUP(BD_PRINCIPAL[[#This Row],[DOTACIÓN ACTUAL]],ORDEN2,4,FALSE)</f>
        <v>300</v>
      </c>
      <c r="Z402" s="219">
        <f>VLOOKUP(BD_PRINCIPAL[[#This Row],[GRADO]],ORDEN3,2,FALSE)</f>
        <v>11</v>
      </c>
      <c r="AA402" s="219">
        <f>IFERROR(VLOOKUP(BD_PRINCIPAL[[#This Row],[DOTACIÓN ACTUAL]],ORDEN2,3,FALSE),0)</f>
        <v>0</v>
      </c>
      <c r="AB402" s="212" t="s">
        <v>1</v>
      </c>
      <c r="AC402" s="212" t="s">
        <v>1</v>
      </c>
      <c r="AD402" s="212" t="s">
        <v>909</v>
      </c>
      <c r="AE402" s="212" t="s">
        <v>909</v>
      </c>
      <c r="AF402" s="212" t="s">
        <v>909</v>
      </c>
      <c r="AG402" s="212" t="s">
        <v>909</v>
      </c>
      <c r="AH402" s="212"/>
      <c r="AI402" s="212"/>
      <c r="AJ402" s="212"/>
      <c r="AK402" s="212"/>
      <c r="AL402" s="212"/>
      <c r="AM402" s="212"/>
      <c r="AN402" s="212"/>
      <c r="AO402" s="212"/>
      <c r="AP402" s="212"/>
      <c r="AQ402" s="212"/>
      <c r="AR402" s="212"/>
      <c r="AS402" s="212"/>
      <c r="AT402" s="220"/>
      <c r="AU402" s="220"/>
      <c r="AV402" s="220"/>
      <c r="AW402" s="220"/>
      <c r="AX402" s="220"/>
      <c r="AY402" s="220"/>
      <c r="AZ402" s="220"/>
      <c r="BA402" s="212"/>
      <c r="BB402" s="212"/>
      <c r="BC402" s="212"/>
      <c r="BD402" s="212"/>
      <c r="BE402" s="212"/>
      <c r="BF402" s="212"/>
      <c r="BG402" s="212"/>
      <c r="BH402" s="212"/>
      <c r="BI402" s="212"/>
      <c r="BJ402" s="212"/>
      <c r="BK402" s="212"/>
      <c r="BL402" s="212"/>
      <c r="BM402" s="772">
        <v>45139</v>
      </c>
      <c r="BN402" s="789"/>
    </row>
    <row r="403" spans="1:66" s="221" customFormat="1" ht="39.6" x14ac:dyDescent="0.3">
      <c r="A403" s="219" t="s">
        <v>1549</v>
      </c>
      <c r="B403" s="212" t="s">
        <v>1605</v>
      </c>
      <c r="C403" s="219">
        <v>180494294</v>
      </c>
      <c r="D403" s="715" t="s">
        <v>740</v>
      </c>
      <c r="E403" s="485" t="s">
        <v>809</v>
      </c>
      <c r="F403" s="480" t="s">
        <v>2509</v>
      </c>
      <c r="G403" s="214" t="s">
        <v>3</v>
      </c>
      <c r="H403" s="215" t="s">
        <v>816</v>
      </c>
      <c r="I403" s="215" t="s">
        <v>872</v>
      </c>
      <c r="J403" s="216" t="s">
        <v>917</v>
      </c>
      <c r="K403" s="1279" t="s">
        <v>2306</v>
      </c>
      <c r="L403" s="733" t="s">
        <v>909</v>
      </c>
      <c r="M403" s="1304" t="s">
        <v>809</v>
      </c>
      <c r="N403" s="772"/>
      <c r="O403" s="1294"/>
      <c r="P403" s="212"/>
      <c r="Q403" s="1294" t="s">
        <v>832</v>
      </c>
      <c r="R403" s="217">
        <f>$B$1</f>
        <v>45388</v>
      </c>
      <c r="S403" s="223"/>
      <c r="T403" s="213" t="s">
        <v>2919</v>
      </c>
      <c r="U403" s="218">
        <v>45387</v>
      </c>
      <c r="V403" s="218">
        <v>45389</v>
      </c>
      <c r="W403" s="219">
        <f>IFERROR(IF(AND(BD_PRINCIPAL[[#This Row],[DESDE]]&lt;&gt;"",BD_PRINCIPAL[[#This Row],[HASTA]]&lt;&gt;""),_xlfn.DAYS(BD_PRINCIPAL[[#This Row],[HASTA]],BD_PRINCIPAL[[#This Row],[DESDE]]),"")+1,"")</f>
        <v>3</v>
      </c>
      <c r="X403" s="219">
        <f>VLOOKUP(BD_PRINCIPAL[[#This Row],[ENCUADRE. ESC.]],ORDEN1,2,FALSE)</f>
        <v>1</v>
      </c>
      <c r="Y403" s="219">
        <f>VLOOKUP(BD_PRINCIPAL[[#This Row],[DOTACIÓN ACTUAL]],ORDEN2,4,FALSE)</f>
        <v>300</v>
      </c>
      <c r="Z403" s="219">
        <f>VLOOKUP(BD_PRINCIPAL[[#This Row],[GRADO]],ORDEN3,2,FALSE)</f>
        <v>11</v>
      </c>
      <c r="AA403" s="219">
        <f>IFERROR(VLOOKUP(BD_PRINCIPAL[[#This Row],[DOTACIÓN ACTUAL]],ORDEN2,3,FALSE),0)</f>
        <v>0</v>
      </c>
      <c r="AB403" s="212" t="s">
        <v>2125</v>
      </c>
      <c r="AC403" s="212" t="s">
        <v>909</v>
      </c>
      <c r="AD403" s="212" t="s">
        <v>909</v>
      </c>
      <c r="AE403" s="212" t="s">
        <v>909</v>
      </c>
      <c r="AF403" s="212" t="s">
        <v>909</v>
      </c>
      <c r="AG403" s="212" t="s">
        <v>909</v>
      </c>
      <c r="AH403" s="212"/>
      <c r="AI403" s="212"/>
      <c r="AJ403" s="212"/>
      <c r="AK403" s="212"/>
      <c r="AL403" s="212"/>
      <c r="AM403" s="212"/>
      <c r="AN403" s="212"/>
      <c r="AO403" s="212"/>
      <c r="AP403" s="212"/>
      <c r="AQ403" s="212"/>
      <c r="AR403" s="212"/>
      <c r="AS403" s="212"/>
      <c r="AT403" s="220"/>
      <c r="AU403" s="220"/>
      <c r="AV403" s="220"/>
      <c r="AW403" s="220"/>
      <c r="AX403" s="220"/>
      <c r="AY403" s="220"/>
      <c r="AZ403" s="220"/>
      <c r="BA403" s="212"/>
      <c r="BB403" s="212"/>
      <c r="BC403" s="212"/>
      <c r="BD403" s="212"/>
      <c r="BE403" s="212"/>
      <c r="BF403" s="212"/>
      <c r="BG403" s="212"/>
      <c r="BH403" s="212"/>
      <c r="BI403" s="212"/>
      <c r="BJ403" s="212"/>
      <c r="BK403" s="212"/>
      <c r="BL403" s="212"/>
      <c r="BM403" s="772">
        <v>45209</v>
      </c>
      <c r="BN403" s="789"/>
    </row>
    <row r="404" spans="1:66" s="221" customFormat="1" ht="39.6" x14ac:dyDescent="0.3">
      <c r="A404" s="219" t="s">
        <v>572</v>
      </c>
      <c r="B404" s="212" t="s">
        <v>1892</v>
      </c>
      <c r="C404" s="219">
        <v>182678872</v>
      </c>
      <c r="D404" s="715" t="s">
        <v>2001</v>
      </c>
      <c r="E404" s="480" t="s">
        <v>809</v>
      </c>
      <c r="F404" s="480" t="s">
        <v>1892</v>
      </c>
      <c r="G404" s="214" t="s">
        <v>3</v>
      </c>
      <c r="H404" s="215" t="s">
        <v>817</v>
      </c>
      <c r="I404" s="215" t="s">
        <v>872</v>
      </c>
      <c r="J404" s="216" t="s">
        <v>917</v>
      </c>
      <c r="K404" s="1279" t="s">
        <v>2290</v>
      </c>
      <c r="L404" s="733" t="s">
        <v>909</v>
      </c>
      <c r="M404" s="1304" t="s">
        <v>809</v>
      </c>
      <c r="N404" s="771"/>
      <c r="O404" s="1294"/>
      <c r="P404" s="212"/>
      <c r="Q404" s="1294" t="s">
        <v>832</v>
      </c>
      <c r="R404" s="217">
        <f>$B$1</f>
        <v>45388</v>
      </c>
      <c r="S404" s="223"/>
      <c r="T404" s="213">
        <v>45312</v>
      </c>
      <c r="U404" s="218">
        <v>45376</v>
      </c>
      <c r="V404" s="218">
        <v>45403</v>
      </c>
      <c r="W404" s="219">
        <f>IFERROR(IF(AND(BD_PRINCIPAL[[#This Row],[DESDE]]&lt;&gt;"",BD_PRINCIPAL[[#This Row],[HASTA]]&lt;&gt;""),_xlfn.DAYS(BD_PRINCIPAL[[#This Row],[HASTA]],BD_PRINCIPAL[[#This Row],[DESDE]]),"")+1,"")</f>
        <v>28</v>
      </c>
      <c r="X404" s="219">
        <f>VLOOKUP(BD_PRINCIPAL[[#This Row],[ENCUADRE. ESC.]],ORDEN1,2,FALSE)</f>
        <v>1</v>
      </c>
      <c r="Y404" s="219">
        <f>VLOOKUP(BD_PRINCIPAL[[#This Row],[DOTACIÓN ACTUAL]],ORDEN2,4,FALSE)</f>
        <v>300</v>
      </c>
      <c r="Z404" s="219">
        <f>VLOOKUP(BD_PRINCIPAL[[#This Row],[GRADO]],ORDEN3,2,FALSE)</f>
        <v>11</v>
      </c>
      <c r="AA404" s="219">
        <f>IFERROR(VLOOKUP(BD_PRINCIPAL[[#This Row],[DOTACIÓN ACTUAL]],ORDEN2,3,FALSE),0)</f>
        <v>0</v>
      </c>
      <c r="AB404" s="212" t="s">
        <v>909</v>
      </c>
      <c r="AC404" s="212" t="s">
        <v>909</v>
      </c>
      <c r="AD404" s="212" t="s">
        <v>909</v>
      </c>
      <c r="AE404" s="212" t="s">
        <v>909</v>
      </c>
      <c r="AF404" s="212" t="s">
        <v>909</v>
      </c>
      <c r="AG404" s="212" t="s">
        <v>909</v>
      </c>
      <c r="AH404" s="212"/>
      <c r="AI404" s="212"/>
      <c r="AJ404" s="212"/>
      <c r="AK404" s="212"/>
      <c r="AL404" s="212"/>
      <c r="AM404" s="212"/>
      <c r="AN404" s="212"/>
      <c r="AO404" s="212"/>
      <c r="AP404" s="212"/>
      <c r="AQ404" s="212"/>
      <c r="AR404" s="212"/>
      <c r="AS404" s="212"/>
      <c r="AT404" s="220"/>
      <c r="AU404" s="220"/>
      <c r="AV404" s="220"/>
      <c r="AW404" s="220"/>
      <c r="AX404" s="220"/>
      <c r="AY404" s="220"/>
      <c r="AZ404" s="220"/>
      <c r="BA404" s="212"/>
      <c r="BB404" s="212"/>
      <c r="BC404" s="212"/>
      <c r="BD404" s="212"/>
      <c r="BE404" s="212"/>
      <c r="BF404" s="212"/>
      <c r="BG404" s="212"/>
      <c r="BH404" s="212"/>
      <c r="BI404" s="212"/>
      <c r="BJ404" s="212"/>
      <c r="BK404" s="212"/>
      <c r="BL404" s="212"/>
      <c r="BM404" s="771">
        <v>44634</v>
      </c>
      <c r="BN404" s="789"/>
    </row>
    <row r="405" spans="1:66" s="221" customFormat="1" ht="39.6" x14ac:dyDescent="0.3">
      <c r="A405" s="821" t="s">
        <v>342</v>
      </c>
      <c r="B405" s="822" t="s">
        <v>1860</v>
      </c>
      <c r="C405" s="821">
        <v>176965800</v>
      </c>
      <c r="D405" s="935" t="s">
        <v>717</v>
      </c>
      <c r="E405" s="823" t="s">
        <v>809</v>
      </c>
      <c r="F405" s="823" t="s">
        <v>1860</v>
      </c>
      <c r="G405" s="824" t="s">
        <v>3</v>
      </c>
      <c r="H405" s="825" t="s">
        <v>816</v>
      </c>
      <c r="I405" s="825" t="s">
        <v>872</v>
      </c>
      <c r="J405" s="880" t="s">
        <v>917</v>
      </c>
      <c r="K405" s="1288" t="s">
        <v>2290</v>
      </c>
      <c r="L405" s="826" t="s">
        <v>909</v>
      </c>
      <c r="M405" s="1314" t="s">
        <v>809</v>
      </c>
      <c r="N405" s="827"/>
      <c r="O405" s="1299"/>
      <c r="P405" s="822"/>
      <c r="Q405" s="1299" t="s">
        <v>832</v>
      </c>
      <c r="R405" s="828">
        <f>$B$1</f>
        <v>45388</v>
      </c>
      <c r="S405" s="877"/>
      <c r="T405" s="829"/>
      <c r="U405" s="830">
        <v>45383</v>
      </c>
      <c r="V405" s="830">
        <v>45397</v>
      </c>
      <c r="W405" s="821">
        <f>IFERROR(IF(AND(BD_PRINCIPAL[[#This Row],[DESDE]]&lt;&gt;"",BD_PRINCIPAL[[#This Row],[HASTA]]&lt;&gt;""),_xlfn.DAYS(BD_PRINCIPAL[[#This Row],[HASTA]],BD_PRINCIPAL[[#This Row],[DESDE]]),"")+1,"")</f>
        <v>15</v>
      </c>
      <c r="X405" s="821">
        <f>VLOOKUP(BD_PRINCIPAL[[#This Row],[ENCUADRE. ESC.]],ORDEN1,2,FALSE)</f>
        <v>1</v>
      </c>
      <c r="Y405" s="821">
        <f>VLOOKUP(BD_PRINCIPAL[[#This Row],[DOTACIÓN ACTUAL]],ORDEN2,4,FALSE)</f>
        <v>300</v>
      </c>
      <c r="Z405" s="821">
        <f>VLOOKUP(BD_PRINCIPAL[[#This Row],[GRADO]],ORDEN3,2,FALSE)</f>
        <v>11</v>
      </c>
      <c r="AA405" s="821">
        <f>IFERROR(VLOOKUP(BD_PRINCIPAL[[#This Row],[DOTACIÓN ACTUAL]],ORDEN2,3,FALSE),0)</f>
        <v>0</v>
      </c>
      <c r="AB405" s="212" t="s">
        <v>909</v>
      </c>
      <c r="AC405" s="212" t="s">
        <v>909</v>
      </c>
      <c r="AD405" s="212" t="s">
        <v>909</v>
      </c>
      <c r="AE405" s="212" t="s">
        <v>909</v>
      </c>
      <c r="AF405" s="212" t="s">
        <v>909</v>
      </c>
      <c r="AG405" s="212" t="s">
        <v>909</v>
      </c>
      <c r="AH405" s="822"/>
      <c r="AI405" s="822"/>
      <c r="AJ405" s="822"/>
      <c r="AK405" s="822"/>
      <c r="AL405" s="822"/>
      <c r="AM405" s="822"/>
      <c r="AN405" s="822"/>
      <c r="AO405" s="822"/>
      <c r="AP405" s="822"/>
      <c r="AQ405" s="822"/>
      <c r="AR405" s="822"/>
      <c r="AS405" s="822"/>
      <c r="AT405" s="831"/>
      <c r="AU405" s="831"/>
      <c r="AV405" s="831"/>
      <c r="AW405" s="831"/>
      <c r="AX405" s="831"/>
      <c r="AY405" s="831"/>
      <c r="AZ405" s="831"/>
      <c r="BA405" s="822"/>
      <c r="BB405" s="822"/>
      <c r="BC405" s="822"/>
      <c r="BD405" s="822"/>
      <c r="BE405" s="822"/>
      <c r="BF405" s="212"/>
      <c r="BG405" s="212"/>
      <c r="BH405" s="212"/>
      <c r="BI405" s="212"/>
      <c r="BJ405" s="212"/>
      <c r="BK405" s="212"/>
      <c r="BL405" s="212"/>
      <c r="BM405" s="827">
        <v>45030</v>
      </c>
      <c r="BN405" s="789"/>
    </row>
    <row r="406" spans="1:66" s="221" customFormat="1" ht="39.6" x14ac:dyDescent="0.3">
      <c r="A406" s="821" t="s">
        <v>692</v>
      </c>
      <c r="B406" s="822" t="s">
        <v>255</v>
      </c>
      <c r="C406" s="821">
        <v>197844353</v>
      </c>
      <c r="D406" s="940" t="s">
        <v>703</v>
      </c>
      <c r="E406" s="994" t="s">
        <v>809</v>
      </c>
      <c r="F406" s="823" t="s">
        <v>255</v>
      </c>
      <c r="G406" s="824" t="s">
        <v>4</v>
      </c>
      <c r="H406" s="825" t="s">
        <v>816</v>
      </c>
      <c r="I406" s="825" t="s">
        <v>872</v>
      </c>
      <c r="J406" s="880" t="s">
        <v>917</v>
      </c>
      <c r="K406" s="1288" t="s">
        <v>2290</v>
      </c>
      <c r="L406" s="826" t="s">
        <v>909</v>
      </c>
      <c r="M406" s="1314" t="s">
        <v>809</v>
      </c>
      <c r="N406" s="995"/>
      <c r="O406" s="1299"/>
      <c r="P406" s="822"/>
      <c r="Q406" s="1299" t="s">
        <v>832</v>
      </c>
      <c r="R406" s="828">
        <f>$B$1</f>
        <v>45388</v>
      </c>
      <c r="S406" s="829"/>
      <c r="T406" s="829" t="s">
        <v>2919</v>
      </c>
      <c r="U406" s="830">
        <v>45377</v>
      </c>
      <c r="V406" s="830">
        <v>45388</v>
      </c>
      <c r="W406" s="821">
        <f>IFERROR(IF(AND(BD_PRINCIPAL[[#This Row],[DESDE]]&lt;&gt;"",BD_PRINCIPAL[[#This Row],[HASTA]]&lt;&gt;""),_xlfn.DAYS(BD_PRINCIPAL[[#This Row],[HASTA]],BD_PRINCIPAL[[#This Row],[DESDE]]),"")+1,"")</f>
        <v>12</v>
      </c>
      <c r="X406" s="821">
        <f>VLOOKUP(BD_PRINCIPAL[[#This Row],[ENCUADRE. ESC.]],ORDEN1,2,FALSE)</f>
        <v>1</v>
      </c>
      <c r="Y406" s="821">
        <f>VLOOKUP(BD_PRINCIPAL[[#This Row],[DOTACIÓN ACTUAL]],ORDEN2,4,FALSE)</f>
        <v>300</v>
      </c>
      <c r="Z406" s="821">
        <f>VLOOKUP(BD_PRINCIPAL[[#This Row],[GRADO]],ORDEN3,2,FALSE)</f>
        <v>12</v>
      </c>
      <c r="AA406" s="821">
        <f>IFERROR(VLOOKUP(BD_PRINCIPAL[[#This Row],[DOTACIÓN ACTUAL]],ORDEN2,3,FALSE),0)</f>
        <v>0</v>
      </c>
      <c r="AB406" s="212" t="s">
        <v>909</v>
      </c>
      <c r="AC406" s="212" t="s">
        <v>909</v>
      </c>
      <c r="AD406" s="212" t="s">
        <v>909</v>
      </c>
      <c r="AE406" s="212" t="s">
        <v>909</v>
      </c>
      <c r="AF406" s="212" t="s">
        <v>909</v>
      </c>
      <c r="AG406" s="212" t="s">
        <v>909</v>
      </c>
      <c r="AH406" s="822"/>
      <c r="AI406" s="822"/>
      <c r="AJ406" s="822"/>
      <c r="AK406" s="822"/>
      <c r="AL406" s="822"/>
      <c r="AM406" s="822"/>
      <c r="AN406" s="822"/>
      <c r="AO406" s="822"/>
      <c r="AP406" s="822"/>
      <c r="AQ406" s="822"/>
      <c r="AR406" s="822"/>
      <c r="AS406" s="822"/>
      <c r="AT406" s="831"/>
      <c r="AU406" s="831"/>
      <c r="AV406" s="831"/>
      <c r="AW406" s="831"/>
      <c r="AX406" s="831"/>
      <c r="AY406" s="831"/>
      <c r="AZ406" s="831"/>
      <c r="BA406" s="822"/>
      <c r="BB406" s="822"/>
      <c r="BC406" s="822"/>
      <c r="BD406" s="822"/>
      <c r="BE406" s="822"/>
      <c r="BF406" s="212"/>
      <c r="BG406" s="212"/>
      <c r="BH406" s="212"/>
      <c r="BI406" s="212"/>
      <c r="BJ406" s="212"/>
      <c r="BK406" s="212"/>
      <c r="BL406" s="212"/>
      <c r="BM406" s="995">
        <v>45124</v>
      </c>
      <c r="BN406" s="789"/>
    </row>
    <row r="407" spans="1:66" s="221" customFormat="1" ht="39.6" x14ac:dyDescent="0.3">
      <c r="A407" s="821" t="s">
        <v>598</v>
      </c>
      <c r="B407" s="822" t="s">
        <v>32</v>
      </c>
      <c r="C407" s="821">
        <v>194866828</v>
      </c>
      <c r="D407" s="940" t="s">
        <v>1832</v>
      </c>
      <c r="E407" s="823" t="s">
        <v>809</v>
      </c>
      <c r="F407" s="823" t="s">
        <v>32</v>
      </c>
      <c r="G407" s="824" t="s">
        <v>4</v>
      </c>
      <c r="H407" s="825" t="s">
        <v>816</v>
      </c>
      <c r="I407" s="825" t="s">
        <v>872</v>
      </c>
      <c r="J407" s="880" t="s">
        <v>917</v>
      </c>
      <c r="K407" s="1288" t="s">
        <v>2290</v>
      </c>
      <c r="L407" s="826" t="s">
        <v>909</v>
      </c>
      <c r="M407" s="1314" t="s">
        <v>809</v>
      </c>
      <c r="N407" s="827"/>
      <c r="O407" s="1299"/>
      <c r="P407" s="822"/>
      <c r="Q407" s="1299" t="s">
        <v>832</v>
      </c>
      <c r="R407" s="828">
        <f>$B$1</f>
        <v>45388</v>
      </c>
      <c r="S407" s="877"/>
      <c r="T407" s="877"/>
      <c r="U407" s="830">
        <v>45383</v>
      </c>
      <c r="V407" s="830">
        <v>45397</v>
      </c>
      <c r="W407" s="821">
        <f>IFERROR(IF(AND(BD_PRINCIPAL[[#This Row],[DESDE]]&lt;&gt;"",BD_PRINCIPAL[[#This Row],[HASTA]]&lt;&gt;""),_xlfn.DAYS(BD_PRINCIPAL[[#This Row],[HASTA]],BD_PRINCIPAL[[#This Row],[DESDE]]),"")+1,"")</f>
        <v>15</v>
      </c>
      <c r="X407" s="821">
        <f>VLOOKUP(BD_PRINCIPAL[[#This Row],[ENCUADRE. ESC.]],ORDEN1,2,FALSE)</f>
        <v>1</v>
      </c>
      <c r="Y407" s="821">
        <f>VLOOKUP(BD_PRINCIPAL[[#This Row],[DOTACIÓN ACTUAL]],ORDEN2,4,FALSE)</f>
        <v>300</v>
      </c>
      <c r="Z407" s="821">
        <f>VLOOKUP(BD_PRINCIPAL[[#This Row],[GRADO]],ORDEN3,2,FALSE)</f>
        <v>12</v>
      </c>
      <c r="AA407" s="821">
        <f>IFERROR(VLOOKUP(BD_PRINCIPAL[[#This Row],[DOTACIÓN ACTUAL]],ORDEN2,3,FALSE),0)</f>
        <v>0</v>
      </c>
      <c r="AB407" s="212" t="s">
        <v>909</v>
      </c>
      <c r="AC407" s="212" t="s">
        <v>909</v>
      </c>
      <c r="AD407" s="212" t="s">
        <v>909</v>
      </c>
      <c r="AE407" s="212" t="s">
        <v>909</v>
      </c>
      <c r="AF407" s="212" t="s">
        <v>909</v>
      </c>
      <c r="AG407" s="212" t="s">
        <v>909</v>
      </c>
      <c r="AH407" s="822"/>
      <c r="AI407" s="822"/>
      <c r="AJ407" s="822"/>
      <c r="AK407" s="822"/>
      <c r="AL407" s="822"/>
      <c r="AM407" s="822"/>
      <c r="AN407" s="822"/>
      <c r="AO407" s="822"/>
      <c r="AP407" s="822"/>
      <c r="AQ407" s="822"/>
      <c r="AR407" s="822"/>
      <c r="AS407" s="822"/>
      <c r="AT407" s="831"/>
      <c r="AU407" s="831"/>
      <c r="AV407" s="831"/>
      <c r="AW407" s="831"/>
      <c r="AX407" s="831"/>
      <c r="AY407" s="831"/>
      <c r="AZ407" s="831"/>
      <c r="BA407" s="822"/>
      <c r="BB407" s="822"/>
      <c r="BC407" s="822"/>
      <c r="BD407" s="822"/>
      <c r="BE407" s="822"/>
      <c r="BF407" s="212"/>
      <c r="BG407" s="212"/>
      <c r="BH407" s="212"/>
      <c r="BI407" s="212"/>
      <c r="BJ407" s="212"/>
      <c r="BK407" s="212"/>
      <c r="BL407" s="212"/>
      <c r="BM407" s="827">
        <v>45120</v>
      </c>
      <c r="BN407" s="789"/>
    </row>
    <row r="408" spans="1:66" s="221" customFormat="1" ht="39.6" x14ac:dyDescent="0.3">
      <c r="A408" s="821" t="s">
        <v>371</v>
      </c>
      <c r="B408" s="822" t="s">
        <v>142</v>
      </c>
      <c r="C408" s="821">
        <v>199907263</v>
      </c>
      <c r="D408" s="940" t="s">
        <v>2001</v>
      </c>
      <c r="E408" s="994" t="s">
        <v>809</v>
      </c>
      <c r="F408" s="823" t="s">
        <v>142</v>
      </c>
      <c r="G408" s="824" t="s">
        <v>4</v>
      </c>
      <c r="H408" s="825" t="s">
        <v>816</v>
      </c>
      <c r="I408" s="825" t="s">
        <v>872</v>
      </c>
      <c r="J408" s="880" t="s">
        <v>917</v>
      </c>
      <c r="K408" s="1288" t="s">
        <v>2290</v>
      </c>
      <c r="L408" s="826" t="s">
        <v>909</v>
      </c>
      <c r="M408" s="1314" t="s">
        <v>809</v>
      </c>
      <c r="N408" s="995"/>
      <c r="O408" s="1299"/>
      <c r="P408" s="822"/>
      <c r="Q408" s="1299" t="s">
        <v>832</v>
      </c>
      <c r="R408" s="828">
        <f>$B$1</f>
        <v>45388</v>
      </c>
      <c r="S408" s="829"/>
      <c r="T408" s="877"/>
      <c r="U408" s="1009">
        <v>45383</v>
      </c>
      <c r="V408" s="1009">
        <v>45403</v>
      </c>
      <c r="W408" s="821">
        <f>IFERROR(IF(AND(BD_PRINCIPAL[[#This Row],[DESDE]]&lt;&gt;"",BD_PRINCIPAL[[#This Row],[HASTA]]&lt;&gt;""),_xlfn.DAYS(BD_PRINCIPAL[[#This Row],[HASTA]],BD_PRINCIPAL[[#This Row],[DESDE]]),"")+1,"")</f>
        <v>21</v>
      </c>
      <c r="X408" s="821">
        <f>VLOOKUP(BD_PRINCIPAL[[#This Row],[ENCUADRE. ESC.]],ORDEN1,2,FALSE)</f>
        <v>1</v>
      </c>
      <c r="Y408" s="821">
        <f>VLOOKUP(BD_PRINCIPAL[[#This Row],[DOTACIÓN ACTUAL]],ORDEN2,4,FALSE)</f>
        <v>300</v>
      </c>
      <c r="Z408" s="821">
        <f>VLOOKUP(BD_PRINCIPAL[[#This Row],[GRADO]],ORDEN3,2,FALSE)</f>
        <v>12</v>
      </c>
      <c r="AA408" s="821">
        <f>IFERROR(VLOOKUP(BD_PRINCIPAL[[#This Row],[DOTACIÓN ACTUAL]],ORDEN2,3,FALSE),0)</f>
        <v>0</v>
      </c>
      <c r="AB408" s="212" t="s">
        <v>909</v>
      </c>
      <c r="AC408" s="212" t="s">
        <v>909</v>
      </c>
      <c r="AD408" s="212" t="s">
        <v>909</v>
      </c>
      <c r="AE408" s="212" t="s">
        <v>909</v>
      </c>
      <c r="AF408" s="212" t="s">
        <v>909</v>
      </c>
      <c r="AG408" s="212" t="s">
        <v>909</v>
      </c>
      <c r="AH408" s="822"/>
      <c r="AI408" s="822"/>
      <c r="AJ408" s="822"/>
      <c r="AK408" s="822"/>
      <c r="AL408" s="822"/>
      <c r="AM408" s="822"/>
      <c r="AN408" s="822"/>
      <c r="AO408" s="822"/>
      <c r="AP408" s="822"/>
      <c r="AQ408" s="822"/>
      <c r="AR408" s="822"/>
      <c r="AS408" s="822"/>
      <c r="AT408" s="831"/>
      <c r="AU408" s="831"/>
      <c r="AV408" s="831"/>
      <c r="AW408" s="831"/>
      <c r="AX408" s="831"/>
      <c r="AY408" s="831"/>
      <c r="AZ408" s="831"/>
      <c r="BA408" s="822"/>
      <c r="BB408" s="822"/>
      <c r="BC408" s="822"/>
      <c r="BD408" s="822"/>
      <c r="BE408" s="822"/>
      <c r="BF408" s="212"/>
      <c r="BG408" s="212"/>
      <c r="BH408" s="212"/>
      <c r="BI408" s="212"/>
      <c r="BJ408" s="212"/>
      <c r="BK408" s="212"/>
      <c r="BL408" s="212"/>
      <c r="BM408" s="995">
        <v>44680</v>
      </c>
      <c r="BN408" s="789"/>
    </row>
    <row r="409" spans="1:66" s="221" customFormat="1" ht="39.6" x14ac:dyDescent="0.3">
      <c r="A409" s="821" t="s">
        <v>291</v>
      </c>
      <c r="B409" s="822" t="s">
        <v>129</v>
      </c>
      <c r="C409" s="821">
        <v>203415419</v>
      </c>
      <c r="D409" s="1034" t="s">
        <v>740</v>
      </c>
      <c r="E409" s="994" t="s">
        <v>809</v>
      </c>
      <c r="F409" s="823" t="s">
        <v>129</v>
      </c>
      <c r="G409" s="824" t="s">
        <v>4</v>
      </c>
      <c r="H409" s="825" t="s">
        <v>816</v>
      </c>
      <c r="I409" s="825" t="s">
        <v>872</v>
      </c>
      <c r="J409" s="880" t="s">
        <v>917</v>
      </c>
      <c r="K409" s="1288" t="s">
        <v>2290</v>
      </c>
      <c r="L409" s="826" t="s">
        <v>909</v>
      </c>
      <c r="M409" s="1314" t="s">
        <v>809</v>
      </c>
      <c r="N409" s="995"/>
      <c r="O409" s="1299"/>
      <c r="P409" s="822"/>
      <c r="Q409" s="1299" t="s">
        <v>832</v>
      </c>
      <c r="R409" s="828">
        <f>$B$1</f>
        <v>45388</v>
      </c>
      <c r="S409" s="877"/>
      <c r="T409" s="829" t="s">
        <v>2919</v>
      </c>
      <c r="U409" s="830">
        <v>45377</v>
      </c>
      <c r="V409" s="830">
        <v>45396</v>
      </c>
      <c r="W409" s="821">
        <f>IFERROR(IF(AND(BD_PRINCIPAL[[#This Row],[DESDE]]&lt;&gt;"",BD_PRINCIPAL[[#This Row],[HASTA]]&lt;&gt;""),_xlfn.DAYS(BD_PRINCIPAL[[#This Row],[HASTA]],BD_PRINCIPAL[[#This Row],[DESDE]]),"")+1,"")</f>
        <v>20</v>
      </c>
      <c r="X409" s="821">
        <f>VLOOKUP(BD_PRINCIPAL[[#This Row],[ENCUADRE. ESC.]],ORDEN1,2,FALSE)</f>
        <v>1</v>
      </c>
      <c r="Y409" s="821">
        <f>VLOOKUP(BD_PRINCIPAL[[#This Row],[DOTACIÓN ACTUAL]],ORDEN2,4,FALSE)</f>
        <v>300</v>
      </c>
      <c r="Z409" s="821">
        <f>VLOOKUP(BD_PRINCIPAL[[#This Row],[GRADO]],ORDEN3,2,FALSE)</f>
        <v>12</v>
      </c>
      <c r="AA409" s="821">
        <f>IFERROR(VLOOKUP(BD_PRINCIPAL[[#This Row],[DOTACIÓN ACTUAL]],ORDEN2,3,FALSE),0)</f>
        <v>0</v>
      </c>
      <c r="AB409" s="212" t="s">
        <v>909</v>
      </c>
      <c r="AC409" s="212" t="s">
        <v>909</v>
      </c>
      <c r="AD409" s="212" t="s">
        <v>909</v>
      </c>
      <c r="AE409" s="212" t="s">
        <v>909</v>
      </c>
      <c r="AF409" s="212" t="s">
        <v>909</v>
      </c>
      <c r="AG409" s="212" t="s">
        <v>909</v>
      </c>
      <c r="AH409" s="822"/>
      <c r="AI409" s="822"/>
      <c r="AJ409" s="822"/>
      <c r="AK409" s="822"/>
      <c r="AL409" s="822"/>
      <c r="AM409" s="822"/>
      <c r="AN409" s="822"/>
      <c r="AO409" s="822"/>
      <c r="AP409" s="822"/>
      <c r="AQ409" s="822"/>
      <c r="AR409" s="822"/>
      <c r="AS409" s="822"/>
      <c r="AT409" s="831"/>
      <c r="AU409" s="831"/>
      <c r="AV409" s="831"/>
      <c r="AW409" s="831"/>
      <c r="AX409" s="831"/>
      <c r="AY409" s="831"/>
      <c r="AZ409" s="831"/>
      <c r="BA409" s="822"/>
      <c r="BB409" s="822"/>
      <c r="BC409" s="822"/>
      <c r="BD409" s="822"/>
      <c r="BE409" s="822"/>
      <c r="BF409" s="212"/>
      <c r="BG409" s="212"/>
      <c r="BH409" s="212"/>
      <c r="BI409" s="212"/>
      <c r="BJ409" s="212"/>
      <c r="BK409" s="212"/>
      <c r="BL409" s="212"/>
      <c r="BM409" s="995">
        <v>45112</v>
      </c>
      <c r="BN409" s="789"/>
    </row>
    <row r="410" spans="1:66" s="221" customFormat="1" ht="39.6" x14ac:dyDescent="0.3">
      <c r="A410" s="821" t="s">
        <v>343</v>
      </c>
      <c r="B410" s="822" t="s">
        <v>263</v>
      </c>
      <c r="C410" s="821">
        <v>202989659</v>
      </c>
      <c r="D410" s="1028" t="s">
        <v>1832</v>
      </c>
      <c r="E410" s="994" t="s">
        <v>809</v>
      </c>
      <c r="F410" s="823" t="s">
        <v>263</v>
      </c>
      <c r="G410" s="824" t="s">
        <v>4</v>
      </c>
      <c r="H410" s="825" t="s">
        <v>817</v>
      </c>
      <c r="I410" s="825" t="s">
        <v>872</v>
      </c>
      <c r="J410" s="880" t="s">
        <v>917</v>
      </c>
      <c r="K410" s="1288" t="s">
        <v>2290</v>
      </c>
      <c r="L410" s="826" t="s">
        <v>909</v>
      </c>
      <c r="M410" s="1314" t="s">
        <v>809</v>
      </c>
      <c r="N410" s="827"/>
      <c r="O410" s="1299"/>
      <c r="P410" s="822"/>
      <c r="Q410" s="1299" t="s">
        <v>832</v>
      </c>
      <c r="R410" s="828">
        <f>$B$1</f>
        <v>45388</v>
      </c>
      <c r="S410" s="877"/>
      <c r="T410" s="829" t="s">
        <v>2919</v>
      </c>
      <c r="U410" s="830">
        <v>45380</v>
      </c>
      <c r="V410" s="830">
        <v>45409</v>
      </c>
      <c r="W410" s="821">
        <f>IFERROR(IF(AND(BD_PRINCIPAL[[#This Row],[DESDE]]&lt;&gt;"",BD_PRINCIPAL[[#This Row],[HASTA]]&lt;&gt;""),_xlfn.DAYS(BD_PRINCIPAL[[#This Row],[HASTA]],BD_PRINCIPAL[[#This Row],[DESDE]]),"")+1,"")</f>
        <v>30</v>
      </c>
      <c r="X410" s="821">
        <f>VLOOKUP(BD_PRINCIPAL[[#This Row],[ENCUADRE. ESC.]],ORDEN1,2,FALSE)</f>
        <v>1</v>
      </c>
      <c r="Y410" s="821">
        <f>VLOOKUP(BD_PRINCIPAL[[#This Row],[DOTACIÓN ACTUAL]],ORDEN2,4,FALSE)</f>
        <v>300</v>
      </c>
      <c r="Z410" s="821">
        <f>VLOOKUP(BD_PRINCIPAL[[#This Row],[GRADO]],ORDEN3,2,FALSE)</f>
        <v>12</v>
      </c>
      <c r="AA410" s="821">
        <f>IFERROR(VLOOKUP(BD_PRINCIPAL[[#This Row],[DOTACIÓN ACTUAL]],ORDEN2,3,FALSE),0)</f>
        <v>0</v>
      </c>
      <c r="AB410" s="212" t="s">
        <v>909</v>
      </c>
      <c r="AC410" s="212" t="s">
        <v>909</v>
      </c>
      <c r="AD410" s="212" t="s">
        <v>909</v>
      </c>
      <c r="AE410" s="212" t="s">
        <v>909</v>
      </c>
      <c r="AF410" s="212" t="s">
        <v>909</v>
      </c>
      <c r="AG410" s="212" t="s">
        <v>909</v>
      </c>
      <c r="AH410" s="822"/>
      <c r="AI410" s="822"/>
      <c r="AJ410" s="822"/>
      <c r="AK410" s="822"/>
      <c r="AL410" s="822"/>
      <c r="AM410" s="822"/>
      <c r="AN410" s="822"/>
      <c r="AO410" s="822"/>
      <c r="AP410" s="822"/>
      <c r="AQ410" s="822"/>
      <c r="AR410" s="822"/>
      <c r="AS410" s="822"/>
      <c r="AT410" s="831"/>
      <c r="AU410" s="831"/>
      <c r="AV410" s="831"/>
      <c r="AW410" s="831"/>
      <c r="AX410" s="831"/>
      <c r="AY410" s="831"/>
      <c r="AZ410" s="831"/>
      <c r="BA410" s="822"/>
      <c r="BB410" s="822"/>
      <c r="BC410" s="822"/>
      <c r="BD410" s="822"/>
      <c r="BE410" s="822"/>
      <c r="BF410" s="212"/>
      <c r="BG410" s="212"/>
      <c r="BH410" s="212"/>
      <c r="BI410" s="212"/>
      <c r="BJ410" s="212"/>
      <c r="BK410" s="212"/>
      <c r="BL410" s="212"/>
      <c r="BM410" s="827">
        <v>45048</v>
      </c>
      <c r="BN410" s="789"/>
    </row>
    <row r="411" spans="1:66" s="221" customFormat="1" ht="39.6" x14ac:dyDescent="0.3">
      <c r="A411" s="821" t="s">
        <v>470</v>
      </c>
      <c r="B411" s="822" t="s">
        <v>132</v>
      </c>
      <c r="C411" s="821">
        <v>199231138</v>
      </c>
      <c r="D411" s="936" t="s">
        <v>742</v>
      </c>
      <c r="E411" s="1035" t="s">
        <v>809</v>
      </c>
      <c r="F411" s="823" t="s">
        <v>2529</v>
      </c>
      <c r="G411" s="824" t="s">
        <v>4</v>
      </c>
      <c r="H411" s="825" t="s">
        <v>816</v>
      </c>
      <c r="I411" s="825" t="s">
        <v>872</v>
      </c>
      <c r="J411" s="880" t="s">
        <v>917</v>
      </c>
      <c r="K411" s="1288" t="s">
        <v>2305</v>
      </c>
      <c r="L411" s="826" t="s">
        <v>909</v>
      </c>
      <c r="M411" s="1314" t="s">
        <v>809</v>
      </c>
      <c r="N411" s="995"/>
      <c r="O411" s="1299"/>
      <c r="P411" s="822"/>
      <c r="Q411" s="1299" t="s">
        <v>832</v>
      </c>
      <c r="R411" s="828">
        <f>$B$1</f>
        <v>45388</v>
      </c>
      <c r="S411" s="877"/>
      <c r="T411" s="829" t="s">
        <v>2919</v>
      </c>
      <c r="U411" s="830">
        <v>45367</v>
      </c>
      <c r="V411" s="830">
        <v>45396</v>
      </c>
      <c r="W411" s="821">
        <f>IFERROR(IF(AND(BD_PRINCIPAL[[#This Row],[DESDE]]&lt;&gt;"",BD_PRINCIPAL[[#This Row],[HASTA]]&lt;&gt;""),_xlfn.DAYS(BD_PRINCIPAL[[#This Row],[HASTA]],BD_PRINCIPAL[[#This Row],[DESDE]]),"")+1,"")</f>
        <v>30</v>
      </c>
      <c r="X411" s="821">
        <f>VLOOKUP(BD_PRINCIPAL[[#This Row],[ENCUADRE. ESC.]],ORDEN1,2,FALSE)</f>
        <v>1</v>
      </c>
      <c r="Y411" s="821">
        <f>VLOOKUP(BD_PRINCIPAL[[#This Row],[DOTACIÓN ACTUAL]],ORDEN2,4,FALSE)</f>
        <v>300</v>
      </c>
      <c r="Z411" s="821">
        <f>VLOOKUP(BD_PRINCIPAL[[#This Row],[GRADO]],ORDEN3,2,FALSE)</f>
        <v>12</v>
      </c>
      <c r="AA411" s="821">
        <f>IFERROR(VLOOKUP(BD_PRINCIPAL[[#This Row],[DOTACIÓN ACTUAL]],ORDEN2,3,FALSE),0)</f>
        <v>0</v>
      </c>
      <c r="AB411" s="212" t="s">
        <v>909</v>
      </c>
      <c r="AC411" s="212" t="s">
        <v>909</v>
      </c>
      <c r="AD411" s="212" t="s">
        <v>909</v>
      </c>
      <c r="AE411" s="212" t="s">
        <v>909</v>
      </c>
      <c r="AF411" s="212" t="s">
        <v>909</v>
      </c>
      <c r="AG411" s="212" t="s">
        <v>909</v>
      </c>
      <c r="AH411" s="822"/>
      <c r="AI411" s="822"/>
      <c r="AJ411" s="822"/>
      <c r="AK411" s="822"/>
      <c r="AL411" s="822"/>
      <c r="AM411" s="822"/>
      <c r="AN411" s="822"/>
      <c r="AO411" s="822"/>
      <c r="AP411" s="822"/>
      <c r="AQ411" s="822"/>
      <c r="AR411" s="822"/>
      <c r="AS411" s="822"/>
      <c r="AT411" s="831"/>
      <c r="AU411" s="831"/>
      <c r="AV411" s="831"/>
      <c r="AW411" s="831"/>
      <c r="AX411" s="831"/>
      <c r="AY411" s="831"/>
      <c r="AZ411" s="831"/>
      <c r="BA411" s="822"/>
      <c r="BB411" s="822"/>
      <c r="BC411" s="822"/>
      <c r="BD411" s="822"/>
      <c r="BE411" s="822"/>
      <c r="BF411" s="212"/>
      <c r="BG411" s="212"/>
      <c r="BH411" s="212"/>
      <c r="BI411" s="212"/>
      <c r="BJ411" s="212"/>
      <c r="BK411" s="212"/>
      <c r="BL411" s="212"/>
      <c r="BM411" s="995">
        <v>45058</v>
      </c>
      <c r="BN411" s="789"/>
    </row>
    <row r="412" spans="1:66" s="221" customFormat="1" ht="39.6" x14ac:dyDescent="0.3">
      <c r="A412" s="821" t="s">
        <v>444</v>
      </c>
      <c r="B412" s="822" t="s">
        <v>1869</v>
      </c>
      <c r="C412" s="821" t="s">
        <v>445</v>
      </c>
      <c r="D412" s="991" t="s">
        <v>702</v>
      </c>
      <c r="E412" s="823" t="s">
        <v>809</v>
      </c>
      <c r="F412" s="823" t="s">
        <v>1869</v>
      </c>
      <c r="G412" s="824" t="s">
        <v>4</v>
      </c>
      <c r="H412" s="825" t="s">
        <v>816</v>
      </c>
      <c r="I412" s="825" t="s">
        <v>872</v>
      </c>
      <c r="J412" s="880" t="s">
        <v>917</v>
      </c>
      <c r="K412" s="1288" t="s">
        <v>2290</v>
      </c>
      <c r="L412" s="826" t="s">
        <v>909</v>
      </c>
      <c r="M412" s="1314" t="s">
        <v>809</v>
      </c>
      <c r="N412" s="1011"/>
      <c r="O412" s="1299"/>
      <c r="P412" s="822"/>
      <c r="Q412" s="1299" t="s">
        <v>832</v>
      </c>
      <c r="R412" s="828">
        <f>$B$1</f>
        <v>45388</v>
      </c>
      <c r="S412" s="877"/>
      <c r="T412" s="829" t="s">
        <v>2919</v>
      </c>
      <c r="U412" s="830">
        <v>45372</v>
      </c>
      <c r="V412" s="830">
        <v>45392</v>
      </c>
      <c r="W412" s="821">
        <f>IFERROR(IF(AND(BD_PRINCIPAL[[#This Row],[DESDE]]&lt;&gt;"",BD_PRINCIPAL[[#This Row],[HASTA]]&lt;&gt;""),_xlfn.DAYS(BD_PRINCIPAL[[#This Row],[HASTA]],BD_PRINCIPAL[[#This Row],[DESDE]]),"")+1,"")</f>
        <v>21</v>
      </c>
      <c r="X412" s="821">
        <f>VLOOKUP(BD_PRINCIPAL[[#This Row],[ENCUADRE. ESC.]],ORDEN1,2,FALSE)</f>
        <v>1</v>
      </c>
      <c r="Y412" s="821">
        <f>VLOOKUP(BD_PRINCIPAL[[#This Row],[DOTACIÓN ACTUAL]],ORDEN2,4,FALSE)</f>
        <v>300</v>
      </c>
      <c r="Z412" s="821">
        <f>VLOOKUP(BD_PRINCIPAL[[#This Row],[GRADO]],ORDEN3,2,FALSE)</f>
        <v>12</v>
      </c>
      <c r="AA412" s="821">
        <f>IFERROR(VLOOKUP(BD_PRINCIPAL[[#This Row],[DOTACIÓN ACTUAL]],ORDEN2,3,FALSE),0)</f>
        <v>0</v>
      </c>
      <c r="AB412" s="212" t="s">
        <v>909</v>
      </c>
      <c r="AC412" s="212" t="s">
        <v>909</v>
      </c>
      <c r="AD412" s="212" t="s">
        <v>909</v>
      </c>
      <c r="AE412" s="212" t="s">
        <v>909</v>
      </c>
      <c r="AF412" s="212" t="s">
        <v>909</v>
      </c>
      <c r="AG412" s="212" t="s">
        <v>909</v>
      </c>
      <c r="AH412" s="822"/>
      <c r="AI412" s="822"/>
      <c r="AJ412" s="822"/>
      <c r="AK412" s="822"/>
      <c r="AL412" s="822"/>
      <c r="AM412" s="822"/>
      <c r="AN412" s="822"/>
      <c r="AO412" s="822"/>
      <c r="AP412" s="822"/>
      <c r="AQ412" s="822"/>
      <c r="AR412" s="822"/>
      <c r="AS412" s="822"/>
      <c r="AT412" s="831"/>
      <c r="AU412" s="831"/>
      <c r="AV412" s="831"/>
      <c r="AW412" s="831"/>
      <c r="AX412" s="831"/>
      <c r="AY412" s="831"/>
      <c r="AZ412" s="831"/>
      <c r="BA412" s="822"/>
      <c r="BB412" s="822"/>
      <c r="BC412" s="822"/>
      <c r="BD412" s="822"/>
      <c r="BE412" s="822"/>
      <c r="BF412" s="212"/>
      <c r="BG412" s="212"/>
      <c r="BH412" s="212"/>
      <c r="BI412" s="212"/>
      <c r="BJ412" s="212"/>
      <c r="BK412" s="212"/>
      <c r="BL412" s="212"/>
      <c r="BM412" s="1011">
        <v>45051</v>
      </c>
      <c r="BN412" s="789"/>
    </row>
    <row r="413" spans="1:66" s="221" customFormat="1" ht="39.6" x14ac:dyDescent="0.3">
      <c r="A413" s="821" t="s">
        <v>408</v>
      </c>
      <c r="B413" s="822" t="s">
        <v>220</v>
      </c>
      <c r="C413" s="821">
        <v>195375844</v>
      </c>
      <c r="D413" s="940" t="s">
        <v>704</v>
      </c>
      <c r="E413" s="823" t="s">
        <v>809</v>
      </c>
      <c r="F413" s="823" t="s">
        <v>2273</v>
      </c>
      <c r="G413" s="824" t="s">
        <v>14</v>
      </c>
      <c r="H413" s="825" t="s">
        <v>816</v>
      </c>
      <c r="I413" s="825" t="s">
        <v>872</v>
      </c>
      <c r="J413" s="880" t="s">
        <v>917</v>
      </c>
      <c r="K413" s="1288" t="s">
        <v>2301</v>
      </c>
      <c r="L413" s="826" t="s">
        <v>909</v>
      </c>
      <c r="M413" s="1314" t="s">
        <v>809</v>
      </c>
      <c r="N413" s="827"/>
      <c r="O413" s="1299"/>
      <c r="P413" s="822"/>
      <c r="Q413" s="1299" t="s">
        <v>832</v>
      </c>
      <c r="R413" s="828">
        <f>$B$1</f>
        <v>45388</v>
      </c>
      <c r="S413" s="877"/>
      <c r="T413" s="877"/>
      <c r="U413" s="830">
        <v>45369</v>
      </c>
      <c r="V413" s="830">
        <v>45389</v>
      </c>
      <c r="W413" s="821">
        <f>IFERROR(IF(AND(BD_PRINCIPAL[[#This Row],[DESDE]]&lt;&gt;"",BD_PRINCIPAL[[#This Row],[HASTA]]&lt;&gt;""),_xlfn.DAYS(BD_PRINCIPAL[[#This Row],[HASTA]],BD_PRINCIPAL[[#This Row],[DESDE]]),"")+1,"")</f>
        <v>21</v>
      </c>
      <c r="X413" s="821">
        <f>VLOOKUP(BD_PRINCIPAL[[#This Row],[ENCUADRE. ESC.]],ORDEN1,2,FALSE)</f>
        <v>1</v>
      </c>
      <c r="Y413" s="821">
        <f>VLOOKUP(BD_PRINCIPAL[[#This Row],[DOTACIÓN ACTUAL]],ORDEN2,4,FALSE)</f>
        <v>300</v>
      </c>
      <c r="Z413" s="821">
        <f>VLOOKUP(BD_PRINCIPAL[[#This Row],[GRADO]],ORDEN3,2,FALSE)</f>
        <v>13</v>
      </c>
      <c r="AA413" s="821">
        <f>IFERROR(VLOOKUP(BD_PRINCIPAL[[#This Row],[DOTACIÓN ACTUAL]],ORDEN2,3,FALSE),0)</f>
        <v>0</v>
      </c>
      <c r="AB413" s="212" t="s">
        <v>909</v>
      </c>
      <c r="AC413" s="212" t="s">
        <v>909</v>
      </c>
      <c r="AD413" s="212" t="s">
        <v>909</v>
      </c>
      <c r="AE413" s="212" t="s">
        <v>909</v>
      </c>
      <c r="AF413" s="212" t="s">
        <v>909</v>
      </c>
      <c r="AG413" s="212" t="s">
        <v>909</v>
      </c>
      <c r="AH413" s="822"/>
      <c r="AI413" s="822"/>
      <c r="AJ413" s="822"/>
      <c r="AK413" s="822"/>
      <c r="AL413" s="822"/>
      <c r="AM413" s="822"/>
      <c r="AN413" s="822"/>
      <c r="AO413" s="822"/>
      <c r="AP413" s="822"/>
      <c r="AQ413" s="822"/>
      <c r="AR413" s="822"/>
      <c r="AS413" s="822"/>
      <c r="AT413" s="831"/>
      <c r="AU413" s="831"/>
      <c r="AV413" s="831"/>
      <c r="AW413" s="831"/>
      <c r="AX413" s="831"/>
      <c r="AY413" s="831"/>
      <c r="AZ413" s="831"/>
      <c r="BA413" s="822"/>
      <c r="BB413" s="822"/>
      <c r="BC413" s="822"/>
      <c r="BD413" s="822"/>
      <c r="BE413" s="822"/>
      <c r="BF413" s="212"/>
      <c r="BG413" s="212"/>
      <c r="BH413" s="212"/>
      <c r="BI413" s="212"/>
      <c r="BJ413" s="212"/>
      <c r="BK413" s="212"/>
      <c r="BL413" s="212"/>
      <c r="BM413" s="827">
        <v>45057</v>
      </c>
      <c r="BN413" s="789"/>
    </row>
    <row r="414" spans="1:66" s="233" customFormat="1" ht="39.6" x14ac:dyDescent="0.3">
      <c r="A414" s="834" t="s">
        <v>374</v>
      </c>
      <c r="B414" s="833" t="s">
        <v>191</v>
      </c>
      <c r="C414" s="834" t="s">
        <v>375</v>
      </c>
      <c r="D414" s="991" t="s">
        <v>761</v>
      </c>
      <c r="E414" s="836" t="s">
        <v>810</v>
      </c>
      <c r="F414" s="836" t="s">
        <v>191</v>
      </c>
      <c r="G414" s="941" t="s">
        <v>209</v>
      </c>
      <c r="H414" s="838" t="s">
        <v>816</v>
      </c>
      <c r="I414" s="838" t="s">
        <v>872</v>
      </c>
      <c r="J414" s="907" t="s">
        <v>917</v>
      </c>
      <c r="K414" s="1289" t="s">
        <v>2290</v>
      </c>
      <c r="L414" s="839" t="s">
        <v>909</v>
      </c>
      <c r="M414" s="1315" t="s">
        <v>810</v>
      </c>
      <c r="N414" s="986"/>
      <c r="O414" s="1300"/>
      <c r="P414" s="833"/>
      <c r="Q414" s="1300" t="s">
        <v>832</v>
      </c>
      <c r="R414" s="841">
        <f>$B$1</f>
        <v>45388</v>
      </c>
      <c r="S414" s="842"/>
      <c r="T414" s="845" t="s">
        <v>3406</v>
      </c>
      <c r="U414" s="989">
        <v>45365</v>
      </c>
      <c r="V414" s="989">
        <v>45443</v>
      </c>
      <c r="W414" s="834">
        <f>IFERROR(IF(AND(BD_PRINCIPAL[[#This Row],[DESDE]]&lt;&gt;"",BD_PRINCIPAL[[#This Row],[HASTA]]&lt;&gt;""),_xlfn.DAYS(BD_PRINCIPAL[[#This Row],[HASTA]],BD_PRINCIPAL[[#This Row],[DESDE]]),"")+1,"")</f>
        <v>79</v>
      </c>
      <c r="X414" s="834">
        <f>VLOOKUP(BD_PRINCIPAL[[#This Row],[ENCUADRE. ESC.]],ORDEN1,2,FALSE)</f>
        <v>1</v>
      </c>
      <c r="Y414" s="834">
        <f>VLOOKUP(BD_PRINCIPAL[[#This Row],[DOTACIÓN ACTUAL]],ORDEN2,4,FALSE)</f>
        <v>301</v>
      </c>
      <c r="Z414" s="834">
        <f>VLOOKUP(BD_PRINCIPAL[[#This Row],[GRADO]],ORDEN3,2,FALSE)</f>
        <v>10</v>
      </c>
      <c r="AA414" s="834">
        <f>IFERROR(VLOOKUP(BD_PRINCIPAL[[#This Row],[DOTACIÓN ACTUAL]],ORDEN2,3,FALSE),0)</f>
        <v>0</v>
      </c>
      <c r="AB414" s="225" t="s">
        <v>909</v>
      </c>
      <c r="AC414" s="225" t="s">
        <v>909</v>
      </c>
      <c r="AD414" s="225" t="s">
        <v>909</v>
      </c>
      <c r="AE414" s="225" t="s">
        <v>909</v>
      </c>
      <c r="AF414" s="225" t="s">
        <v>909</v>
      </c>
      <c r="AG414" s="225" t="s">
        <v>909</v>
      </c>
      <c r="AH414" s="833"/>
      <c r="AI414" s="833"/>
      <c r="AJ414" s="833"/>
      <c r="AK414" s="833"/>
      <c r="AL414" s="833"/>
      <c r="AM414" s="833"/>
      <c r="AN414" s="833"/>
      <c r="AO414" s="833"/>
      <c r="AP414" s="833"/>
      <c r="AQ414" s="833"/>
      <c r="AR414" s="833"/>
      <c r="AS414" s="833"/>
      <c r="AT414" s="844"/>
      <c r="AU414" s="844"/>
      <c r="AV414" s="844"/>
      <c r="AW414" s="844"/>
      <c r="AX414" s="844"/>
      <c r="AY414" s="844"/>
      <c r="AZ414" s="844"/>
      <c r="BA414" s="833"/>
      <c r="BB414" s="833"/>
      <c r="BC414" s="833"/>
      <c r="BD414" s="833"/>
      <c r="BE414" s="833"/>
      <c r="BF414" s="225"/>
      <c r="BG414" s="225"/>
      <c r="BH414" s="225"/>
      <c r="BI414" s="225"/>
      <c r="BJ414" s="225"/>
      <c r="BK414" s="225"/>
      <c r="BL414" s="225"/>
      <c r="BM414" s="986">
        <v>45110</v>
      </c>
      <c r="BN414" s="790"/>
    </row>
    <row r="415" spans="1:66" s="260" customFormat="1" ht="26.4" x14ac:dyDescent="0.3">
      <c r="A415" s="796" t="s">
        <v>540</v>
      </c>
      <c r="B415" s="797" t="s">
        <v>159</v>
      </c>
      <c r="C415" s="796">
        <v>207444898</v>
      </c>
      <c r="D415" s="940" t="s">
        <v>1832</v>
      </c>
      <c r="E415" s="1000" t="s">
        <v>798</v>
      </c>
      <c r="F415" s="798" t="s">
        <v>159</v>
      </c>
      <c r="G415" s="799" t="s">
        <v>4</v>
      </c>
      <c r="H415" s="800" t="s">
        <v>817</v>
      </c>
      <c r="I415" s="800" t="s">
        <v>872</v>
      </c>
      <c r="J415" s="985" t="s">
        <v>917</v>
      </c>
      <c r="K415" s="1290" t="s">
        <v>2290</v>
      </c>
      <c r="L415" s="801" t="s">
        <v>909</v>
      </c>
      <c r="M415" s="1316" t="s">
        <v>798</v>
      </c>
      <c r="N415" s="802"/>
      <c r="O415" s="1301"/>
      <c r="P415" s="797"/>
      <c r="Q415" s="1301" t="s">
        <v>832</v>
      </c>
      <c r="R415" s="803">
        <f>$B$1</f>
        <v>45388</v>
      </c>
      <c r="S415" s="998"/>
      <c r="T415" s="998" t="s">
        <v>2919</v>
      </c>
      <c r="U415" s="805">
        <v>45349</v>
      </c>
      <c r="V415" s="805">
        <v>45432</v>
      </c>
      <c r="W415" s="796">
        <f>IFERROR(IF(AND(BD_PRINCIPAL[[#This Row],[DESDE]]&lt;&gt;"",BD_PRINCIPAL[[#This Row],[HASTA]]&lt;&gt;""),_xlfn.DAYS(BD_PRINCIPAL[[#This Row],[HASTA]],BD_PRINCIPAL[[#This Row],[DESDE]]),"")+1,"")</f>
        <v>84</v>
      </c>
      <c r="X415" s="796">
        <f>VLOOKUP(BD_PRINCIPAL[[#This Row],[ENCUADRE. ESC.]],ORDEN1,2,FALSE)</f>
        <v>1</v>
      </c>
      <c r="Y415" s="796">
        <f>VLOOKUP(BD_PRINCIPAL[[#This Row],[DOTACIÓN ACTUAL]],ORDEN2,4,FALSE)</f>
        <v>303</v>
      </c>
      <c r="Z415" s="796">
        <f>VLOOKUP(BD_PRINCIPAL[[#This Row],[GRADO]],ORDEN3,2,FALSE)</f>
        <v>12</v>
      </c>
      <c r="AA415" s="796">
        <f>IFERROR(VLOOKUP(BD_PRINCIPAL[[#This Row],[DOTACIÓN ACTUAL]],ORDEN2,3,FALSE),0)</f>
        <v>0</v>
      </c>
      <c r="AB415" s="251" t="s">
        <v>909</v>
      </c>
      <c r="AC415" s="251" t="s">
        <v>909</v>
      </c>
      <c r="AD415" s="251" t="s">
        <v>909</v>
      </c>
      <c r="AE415" s="251" t="s">
        <v>909</v>
      </c>
      <c r="AF415" s="251" t="s">
        <v>909</v>
      </c>
      <c r="AG415" s="251" t="s">
        <v>909</v>
      </c>
      <c r="AH415" s="797"/>
      <c r="AI415" s="797"/>
      <c r="AJ415" s="797"/>
      <c r="AK415" s="797"/>
      <c r="AL415" s="797"/>
      <c r="AM415" s="797"/>
      <c r="AN415" s="797"/>
      <c r="AO415" s="797"/>
      <c r="AP415" s="797"/>
      <c r="AQ415" s="797"/>
      <c r="AR415" s="797"/>
      <c r="AS415" s="797"/>
      <c r="AT415" s="806"/>
      <c r="AU415" s="806"/>
      <c r="AV415" s="806"/>
      <c r="AW415" s="806"/>
      <c r="AX415" s="806"/>
      <c r="AY415" s="806"/>
      <c r="AZ415" s="806"/>
      <c r="BA415" s="797"/>
      <c r="BB415" s="797"/>
      <c r="BC415" s="797"/>
      <c r="BD415" s="797"/>
      <c r="BE415" s="797"/>
      <c r="BF415" s="251"/>
      <c r="BG415" s="251"/>
      <c r="BH415" s="251"/>
      <c r="BI415" s="251"/>
      <c r="BJ415" s="251"/>
      <c r="BK415" s="251"/>
      <c r="BL415" s="251"/>
      <c r="BM415" s="802">
        <v>45027</v>
      </c>
      <c r="BN415" s="791"/>
    </row>
    <row r="416" spans="1:66" s="189" customFormat="1" ht="26.4" x14ac:dyDescent="0.3">
      <c r="A416" s="850" t="s">
        <v>538</v>
      </c>
      <c r="B416" s="1007" t="s">
        <v>95</v>
      </c>
      <c r="C416" s="850">
        <v>203066465</v>
      </c>
      <c r="D416" s="940" t="s">
        <v>1832</v>
      </c>
      <c r="E416" s="1008" t="s">
        <v>811</v>
      </c>
      <c r="F416" s="853" t="s">
        <v>95</v>
      </c>
      <c r="G416" s="854" t="s">
        <v>4</v>
      </c>
      <c r="H416" s="855" t="s">
        <v>817</v>
      </c>
      <c r="I416" s="855" t="s">
        <v>872</v>
      </c>
      <c r="J416" s="993" t="s">
        <v>917</v>
      </c>
      <c r="K416" s="1291" t="s">
        <v>2290</v>
      </c>
      <c r="L416" s="856" t="s">
        <v>909</v>
      </c>
      <c r="M416" s="1317" t="s">
        <v>811</v>
      </c>
      <c r="N416" s="857"/>
      <c r="O416" s="1302"/>
      <c r="P416" s="851"/>
      <c r="Q416" s="1302" t="s">
        <v>832</v>
      </c>
      <c r="R416" s="858">
        <f>$B$1</f>
        <v>45388</v>
      </c>
      <c r="S416" s="859"/>
      <c r="T416" s="859" t="s">
        <v>2919</v>
      </c>
      <c r="U416" s="860">
        <v>45372</v>
      </c>
      <c r="V416" s="860">
        <v>45413</v>
      </c>
      <c r="W416" s="850">
        <f>IFERROR(IF(AND(BD_PRINCIPAL[[#This Row],[DESDE]]&lt;&gt;"",BD_PRINCIPAL[[#This Row],[HASTA]]&lt;&gt;""),_xlfn.DAYS(BD_PRINCIPAL[[#This Row],[HASTA]],BD_PRINCIPAL[[#This Row],[DESDE]]),"")+1,"")</f>
        <v>42</v>
      </c>
      <c r="X416" s="850">
        <f>VLOOKUP(BD_PRINCIPAL[[#This Row],[ENCUADRE. ESC.]],ORDEN1,2,FALSE)</f>
        <v>1</v>
      </c>
      <c r="Y416" s="850">
        <f>VLOOKUP(BD_PRINCIPAL[[#This Row],[DOTACIÓN ACTUAL]],ORDEN2,4,FALSE)</f>
        <v>304</v>
      </c>
      <c r="Z416" s="850">
        <f>VLOOKUP(BD_PRINCIPAL[[#This Row],[GRADO]],ORDEN3,2,FALSE)</f>
        <v>12</v>
      </c>
      <c r="AA416" s="850">
        <f>IFERROR(VLOOKUP(BD_PRINCIPAL[[#This Row],[DOTACIÓN ACTUAL]],ORDEN2,3,FALSE),0)</f>
        <v>0</v>
      </c>
      <c r="AB416" s="181" t="s">
        <v>909</v>
      </c>
      <c r="AC416" s="181" t="s">
        <v>909</v>
      </c>
      <c r="AD416" s="181" t="s">
        <v>909</v>
      </c>
      <c r="AE416" s="181" t="s">
        <v>909</v>
      </c>
      <c r="AF416" s="181" t="s">
        <v>909</v>
      </c>
      <c r="AG416" s="181" t="s">
        <v>909</v>
      </c>
      <c r="AH416" s="851"/>
      <c r="AI416" s="851"/>
      <c r="AJ416" s="851"/>
      <c r="AK416" s="851"/>
      <c r="AL416" s="851"/>
      <c r="AM416" s="851"/>
      <c r="AN416" s="851"/>
      <c r="AO416" s="851"/>
      <c r="AP416" s="851"/>
      <c r="AQ416" s="851"/>
      <c r="AR416" s="851"/>
      <c r="AS416" s="851"/>
      <c r="AT416" s="861"/>
      <c r="AU416" s="861"/>
      <c r="AV416" s="861"/>
      <c r="AW416" s="861"/>
      <c r="AX416" s="861"/>
      <c r="AY416" s="861"/>
      <c r="AZ416" s="861"/>
      <c r="BA416" s="851"/>
      <c r="BB416" s="851"/>
      <c r="BC416" s="851"/>
      <c r="BD416" s="851"/>
      <c r="BE416" s="851"/>
      <c r="BF416" s="181"/>
      <c r="BG416" s="181"/>
      <c r="BH416" s="181"/>
      <c r="BI416" s="181"/>
      <c r="BJ416" s="181"/>
      <c r="BK416" s="181"/>
      <c r="BL416" s="181"/>
      <c r="BM416" s="857">
        <v>45044</v>
      </c>
      <c r="BN416" s="792"/>
    </row>
    <row r="417" spans="1:66" s="233" customFormat="1" ht="26.4" x14ac:dyDescent="0.3">
      <c r="A417" s="834" t="s">
        <v>354</v>
      </c>
      <c r="B417" s="833" t="s">
        <v>1878</v>
      </c>
      <c r="C417" s="834">
        <v>144902866</v>
      </c>
      <c r="D417" s="991" t="s">
        <v>738</v>
      </c>
      <c r="E417" s="836" t="s">
        <v>216</v>
      </c>
      <c r="F417" s="836" t="s">
        <v>1878</v>
      </c>
      <c r="G417" s="837" t="s">
        <v>17</v>
      </c>
      <c r="H417" s="838" t="s">
        <v>816</v>
      </c>
      <c r="I417" s="838" t="s">
        <v>872</v>
      </c>
      <c r="J417" s="907" t="s">
        <v>917</v>
      </c>
      <c r="K417" s="1289" t="s">
        <v>2290</v>
      </c>
      <c r="L417" s="839" t="s">
        <v>884</v>
      </c>
      <c r="M417" s="1315" t="s">
        <v>216</v>
      </c>
      <c r="N417" s="840"/>
      <c r="O417" s="1300"/>
      <c r="P417" s="833"/>
      <c r="Q417" s="1300" t="s">
        <v>832</v>
      </c>
      <c r="R417" s="841">
        <f>$B$1</f>
        <v>45388</v>
      </c>
      <c r="S417" s="845"/>
      <c r="T417" s="842"/>
      <c r="U417" s="843">
        <v>45387</v>
      </c>
      <c r="V417" s="843">
        <v>45389</v>
      </c>
      <c r="W417" s="834">
        <f>IFERROR(IF(AND(BD_PRINCIPAL[[#This Row],[DESDE]]&lt;&gt;"",BD_PRINCIPAL[[#This Row],[HASTA]]&lt;&gt;""),_xlfn.DAYS(BD_PRINCIPAL[[#This Row],[HASTA]],BD_PRINCIPAL[[#This Row],[DESDE]]),"")+1,"")</f>
        <v>3</v>
      </c>
      <c r="X417" s="834">
        <f>VLOOKUP(BD_PRINCIPAL[[#This Row],[ENCUADRE. ESC.]],ORDEN1,2,FALSE)</f>
        <v>1</v>
      </c>
      <c r="Y417" s="834">
        <f>VLOOKUP(BD_PRINCIPAL[[#This Row],[DOTACIÓN ACTUAL]],ORDEN2,4,FALSE)</f>
        <v>311</v>
      </c>
      <c r="Z417" s="834">
        <f>VLOOKUP(BD_PRINCIPAL[[#This Row],[GRADO]],ORDEN3,2,FALSE)</f>
        <v>8</v>
      </c>
      <c r="AA417" s="834">
        <f>IFERROR(VLOOKUP(BD_PRINCIPAL[[#This Row],[DOTACIÓN ACTUAL]],ORDEN2,3,FALSE),0)</f>
        <v>0</v>
      </c>
      <c r="AB417" s="225" t="s">
        <v>2</v>
      </c>
      <c r="AC417" s="225" t="s">
        <v>853</v>
      </c>
      <c r="AD417" s="225" t="s">
        <v>854</v>
      </c>
      <c r="AE417" s="225" t="s">
        <v>2125</v>
      </c>
      <c r="AF417" s="225" t="s">
        <v>884</v>
      </c>
      <c r="AG417" s="225" t="s">
        <v>884</v>
      </c>
      <c r="AH417" s="833"/>
      <c r="AI417" s="833"/>
      <c r="AJ417" s="833"/>
      <c r="AK417" s="833"/>
      <c r="AL417" s="833"/>
      <c r="AM417" s="833"/>
      <c r="AN417" s="833"/>
      <c r="AO417" s="833"/>
      <c r="AP417" s="833"/>
      <c r="AQ417" s="833"/>
      <c r="AR417" s="833"/>
      <c r="AS417" s="833"/>
      <c r="AT417" s="844"/>
      <c r="AU417" s="844"/>
      <c r="AV417" s="844"/>
      <c r="AW417" s="844"/>
      <c r="AX417" s="844"/>
      <c r="AY417" s="844"/>
      <c r="AZ417" s="844"/>
      <c r="BA417" s="833"/>
      <c r="BB417" s="833"/>
      <c r="BC417" s="833"/>
      <c r="BD417" s="833"/>
      <c r="BE417" s="833"/>
      <c r="BF417" s="225"/>
      <c r="BG417" s="225"/>
      <c r="BH417" s="225"/>
      <c r="BI417" s="225"/>
      <c r="BJ417" s="225"/>
      <c r="BK417" s="225"/>
      <c r="BL417" s="225"/>
      <c r="BM417" s="840">
        <v>45056</v>
      </c>
      <c r="BN417" s="790"/>
    </row>
    <row r="418" spans="1:66" s="233" customFormat="1" ht="26.4" x14ac:dyDescent="0.3">
      <c r="A418" s="834" t="s">
        <v>280</v>
      </c>
      <c r="B418" s="833" t="s">
        <v>1841</v>
      </c>
      <c r="C418" s="834">
        <v>141584200</v>
      </c>
      <c r="D418" s="940" t="s">
        <v>794</v>
      </c>
      <c r="E418" s="836" t="s">
        <v>216</v>
      </c>
      <c r="F418" s="836" t="s">
        <v>1841</v>
      </c>
      <c r="G418" s="837" t="s">
        <v>89</v>
      </c>
      <c r="H418" s="838" t="s">
        <v>817</v>
      </c>
      <c r="I418" s="838" t="s">
        <v>872</v>
      </c>
      <c r="J418" s="907" t="s">
        <v>917</v>
      </c>
      <c r="K418" s="1289" t="s">
        <v>2290</v>
      </c>
      <c r="L418" s="839" t="s">
        <v>884</v>
      </c>
      <c r="M418" s="1315" t="s">
        <v>216</v>
      </c>
      <c r="N418" s="986"/>
      <c r="O418" s="1300"/>
      <c r="P418" s="833"/>
      <c r="Q418" s="1300" t="s">
        <v>832</v>
      </c>
      <c r="R418" s="841">
        <f>$B$1</f>
        <v>45388</v>
      </c>
      <c r="S418" s="845"/>
      <c r="T418" s="845" t="s">
        <v>2920</v>
      </c>
      <c r="U418" s="843">
        <v>45387</v>
      </c>
      <c r="V418" s="843">
        <v>45388</v>
      </c>
      <c r="W418" s="834">
        <f>IFERROR(IF(AND(BD_PRINCIPAL[[#This Row],[DESDE]]&lt;&gt;"",BD_PRINCIPAL[[#This Row],[HASTA]]&lt;&gt;""),_xlfn.DAYS(BD_PRINCIPAL[[#This Row],[HASTA]],BD_PRINCIPAL[[#This Row],[DESDE]]),"")+1,"")</f>
        <v>2</v>
      </c>
      <c r="X418" s="834">
        <f>VLOOKUP(BD_PRINCIPAL[[#This Row],[ENCUADRE. ESC.]],ORDEN1,2,FALSE)</f>
        <v>1</v>
      </c>
      <c r="Y418" s="834">
        <f>VLOOKUP(BD_PRINCIPAL[[#This Row],[DOTACIÓN ACTUAL]],ORDEN2,4,FALSE)</f>
        <v>311</v>
      </c>
      <c r="Z418" s="834">
        <f>VLOOKUP(BD_PRINCIPAL[[#This Row],[GRADO]],ORDEN3,2,FALSE)</f>
        <v>9</v>
      </c>
      <c r="AA418" s="834">
        <f>IFERROR(VLOOKUP(BD_PRINCIPAL[[#This Row],[DOTACIÓN ACTUAL]],ORDEN2,3,FALSE),0)</f>
        <v>0</v>
      </c>
      <c r="AB418" s="225" t="s">
        <v>944</v>
      </c>
      <c r="AC418" s="225" t="s">
        <v>945</v>
      </c>
      <c r="AD418" s="225" t="s">
        <v>2125</v>
      </c>
      <c r="AE418" s="225" t="s">
        <v>944</v>
      </c>
      <c r="AF418" s="225" t="s">
        <v>884</v>
      </c>
      <c r="AG418" s="225" t="s">
        <v>884</v>
      </c>
      <c r="AH418" s="833"/>
      <c r="AI418" s="833"/>
      <c r="AJ418" s="833"/>
      <c r="AK418" s="833"/>
      <c r="AL418" s="833"/>
      <c r="AM418" s="833"/>
      <c r="AN418" s="833"/>
      <c r="AO418" s="833"/>
      <c r="AP418" s="833"/>
      <c r="AQ418" s="833"/>
      <c r="AR418" s="833"/>
      <c r="AS418" s="833"/>
      <c r="AT418" s="844"/>
      <c r="AU418" s="844"/>
      <c r="AV418" s="844"/>
      <c r="AW418" s="844"/>
      <c r="AX418" s="844"/>
      <c r="AY418" s="844"/>
      <c r="AZ418" s="844"/>
      <c r="BA418" s="833"/>
      <c r="BB418" s="833"/>
      <c r="BC418" s="833"/>
      <c r="BD418" s="833"/>
      <c r="BE418" s="833"/>
      <c r="BF418" s="225"/>
      <c r="BG418" s="225"/>
      <c r="BH418" s="225"/>
      <c r="BI418" s="225"/>
      <c r="BJ418" s="225"/>
      <c r="BK418" s="225"/>
      <c r="BL418" s="225"/>
      <c r="BM418" s="986">
        <v>45079</v>
      </c>
      <c r="BN418" s="790"/>
    </row>
    <row r="419" spans="1:66" s="233" customFormat="1" ht="39.6" x14ac:dyDescent="0.3">
      <c r="A419" s="834" t="s">
        <v>364</v>
      </c>
      <c r="B419" s="833" t="s">
        <v>124</v>
      </c>
      <c r="C419" s="834">
        <v>190000699</v>
      </c>
      <c r="D419" s="940" t="s">
        <v>752</v>
      </c>
      <c r="E419" s="836" t="s">
        <v>216</v>
      </c>
      <c r="F419" s="836" t="s">
        <v>3088</v>
      </c>
      <c r="G419" s="837" t="s">
        <v>4</v>
      </c>
      <c r="H419" s="838" t="s">
        <v>816</v>
      </c>
      <c r="I419" s="838" t="s">
        <v>872</v>
      </c>
      <c r="J419" s="907" t="s">
        <v>917</v>
      </c>
      <c r="K419" s="1289" t="s">
        <v>3089</v>
      </c>
      <c r="L419" s="839" t="s">
        <v>884</v>
      </c>
      <c r="M419" s="1315" t="s">
        <v>216</v>
      </c>
      <c r="N419" s="840"/>
      <c r="O419" s="1300"/>
      <c r="P419" s="833"/>
      <c r="Q419" s="1300" t="s">
        <v>832</v>
      </c>
      <c r="R419" s="841">
        <f>$B$1</f>
        <v>45388</v>
      </c>
      <c r="S419" s="845" t="s">
        <v>1483</v>
      </c>
      <c r="T419" s="845" t="s">
        <v>3322</v>
      </c>
      <c r="U419" s="843">
        <v>45387</v>
      </c>
      <c r="V419" s="843" t="s">
        <v>3569</v>
      </c>
      <c r="W419" s="834" t="str">
        <f>IFERROR(IF(AND(BD_PRINCIPAL[[#This Row],[DESDE]]&lt;&gt;"",BD_PRINCIPAL[[#This Row],[HASTA]]&lt;&gt;""),_xlfn.DAYS(BD_PRINCIPAL[[#This Row],[HASTA]],BD_PRINCIPAL[[#This Row],[DESDE]]),"")+1,"")</f>
        <v/>
      </c>
      <c r="X419" s="834">
        <f>VLOOKUP(BD_PRINCIPAL[[#This Row],[ENCUADRE. ESC.]],ORDEN1,2,FALSE)</f>
        <v>1</v>
      </c>
      <c r="Y419" s="834">
        <f>VLOOKUP(BD_PRINCIPAL[[#This Row],[DOTACIÓN ACTUAL]],ORDEN2,4,FALSE)</f>
        <v>311</v>
      </c>
      <c r="Z419" s="834">
        <f>VLOOKUP(BD_PRINCIPAL[[#This Row],[GRADO]],ORDEN3,2,FALSE)</f>
        <v>12</v>
      </c>
      <c r="AA419" s="834">
        <f>IFERROR(VLOOKUP(BD_PRINCIPAL[[#This Row],[DOTACIÓN ACTUAL]],ORDEN2,3,FALSE),0)</f>
        <v>0</v>
      </c>
      <c r="AB419" s="225" t="s">
        <v>1</v>
      </c>
      <c r="AC419" s="225" t="s">
        <v>6</v>
      </c>
      <c r="AD419" s="225" t="s">
        <v>2125</v>
      </c>
      <c r="AE419" s="225" t="s">
        <v>2</v>
      </c>
      <c r="AF419" s="225" t="s">
        <v>884</v>
      </c>
      <c r="AG419" s="225" t="s">
        <v>884</v>
      </c>
      <c r="AH419" s="833"/>
      <c r="AI419" s="833"/>
      <c r="AJ419" s="833"/>
      <c r="AK419" s="833"/>
      <c r="AL419" s="833"/>
      <c r="AM419" s="833"/>
      <c r="AN419" s="833"/>
      <c r="AO419" s="833"/>
      <c r="AP419" s="833"/>
      <c r="AQ419" s="833"/>
      <c r="AR419" s="833"/>
      <c r="AS419" s="833"/>
      <c r="AT419" s="844"/>
      <c r="AU419" s="844"/>
      <c r="AV419" s="844"/>
      <c r="AW419" s="844"/>
      <c r="AX419" s="844"/>
      <c r="AY419" s="844"/>
      <c r="AZ419" s="844"/>
      <c r="BA419" s="833"/>
      <c r="BB419" s="833"/>
      <c r="BC419" s="833"/>
      <c r="BD419" s="1057"/>
      <c r="BE419" s="1057"/>
      <c r="BF419" s="225"/>
      <c r="BG419" s="225"/>
      <c r="BH419" s="225"/>
      <c r="BI419" s="225"/>
      <c r="BJ419" s="225"/>
      <c r="BK419" s="225"/>
      <c r="BL419" s="225"/>
      <c r="BM419" s="840">
        <v>45377</v>
      </c>
      <c r="BN419" s="790"/>
    </row>
    <row r="420" spans="1:66" s="233" customFormat="1" ht="26.4" x14ac:dyDescent="0.3">
      <c r="A420" s="834" t="s">
        <v>366</v>
      </c>
      <c r="B420" s="833" t="s">
        <v>219</v>
      </c>
      <c r="C420" s="834">
        <v>203164599</v>
      </c>
      <c r="D420" s="940" t="s">
        <v>713</v>
      </c>
      <c r="E420" s="884" t="s">
        <v>216</v>
      </c>
      <c r="F420" s="836" t="s">
        <v>219</v>
      </c>
      <c r="G420" s="837" t="s">
        <v>4</v>
      </c>
      <c r="H420" s="838" t="s">
        <v>816</v>
      </c>
      <c r="I420" s="838" t="s">
        <v>872</v>
      </c>
      <c r="J420" s="907" t="s">
        <v>917</v>
      </c>
      <c r="K420" s="1289" t="s">
        <v>2290</v>
      </c>
      <c r="L420" s="839" t="s">
        <v>884</v>
      </c>
      <c r="M420" s="1315" t="s">
        <v>216</v>
      </c>
      <c r="N420" s="840"/>
      <c r="O420" s="1300"/>
      <c r="P420" s="833"/>
      <c r="Q420" s="1300" t="s">
        <v>832</v>
      </c>
      <c r="R420" s="841">
        <f>$B$1</f>
        <v>45388</v>
      </c>
      <c r="S420" s="845"/>
      <c r="T420" s="842" t="s">
        <v>2919</v>
      </c>
      <c r="U420" s="843">
        <v>45388</v>
      </c>
      <c r="V420" s="843">
        <v>45389</v>
      </c>
      <c r="W420" s="834">
        <f>IFERROR(IF(AND(BD_PRINCIPAL[[#This Row],[DESDE]]&lt;&gt;"",BD_PRINCIPAL[[#This Row],[HASTA]]&lt;&gt;""),_xlfn.DAYS(BD_PRINCIPAL[[#This Row],[HASTA]],BD_PRINCIPAL[[#This Row],[DESDE]]),"")+1,"")</f>
        <v>2</v>
      </c>
      <c r="X420" s="834">
        <f>VLOOKUP(BD_PRINCIPAL[[#This Row],[ENCUADRE. ESC.]],ORDEN1,2,FALSE)</f>
        <v>1</v>
      </c>
      <c r="Y420" s="834">
        <f>VLOOKUP(BD_PRINCIPAL[[#This Row],[DOTACIÓN ACTUAL]],ORDEN2,4,FALSE)</f>
        <v>311</v>
      </c>
      <c r="Z420" s="834">
        <f>VLOOKUP(BD_PRINCIPAL[[#This Row],[GRADO]],ORDEN3,2,FALSE)</f>
        <v>12</v>
      </c>
      <c r="AA420" s="834">
        <f>IFERROR(VLOOKUP(BD_PRINCIPAL[[#This Row],[DOTACIÓN ACTUAL]],ORDEN2,3,FALSE),0)</f>
        <v>0</v>
      </c>
      <c r="AB420" s="225" t="s">
        <v>2</v>
      </c>
      <c r="AC420" s="225" t="s">
        <v>853</v>
      </c>
      <c r="AD420" s="225" t="s">
        <v>854</v>
      </c>
      <c r="AE420" s="225" t="s">
        <v>2125</v>
      </c>
      <c r="AF420" s="225" t="s">
        <v>1</v>
      </c>
      <c r="AG420" s="225" t="s">
        <v>884</v>
      </c>
      <c r="AH420" s="833"/>
      <c r="AI420" s="833"/>
      <c r="AJ420" s="833"/>
      <c r="AK420" s="833"/>
      <c r="AL420" s="833"/>
      <c r="AM420" s="833"/>
      <c r="AN420" s="833"/>
      <c r="AO420" s="833"/>
      <c r="AP420" s="833"/>
      <c r="AQ420" s="833"/>
      <c r="AR420" s="833"/>
      <c r="AS420" s="833"/>
      <c r="AT420" s="844"/>
      <c r="AU420" s="844"/>
      <c r="AV420" s="844"/>
      <c r="AW420" s="844"/>
      <c r="AX420" s="844"/>
      <c r="AY420" s="844"/>
      <c r="AZ420" s="844"/>
      <c r="BA420" s="833"/>
      <c r="BB420" s="833"/>
      <c r="BC420" s="833"/>
      <c r="BD420" s="833"/>
      <c r="BE420" s="833"/>
      <c r="BF420" s="225"/>
      <c r="BG420" s="225"/>
      <c r="BH420" s="225"/>
      <c r="BI420" s="225"/>
      <c r="BJ420" s="225"/>
      <c r="BK420" s="225"/>
      <c r="BL420" s="225"/>
      <c r="BM420" s="840">
        <v>45370</v>
      </c>
      <c r="BN420" s="790"/>
    </row>
    <row r="421" spans="1:66" s="260" customFormat="1" ht="26.4" x14ac:dyDescent="0.3">
      <c r="A421" s="796" t="s">
        <v>506</v>
      </c>
      <c r="B421" s="797" t="s">
        <v>261</v>
      </c>
      <c r="C421" s="796">
        <v>136125478</v>
      </c>
      <c r="D421" s="996" t="s">
        <v>775</v>
      </c>
      <c r="E421" s="997" t="s">
        <v>775</v>
      </c>
      <c r="F421" s="798" t="s">
        <v>261</v>
      </c>
      <c r="G421" s="799" t="s">
        <v>89</v>
      </c>
      <c r="H421" s="800" t="s">
        <v>816</v>
      </c>
      <c r="I421" s="800" t="s">
        <v>872</v>
      </c>
      <c r="J421" s="985" t="s">
        <v>917</v>
      </c>
      <c r="K421" s="1290" t="s">
        <v>2290</v>
      </c>
      <c r="L421" s="801" t="s">
        <v>1075</v>
      </c>
      <c r="M421" s="1316" t="s">
        <v>775</v>
      </c>
      <c r="N421" s="802"/>
      <c r="O421" s="1301"/>
      <c r="P421" s="797"/>
      <c r="Q421" s="1301" t="s">
        <v>832</v>
      </c>
      <c r="R421" s="803">
        <f>$B$1</f>
        <v>45388</v>
      </c>
      <c r="S421" s="804"/>
      <c r="T421" s="804"/>
      <c r="U421" s="805"/>
      <c r="V421" s="805"/>
      <c r="W421" s="796" t="str">
        <f>IFERROR(IF(AND(BD_PRINCIPAL[[#This Row],[DESDE]]&lt;&gt;"",BD_PRINCIPAL[[#This Row],[HASTA]]&lt;&gt;""),_xlfn.DAYS(BD_PRINCIPAL[[#This Row],[HASTA]],BD_PRINCIPAL[[#This Row],[DESDE]]),"")+1,"")</f>
        <v/>
      </c>
      <c r="X421" s="796">
        <f>VLOOKUP(BD_PRINCIPAL[[#This Row],[ENCUADRE. ESC.]],ORDEN1,2,FALSE)</f>
        <v>1</v>
      </c>
      <c r="Y421" s="796">
        <f>VLOOKUP(BD_PRINCIPAL[[#This Row],[DOTACIÓN ACTUAL]],ORDEN2,4,FALSE)</f>
        <v>323</v>
      </c>
      <c r="Z421" s="796">
        <f>VLOOKUP(BD_PRINCIPAL[[#This Row],[GRADO]],ORDEN3,2,FALSE)</f>
        <v>9</v>
      </c>
      <c r="AA421" s="796">
        <f>IFERROR(VLOOKUP(BD_PRINCIPAL[[#This Row],[DOTACIÓN ACTUAL]],ORDEN2,3,FALSE),0)</f>
        <v>0</v>
      </c>
      <c r="AB421" s="251" t="s">
        <v>1075</v>
      </c>
      <c r="AC421" s="251" t="s">
        <v>1075</v>
      </c>
      <c r="AD421" s="251" t="s">
        <v>1075</v>
      </c>
      <c r="AE421" s="251" t="s">
        <v>1075</v>
      </c>
      <c r="AF421" s="797" t="s">
        <v>1075</v>
      </c>
      <c r="AG421" s="797" t="s">
        <v>1075</v>
      </c>
      <c r="AH421" s="797"/>
      <c r="AI421" s="797"/>
      <c r="AJ421" s="797"/>
      <c r="AK421" s="797"/>
      <c r="AL421" s="797"/>
      <c r="AM421" s="797"/>
      <c r="AN421" s="797"/>
      <c r="AO421" s="797"/>
      <c r="AP421" s="797"/>
      <c r="AQ421" s="797"/>
      <c r="AR421" s="797"/>
      <c r="AS421" s="797"/>
      <c r="AT421" s="806"/>
      <c r="AU421" s="806"/>
      <c r="AV421" s="806"/>
      <c r="AW421" s="806"/>
      <c r="AX421" s="806"/>
      <c r="AY421" s="806"/>
      <c r="AZ421" s="806"/>
      <c r="BA421" s="797"/>
      <c r="BB421" s="797"/>
      <c r="BC421" s="797"/>
      <c r="BD421" s="797"/>
      <c r="BE421" s="797"/>
      <c r="BF421" s="251"/>
      <c r="BG421" s="251"/>
      <c r="BH421" s="251"/>
      <c r="BI421" s="251"/>
      <c r="BJ421" s="251"/>
      <c r="BK421" s="797"/>
      <c r="BL421" s="797"/>
      <c r="BM421" s="802">
        <v>45127</v>
      </c>
      <c r="BN421" s="791"/>
    </row>
    <row r="422" spans="1:66" s="260" customFormat="1" ht="26.4" x14ac:dyDescent="0.3">
      <c r="A422" s="796" t="s">
        <v>429</v>
      </c>
      <c r="B422" s="797" t="s">
        <v>239</v>
      </c>
      <c r="C422" s="796">
        <v>174553122</v>
      </c>
      <c r="D422" s="381" t="s">
        <v>775</v>
      </c>
      <c r="E422" s="798" t="s">
        <v>775</v>
      </c>
      <c r="F422" s="798" t="s">
        <v>239</v>
      </c>
      <c r="G422" s="984" t="s">
        <v>209</v>
      </c>
      <c r="H422" s="800" t="s">
        <v>816</v>
      </c>
      <c r="I422" s="800" t="s">
        <v>872</v>
      </c>
      <c r="J422" s="985" t="s">
        <v>917</v>
      </c>
      <c r="K422" s="1290" t="s">
        <v>2290</v>
      </c>
      <c r="L422" s="801" t="s">
        <v>1075</v>
      </c>
      <c r="M422" s="1316" t="s">
        <v>775</v>
      </c>
      <c r="N422" s="802"/>
      <c r="O422" s="1301"/>
      <c r="P422" s="797"/>
      <c r="Q422" s="1301" t="s">
        <v>832</v>
      </c>
      <c r="R422" s="803">
        <f>$B$1</f>
        <v>45388</v>
      </c>
      <c r="S422" s="998"/>
      <c r="T422" s="998"/>
      <c r="U422" s="999"/>
      <c r="V422" s="999"/>
      <c r="W422" s="796" t="str">
        <f>IFERROR(IF(AND(BD_PRINCIPAL[[#This Row],[DESDE]]&lt;&gt;"",BD_PRINCIPAL[[#This Row],[HASTA]]&lt;&gt;""),_xlfn.DAYS(BD_PRINCIPAL[[#This Row],[HASTA]],BD_PRINCIPAL[[#This Row],[DESDE]]),"")+1,"")</f>
        <v/>
      </c>
      <c r="X422" s="796">
        <f>VLOOKUP(BD_PRINCIPAL[[#This Row],[ENCUADRE. ESC.]],ORDEN1,2,FALSE)</f>
        <v>1</v>
      </c>
      <c r="Y422" s="796">
        <f>VLOOKUP(BD_PRINCIPAL[[#This Row],[DOTACIÓN ACTUAL]],ORDEN2,4,FALSE)</f>
        <v>323</v>
      </c>
      <c r="Z422" s="796">
        <f>VLOOKUP(BD_PRINCIPAL[[#This Row],[GRADO]],ORDEN3,2,FALSE)</f>
        <v>10</v>
      </c>
      <c r="AA422" s="796">
        <f>IFERROR(VLOOKUP(BD_PRINCIPAL[[#This Row],[DOTACIÓN ACTUAL]],ORDEN2,3,FALSE),0)</f>
        <v>0</v>
      </c>
      <c r="AB422" s="251" t="s">
        <v>1075</v>
      </c>
      <c r="AC422" s="251" t="s">
        <v>1075</v>
      </c>
      <c r="AD422" s="251" t="s">
        <v>1075</v>
      </c>
      <c r="AE422" s="251" t="s">
        <v>1075</v>
      </c>
      <c r="AF422" s="797" t="s">
        <v>1075</v>
      </c>
      <c r="AG422" s="797" t="s">
        <v>1075</v>
      </c>
      <c r="AH422" s="797"/>
      <c r="AI422" s="797"/>
      <c r="AJ422" s="797"/>
      <c r="AK422" s="797"/>
      <c r="AL422" s="797"/>
      <c r="AM422" s="797"/>
      <c r="AN422" s="797"/>
      <c r="AO422" s="797"/>
      <c r="AP422" s="797"/>
      <c r="AQ422" s="797"/>
      <c r="AR422" s="797"/>
      <c r="AS422" s="797"/>
      <c r="AT422" s="806"/>
      <c r="AU422" s="806"/>
      <c r="AV422" s="806"/>
      <c r="AW422" s="806"/>
      <c r="AX422" s="806"/>
      <c r="AY422" s="806"/>
      <c r="AZ422" s="806"/>
      <c r="BA422" s="797"/>
      <c r="BB422" s="797"/>
      <c r="BC422" s="797"/>
      <c r="BD422" s="797"/>
      <c r="BE422" s="797"/>
      <c r="BF422" s="251"/>
      <c r="BG422" s="251"/>
      <c r="BH422" s="251"/>
      <c r="BI422" s="251"/>
      <c r="BJ422" s="251"/>
      <c r="BK422" s="797"/>
      <c r="BL422" s="797"/>
      <c r="BM422" s="802">
        <v>45120</v>
      </c>
      <c r="BN422" s="791"/>
    </row>
    <row r="423" spans="1:66" s="221" customFormat="1" ht="39.6" x14ac:dyDescent="0.3">
      <c r="A423" s="821" t="s">
        <v>691</v>
      </c>
      <c r="B423" s="822" t="s">
        <v>152</v>
      </c>
      <c r="C423" s="821">
        <v>195531854</v>
      </c>
      <c r="D423" s="940" t="s">
        <v>2001</v>
      </c>
      <c r="E423" s="823" t="s">
        <v>785</v>
      </c>
      <c r="F423" s="823" t="s">
        <v>152</v>
      </c>
      <c r="G423" s="824" t="s">
        <v>4</v>
      </c>
      <c r="H423" s="825" t="s">
        <v>817</v>
      </c>
      <c r="I423" s="825" t="s">
        <v>872</v>
      </c>
      <c r="J423" s="880" t="s">
        <v>917</v>
      </c>
      <c r="K423" s="1288" t="s">
        <v>2290</v>
      </c>
      <c r="L423" s="826" t="s">
        <v>1075</v>
      </c>
      <c r="M423" s="1314" t="s">
        <v>785</v>
      </c>
      <c r="N423" s="827"/>
      <c r="O423" s="1299"/>
      <c r="P423" s="822"/>
      <c r="Q423" s="1299" t="s">
        <v>832</v>
      </c>
      <c r="R423" s="828">
        <f>$B$1</f>
        <v>45388</v>
      </c>
      <c r="S423" s="877"/>
      <c r="T423" s="877" t="s">
        <v>2915</v>
      </c>
      <c r="U423" s="830"/>
      <c r="V423" s="830"/>
      <c r="W423" s="821" t="str">
        <f>IFERROR(IF(AND(BD_PRINCIPAL[[#This Row],[DESDE]]&lt;&gt;"",BD_PRINCIPAL[[#This Row],[HASTA]]&lt;&gt;""),_xlfn.DAYS(BD_PRINCIPAL[[#This Row],[HASTA]],BD_PRINCIPAL[[#This Row],[DESDE]]),"")+1,"")</f>
        <v/>
      </c>
      <c r="X423" s="821">
        <f>VLOOKUP(BD_PRINCIPAL[[#This Row],[ENCUADRE. ESC.]],ORDEN1,2,FALSE)</f>
        <v>1</v>
      </c>
      <c r="Y423" s="821">
        <f>VLOOKUP(BD_PRINCIPAL[[#This Row],[DOTACIÓN ACTUAL]],ORDEN2,4,FALSE)</f>
        <v>325</v>
      </c>
      <c r="Z423" s="821">
        <f>VLOOKUP(BD_PRINCIPAL[[#This Row],[GRADO]],ORDEN3,2,FALSE)</f>
        <v>12</v>
      </c>
      <c r="AA423" s="821">
        <f>IFERROR(VLOOKUP(BD_PRINCIPAL[[#This Row],[DOTACIÓN ACTUAL]],ORDEN2,3,FALSE),0)</f>
        <v>0</v>
      </c>
      <c r="AB423" s="212" t="s">
        <v>1075</v>
      </c>
      <c r="AC423" s="212" t="s">
        <v>1075</v>
      </c>
      <c r="AD423" s="212" t="s">
        <v>1075</v>
      </c>
      <c r="AE423" s="212" t="s">
        <v>1075</v>
      </c>
      <c r="AF423" s="822" t="s">
        <v>1075</v>
      </c>
      <c r="AG423" s="822" t="s">
        <v>1075</v>
      </c>
      <c r="AH423" s="822"/>
      <c r="AI423" s="822"/>
      <c r="AJ423" s="822"/>
      <c r="AK423" s="822"/>
      <c r="AL423" s="822"/>
      <c r="AM423" s="822"/>
      <c r="AN423" s="822"/>
      <c r="AO423" s="822"/>
      <c r="AP423" s="822"/>
      <c r="AQ423" s="822"/>
      <c r="AR423" s="822"/>
      <c r="AS423" s="822"/>
      <c r="AT423" s="831"/>
      <c r="AU423" s="831"/>
      <c r="AV423" s="831"/>
      <c r="AW423" s="831"/>
      <c r="AX423" s="831"/>
      <c r="AY423" s="831"/>
      <c r="AZ423" s="831"/>
      <c r="BA423" s="822"/>
      <c r="BB423" s="822"/>
      <c r="BC423" s="822"/>
      <c r="BD423" s="822"/>
      <c r="BE423" s="822"/>
      <c r="BF423" s="212"/>
      <c r="BG423" s="212"/>
      <c r="BH423" s="212"/>
      <c r="BI423" s="212"/>
      <c r="BJ423" s="212"/>
      <c r="BK423" s="822"/>
      <c r="BL423" s="822"/>
      <c r="BM423" s="827">
        <v>45155</v>
      </c>
      <c r="BN423" s="789"/>
    </row>
    <row r="424" spans="1:66" s="233" customFormat="1" ht="26.4" x14ac:dyDescent="0.3">
      <c r="A424" s="834" t="s">
        <v>3144</v>
      </c>
      <c r="B424" s="939" t="s">
        <v>3145</v>
      </c>
      <c r="C424" s="834">
        <v>100475766</v>
      </c>
      <c r="D424" s="835" t="s">
        <v>2136</v>
      </c>
      <c r="E424" s="836" t="s">
        <v>2136</v>
      </c>
      <c r="F424" s="836" t="s">
        <v>3145</v>
      </c>
      <c r="G424" s="941" t="s">
        <v>11</v>
      </c>
      <c r="H424" s="838" t="s">
        <v>816</v>
      </c>
      <c r="I424" s="838" t="s">
        <v>872</v>
      </c>
      <c r="J424" s="907" t="s">
        <v>917</v>
      </c>
      <c r="K424" s="1289" t="s">
        <v>2290</v>
      </c>
      <c r="L424" s="839" t="s">
        <v>1075</v>
      </c>
      <c r="M424" s="1315" t="s">
        <v>2136</v>
      </c>
      <c r="N424" s="942"/>
      <c r="O424" s="1300"/>
      <c r="P424" s="833"/>
      <c r="Q424" s="1300" t="s">
        <v>832</v>
      </c>
      <c r="R424" s="943">
        <v>32401</v>
      </c>
      <c r="S424" s="842"/>
      <c r="T424" s="842" t="s">
        <v>3147</v>
      </c>
      <c r="U424" s="950"/>
      <c r="V424" s="950"/>
      <c r="W424" s="944" t="str">
        <f>IFERROR(IF(AND(BD_PRINCIPAL[[#This Row],[DESDE]]&lt;&gt;"",BD_PRINCIPAL[[#This Row],[HASTA]]&lt;&gt;""),_xlfn.DAYS(BD_PRINCIPAL[[#This Row],[HASTA]],BD_PRINCIPAL[[#This Row],[DESDE]]),"")+1,"")</f>
        <v/>
      </c>
      <c r="X424" s="944">
        <f>VLOOKUP(BD_PRINCIPAL[[#This Row],[ENCUADRE. ESC.]],ORDEN1,2,FALSE)</f>
        <v>1</v>
      </c>
      <c r="Y424" s="944">
        <f>VLOOKUP(BD_PRINCIPAL[[#This Row],[DOTACIÓN ACTUAL]],ORDEN2,4,FALSE)</f>
        <v>326</v>
      </c>
      <c r="Z424" s="944">
        <f>VLOOKUP(BD_PRINCIPAL[[#This Row],[GRADO]],ORDEN3,2,FALSE)</f>
        <v>7</v>
      </c>
      <c r="AA424" s="944">
        <f>IFERROR(VLOOKUP(BD_PRINCIPAL[[#This Row],[DOTACIÓN ACTUAL]],ORDEN2,3,FALSE),0)</f>
        <v>0</v>
      </c>
      <c r="AB424" s="232" t="s">
        <v>1075</v>
      </c>
      <c r="AC424" s="232" t="s">
        <v>1075</v>
      </c>
      <c r="AD424" s="232" t="s">
        <v>1075</v>
      </c>
      <c r="AE424" s="232" t="s">
        <v>1075</v>
      </c>
      <c r="AF424" s="844" t="s">
        <v>1075</v>
      </c>
      <c r="AG424" s="844" t="s">
        <v>1075</v>
      </c>
      <c r="AH424" s="844"/>
      <c r="AI424" s="844"/>
      <c r="AJ424" s="844"/>
      <c r="AK424" s="844"/>
      <c r="AL424" s="844"/>
      <c r="AM424" s="844"/>
      <c r="AN424" s="844"/>
      <c r="AO424" s="844"/>
      <c r="AP424" s="844"/>
      <c r="AQ424" s="844"/>
      <c r="AR424" s="844"/>
      <c r="AS424" s="844"/>
      <c r="AT424" s="844"/>
      <c r="AU424" s="844"/>
      <c r="AV424" s="844"/>
      <c r="AW424" s="844"/>
      <c r="AX424" s="844"/>
      <c r="AY424" s="844"/>
      <c r="AZ424" s="844"/>
      <c r="BA424" s="833"/>
      <c r="BB424" s="833"/>
      <c r="BC424" s="833"/>
      <c r="BD424" s="833"/>
      <c r="BE424" s="833"/>
      <c r="BF424" s="225"/>
      <c r="BG424" s="225"/>
      <c r="BH424" s="225"/>
      <c r="BI424" s="225"/>
      <c r="BJ424" s="225"/>
      <c r="BK424" s="833"/>
      <c r="BL424" s="833"/>
      <c r="BM424" s="951"/>
      <c r="BN424" s="901"/>
    </row>
    <row r="425" spans="1:66" s="189" customFormat="1" x14ac:dyDescent="0.3">
      <c r="A425" s="850" t="s">
        <v>305</v>
      </c>
      <c r="B425" s="851" t="s">
        <v>1877</v>
      </c>
      <c r="C425" s="850">
        <v>123796136</v>
      </c>
      <c r="D425" s="991" t="s">
        <v>863</v>
      </c>
      <c r="E425" s="853" t="s">
        <v>1079</v>
      </c>
      <c r="F425" s="853" t="s">
        <v>1877</v>
      </c>
      <c r="G425" s="992" t="s">
        <v>11</v>
      </c>
      <c r="H425" s="855" t="s">
        <v>816</v>
      </c>
      <c r="I425" s="855" t="s">
        <v>872</v>
      </c>
      <c r="J425" s="993" t="s">
        <v>917</v>
      </c>
      <c r="K425" s="1291" t="s">
        <v>2290</v>
      </c>
      <c r="L425" s="856" t="s">
        <v>1083</v>
      </c>
      <c r="M425" s="1317" t="s">
        <v>1079</v>
      </c>
      <c r="N425" s="857"/>
      <c r="O425" s="1302"/>
      <c r="P425" s="851"/>
      <c r="Q425" s="1302" t="s">
        <v>832</v>
      </c>
      <c r="R425" s="858">
        <f>$B$1</f>
        <v>45388</v>
      </c>
      <c r="S425" s="859" t="s">
        <v>2904</v>
      </c>
      <c r="T425" s="859"/>
      <c r="U425" s="860"/>
      <c r="V425" s="860"/>
      <c r="W425" s="850" t="str">
        <f>IFERROR(IF(AND(BD_PRINCIPAL[[#This Row],[DESDE]]&lt;&gt;"",BD_PRINCIPAL[[#This Row],[HASTA]]&lt;&gt;""),_xlfn.DAYS(BD_PRINCIPAL[[#This Row],[HASTA]],BD_PRINCIPAL[[#This Row],[DESDE]]),"")+1,"")</f>
        <v/>
      </c>
      <c r="X425" s="850">
        <f>VLOOKUP(BD_PRINCIPAL[[#This Row],[ENCUADRE. ESC.]],ORDEN1,2,FALSE)</f>
        <v>1</v>
      </c>
      <c r="Y425" s="850">
        <f>VLOOKUP(BD_PRINCIPAL[[#This Row],[DOTACIÓN ACTUAL]],ORDEN2,4,FALSE)</f>
        <v>339</v>
      </c>
      <c r="Z425" s="850">
        <f>VLOOKUP(BD_PRINCIPAL[[#This Row],[GRADO]],ORDEN3,2,FALSE)</f>
        <v>7</v>
      </c>
      <c r="AA425" s="850">
        <f>IFERROR(VLOOKUP(BD_PRINCIPAL[[#This Row],[DOTACIÓN ACTUAL]],ORDEN2,3,FALSE),0)</f>
        <v>0</v>
      </c>
      <c r="AB425" s="851" t="s">
        <v>1083</v>
      </c>
      <c r="AC425" s="851" t="s">
        <v>1083</v>
      </c>
      <c r="AD425" s="851" t="s">
        <v>1083</v>
      </c>
      <c r="AE425" s="851" t="s">
        <v>1083</v>
      </c>
      <c r="AF425" s="851" t="s">
        <v>1083</v>
      </c>
      <c r="AG425" s="851" t="s">
        <v>1083</v>
      </c>
      <c r="AH425" s="851"/>
      <c r="AI425" s="851"/>
      <c r="AJ425" s="851"/>
      <c r="AK425" s="851"/>
      <c r="AL425" s="851"/>
      <c r="AM425" s="851"/>
      <c r="AN425" s="851"/>
      <c r="AO425" s="851"/>
      <c r="AP425" s="851"/>
      <c r="AQ425" s="851"/>
      <c r="AR425" s="851"/>
      <c r="AS425" s="851"/>
      <c r="AT425" s="861"/>
      <c r="AU425" s="861"/>
      <c r="AV425" s="861"/>
      <c r="AW425" s="861"/>
      <c r="AX425" s="861"/>
      <c r="AY425" s="861"/>
      <c r="AZ425" s="861"/>
      <c r="BA425" s="851"/>
      <c r="BB425" s="851"/>
      <c r="BC425" s="851"/>
      <c r="BD425" s="851"/>
      <c r="BE425" s="851"/>
      <c r="BF425" s="851"/>
      <c r="BG425" s="851"/>
      <c r="BH425" s="851"/>
      <c r="BI425" s="851"/>
      <c r="BJ425" s="851"/>
      <c r="BK425" s="851"/>
      <c r="BL425" s="851"/>
      <c r="BM425" s="857">
        <v>45050</v>
      </c>
      <c r="BN425" s="888"/>
    </row>
    <row r="426" spans="1:66" s="233" customFormat="1" ht="26.4" x14ac:dyDescent="0.3">
      <c r="A426" s="834" t="s">
        <v>2441</v>
      </c>
      <c r="B426" s="939" t="s">
        <v>2443</v>
      </c>
      <c r="C426" s="834" t="s">
        <v>2442</v>
      </c>
      <c r="D426" s="940" t="s">
        <v>776</v>
      </c>
      <c r="E426" s="836" t="s">
        <v>1398</v>
      </c>
      <c r="F426" s="836" t="s">
        <v>2443</v>
      </c>
      <c r="G426" s="941" t="s">
        <v>11</v>
      </c>
      <c r="H426" s="838" t="s">
        <v>816</v>
      </c>
      <c r="I426" s="838" t="s">
        <v>874</v>
      </c>
      <c r="J426" s="907" t="s">
        <v>917</v>
      </c>
      <c r="K426" s="1289" t="s">
        <v>2290</v>
      </c>
      <c r="L426" s="839" t="s">
        <v>962</v>
      </c>
      <c r="M426" s="1315" t="s">
        <v>1398</v>
      </c>
      <c r="N426" s="942"/>
      <c r="O426" s="1300"/>
      <c r="P426" s="833"/>
      <c r="Q426" s="1300" t="s">
        <v>832</v>
      </c>
      <c r="R426" s="943">
        <v>29383</v>
      </c>
      <c r="S426" s="845"/>
      <c r="T426" s="842"/>
      <c r="U426" s="950"/>
      <c r="V426" s="950"/>
      <c r="W426" s="944" t="str">
        <f>IFERROR(IF(AND(BD_PRINCIPAL[[#This Row],[DESDE]]&lt;&gt;"",BD_PRINCIPAL[[#This Row],[HASTA]]&lt;&gt;""),_xlfn.DAYS(BD_PRINCIPAL[[#This Row],[HASTA]],BD_PRINCIPAL[[#This Row],[DESDE]]),"")+1,"")</f>
        <v/>
      </c>
      <c r="X426" s="944">
        <f>VLOOKUP(BD_PRINCIPAL[[#This Row],[ENCUADRE. ESC.]],ORDEN1,2,FALSE)</f>
        <v>1</v>
      </c>
      <c r="Y426" s="944">
        <f>VLOOKUP(BD_PRINCIPAL[[#This Row],[DOTACIÓN ACTUAL]],ORDEN2,4,FALSE)</f>
        <v>341</v>
      </c>
      <c r="Z426" s="944">
        <f>VLOOKUP(BD_PRINCIPAL[[#This Row],[GRADO]],ORDEN3,2,FALSE)</f>
        <v>7</v>
      </c>
      <c r="AA426" s="944">
        <f>IFERROR(VLOOKUP(BD_PRINCIPAL[[#This Row],[DOTACIÓN ACTUAL]],ORDEN2,3,FALSE),0)</f>
        <v>0</v>
      </c>
      <c r="AB426" s="833" t="s">
        <v>962</v>
      </c>
      <c r="AC426" s="833" t="s">
        <v>962</v>
      </c>
      <c r="AD426" s="833" t="s">
        <v>962</v>
      </c>
      <c r="AE426" s="833" t="s">
        <v>962</v>
      </c>
      <c r="AF426" s="833" t="s">
        <v>962</v>
      </c>
      <c r="AG426" s="833" t="s">
        <v>962</v>
      </c>
      <c r="AH426" s="844"/>
      <c r="AI426" s="844"/>
      <c r="AJ426" s="844"/>
      <c r="AK426" s="844"/>
      <c r="AL426" s="844"/>
      <c r="AM426" s="844"/>
      <c r="AN426" s="844"/>
      <c r="AO426" s="844"/>
      <c r="AP426" s="844"/>
      <c r="AQ426" s="844"/>
      <c r="AR426" s="844"/>
      <c r="AS426" s="844"/>
      <c r="AT426" s="844"/>
      <c r="AU426" s="844"/>
      <c r="AV426" s="844"/>
      <c r="AW426" s="844"/>
      <c r="AX426" s="844"/>
      <c r="AY426" s="844"/>
      <c r="AZ426" s="844"/>
      <c r="BA426" s="833"/>
      <c r="BB426" s="833"/>
      <c r="BC426" s="833"/>
      <c r="BD426" s="833"/>
      <c r="BE426" s="833"/>
      <c r="BF426" s="833"/>
      <c r="BG426" s="833"/>
      <c r="BH426" s="833"/>
      <c r="BI426" s="833"/>
      <c r="BJ426" s="833"/>
      <c r="BK426" s="833"/>
      <c r="BL426" s="833"/>
      <c r="BM426" s="840">
        <v>45183</v>
      </c>
      <c r="BN426" s="886"/>
    </row>
    <row r="427" spans="1:66" s="233" customFormat="1" ht="26.4" x14ac:dyDescent="0.3">
      <c r="A427" s="834" t="s">
        <v>2446</v>
      </c>
      <c r="B427" s="939" t="s">
        <v>2448</v>
      </c>
      <c r="C427" s="834" t="s">
        <v>2447</v>
      </c>
      <c r="D427" s="940" t="s">
        <v>776</v>
      </c>
      <c r="E427" s="836" t="s">
        <v>1398</v>
      </c>
      <c r="F427" s="836" t="s">
        <v>2448</v>
      </c>
      <c r="G427" s="941" t="s">
        <v>17</v>
      </c>
      <c r="H427" s="838" t="s">
        <v>816</v>
      </c>
      <c r="I427" s="838" t="s">
        <v>874</v>
      </c>
      <c r="J427" s="907" t="s">
        <v>917</v>
      </c>
      <c r="K427" s="1289" t="s">
        <v>2290</v>
      </c>
      <c r="L427" s="839" t="s">
        <v>962</v>
      </c>
      <c r="M427" s="1315" t="s">
        <v>1398</v>
      </c>
      <c r="N427" s="942"/>
      <c r="O427" s="1300"/>
      <c r="P427" s="833"/>
      <c r="Q427" s="1300" t="s">
        <v>832</v>
      </c>
      <c r="R427" s="943" t="s">
        <v>2449</v>
      </c>
      <c r="S427" s="845"/>
      <c r="T427" s="845"/>
      <c r="U427" s="950"/>
      <c r="V427" s="950"/>
      <c r="W427" s="944" t="str">
        <f>IFERROR(IF(AND(BD_PRINCIPAL[[#This Row],[DESDE]]&lt;&gt;"",BD_PRINCIPAL[[#This Row],[HASTA]]&lt;&gt;""),_xlfn.DAYS(BD_PRINCIPAL[[#This Row],[HASTA]],BD_PRINCIPAL[[#This Row],[DESDE]]),"")+1,"")</f>
        <v/>
      </c>
      <c r="X427" s="944">
        <f>VLOOKUP(BD_PRINCIPAL[[#This Row],[ENCUADRE. ESC.]],ORDEN1,2,FALSE)</f>
        <v>1</v>
      </c>
      <c r="Y427" s="944">
        <f>VLOOKUP(BD_PRINCIPAL[[#This Row],[DOTACIÓN ACTUAL]],ORDEN2,4,FALSE)</f>
        <v>341</v>
      </c>
      <c r="Z427" s="944">
        <f>VLOOKUP(BD_PRINCIPAL[[#This Row],[GRADO]],ORDEN3,2,FALSE)</f>
        <v>8</v>
      </c>
      <c r="AA427" s="944">
        <f>IFERROR(VLOOKUP(BD_PRINCIPAL[[#This Row],[DOTACIÓN ACTUAL]],ORDEN2,3,FALSE),0)</f>
        <v>0</v>
      </c>
      <c r="AB427" s="833" t="s">
        <v>962</v>
      </c>
      <c r="AC427" s="833" t="s">
        <v>962</v>
      </c>
      <c r="AD427" s="833" t="s">
        <v>962</v>
      </c>
      <c r="AE427" s="833" t="s">
        <v>962</v>
      </c>
      <c r="AF427" s="833" t="s">
        <v>962</v>
      </c>
      <c r="AG427" s="833" t="s">
        <v>962</v>
      </c>
      <c r="AH427" s="844"/>
      <c r="AI427" s="844"/>
      <c r="AJ427" s="844"/>
      <c r="AK427" s="844"/>
      <c r="AL427" s="844"/>
      <c r="AM427" s="844"/>
      <c r="AN427" s="844"/>
      <c r="AO427" s="844"/>
      <c r="AP427" s="844"/>
      <c r="AQ427" s="844"/>
      <c r="AR427" s="844"/>
      <c r="AS427" s="844"/>
      <c r="AT427" s="844"/>
      <c r="AU427" s="844"/>
      <c r="AV427" s="844"/>
      <c r="AW427" s="844"/>
      <c r="AX427" s="844"/>
      <c r="AY427" s="844"/>
      <c r="AZ427" s="844"/>
      <c r="BA427" s="833"/>
      <c r="BB427" s="833"/>
      <c r="BC427" s="833"/>
      <c r="BD427" s="833"/>
      <c r="BE427" s="833"/>
      <c r="BF427" s="833"/>
      <c r="BG427" s="833"/>
      <c r="BH427" s="833"/>
      <c r="BI427" s="833"/>
      <c r="BJ427" s="833"/>
      <c r="BK427" s="833"/>
      <c r="BL427" s="833"/>
      <c r="BM427" s="840">
        <v>45223</v>
      </c>
      <c r="BN427" s="886"/>
    </row>
    <row r="428" spans="1:66" s="233" customFormat="1" ht="26.4" x14ac:dyDescent="0.3">
      <c r="A428" s="834" t="s">
        <v>499</v>
      </c>
      <c r="B428" s="833" t="s">
        <v>15</v>
      </c>
      <c r="C428" s="834">
        <v>145846706</v>
      </c>
      <c r="D428" s="935" t="s">
        <v>786</v>
      </c>
      <c r="E428" s="836" t="s">
        <v>1398</v>
      </c>
      <c r="F428" s="836" t="s">
        <v>15</v>
      </c>
      <c r="G428" s="837" t="s">
        <v>89</v>
      </c>
      <c r="H428" s="838" t="s">
        <v>816</v>
      </c>
      <c r="I428" s="838" t="s">
        <v>874</v>
      </c>
      <c r="J428" s="907" t="s">
        <v>917</v>
      </c>
      <c r="K428" s="1289" t="s">
        <v>2290</v>
      </c>
      <c r="L428" s="839" t="s">
        <v>962</v>
      </c>
      <c r="M428" s="1315" t="s">
        <v>1398</v>
      </c>
      <c r="N428" s="986"/>
      <c r="O428" s="1300"/>
      <c r="P428" s="833"/>
      <c r="Q428" s="1300" t="s">
        <v>832</v>
      </c>
      <c r="R428" s="841">
        <f>$B$1</f>
        <v>45388</v>
      </c>
      <c r="S428" s="845"/>
      <c r="T428" s="842"/>
      <c r="U428" s="843"/>
      <c r="V428" s="843"/>
      <c r="W428" s="834" t="str">
        <f>IFERROR(IF(AND(BD_PRINCIPAL[[#This Row],[DESDE]]&lt;&gt;"",BD_PRINCIPAL[[#This Row],[HASTA]]&lt;&gt;""),_xlfn.DAYS(BD_PRINCIPAL[[#This Row],[HASTA]],BD_PRINCIPAL[[#This Row],[DESDE]]),"")+1,"")</f>
        <v/>
      </c>
      <c r="X428" s="834">
        <f>VLOOKUP(BD_PRINCIPAL[[#This Row],[ENCUADRE. ESC.]],ORDEN1,2,FALSE)</f>
        <v>1</v>
      </c>
      <c r="Y428" s="834">
        <f>VLOOKUP(BD_PRINCIPAL[[#This Row],[DOTACIÓN ACTUAL]],ORDEN2,4,FALSE)</f>
        <v>341</v>
      </c>
      <c r="Z428" s="834">
        <f>VLOOKUP(BD_PRINCIPAL[[#This Row],[GRADO]],ORDEN3,2,FALSE)</f>
        <v>9</v>
      </c>
      <c r="AA428" s="834">
        <f>IFERROR(VLOOKUP(BD_PRINCIPAL[[#This Row],[DOTACIÓN ACTUAL]],ORDEN2,3,FALSE),0)</f>
        <v>0</v>
      </c>
      <c r="AB428" s="833" t="s">
        <v>962</v>
      </c>
      <c r="AC428" s="833" t="s">
        <v>962</v>
      </c>
      <c r="AD428" s="833" t="s">
        <v>962</v>
      </c>
      <c r="AE428" s="833" t="s">
        <v>962</v>
      </c>
      <c r="AF428" s="833" t="s">
        <v>962</v>
      </c>
      <c r="AG428" s="833" t="s">
        <v>962</v>
      </c>
      <c r="AH428" s="833"/>
      <c r="AI428" s="833"/>
      <c r="AJ428" s="833"/>
      <c r="AK428" s="833"/>
      <c r="AL428" s="833"/>
      <c r="AM428" s="833"/>
      <c r="AN428" s="833"/>
      <c r="AO428" s="833"/>
      <c r="AP428" s="833"/>
      <c r="AQ428" s="833"/>
      <c r="AR428" s="833"/>
      <c r="AS428" s="833"/>
      <c r="AT428" s="844"/>
      <c r="AU428" s="844"/>
      <c r="AV428" s="844"/>
      <c r="AW428" s="844"/>
      <c r="AX428" s="844"/>
      <c r="AY428" s="844"/>
      <c r="AZ428" s="844"/>
      <c r="BA428" s="833"/>
      <c r="BB428" s="833"/>
      <c r="BC428" s="833"/>
      <c r="BD428" s="833"/>
      <c r="BE428" s="833"/>
      <c r="BF428" s="833"/>
      <c r="BG428" s="833"/>
      <c r="BH428" s="833"/>
      <c r="BI428" s="833"/>
      <c r="BJ428" s="833"/>
      <c r="BK428" s="833"/>
      <c r="BL428" s="833"/>
      <c r="BM428" s="986">
        <v>45097</v>
      </c>
      <c r="BN428" s="886"/>
    </row>
    <row r="429" spans="1:66" s="233" customFormat="1" x14ac:dyDescent="0.3">
      <c r="A429" s="834" t="s">
        <v>549</v>
      </c>
      <c r="B429" s="833" t="s">
        <v>1896</v>
      </c>
      <c r="C429" s="834">
        <v>129264829</v>
      </c>
      <c r="D429" s="940" t="s">
        <v>902</v>
      </c>
      <c r="E429" s="884" t="s">
        <v>1398</v>
      </c>
      <c r="F429" s="836" t="s">
        <v>1896</v>
      </c>
      <c r="G429" s="837" t="s">
        <v>89</v>
      </c>
      <c r="H429" s="838" t="s">
        <v>816</v>
      </c>
      <c r="I429" s="838" t="s">
        <v>874</v>
      </c>
      <c r="J429" s="907" t="s">
        <v>917</v>
      </c>
      <c r="K429" s="1289" t="s">
        <v>2290</v>
      </c>
      <c r="L429" s="839" t="s">
        <v>962</v>
      </c>
      <c r="M429" s="1315" t="s">
        <v>1398</v>
      </c>
      <c r="N429" s="840"/>
      <c r="O429" s="1300"/>
      <c r="P429" s="833"/>
      <c r="Q429" s="1300" t="s">
        <v>832</v>
      </c>
      <c r="R429" s="841">
        <f>$B$1</f>
        <v>45388</v>
      </c>
      <c r="S429" s="845"/>
      <c r="T429" s="845"/>
      <c r="U429" s="989"/>
      <c r="V429" s="989"/>
      <c r="W429" s="834" t="str">
        <f>IFERROR(IF(AND(BD_PRINCIPAL[[#This Row],[DESDE]]&lt;&gt;"",BD_PRINCIPAL[[#This Row],[HASTA]]&lt;&gt;""),_xlfn.DAYS(BD_PRINCIPAL[[#This Row],[HASTA]],BD_PRINCIPAL[[#This Row],[DESDE]]),"")+1,"")</f>
        <v/>
      </c>
      <c r="X429" s="834">
        <f>VLOOKUP(BD_PRINCIPAL[[#This Row],[ENCUADRE. ESC.]],ORDEN1,2,FALSE)</f>
        <v>1</v>
      </c>
      <c r="Y429" s="834">
        <f>VLOOKUP(BD_PRINCIPAL[[#This Row],[DOTACIÓN ACTUAL]],ORDEN2,4,FALSE)</f>
        <v>341</v>
      </c>
      <c r="Z429" s="834">
        <f>VLOOKUP(BD_PRINCIPAL[[#This Row],[GRADO]],ORDEN3,2,FALSE)</f>
        <v>9</v>
      </c>
      <c r="AA429" s="834">
        <f>IFERROR(VLOOKUP(BD_PRINCIPAL[[#This Row],[DOTACIÓN ACTUAL]],ORDEN2,3,FALSE),0)</f>
        <v>0</v>
      </c>
      <c r="AB429" s="833" t="s">
        <v>962</v>
      </c>
      <c r="AC429" s="833" t="s">
        <v>962</v>
      </c>
      <c r="AD429" s="833" t="s">
        <v>962</v>
      </c>
      <c r="AE429" s="833" t="s">
        <v>962</v>
      </c>
      <c r="AF429" s="833" t="s">
        <v>962</v>
      </c>
      <c r="AG429" s="833" t="s">
        <v>962</v>
      </c>
      <c r="AH429" s="833"/>
      <c r="AI429" s="833"/>
      <c r="AJ429" s="833"/>
      <c r="AK429" s="833"/>
      <c r="AL429" s="833"/>
      <c r="AM429" s="833"/>
      <c r="AN429" s="833"/>
      <c r="AO429" s="833"/>
      <c r="AP429" s="833"/>
      <c r="AQ429" s="833"/>
      <c r="AR429" s="833"/>
      <c r="AS429" s="833"/>
      <c r="AT429" s="844"/>
      <c r="AU429" s="844"/>
      <c r="AV429" s="844"/>
      <c r="AW429" s="844"/>
      <c r="AX429" s="844"/>
      <c r="AY429" s="844"/>
      <c r="AZ429" s="844"/>
      <c r="BA429" s="833"/>
      <c r="BB429" s="833"/>
      <c r="BC429" s="833"/>
      <c r="BD429" s="833"/>
      <c r="BE429" s="833"/>
      <c r="BF429" s="833"/>
      <c r="BG429" s="833"/>
      <c r="BH429" s="833"/>
      <c r="BI429" s="833"/>
      <c r="BJ429" s="833"/>
      <c r="BK429" s="833"/>
      <c r="BL429" s="833"/>
      <c r="BM429" s="840">
        <v>45083</v>
      </c>
      <c r="BN429" s="886"/>
    </row>
    <row r="430" spans="1:66" s="233" customFormat="1" ht="26.4" x14ac:dyDescent="0.3">
      <c r="A430" s="834" t="s">
        <v>2481</v>
      </c>
      <c r="B430" s="939" t="s">
        <v>2482</v>
      </c>
      <c r="C430" s="834">
        <v>146138055</v>
      </c>
      <c r="D430" s="835" t="s">
        <v>1398</v>
      </c>
      <c r="E430" s="836" t="s">
        <v>1398</v>
      </c>
      <c r="F430" s="836" t="s">
        <v>2482</v>
      </c>
      <c r="G430" s="941" t="s">
        <v>89</v>
      </c>
      <c r="H430" s="838" t="s">
        <v>816</v>
      </c>
      <c r="I430" s="838" t="s">
        <v>873</v>
      </c>
      <c r="J430" s="907" t="s">
        <v>917</v>
      </c>
      <c r="K430" s="1289" t="s">
        <v>2290</v>
      </c>
      <c r="L430" s="839" t="s">
        <v>962</v>
      </c>
      <c r="M430" s="1315" t="s">
        <v>1398</v>
      </c>
      <c r="N430" s="942"/>
      <c r="O430" s="1300"/>
      <c r="P430" s="833"/>
      <c r="Q430" s="1300" t="s">
        <v>832</v>
      </c>
      <c r="R430" s="943">
        <v>29693</v>
      </c>
      <c r="S430" s="845"/>
      <c r="T430" s="845" t="s">
        <v>2827</v>
      </c>
      <c r="U430" s="950"/>
      <c r="V430" s="950"/>
      <c r="W430" s="944" t="str">
        <f>IFERROR(IF(AND(BD_PRINCIPAL[[#This Row],[DESDE]]&lt;&gt;"",BD_PRINCIPAL[[#This Row],[HASTA]]&lt;&gt;""),_xlfn.DAYS(BD_PRINCIPAL[[#This Row],[HASTA]],BD_PRINCIPAL[[#This Row],[DESDE]]),"")+1,"")</f>
        <v/>
      </c>
      <c r="X430" s="944">
        <f>VLOOKUP(BD_PRINCIPAL[[#This Row],[ENCUADRE. ESC.]],ORDEN1,2,FALSE)</f>
        <v>1</v>
      </c>
      <c r="Y430" s="944">
        <f>VLOOKUP(BD_PRINCIPAL[[#This Row],[DOTACIÓN ACTUAL]],ORDEN2,4,FALSE)</f>
        <v>341</v>
      </c>
      <c r="Z430" s="944">
        <f>VLOOKUP(BD_PRINCIPAL[[#This Row],[GRADO]],ORDEN3,2,FALSE)</f>
        <v>9</v>
      </c>
      <c r="AA430" s="944">
        <f>IFERROR(VLOOKUP(BD_PRINCIPAL[[#This Row],[DOTACIÓN ACTUAL]],ORDEN2,3,FALSE),0)</f>
        <v>0</v>
      </c>
      <c r="AB430" s="833" t="s">
        <v>962</v>
      </c>
      <c r="AC430" s="833" t="s">
        <v>962</v>
      </c>
      <c r="AD430" s="833" t="s">
        <v>962</v>
      </c>
      <c r="AE430" s="833" t="s">
        <v>962</v>
      </c>
      <c r="AF430" s="833" t="s">
        <v>962</v>
      </c>
      <c r="AG430" s="833" t="s">
        <v>962</v>
      </c>
      <c r="AH430" s="844"/>
      <c r="AI430" s="844"/>
      <c r="AJ430" s="844"/>
      <c r="AK430" s="844"/>
      <c r="AL430" s="844"/>
      <c r="AM430" s="844"/>
      <c r="AN430" s="844"/>
      <c r="AO430" s="844"/>
      <c r="AP430" s="844"/>
      <c r="AQ430" s="844"/>
      <c r="AR430" s="844"/>
      <c r="AS430" s="844"/>
      <c r="AT430" s="844"/>
      <c r="AU430" s="844"/>
      <c r="AV430" s="844"/>
      <c r="AW430" s="844"/>
      <c r="AX430" s="844"/>
      <c r="AY430" s="844"/>
      <c r="AZ430" s="844"/>
      <c r="BA430" s="833"/>
      <c r="BB430" s="833"/>
      <c r="BC430" s="833"/>
      <c r="BD430" s="833"/>
      <c r="BE430" s="833"/>
      <c r="BF430" s="833"/>
      <c r="BG430" s="833"/>
      <c r="BH430" s="833"/>
      <c r="BI430" s="833"/>
      <c r="BJ430" s="833"/>
      <c r="BK430" s="833"/>
      <c r="BL430" s="833"/>
      <c r="BM430" s="840">
        <v>45072</v>
      </c>
      <c r="BN430" s="886"/>
    </row>
    <row r="431" spans="1:66" s="233" customFormat="1" x14ac:dyDescent="0.3">
      <c r="A431" s="834" t="s">
        <v>495</v>
      </c>
      <c r="B431" s="833" t="s">
        <v>1899</v>
      </c>
      <c r="C431" s="834">
        <v>160506857</v>
      </c>
      <c r="D431" s="935" t="s">
        <v>686</v>
      </c>
      <c r="E431" s="836" t="s">
        <v>1398</v>
      </c>
      <c r="F431" s="836" t="s">
        <v>1899</v>
      </c>
      <c r="G431" s="941" t="s">
        <v>89</v>
      </c>
      <c r="H431" s="838" t="s">
        <v>816</v>
      </c>
      <c r="I431" s="838" t="s">
        <v>874</v>
      </c>
      <c r="J431" s="907" t="s">
        <v>917</v>
      </c>
      <c r="K431" s="1289" t="s">
        <v>2290</v>
      </c>
      <c r="L431" s="839" t="s">
        <v>962</v>
      </c>
      <c r="M431" s="1315" t="s">
        <v>1398</v>
      </c>
      <c r="N431" s="986"/>
      <c r="O431" s="1300"/>
      <c r="P431" s="833"/>
      <c r="Q431" s="1300" t="s">
        <v>832</v>
      </c>
      <c r="R431" s="841">
        <f>$B$1</f>
        <v>45388</v>
      </c>
      <c r="S431" s="845"/>
      <c r="T431" s="842"/>
      <c r="U431" s="843"/>
      <c r="V431" s="843"/>
      <c r="W431" s="834" t="str">
        <f>IFERROR(IF(AND(BD_PRINCIPAL[[#This Row],[DESDE]]&lt;&gt;"",BD_PRINCIPAL[[#This Row],[HASTA]]&lt;&gt;""),_xlfn.DAYS(BD_PRINCIPAL[[#This Row],[HASTA]],BD_PRINCIPAL[[#This Row],[DESDE]]),"")+1,"")</f>
        <v/>
      </c>
      <c r="X431" s="834">
        <f>VLOOKUP(BD_PRINCIPAL[[#This Row],[ENCUADRE. ESC.]],ORDEN1,2,FALSE)</f>
        <v>1</v>
      </c>
      <c r="Y431" s="834">
        <f>VLOOKUP(BD_PRINCIPAL[[#This Row],[DOTACIÓN ACTUAL]],ORDEN2,4,FALSE)</f>
        <v>341</v>
      </c>
      <c r="Z431" s="834">
        <f>VLOOKUP(BD_PRINCIPAL[[#This Row],[GRADO]],ORDEN3,2,FALSE)</f>
        <v>9</v>
      </c>
      <c r="AA431" s="834">
        <f>IFERROR(VLOOKUP(BD_PRINCIPAL[[#This Row],[DOTACIÓN ACTUAL]],ORDEN2,3,FALSE),0)</f>
        <v>0</v>
      </c>
      <c r="AB431" s="833" t="s">
        <v>962</v>
      </c>
      <c r="AC431" s="833" t="s">
        <v>962</v>
      </c>
      <c r="AD431" s="833" t="s">
        <v>962</v>
      </c>
      <c r="AE431" s="833" t="s">
        <v>962</v>
      </c>
      <c r="AF431" s="833" t="s">
        <v>962</v>
      </c>
      <c r="AG431" s="833" t="s">
        <v>962</v>
      </c>
      <c r="AH431" s="833"/>
      <c r="AI431" s="833"/>
      <c r="AJ431" s="833"/>
      <c r="AK431" s="833"/>
      <c r="AL431" s="833"/>
      <c r="AM431" s="833"/>
      <c r="AN431" s="833"/>
      <c r="AO431" s="833"/>
      <c r="AP431" s="833"/>
      <c r="AQ431" s="833"/>
      <c r="AR431" s="833"/>
      <c r="AS431" s="833"/>
      <c r="AT431" s="844"/>
      <c r="AU431" s="844"/>
      <c r="AV431" s="844"/>
      <c r="AW431" s="844"/>
      <c r="AX431" s="844"/>
      <c r="AY431" s="844"/>
      <c r="AZ431" s="844"/>
      <c r="BA431" s="833"/>
      <c r="BB431" s="833"/>
      <c r="BC431" s="833"/>
      <c r="BD431" s="833"/>
      <c r="BE431" s="833"/>
      <c r="BF431" s="833"/>
      <c r="BG431" s="833"/>
      <c r="BH431" s="833"/>
      <c r="BI431" s="833"/>
      <c r="BJ431" s="833"/>
      <c r="BK431" s="833"/>
      <c r="BL431" s="833"/>
      <c r="BM431" s="986">
        <v>45085</v>
      </c>
      <c r="BN431" s="886"/>
    </row>
    <row r="432" spans="1:66" s="233" customFormat="1" ht="39.6" x14ac:dyDescent="0.3">
      <c r="A432" s="834" t="s">
        <v>576</v>
      </c>
      <c r="B432" s="833" t="s">
        <v>39</v>
      </c>
      <c r="C432" s="834">
        <v>160918411</v>
      </c>
      <c r="D432" s="906" t="s">
        <v>796</v>
      </c>
      <c r="E432" s="905" t="s">
        <v>1398</v>
      </c>
      <c r="F432" s="836" t="s">
        <v>39</v>
      </c>
      <c r="G432" s="941" t="s">
        <v>89</v>
      </c>
      <c r="H432" s="838" t="s">
        <v>816</v>
      </c>
      <c r="I432" s="838" t="s">
        <v>874</v>
      </c>
      <c r="J432" s="907" t="s">
        <v>917</v>
      </c>
      <c r="K432" s="987" t="s">
        <v>2290</v>
      </c>
      <c r="L432" s="839" t="s">
        <v>962</v>
      </c>
      <c r="M432" s="988" t="s">
        <v>1398</v>
      </c>
      <c r="N432" s="840"/>
      <c r="O432" s="1300"/>
      <c r="P432" s="833"/>
      <c r="Q432" s="1300" t="s">
        <v>832</v>
      </c>
      <c r="R432" s="841">
        <f>$B$1</f>
        <v>45388</v>
      </c>
      <c r="S432" s="845"/>
      <c r="T432" s="842"/>
      <c r="U432" s="843"/>
      <c r="V432" s="843"/>
      <c r="W432" s="834" t="str">
        <f>IFERROR(IF(AND(BD_PRINCIPAL[[#This Row],[DESDE]]&lt;&gt;"",BD_PRINCIPAL[[#This Row],[HASTA]]&lt;&gt;""),_xlfn.DAYS(BD_PRINCIPAL[[#This Row],[HASTA]],BD_PRINCIPAL[[#This Row],[DESDE]]),"")+1,"")</f>
        <v/>
      </c>
      <c r="X432" s="834">
        <f>VLOOKUP(BD_PRINCIPAL[[#This Row],[ENCUADRE. ESC.]],ORDEN1,2,FALSE)</f>
        <v>1</v>
      </c>
      <c r="Y432" s="834">
        <f>VLOOKUP(BD_PRINCIPAL[[#This Row],[DOTACIÓN ACTUAL]],ORDEN2,4,FALSE)</f>
        <v>341</v>
      </c>
      <c r="Z432" s="834">
        <f>VLOOKUP(BD_PRINCIPAL[[#This Row],[GRADO]],ORDEN3,2,FALSE)</f>
        <v>9</v>
      </c>
      <c r="AA432" s="834">
        <f>IFERROR(VLOOKUP(BD_PRINCIPAL[[#This Row],[DOTACIÓN ACTUAL]],ORDEN2,3,FALSE),0)</f>
        <v>0</v>
      </c>
      <c r="AB432" s="833" t="s">
        <v>962</v>
      </c>
      <c r="AC432" s="833" t="s">
        <v>962</v>
      </c>
      <c r="AD432" s="833" t="s">
        <v>962</v>
      </c>
      <c r="AE432" s="833" t="s">
        <v>962</v>
      </c>
      <c r="AF432" s="833" t="s">
        <v>962</v>
      </c>
      <c r="AG432" s="833" t="s">
        <v>962</v>
      </c>
      <c r="AH432" s="833"/>
      <c r="AI432" s="833"/>
      <c r="AJ432" s="833"/>
      <c r="AK432" s="833"/>
      <c r="AL432" s="833"/>
      <c r="AM432" s="833"/>
      <c r="AN432" s="833"/>
      <c r="AO432" s="833"/>
      <c r="AP432" s="833"/>
      <c r="AQ432" s="833"/>
      <c r="AR432" s="833"/>
      <c r="AS432" s="833"/>
      <c r="AT432" s="844"/>
      <c r="AU432" s="844"/>
      <c r="AV432" s="844"/>
      <c r="AW432" s="844"/>
      <c r="AX432" s="844"/>
      <c r="AY432" s="844"/>
      <c r="AZ432" s="844"/>
      <c r="BA432" s="833"/>
      <c r="BB432" s="833"/>
      <c r="BC432" s="833"/>
      <c r="BD432" s="833"/>
      <c r="BE432" s="833"/>
      <c r="BF432" s="833"/>
      <c r="BG432" s="833"/>
      <c r="BH432" s="833"/>
      <c r="BI432" s="833"/>
      <c r="BJ432" s="833"/>
      <c r="BK432" s="833"/>
      <c r="BL432" s="833"/>
      <c r="BM432" s="840">
        <v>45096</v>
      </c>
      <c r="BN432" s="886"/>
    </row>
    <row r="433" spans="1:66" s="233" customFormat="1" ht="26.4" x14ac:dyDescent="0.3">
      <c r="A433" s="834" t="s">
        <v>597</v>
      </c>
      <c r="B433" s="833" t="s">
        <v>1897</v>
      </c>
      <c r="C433" s="834">
        <v>153746931</v>
      </c>
      <c r="D433" s="936" t="s">
        <v>787</v>
      </c>
      <c r="E433" s="1010" t="s">
        <v>1398</v>
      </c>
      <c r="F433" s="836" t="s">
        <v>1897</v>
      </c>
      <c r="G433" s="837" t="s">
        <v>89</v>
      </c>
      <c r="H433" s="838" t="s">
        <v>816</v>
      </c>
      <c r="I433" s="838" t="s">
        <v>874</v>
      </c>
      <c r="J433" s="907" t="s">
        <v>917</v>
      </c>
      <c r="K433" s="1289" t="s">
        <v>2290</v>
      </c>
      <c r="L433" s="839" t="s">
        <v>962</v>
      </c>
      <c r="M433" s="1315" t="s">
        <v>1398</v>
      </c>
      <c r="N433" s="986"/>
      <c r="O433" s="1300"/>
      <c r="P433" s="833"/>
      <c r="Q433" s="1300" t="s">
        <v>832</v>
      </c>
      <c r="R433" s="841">
        <f>$B$1</f>
        <v>45388</v>
      </c>
      <c r="S433" s="845"/>
      <c r="T433" s="842"/>
      <c r="U433" s="843"/>
      <c r="V433" s="843"/>
      <c r="W433" s="834" t="str">
        <f>IFERROR(IF(AND(BD_PRINCIPAL[[#This Row],[DESDE]]&lt;&gt;"",BD_PRINCIPAL[[#This Row],[HASTA]]&lt;&gt;""),_xlfn.DAYS(BD_PRINCIPAL[[#This Row],[HASTA]],BD_PRINCIPAL[[#This Row],[DESDE]]),"")+1,"")</f>
        <v/>
      </c>
      <c r="X433" s="834">
        <f>VLOOKUP(BD_PRINCIPAL[[#This Row],[ENCUADRE. ESC.]],ORDEN1,2,FALSE)</f>
        <v>1</v>
      </c>
      <c r="Y433" s="834">
        <f>VLOOKUP(BD_PRINCIPAL[[#This Row],[DOTACIÓN ACTUAL]],ORDEN2,4,FALSE)</f>
        <v>341</v>
      </c>
      <c r="Z433" s="834">
        <f>VLOOKUP(BD_PRINCIPAL[[#This Row],[GRADO]],ORDEN3,2,FALSE)</f>
        <v>9</v>
      </c>
      <c r="AA433" s="834">
        <f>IFERROR(VLOOKUP(BD_PRINCIPAL[[#This Row],[DOTACIÓN ACTUAL]],ORDEN2,3,FALSE),0)</f>
        <v>0</v>
      </c>
      <c r="AB433" s="833" t="s">
        <v>962</v>
      </c>
      <c r="AC433" s="833" t="s">
        <v>962</v>
      </c>
      <c r="AD433" s="833" t="s">
        <v>962</v>
      </c>
      <c r="AE433" s="833" t="s">
        <v>962</v>
      </c>
      <c r="AF433" s="833" t="s">
        <v>962</v>
      </c>
      <c r="AG433" s="833" t="s">
        <v>962</v>
      </c>
      <c r="AH433" s="833"/>
      <c r="AI433" s="833"/>
      <c r="AJ433" s="833"/>
      <c r="AK433" s="833"/>
      <c r="AL433" s="833"/>
      <c r="AM433" s="833"/>
      <c r="AN433" s="833"/>
      <c r="AO433" s="833"/>
      <c r="AP433" s="833"/>
      <c r="AQ433" s="833"/>
      <c r="AR433" s="833"/>
      <c r="AS433" s="833"/>
      <c r="AT433" s="844"/>
      <c r="AU433" s="844"/>
      <c r="AV433" s="844"/>
      <c r="AW433" s="844"/>
      <c r="AX433" s="844"/>
      <c r="AY433" s="844"/>
      <c r="AZ433" s="844"/>
      <c r="BA433" s="833"/>
      <c r="BB433" s="833"/>
      <c r="BC433" s="833"/>
      <c r="BD433" s="833"/>
      <c r="BE433" s="833"/>
      <c r="BF433" s="833"/>
      <c r="BG433" s="833"/>
      <c r="BH433" s="833"/>
      <c r="BI433" s="833"/>
      <c r="BJ433" s="833"/>
      <c r="BK433" s="833"/>
      <c r="BL433" s="833"/>
      <c r="BM433" s="986">
        <v>45385</v>
      </c>
      <c r="BN433" s="886"/>
    </row>
    <row r="434" spans="1:66" s="233" customFormat="1" x14ac:dyDescent="0.3">
      <c r="A434" s="834" t="s">
        <v>500</v>
      </c>
      <c r="B434" s="833" t="s">
        <v>1898</v>
      </c>
      <c r="C434" s="834">
        <v>140358398</v>
      </c>
      <c r="D434" s="935" t="s">
        <v>686</v>
      </c>
      <c r="E434" s="836" t="s">
        <v>1398</v>
      </c>
      <c r="F434" s="836" t="s">
        <v>1898</v>
      </c>
      <c r="G434" s="941" t="s">
        <v>209</v>
      </c>
      <c r="H434" s="838" t="s">
        <v>816</v>
      </c>
      <c r="I434" s="838" t="s">
        <v>874</v>
      </c>
      <c r="J434" s="907" t="s">
        <v>917</v>
      </c>
      <c r="K434" s="1289" t="s">
        <v>2290</v>
      </c>
      <c r="L434" s="839" t="s">
        <v>962</v>
      </c>
      <c r="M434" s="1315" t="s">
        <v>1398</v>
      </c>
      <c r="N434" s="840"/>
      <c r="O434" s="1300"/>
      <c r="P434" s="833"/>
      <c r="Q434" s="1300" t="s">
        <v>832</v>
      </c>
      <c r="R434" s="841">
        <f>$B$1</f>
        <v>45388</v>
      </c>
      <c r="S434" s="845"/>
      <c r="T434" s="842"/>
      <c r="U434" s="843"/>
      <c r="V434" s="843"/>
      <c r="W434" s="834" t="str">
        <f>IFERROR(IF(AND(BD_PRINCIPAL[[#This Row],[DESDE]]&lt;&gt;"",BD_PRINCIPAL[[#This Row],[HASTA]]&lt;&gt;""),_xlfn.DAYS(BD_PRINCIPAL[[#This Row],[HASTA]],BD_PRINCIPAL[[#This Row],[DESDE]]),"")+1,"")</f>
        <v/>
      </c>
      <c r="X434" s="834">
        <f>VLOOKUP(BD_PRINCIPAL[[#This Row],[ENCUADRE. ESC.]],ORDEN1,2,FALSE)</f>
        <v>1</v>
      </c>
      <c r="Y434" s="834">
        <f>VLOOKUP(BD_PRINCIPAL[[#This Row],[DOTACIÓN ACTUAL]],ORDEN2,4,FALSE)</f>
        <v>341</v>
      </c>
      <c r="Z434" s="834">
        <f>VLOOKUP(BD_PRINCIPAL[[#This Row],[GRADO]],ORDEN3,2,FALSE)</f>
        <v>10</v>
      </c>
      <c r="AA434" s="834">
        <f>IFERROR(VLOOKUP(BD_PRINCIPAL[[#This Row],[DOTACIÓN ACTUAL]],ORDEN2,3,FALSE),0)</f>
        <v>0</v>
      </c>
      <c r="AB434" s="833" t="s">
        <v>962</v>
      </c>
      <c r="AC434" s="833" t="s">
        <v>962</v>
      </c>
      <c r="AD434" s="833" t="s">
        <v>962</v>
      </c>
      <c r="AE434" s="833" t="s">
        <v>962</v>
      </c>
      <c r="AF434" s="833" t="s">
        <v>962</v>
      </c>
      <c r="AG434" s="833" t="s">
        <v>962</v>
      </c>
      <c r="AH434" s="833"/>
      <c r="AI434" s="833"/>
      <c r="AJ434" s="833"/>
      <c r="AK434" s="833"/>
      <c r="AL434" s="833"/>
      <c r="AM434" s="833"/>
      <c r="AN434" s="833"/>
      <c r="AO434" s="833"/>
      <c r="AP434" s="833"/>
      <c r="AQ434" s="833"/>
      <c r="AR434" s="833"/>
      <c r="AS434" s="833"/>
      <c r="AT434" s="844"/>
      <c r="AU434" s="844"/>
      <c r="AV434" s="844"/>
      <c r="AW434" s="844"/>
      <c r="AX434" s="844"/>
      <c r="AY434" s="844"/>
      <c r="AZ434" s="844"/>
      <c r="BA434" s="833"/>
      <c r="BB434" s="833"/>
      <c r="BC434" s="833"/>
      <c r="BD434" s="833"/>
      <c r="BE434" s="833"/>
      <c r="BF434" s="833"/>
      <c r="BG434" s="833"/>
      <c r="BH434" s="833"/>
      <c r="BI434" s="833"/>
      <c r="BJ434" s="833"/>
      <c r="BK434" s="833"/>
      <c r="BL434" s="833"/>
      <c r="BM434" s="840">
        <v>45084</v>
      </c>
      <c r="BN434" s="886"/>
    </row>
    <row r="435" spans="1:66" s="233" customFormat="1" x14ac:dyDescent="0.3">
      <c r="A435" s="834" t="s">
        <v>269</v>
      </c>
      <c r="B435" s="833" t="s">
        <v>243</v>
      </c>
      <c r="C435" s="834">
        <v>155773553</v>
      </c>
      <c r="D435" s="940" t="s">
        <v>203</v>
      </c>
      <c r="E435" s="884" t="s">
        <v>1398</v>
      </c>
      <c r="F435" s="836" t="s">
        <v>243</v>
      </c>
      <c r="G435" s="941" t="s">
        <v>209</v>
      </c>
      <c r="H435" s="838" t="s">
        <v>816</v>
      </c>
      <c r="I435" s="838" t="s">
        <v>871</v>
      </c>
      <c r="J435" s="907" t="s">
        <v>917</v>
      </c>
      <c r="K435" s="1289" t="s">
        <v>2290</v>
      </c>
      <c r="L435" s="839" t="s">
        <v>962</v>
      </c>
      <c r="M435" s="1315" t="s">
        <v>1398</v>
      </c>
      <c r="N435" s="840"/>
      <c r="O435" s="1300"/>
      <c r="P435" s="833"/>
      <c r="Q435" s="1300" t="s">
        <v>832</v>
      </c>
      <c r="R435" s="841">
        <f>$B$1</f>
        <v>45388</v>
      </c>
      <c r="S435" s="842"/>
      <c r="T435" s="842"/>
      <c r="U435" s="843"/>
      <c r="V435" s="843"/>
      <c r="W435" s="834" t="str">
        <f>IFERROR(IF(AND(BD_PRINCIPAL[[#This Row],[DESDE]]&lt;&gt;"",BD_PRINCIPAL[[#This Row],[HASTA]]&lt;&gt;""),_xlfn.DAYS(BD_PRINCIPAL[[#This Row],[HASTA]],BD_PRINCIPAL[[#This Row],[DESDE]]),"")+1,"")</f>
        <v/>
      </c>
      <c r="X435" s="834">
        <f>VLOOKUP(BD_PRINCIPAL[[#This Row],[ENCUADRE. ESC.]],ORDEN1,2,FALSE)</f>
        <v>1</v>
      </c>
      <c r="Y435" s="834">
        <f>VLOOKUP(BD_PRINCIPAL[[#This Row],[DOTACIÓN ACTUAL]],ORDEN2,4,FALSE)</f>
        <v>341</v>
      </c>
      <c r="Z435" s="834">
        <f>VLOOKUP(BD_PRINCIPAL[[#This Row],[GRADO]],ORDEN3,2,FALSE)</f>
        <v>10</v>
      </c>
      <c r="AA435" s="834">
        <f>IFERROR(VLOOKUP(BD_PRINCIPAL[[#This Row],[DOTACIÓN ACTUAL]],ORDEN2,3,FALSE),0)</f>
        <v>0</v>
      </c>
      <c r="AB435" s="833" t="s">
        <v>962</v>
      </c>
      <c r="AC435" s="833" t="s">
        <v>962</v>
      </c>
      <c r="AD435" s="833" t="s">
        <v>962</v>
      </c>
      <c r="AE435" s="833" t="s">
        <v>962</v>
      </c>
      <c r="AF435" s="833" t="s">
        <v>962</v>
      </c>
      <c r="AG435" s="833" t="s">
        <v>962</v>
      </c>
      <c r="AH435" s="833"/>
      <c r="AI435" s="833"/>
      <c r="AJ435" s="833"/>
      <c r="AK435" s="833"/>
      <c r="AL435" s="833"/>
      <c r="AM435" s="833"/>
      <c r="AN435" s="833"/>
      <c r="AO435" s="833"/>
      <c r="AP435" s="833"/>
      <c r="AQ435" s="833"/>
      <c r="AR435" s="833"/>
      <c r="AS435" s="833"/>
      <c r="AT435" s="844"/>
      <c r="AU435" s="844"/>
      <c r="AV435" s="844"/>
      <c r="AW435" s="844"/>
      <c r="AX435" s="844"/>
      <c r="AY435" s="844"/>
      <c r="AZ435" s="844"/>
      <c r="BA435" s="833"/>
      <c r="BB435" s="833"/>
      <c r="BC435" s="833"/>
      <c r="BD435" s="833"/>
      <c r="BE435" s="833"/>
      <c r="BF435" s="833"/>
      <c r="BG435" s="833"/>
      <c r="BH435" s="833"/>
      <c r="BI435" s="833"/>
      <c r="BJ435" s="833"/>
      <c r="BK435" s="833"/>
      <c r="BL435" s="833"/>
      <c r="BM435" s="840">
        <v>44711</v>
      </c>
      <c r="BN435" s="886"/>
    </row>
    <row r="436" spans="1:66" s="233" customFormat="1" ht="39.6" x14ac:dyDescent="0.3">
      <c r="A436" s="834" t="s">
        <v>334</v>
      </c>
      <c r="B436" s="833" t="s">
        <v>167</v>
      </c>
      <c r="C436" s="834">
        <v>172967825</v>
      </c>
      <c r="D436" s="940" t="s">
        <v>796</v>
      </c>
      <c r="E436" s="836" t="s">
        <v>1398</v>
      </c>
      <c r="F436" s="836" t="s">
        <v>167</v>
      </c>
      <c r="G436" s="837" t="s">
        <v>209</v>
      </c>
      <c r="H436" s="838" t="s">
        <v>816</v>
      </c>
      <c r="I436" s="838" t="s">
        <v>874</v>
      </c>
      <c r="J436" s="907" t="s">
        <v>917</v>
      </c>
      <c r="K436" s="1289" t="s">
        <v>2290</v>
      </c>
      <c r="L436" s="839" t="s">
        <v>962</v>
      </c>
      <c r="M436" s="1315" t="s">
        <v>1398</v>
      </c>
      <c r="N436" s="840"/>
      <c r="O436" s="1300"/>
      <c r="P436" s="833"/>
      <c r="Q436" s="1300" t="s">
        <v>832</v>
      </c>
      <c r="R436" s="841">
        <f>$B$1</f>
        <v>45388</v>
      </c>
      <c r="S436" s="845"/>
      <c r="T436" s="842"/>
      <c r="U436" s="843"/>
      <c r="V436" s="843"/>
      <c r="W436" s="834" t="str">
        <f>IFERROR(IF(AND(BD_PRINCIPAL[[#This Row],[DESDE]]&lt;&gt;"",BD_PRINCIPAL[[#This Row],[HASTA]]&lt;&gt;""),_xlfn.DAYS(BD_PRINCIPAL[[#This Row],[HASTA]],BD_PRINCIPAL[[#This Row],[DESDE]]),"")+1,"")</f>
        <v/>
      </c>
      <c r="X436" s="834">
        <f>VLOOKUP(BD_PRINCIPAL[[#This Row],[ENCUADRE. ESC.]],ORDEN1,2,FALSE)</f>
        <v>1</v>
      </c>
      <c r="Y436" s="834">
        <f>VLOOKUP(BD_PRINCIPAL[[#This Row],[DOTACIÓN ACTUAL]],ORDEN2,4,FALSE)</f>
        <v>341</v>
      </c>
      <c r="Z436" s="834">
        <f>VLOOKUP(BD_PRINCIPAL[[#This Row],[GRADO]],ORDEN3,2,FALSE)</f>
        <v>10</v>
      </c>
      <c r="AA436" s="834">
        <f>IFERROR(VLOOKUP(BD_PRINCIPAL[[#This Row],[DOTACIÓN ACTUAL]],ORDEN2,3,FALSE),0)</f>
        <v>0</v>
      </c>
      <c r="AB436" s="833" t="s">
        <v>962</v>
      </c>
      <c r="AC436" s="833" t="s">
        <v>962</v>
      </c>
      <c r="AD436" s="833" t="s">
        <v>962</v>
      </c>
      <c r="AE436" s="833" t="s">
        <v>962</v>
      </c>
      <c r="AF436" s="833" t="s">
        <v>962</v>
      </c>
      <c r="AG436" s="833" t="s">
        <v>962</v>
      </c>
      <c r="AH436" s="833"/>
      <c r="AI436" s="833"/>
      <c r="AJ436" s="833"/>
      <c r="AK436" s="833"/>
      <c r="AL436" s="833"/>
      <c r="AM436" s="833"/>
      <c r="AN436" s="833"/>
      <c r="AO436" s="833"/>
      <c r="AP436" s="833"/>
      <c r="AQ436" s="833"/>
      <c r="AR436" s="833"/>
      <c r="AS436" s="833"/>
      <c r="AT436" s="844"/>
      <c r="AU436" s="844"/>
      <c r="AV436" s="844"/>
      <c r="AW436" s="844"/>
      <c r="AX436" s="844"/>
      <c r="AY436" s="844"/>
      <c r="AZ436" s="844"/>
      <c r="BA436" s="833"/>
      <c r="BB436" s="833"/>
      <c r="BC436" s="833"/>
      <c r="BD436" s="833"/>
      <c r="BE436" s="833"/>
      <c r="BF436" s="833"/>
      <c r="BG436" s="833"/>
      <c r="BH436" s="833"/>
      <c r="BI436" s="833"/>
      <c r="BJ436" s="833"/>
      <c r="BK436" s="833"/>
      <c r="BL436" s="833"/>
      <c r="BM436" s="840">
        <v>45121</v>
      </c>
      <c r="BN436" s="886"/>
    </row>
    <row r="437" spans="1:66" s="233" customFormat="1" ht="26.4" x14ac:dyDescent="0.3">
      <c r="A437" s="834" t="s">
        <v>2451</v>
      </c>
      <c r="B437" s="939" t="s">
        <v>2453</v>
      </c>
      <c r="C437" s="834" t="s">
        <v>2452</v>
      </c>
      <c r="D437" s="940" t="s">
        <v>776</v>
      </c>
      <c r="E437" s="836" t="s">
        <v>1398</v>
      </c>
      <c r="F437" s="836" t="s">
        <v>2907</v>
      </c>
      <c r="G437" s="941" t="s">
        <v>209</v>
      </c>
      <c r="H437" s="838" t="s">
        <v>816</v>
      </c>
      <c r="I437" s="838" t="s">
        <v>874</v>
      </c>
      <c r="J437" s="907" t="s">
        <v>917</v>
      </c>
      <c r="K437" s="1289" t="s">
        <v>2908</v>
      </c>
      <c r="L437" s="839" t="s">
        <v>962</v>
      </c>
      <c r="M437" s="1315" t="s">
        <v>1398</v>
      </c>
      <c r="N437" s="942"/>
      <c r="O437" s="1300"/>
      <c r="P437" s="833"/>
      <c r="Q437" s="1300" t="s">
        <v>832</v>
      </c>
      <c r="R437" s="943" t="s">
        <v>2449</v>
      </c>
      <c r="S437" s="845"/>
      <c r="T437" s="842"/>
      <c r="U437" s="950"/>
      <c r="V437" s="950"/>
      <c r="W437" s="944" t="str">
        <f>IFERROR(IF(AND(BD_PRINCIPAL[[#This Row],[DESDE]]&lt;&gt;"",BD_PRINCIPAL[[#This Row],[HASTA]]&lt;&gt;""),_xlfn.DAYS(BD_PRINCIPAL[[#This Row],[HASTA]],BD_PRINCIPAL[[#This Row],[DESDE]]),"")+1,"")</f>
        <v/>
      </c>
      <c r="X437" s="944">
        <f>VLOOKUP(BD_PRINCIPAL[[#This Row],[ENCUADRE. ESC.]],ORDEN1,2,FALSE)</f>
        <v>1</v>
      </c>
      <c r="Y437" s="944">
        <f>VLOOKUP(BD_PRINCIPAL[[#This Row],[DOTACIÓN ACTUAL]],ORDEN2,4,FALSE)</f>
        <v>341</v>
      </c>
      <c r="Z437" s="944">
        <f>VLOOKUP(BD_PRINCIPAL[[#This Row],[GRADO]],ORDEN3,2,FALSE)</f>
        <v>10</v>
      </c>
      <c r="AA437" s="944">
        <f>IFERROR(VLOOKUP(BD_PRINCIPAL[[#This Row],[DOTACIÓN ACTUAL]],ORDEN2,3,FALSE),0)</f>
        <v>0</v>
      </c>
      <c r="AB437" s="833" t="s">
        <v>962</v>
      </c>
      <c r="AC437" s="833" t="s">
        <v>962</v>
      </c>
      <c r="AD437" s="833" t="s">
        <v>962</v>
      </c>
      <c r="AE437" s="833" t="s">
        <v>962</v>
      </c>
      <c r="AF437" s="833" t="s">
        <v>962</v>
      </c>
      <c r="AG437" s="833" t="s">
        <v>962</v>
      </c>
      <c r="AH437" s="844"/>
      <c r="AI437" s="844"/>
      <c r="AJ437" s="844"/>
      <c r="AK437" s="844"/>
      <c r="AL437" s="844"/>
      <c r="AM437" s="844"/>
      <c r="AN437" s="844"/>
      <c r="AO437" s="844"/>
      <c r="AP437" s="844"/>
      <c r="AQ437" s="844"/>
      <c r="AR437" s="844"/>
      <c r="AS437" s="844"/>
      <c r="AT437" s="844"/>
      <c r="AU437" s="844"/>
      <c r="AV437" s="844"/>
      <c r="AW437" s="844"/>
      <c r="AX437" s="844"/>
      <c r="AY437" s="844"/>
      <c r="AZ437" s="844"/>
      <c r="BA437" s="833"/>
      <c r="BB437" s="833"/>
      <c r="BC437" s="833"/>
      <c r="BD437" s="833"/>
      <c r="BE437" s="833"/>
      <c r="BF437" s="833"/>
      <c r="BG437" s="833"/>
      <c r="BH437" s="833"/>
      <c r="BI437" s="833"/>
      <c r="BJ437" s="833"/>
      <c r="BK437" s="833"/>
      <c r="BL437" s="833"/>
      <c r="BM437" s="840">
        <v>45168</v>
      </c>
      <c r="BN437" s="886"/>
    </row>
    <row r="438" spans="1:66" s="233" customFormat="1" x14ac:dyDescent="0.3">
      <c r="A438" s="834" t="s">
        <v>2323</v>
      </c>
      <c r="B438" s="939" t="s">
        <v>2416</v>
      </c>
      <c r="C438" s="834" t="s">
        <v>2324</v>
      </c>
      <c r="D438" s="836" t="s">
        <v>1398</v>
      </c>
      <c r="E438" s="836" t="s">
        <v>1398</v>
      </c>
      <c r="F438" s="836" t="s">
        <v>2325</v>
      </c>
      <c r="G438" s="941" t="s">
        <v>3</v>
      </c>
      <c r="H438" s="838" t="s">
        <v>816</v>
      </c>
      <c r="I438" s="838" t="s">
        <v>874</v>
      </c>
      <c r="J438" s="907" t="s">
        <v>917</v>
      </c>
      <c r="K438" s="1289" t="s">
        <v>2305</v>
      </c>
      <c r="L438" s="839" t="s">
        <v>962</v>
      </c>
      <c r="M438" s="1315" t="s">
        <v>1398</v>
      </c>
      <c r="N438" s="942"/>
      <c r="O438" s="1300"/>
      <c r="P438" s="833"/>
      <c r="Q438" s="1300" t="s">
        <v>832</v>
      </c>
      <c r="R438" s="943">
        <f>$B$1</f>
        <v>45388</v>
      </c>
      <c r="S438" s="845"/>
      <c r="T438" s="845" t="s">
        <v>2518</v>
      </c>
      <c r="U438" s="950"/>
      <c r="V438" s="950"/>
      <c r="W438" s="944" t="str">
        <f>IFERROR(IF(AND(BD_PRINCIPAL[[#This Row],[DESDE]]&lt;&gt;"",BD_PRINCIPAL[[#This Row],[HASTA]]&lt;&gt;""),_xlfn.DAYS(BD_PRINCIPAL[[#This Row],[HASTA]],BD_PRINCIPAL[[#This Row],[DESDE]]),"")+1,"")</f>
        <v/>
      </c>
      <c r="X438" s="944">
        <f>VLOOKUP(BD_PRINCIPAL[[#This Row],[ENCUADRE. ESC.]],ORDEN1,2,FALSE)</f>
        <v>1</v>
      </c>
      <c r="Y438" s="944">
        <f>VLOOKUP(BD_PRINCIPAL[[#This Row],[DOTACIÓN ACTUAL]],ORDEN2,4,FALSE)</f>
        <v>341</v>
      </c>
      <c r="Z438" s="944">
        <f>VLOOKUP(BD_PRINCIPAL[[#This Row],[GRADO]],ORDEN3,2,FALSE)</f>
        <v>11</v>
      </c>
      <c r="AA438" s="944">
        <f>IFERROR(VLOOKUP(BD_PRINCIPAL[[#This Row],[DOTACIÓN ACTUAL]],ORDEN2,3,FALSE),0)</f>
        <v>0</v>
      </c>
      <c r="AB438" s="833" t="s">
        <v>962</v>
      </c>
      <c r="AC438" s="833" t="s">
        <v>962</v>
      </c>
      <c r="AD438" s="833" t="s">
        <v>962</v>
      </c>
      <c r="AE438" s="833" t="s">
        <v>962</v>
      </c>
      <c r="AF438" s="833" t="s">
        <v>962</v>
      </c>
      <c r="AG438" s="833" t="s">
        <v>962</v>
      </c>
      <c r="AH438" s="833"/>
      <c r="AI438" s="833"/>
      <c r="AJ438" s="833"/>
      <c r="AK438" s="833"/>
      <c r="AL438" s="833"/>
      <c r="AM438" s="833"/>
      <c r="AN438" s="833"/>
      <c r="AO438" s="833"/>
      <c r="AP438" s="833"/>
      <c r="AQ438" s="833"/>
      <c r="AR438" s="833"/>
      <c r="AS438" s="833"/>
      <c r="AT438" s="844"/>
      <c r="AU438" s="844"/>
      <c r="AV438" s="844"/>
      <c r="AW438" s="844"/>
      <c r="AX438" s="844"/>
      <c r="AY438" s="844"/>
      <c r="AZ438" s="844"/>
      <c r="BA438" s="833"/>
      <c r="BB438" s="833"/>
      <c r="BC438" s="833"/>
      <c r="BD438" s="833"/>
      <c r="BE438" s="833"/>
      <c r="BF438" s="833"/>
      <c r="BG438" s="833"/>
      <c r="BH438" s="833"/>
      <c r="BI438" s="833"/>
      <c r="BJ438" s="833"/>
      <c r="BK438" s="833"/>
      <c r="BL438" s="833"/>
      <c r="BM438" s="840">
        <v>45167</v>
      </c>
      <c r="BN438" s="886"/>
    </row>
    <row r="439" spans="1:66" s="233" customFormat="1" x14ac:dyDescent="0.3">
      <c r="A439" s="834" t="s">
        <v>2671</v>
      </c>
      <c r="B439" s="939" t="s">
        <v>2673</v>
      </c>
      <c r="C439" s="834" t="s">
        <v>2672</v>
      </c>
      <c r="D439" s="940" t="s">
        <v>208</v>
      </c>
      <c r="E439" s="836" t="s">
        <v>1398</v>
      </c>
      <c r="F439" s="836" t="s">
        <v>2673</v>
      </c>
      <c r="G439" s="941" t="s">
        <v>3</v>
      </c>
      <c r="H439" s="838" t="s">
        <v>817</v>
      </c>
      <c r="I439" s="838" t="s">
        <v>874</v>
      </c>
      <c r="J439" s="907" t="s">
        <v>917</v>
      </c>
      <c r="K439" s="1289" t="s">
        <v>2290</v>
      </c>
      <c r="L439" s="839" t="s">
        <v>962</v>
      </c>
      <c r="M439" s="1315" t="s">
        <v>1398</v>
      </c>
      <c r="N439" s="942"/>
      <c r="O439" s="1300"/>
      <c r="P439" s="833"/>
      <c r="Q439" s="1300" t="s">
        <v>832</v>
      </c>
      <c r="R439" s="943" t="s">
        <v>2449</v>
      </c>
      <c r="S439" s="845"/>
      <c r="T439" s="842" t="s">
        <v>2757</v>
      </c>
      <c r="U439" s="950"/>
      <c r="V439" s="950"/>
      <c r="W439" s="944" t="str">
        <f>IFERROR(IF(AND(BD_PRINCIPAL[[#This Row],[DESDE]]&lt;&gt;"",BD_PRINCIPAL[[#This Row],[HASTA]]&lt;&gt;""),_xlfn.DAYS(BD_PRINCIPAL[[#This Row],[HASTA]],BD_PRINCIPAL[[#This Row],[DESDE]]),"")+1,"")</f>
        <v/>
      </c>
      <c r="X439" s="944">
        <f>VLOOKUP(BD_PRINCIPAL[[#This Row],[ENCUADRE. ESC.]],ORDEN1,2,FALSE)</f>
        <v>1</v>
      </c>
      <c r="Y439" s="944">
        <f>VLOOKUP(BD_PRINCIPAL[[#This Row],[DOTACIÓN ACTUAL]],ORDEN2,4,FALSE)</f>
        <v>341</v>
      </c>
      <c r="Z439" s="944">
        <f>VLOOKUP(BD_PRINCIPAL[[#This Row],[GRADO]],ORDEN3,2,FALSE)</f>
        <v>11</v>
      </c>
      <c r="AA439" s="944">
        <f>IFERROR(VLOOKUP(BD_PRINCIPAL[[#This Row],[DOTACIÓN ACTUAL]],ORDEN2,3,FALSE),0)</f>
        <v>0</v>
      </c>
      <c r="AB439" s="833" t="s">
        <v>962</v>
      </c>
      <c r="AC439" s="833" t="s">
        <v>962</v>
      </c>
      <c r="AD439" s="833" t="s">
        <v>962</v>
      </c>
      <c r="AE439" s="833" t="s">
        <v>962</v>
      </c>
      <c r="AF439" s="833" t="s">
        <v>962</v>
      </c>
      <c r="AG439" s="833" t="s">
        <v>962</v>
      </c>
      <c r="AH439" s="844"/>
      <c r="AI439" s="844"/>
      <c r="AJ439" s="844"/>
      <c r="AK439" s="844"/>
      <c r="AL439" s="844"/>
      <c r="AM439" s="844"/>
      <c r="AN439" s="844"/>
      <c r="AO439" s="844"/>
      <c r="AP439" s="844"/>
      <c r="AQ439" s="844"/>
      <c r="AR439" s="844"/>
      <c r="AS439" s="844"/>
      <c r="AT439" s="844"/>
      <c r="AU439" s="844"/>
      <c r="AV439" s="844"/>
      <c r="AW439" s="844"/>
      <c r="AX439" s="844"/>
      <c r="AY439" s="844"/>
      <c r="AZ439" s="844"/>
      <c r="BA439" s="833"/>
      <c r="BB439" s="833"/>
      <c r="BC439" s="833"/>
      <c r="BD439" s="833"/>
      <c r="BE439" s="833"/>
      <c r="BF439" s="833"/>
      <c r="BG439" s="833"/>
      <c r="BH439" s="833"/>
      <c r="BI439" s="833"/>
      <c r="BJ439" s="833"/>
      <c r="BK439" s="833"/>
      <c r="BL439" s="833"/>
      <c r="BM439" s="951"/>
      <c r="BN439" s="951"/>
    </row>
    <row r="440" spans="1:66" s="233" customFormat="1" x14ac:dyDescent="0.3">
      <c r="A440" s="834" t="s">
        <v>601</v>
      </c>
      <c r="B440" s="833" t="s">
        <v>1901</v>
      </c>
      <c r="C440" s="834">
        <v>185560910</v>
      </c>
      <c r="D440" s="935" t="s">
        <v>784</v>
      </c>
      <c r="E440" s="836" t="s">
        <v>1398</v>
      </c>
      <c r="F440" s="836" t="s">
        <v>1901</v>
      </c>
      <c r="G440" s="837" t="s">
        <v>3</v>
      </c>
      <c r="H440" s="838" t="s">
        <v>817</v>
      </c>
      <c r="I440" s="838" t="s">
        <v>874</v>
      </c>
      <c r="J440" s="907" t="s">
        <v>917</v>
      </c>
      <c r="K440" s="1289" t="s">
        <v>2290</v>
      </c>
      <c r="L440" s="839" t="s">
        <v>962</v>
      </c>
      <c r="M440" s="1315" t="s">
        <v>1398</v>
      </c>
      <c r="N440" s="840"/>
      <c r="O440" s="1300"/>
      <c r="P440" s="833"/>
      <c r="Q440" s="1300" t="s">
        <v>832</v>
      </c>
      <c r="R440" s="841">
        <f>$B$1</f>
        <v>45388</v>
      </c>
      <c r="S440" s="845"/>
      <c r="T440" s="842"/>
      <c r="U440" s="843"/>
      <c r="V440" s="843"/>
      <c r="W440" s="834" t="str">
        <f>IFERROR(IF(AND(BD_PRINCIPAL[[#This Row],[DESDE]]&lt;&gt;"",BD_PRINCIPAL[[#This Row],[HASTA]]&lt;&gt;""),_xlfn.DAYS(BD_PRINCIPAL[[#This Row],[HASTA]],BD_PRINCIPAL[[#This Row],[DESDE]]),"")+1,"")</f>
        <v/>
      </c>
      <c r="X440" s="834">
        <f>VLOOKUP(BD_PRINCIPAL[[#This Row],[ENCUADRE. ESC.]],ORDEN1,2,FALSE)</f>
        <v>1</v>
      </c>
      <c r="Y440" s="834">
        <f>VLOOKUP(BD_PRINCIPAL[[#This Row],[DOTACIÓN ACTUAL]],ORDEN2,4,FALSE)</f>
        <v>341</v>
      </c>
      <c r="Z440" s="834">
        <f>VLOOKUP(BD_PRINCIPAL[[#This Row],[GRADO]],ORDEN3,2,FALSE)</f>
        <v>11</v>
      </c>
      <c r="AA440" s="834">
        <f>IFERROR(VLOOKUP(BD_PRINCIPAL[[#This Row],[DOTACIÓN ACTUAL]],ORDEN2,3,FALSE),0)</f>
        <v>0</v>
      </c>
      <c r="AB440" s="833" t="s">
        <v>962</v>
      </c>
      <c r="AC440" s="833" t="s">
        <v>962</v>
      </c>
      <c r="AD440" s="833" t="s">
        <v>962</v>
      </c>
      <c r="AE440" s="833" t="s">
        <v>962</v>
      </c>
      <c r="AF440" s="833" t="s">
        <v>962</v>
      </c>
      <c r="AG440" s="833" t="s">
        <v>962</v>
      </c>
      <c r="AH440" s="833"/>
      <c r="AI440" s="833"/>
      <c r="AJ440" s="833"/>
      <c r="AK440" s="833"/>
      <c r="AL440" s="833"/>
      <c r="AM440" s="833"/>
      <c r="AN440" s="833"/>
      <c r="AO440" s="833"/>
      <c r="AP440" s="833"/>
      <c r="AQ440" s="833"/>
      <c r="AR440" s="833"/>
      <c r="AS440" s="833"/>
      <c r="AT440" s="844"/>
      <c r="AU440" s="844"/>
      <c r="AV440" s="844"/>
      <c r="AW440" s="844"/>
      <c r="AX440" s="844"/>
      <c r="AY440" s="844"/>
      <c r="AZ440" s="844"/>
      <c r="BA440" s="833"/>
      <c r="BB440" s="833"/>
      <c r="BC440" s="833"/>
      <c r="BD440" s="833"/>
      <c r="BE440" s="833"/>
      <c r="BF440" s="833"/>
      <c r="BG440" s="833"/>
      <c r="BH440" s="833"/>
      <c r="BI440" s="833"/>
      <c r="BJ440" s="833"/>
      <c r="BK440" s="833"/>
      <c r="BL440" s="833"/>
      <c r="BM440" s="840">
        <v>45065</v>
      </c>
      <c r="BN440" s="886"/>
    </row>
    <row r="441" spans="1:66" s="233" customFormat="1" x14ac:dyDescent="0.3">
      <c r="A441" s="834" t="s">
        <v>497</v>
      </c>
      <c r="B441" s="833" t="s">
        <v>1902</v>
      </c>
      <c r="C441" s="834">
        <v>186705009</v>
      </c>
      <c r="D441" s="935" t="s">
        <v>784</v>
      </c>
      <c r="E441" s="836" t="s">
        <v>1398</v>
      </c>
      <c r="F441" s="836" t="s">
        <v>1902</v>
      </c>
      <c r="G441" s="837" t="s">
        <v>3</v>
      </c>
      <c r="H441" s="838" t="s">
        <v>816</v>
      </c>
      <c r="I441" s="838" t="s">
        <v>874</v>
      </c>
      <c r="J441" s="907" t="s">
        <v>917</v>
      </c>
      <c r="K441" s="1289" t="s">
        <v>2290</v>
      </c>
      <c r="L441" s="839" t="s">
        <v>962</v>
      </c>
      <c r="M441" s="1315" t="s">
        <v>1398</v>
      </c>
      <c r="N441" s="840"/>
      <c r="O441" s="1300"/>
      <c r="P441" s="833"/>
      <c r="Q441" s="1300" t="s">
        <v>832</v>
      </c>
      <c r="R441" s="841">
        <f>$B$1</f>
        <v>45388</v>
      </c>
      <c r="S441" s="845"/>
      <c r="T441" s="842"/>
      <c r="U441" s="843"/>
      <c r="V441" s="843"/>
      <c r="W441" s="834" t="str">
        <f>IFERROR(IF(AND(BD_PRINCIPAL[[#This Row],[DESDE]]&lt;&gt;"",BD_PRINCIPAL[[#This Row],[HASTA]]&lt;&gt;""),_xlfn.DAYS(BD_PRINCIPAL[[#This Row],[HASTA]],BD_PRINCIPAL[[#This Row],[DESDE]]),"")+1,"")</f>
        <v/>
      </c>
      <c r="X441" s="834">
        <f>VLOOKUP(BD_PRINCIPAL[[#This Row],[ENCUADRE. ESC.]],ORDEN1,2,FALSE)</f>
        <v>1</v>
      </c>
      <c r="Y441" s="834">
        <f>VLOOKUP(BD_PRINCIPAL[[#This Row],[DOTACIÓN ACTUAL]],ORDEN2,4,FALSE)</f>
        <v>341</v>
      </c>
      <c r="Z441" s="834">
        <f>VLOOKUP(BD_PRINCIPAL[[#This Row],[GRADO]],ORDEN3,2,FALSE)</f>
        <v>11</v>
      </c>
      <c r="AA441" s="834">
        <f>IFERROR(VLOOKUP(BD_PRINCIPAL[[#This Row],[DOTACIÓN ACTUAL]],ORDEN2,3,FALSE),0)</f>
        <v>0</v>
      </c>
      <c r="AB441" s="833" t="s">
        <v>962</v>
      </c>
      <c r="AC441" s="833" t="s">
        <v>962</v>
      </c>
      <c r="AD441" s="833" t="s">
        <v>962</v>
      </c>
      <c r="AE441" s="833" t="s">
        <v>962</v>
      </c>
      <c r="AF441" s="833" t="s">
        <v>962</v>
      </c>
      <c r="AG441" s="833" t="s">
        <v>962</v>
      </c>
      <c r="AH441" s="833"/>
      <c r="AI441" s="833"/>
      <c r="AJ441" s="833"/>
      <c r="AK441" s="833"/>
      <c r="AL441" s="833"/>
      <c r="AM441" s="833"/>
      <c r="AN441" s="833"/>
      <c r="AO441" s="833"/>
      <c r="AP441" s="833"/>
      <c r="AQ441" s="833"/>
      <c r="AR441" s="833"/>
      <c r="AS441" s="833"/>
      <c r="AT441" s="844"/>
      <c r="AU441" s="844"/>
      <c r="AV441" s="844"/>
      <c r="AW441" s="844"/>
      <c r="AX441" s="844"/>
      <c r="AY441" s="844"/>
      <c r="AZ441" s="844"/>
      <c r="BA441" s="833"/>
      <c r="BB441" s="833"/>
      <c r="BC441" s="833"/>
      <c r="BD441" s="833"/>
      <c r="BE441" s="833"/>
      <c r="BF441" s="833"/>
      <c r="BG441" s="833"/>
      <c r="BH441" s="833"/>
      <c r="BI441" s="833"/>
      <c r="BJ441" s="833"/>
      <c r="BK441" s="833"/>
      <c r="BL441" s="833"/>
      <c r="BM441" s="840">
        <v>45377</v>
      </c>
      <c r="BN441" s="886"/>
    </row>
    <row r="442" spans="1:66" s="233" customFormat="1" x14ac:dyDescent="0.3">
      <c r="A442" s="834" t="s">
        <v>395</v>
      </c>
      <c r="B442" s="833" t="s">
        <v>92</v>
      </c>
      <c r="C442" s="834">
        <v>202528910</v>
      </c>
      <c r="D442" s="940" t="s">
        <v>901</v>
      </c>
      <c r="E442" s="905" t="s">
        <v>1398</v>
      </c>
      <c r="F442" s="836" t="s">
        <v>92</v>
      </c>
      <c r="G442" s="837" t="s">
        <v>4</v>
      </c>
      <c r="H442" s="838" t="s">
        <v>817</v>
      </c>
      <c r="I442" s="838" t="s">
        <v>874</v>
      </c>
      <c r="J442" s="907" t="s">
        <v>917</v>
      </c>
      <c r="K442" s="1289" t="s">
        <v>2290</v>
      </c>
      <c r="L442" s="839" t="s">
        <v>962</v>
      </c>
      <c r="M442" s="1315" t="s">
        <v>1398</v>
      </c>
      <c r="N442" s="840"/>
      <c r="O442" s="1300"/>
      <c r="P442" s="833"/>
      <c r="Q442" s="1300" t="s">
        <v>832</v>
      </c>
      <c r="R442" s="841">
        <f>$B$1</f>
        <v>45388</v>
      </c>
      <c r="S442" s="845"/>
      <c r="T442" s="842"/>
      <c r="U442" s="843"/>
      <c r="V442" s="843"/>
      <c r="W442" s="834" t="str">
        <f>IFERROR(IF(AND(BD_PRINCIPAL[[#This Row],[DESDE]]&lt;&gt;"",BD_PRINCIPAL[[#This Row],[HASTA]]&lt;&gt;""),_xlfn.DAYS(BD_PRINCIPAL[[#This Row],[HASTA]],BD_PRINCIPAL[[#This Row],[DESDE]]),"")+1,"")</f>
        <v/>
      </c>
      <c r="X442" s="834">
        <f>VLOOKUP(BD_PRINCIPAL[[#This Row],[ENCUADRE. ESC.]],ORDEN1,2,FALSE)</f>
        <v>1</v>
      </c>
      <c r="Y442" s="834">
        <f>VLOOKUP(BD_PRINCIPAL[[#This Row],[DOTACIÓN ACTUAL]],ORDEN2,4,FALSE)</f>
        <v>341</v>
      </c>
      <c r="Z442" s="834">
        <f>VLOOKUP(BD_PRINCIPAL[[#This Row],[GRADO]],ORDEN3,2,FALSE)</f>
        <v>12</v>
      </c>
      <c r="AA442" s="834">
        <f>IFERROR(VLOOKUP(BD_PRINCIPAL[[#This Row],[DOTACIÓN ACTUAL]],ORDEN2,3,FALSE),0)</f>
        <v>0</v>
      </c>
      <c r="AB442" s="833" t="s">
        <v>962</v>
      </c>
      <c r="AC442" s="833" t="s">
        <v>962</v>
      </c>
      <c r="AD442" s="833" t="s">
        <v>962</v>
      </c>
      <c r="AE442" s="833" t="s">
        <v>962</v>
      </c>
      <c r="AF442" s="833" t="s">
        <v>962</v>
      </c>
      <c r="AG442" s="833" t="s">
        <v>962</v>
      </c>
      <c r="AH442" s="833"/>
      <c r="AI442" s="833"/>
      <c r="AJ442" s="833"/>
      <c r="AK442" s="833"/>
      <c r="AL442" s="833"/>
      <c r="AM442" s="833"/>
      <c r="AN442" s="833"/>
      <c r="AO442" s="833"/>
      <c r="AP442" s="833"/>
      <c r="AQ442" s="833"/>
      <c r="AR442" s="833"/>
      <c r="AS442" s="833"/>
      <c r="AT442" s="844"/>
      <c r="AU442" s="844"/>
      <c r="AV442" s="844"/>
      <c r="AW442" s="844"/>
      <c r="AX442" s="844"/>
      <c r="AY442" s="844"/>
      <c r="AZ442" s="844"/>
      <c r="BA442" s="833"/>
      <c r="BB442" s="833"/>
      <c r="BC442" s="833"/>
      <c r="BD442" s="833"/>
      <c r="BE442" s="833"/>
      <c r="BF442" s="833"/>
      <c r="BG442" s="833"/>
      <c r="BH442" s="833"/>
      <c r="BI442" s="833"/>
      <c r="BJ442" s="833"/>
      <c r="BK442" s="833"/>
      <c r="BL442" s="833"/>
      <c r="BM442" s="840">
        <v>45096</v>
      </c>
      <c r="BN442" s="886"/>
    </row>
    <row r="443" spans="1:66" s="233" customFormat="1" ht="26.4" x14ac:dyDescent="0.3">
      <c r="A443" s="834" t="s">
        <v>2004</v>
      </c>
      <c r="B443" s="939" t="s">
        <v>2005</v>
      </c>
      <c r="C443" s="834">
        <v>190312763</v>
      </c>
      <c r="D443" s="940" t="s">
        <v>776</v>
      </c>
      <c r="E443" s="836" t="s">
        <v>1398</v>
      </c>
      <c r="F443" s="836" t="s">
        <v>3016</v>
      </c>
      <c r="G443" s="941" t="s">
        <v>4</v>
      </c>
      <c r="H443" s="838" t="s">
        <v>817</v>
      </c>
      <c r="I443" s="838" t="s">
        <v>874</v>
      </c>
      <c r="J443" s="907" t="s">
        <v>917</v>
      </c>
      <c r="K443" s="1289" t="s">
        <v>2908</v>
      </c>
      <c r="L443" s="839" t="s">
        <v>962</v>
      </c>
      <c r="M443" s="1315" t="s">
        <v>1398</v>
      </c>
      <c r="N443" s="942"/>
      <c r="O443" s="1300"/>
      <c r="P443" s="833"/>
      <c r="Q443" s="1300" t="s">
        <v>832</v>
      </c>
      <c r="R443" s="943">
        <f>$B$1</f>
        <v>45388</v>
      </c>
      <c r="S443" s="845"/>
      <c r="T443" s="845"/>
      <c r="U443" s="843"/>
      <c r="V443" s="843"/>
      <c r="W443" s="944" t="str">
        <f>IFERROR(IF(AND(BD_PRINCIPAL[[#This Row],[DESDE]]&lt;&gt;"",BD_PRINCIPAL[[#This Row],[HASTA]]&lt;&gt;""),_xlfn.DAYS(BD_PRINCIPAL[[#This Row],[HASTA]],BD_PRINCIPAL[[#This Row],[DESDE]]),"")+1,"")</f>
        <v/>
      </c>
      <c r="X443" s="944">
        <f>VLOOKUP(BD_PRINCIPAL[[#This Row],[ENCUADRE. ESC.]],ORDEN1,2,FALSE)</f>
        <v>1</v>
      </c>
      <c r="Y443" s="944">
        <f>VLOOKUP(BD_PRINCIPAL[[#This Row],[DOTACIÓN ACTUAL]],ORDEN2,4,FALSE)</f>
        <v>341</v>
      </c>
      <c r="Z443" s="944">
        <f>VLOOKUP(BD_PRINCIPAL[[#This Row],[GRADO]],ORDEN3,2,FALSE)</f>
        <v>12</v>
      </c>
      <c r="AA443" s="944">
        <f>IFERROR(VLOOKUP(BD_PRINCIPAL[[#This Row],[DOTACIÓN ACTUAL]],ORDEN2,3,FALSE),0)</f>
        <v>0</v>
      </c>
      <c r="AB443" s="833" t="s">
        <v>962</v>
      </c>
      <c r="AC443" s="833" t="s">
        <v>962</v>
      </c>
      <c r="AD443" s="833" t="s">
        <v>962</v>
      </c>
      <c r="AE443" s="833" t="s">
        <v>962</v>
      </c>
      <c r="AF443" s="833" t="s">
        <v>962</v>
      </c>
      <c r="AG443" s="833" t="s">
        <v>962</v>
      </c>
      <c r="AH443" s="833"/>
      <c r="AI443" s="833"/>
      <c r="AJ443" s="833"/>
      <c r="AK443" s="833"/>
      <c r="AL443" s="833"/>
      <c r="AM443" s="833"/>
      <c r="AN443" s="833"/>
      <c r="AO443" s="833"/>
      <c r="AP443" s="833"/>
      <c r="AQ443" s="833"/>
      <c r="AR443" s="833"/>
      <c r="AS443" s="833"/>
      <c r="AT443" s="844"/>
      <c r="AU443" s="844"/>
      <c r="AV443" s="844"/>
      <c r="AW443" s="844"/>
      <c r="AX443" s="844"/>
      <c r="AY443" s="844"/>
      <c r="AZ443" s="844"/>
      <c r="BA443" s="833"/>
      <c r="BB443" s="833"/>
      <c r="BC443" s="833"/>
      <c r="BD443" s="833"/>
      <c r="BE443" s="833"/>
      <c r="BF443" s="833"/>
      <c r="BG443" s="833"/>
      <c r="BH443" s="833"/>
      <c r="BI443" s="833"/>
      <c r="BJ443" s="833"/>
      <c r="BK443" s="833"/>
      <c r="BL443" s="833"/>
      <c r="BM443" s="840">
        <v>45065</v>
      </c>
      <c r="BN443" s="886"/>
    </row>
    <row r="444" spans="1:66" s="233" customFormat="1" ht="39.6" x14ac:dyDescent="0.3">
      <c r="A444" s="834" t="s">
        <v>578</v>
      </c>
      <c r="B444" s="833" t="s">
        <v>101</v>
      </c>
      <c r="C444" s="834">
        <v>189472307</v>
      </c>
      <c r="D444" s="936" t="s">
        <v>796</v>
      </c>
      <c r="E444" s="938" t="s">
        <v>1398</v>
      </c>
      <c r="F444" s="836" t="s">
        <v>101</v>
      </c>
      <c r="G444" s="837" t="s">
        <v>4</v>
      </c>
      <c r="H444" s="838" t="s">
        <v>816</v>
      </c>
      <c r="I444" s="838" t="s">
        <v>874</v>
      </c>
      <c r="J444" s="907" t="s">
        <v>917</v>
      </c>
      <c r="K444" s="1289" t="s">
        <v>2290</v>
      </c>
      <c r="L444" s="839" t="s">
        <v>962</v>
      </c>
      <c r="M444" s="1315" t="s">
        <v>1398</v>
      </c>
      <c r="N444" s="840"/>
      <c r="O444" s="1300"/>
      <c r="P444" s="833"/>
      <c r="Q444" s="1300" t="s">
        <v>832</v>
      </c>
      <c r="R444" s="841">
        <f>$B$1</f>
        <v>45388</v>
      </c>
      <c r="S444" s="845"/>
      <c r="T444" s="842" t="s">
        <v>1773</v>
      </c>
      <c r="U444" s="843"/>
      <c r="V444" s="843"/>
      <c r="W444" s="834" t="str">
        <f>IFERROR(IF(AND(BD_PRINCIPAL[[#This Row],[DESDE]]&lt;&gt;"",BD_PRINCIPAL[[#This Row],[HASTA]]&lt;&gt;""),_xlfn.DAYS(BD_PRINCIPAL[[#This Row],[HASTA]],BD_PRINCIPAL[[#This Row],[DESDE]]),"")+1,"")</f>
        <v/>
      </c>
      <c r="X444" s="834">
        <f>VLOOKUP(BD_PRINCIPAL[[#This Row],[ENCUADRE. ESC.]],ORDEN1,2,FALSE)</f>
        <v>1</v>
      </c>
      <c r="Y444" s="834">
        <f>VLOOKUP(BD_PRINCIPAL[[#This Row],[DOTACIÓN ACTUAL]],ORDEN2,4,FALSE)</f>
        <v>341</v>
      </c>
      <c r="Z444" s="834">
        <f>VLOOKUP(BD_PRINCIPAL[[#This Row],[GRADO]],ORDEN3,2,FALSE)</f>
        <v>12</v>
      </c>
      <c r="AA444" s="834">
        <f>IFERROR(VLOOKUP(BD_PRINCIPAL[[#This Row],[DOTACIÓN ACTUAL]],ORDEN2,3,FALSE),0)</f>
        <v>0</v>
      </c>
      <c r="AB444" s="833" t="s">
        <v>962</v>
      </c>
      <c r="AC444" s="833" t="s">
        <v>962</v>
      </c>
      <c r="AD444" s="833" t="s">
        <v>962</v>
      </c>
      <c r="AE444" s="833" t="s">
        <v>962</v>
      </c>
      <c r="AF444" s="833" t="s">
        <v>962</v>
      </c>
      <c r="AG444" s="833" t="s">
        <v>962</v>
      </c>
      <c r="AH444" s="833"/>
      <c r="AI444" s="833"/>
      <c r="AJ444" s="833"/>
      <c r="AK444" s="833"/>
      <c r="AL444" s="833"/>
      <c r="AM444" s="833"/>
      <c r="AN444" s="833"/>
      <c r="AO444" s="833"/>
      <c r="AP444" s="833"/>
      <c r="AQ444" s="833"/>
      <c r="AR444" s="833"/>
      <c r="AS444" s="833"/>
      <c r="AT444" s="844"/>
      <c r="AU444" s="844"/>
      <c r="AV444" s="844"/>
      <c r="AW444" s="844"/>
      <c r="AX444" s="844"/>
      <c r="AY444" s="844"/>
      <c r="AZ444" s="844"/>
      <c r="BA444" s="833"/>
      <c r="BB444" s="833"/>
      <c r="BC444" s="833"/>
      <c r="BD444" s="833"/>
      <c r="BE444" s="833"/>
      <c r="BF444" s="833"/>
      <c r="BG444" s="833"/>
      <c r="BH444" s="833"/>
      <c r="BI444" s="833"/>
      <c r="BJ444" s="833"/>
      <c r="BK444" s="833"/>
      <c r="BL444" s="833"/>
      <c r="BM444" s="840">
        <v>45127</v>
      </c>
      <c r="BN444" s="886"/>
    </row>
    <row r="445" spans="1:66" s="233" customFormat="1" x14ac:dyDescent="0.3">
      <c r="A445" s="834" t="s">
        <v>568</v>
      </c>
      <c r="B445" s="833" t="s">
        <v>155</v>
      </c>
      <c r="C445" s="834">
        <v>190130673</v>
      </c>
      <c r="D445" s="835" t="s">
        <v>1398</v>
      </c>
      <c r="E445" s="836" t="s">
        <v>1398</v>
      </c>
      <c r="F445" s="836" t="s">
        <v>155</v>
      </c>
      <c r="G445" s="837" t="s">
        <v>4</v>
      </c>
      <c r="H445" s="838" t="s">
        <v>816</v>
      </c>
      <c r="I445" s="838" t="s">
        <v>873</v>
      </c>
      <c r="J445" s="907" t="s">
        <v>917</v>
      </c>
      <c r="K445" s="1289" t="s">
        <v>2290</v>
      </c>
      <c r="L445" s="839" t="s">
        <v>962</v>
      </c>
      <c r="M445" s="1315" t="s">
        <v>1398</v>
      </c>
      <c r="N445" s="840"/>
      <c r="O445" s="1300"/>
      <c r="P445" s="833"/>
      <c r="Q445" s="1300" t="s">
        <v>832</v>
      </c>
      <c r="R445" s="841">
        <f>$B$1</f>
        <v>45388</v>
      </c>
      <c r="S445" s="842"/>
      <c r="T445" s="845" t="s">
        <v>2531</v>
      </c>
      <c r="U445" s="843"/>
      <c r="V445" s="843"/>
      <c r="W445" s="834" t="str">
        <f>IFERROR(IF(AND(BD_PRINCIPAL[[#This Row],[DESDE]]&lt;&gt;"",BD_PRINCIPAL[[#This Row],[HASTA]]&lt;&gt;""),_xlfn.DAYS(BD_PRINCIPAL[[#This Row],[HASTA]],BD_PRINCIPAL[[#This Row],[DESDE]]),"")+1,"")</f>
        <v/>
      </c>
      <c r="X445" s="834">
        <f>VLOOKUP(BD_PRINCIPAL[[#This Row],[ENCUADRE. ESC.]],ORDEN1,2,FALSE)</f>
        <v>1</v>
      </c>
      <c r="Y445" s="834">
        <f>VLOOKUP(BD_PRINCIPAL[[#This Row],[DOTACIÓN ACTUAL]],ORDEN2,4,FALSE)</f>
        <v>341</v>
      </c>
      <c r="Z445" s="834">
        <f>VLOOKUP(BD_PRINCIPAL[[#This Row],[GRADO]],ORDEN3,2,FALSE)</f>
        <v>12</v>
      </c>
      <c r="AA445" s="834">
        <f>IFERROR(VLOOKUP(BD_PRINCIPAL[[#This Row],[DOTACIÓN ACTUAL]],ORDEN2,3,FALSE),0)</f>
        <v>0</v>
      </c>
      <c r="AB445" s="833" t="s">
        <v>962</v>
      </c>
      <c r="AC445" s="833" t="s">
        <v>962</v>
      </c>
      <c r="AD445" s="833" t="s">
        <v>962</v>
      </c>
      <c r="AE445" s="833" t="s">
        <v>962</v>
      </c>
      <c r="AF445" s="833" t="s">
        <v>962</v>
      </c>
      <c r="AG445" s="833" t="s">
        <v>962</v>
      </c>
      <c r="AH445" s="833"/>
      <c r="AI445" s="833"/>
      <c r="AJ445" s="833"/>
      <c r="AK445" s="833"/>
      <c r="AL445" s="833"/>
      <c r="AM445" s="833"/>
      <c r="AN445" s="833"/>
      <c r="AO445" s="833"/>
      <c r="AP445" s="833"/>
      <c r="AQ445" s="833"/>
      <c r="AR445" s="833"/>
      <c r="AS445" s="833"/>
      <c r="AT445" s="844"/>
      <c r="AU445" s="844"/>
      <c r="AV445" s="844"/>
      <c r="AW445" s="844"/>
      <c r="AX445" s="844"/>
      <c r="AY445" s="844"/>
      <c r="AZ445" s="844"/>
      <c r="BA445" s="833"/>
      <c r="BB445" s="833"/>
      <c r="BC445" s="833"/>
      <c r="BD445" s="833"/>
      <c r="BE445" s="833"/>
      <c r="BF445" s="833"/>
      <c r="BG445" s="833"/>
      <c r="BH445" s="833"/>
      <c r="BI445" s="833"/>
      <c r="BJ445" s="833"/>
      <c r="BK445" s="833"/>
      <c r="BL445" s="833"/>
      <c r="BM445" s="840">
        <v>45054</v>
      </c>
      <c r="BN445" s="886"/>
    </row>
    <row r="446" spans="1:66" s="233" customFormat="1" ht="26.4" x14ac:dyDescent="0.3">
      <c r="A446" s="834" t="s">
        <v>676</v>
      </c>
      <c r="B446" s="833" t="s">
        <v>93</v>
      </c>
      <c r="C446" s="834">
        <v>198504173</v>
      </c>
      <c r="D446" s="936" t="s">
        <v>787</v>
      </c>
      <c r="E446" s="836" t="s">
        <v>1398</v>
      </c>
      <c r="F446" s="836" t="s">
        <v>93</v>
      </c>
      <c r="G446" s="837" t="s">
        <v>4</v>
      </c>
      <c r="H446" s="838" t="s">
        <v>817</v>
      </c>
      <c r="I446" s="838" t="s">
        <v>874</v>
      </c>
      <c r="J446" s="907" t="s">
        <v>917</v>
      </c>
      <c r="K446" s="1289" t="s">
        <v>2290</v>
      </c>
      <c r="L446" s="839" t="s">
        <v>962</v>
      </c>
      <c r="M446" s="1315" t="s">
        <v>1398</v>
      </c>
      <c r="N446" s="840"/>
      <c r="O446" s="1300"/>
      <c r="P446" s="833"/>
      <c r="Q446" s="1300" t="s">
        <v>832</v>
      </c>
      <c r="R446" s="841">
        <f>$B$1</f>
        <v>45388</v>
      </c>
      <c r="S446" s="842"/>
      <c r="T446" s="842"/>
      <c r="U446" s="843"/>
      <c r="V446" s="843"/>
      <c r="W446" s="834" t="str">
        <f>IFERROR(IF(AND(BD_PRINCIPAL[[#This Row],[DESDE]]&lt;&gt;"",BD_PRINCIPAL[[#This Row],[HASTA]]&lt;&gt;""),_xlfn.DAYS(BD_PRINCIPAL[[#This Row],[HASTA]],BD_PRINCIPAL[[#This Row],[DESDE]]),"")+1,"")</f>
        <v/>
      </c>
      <c r="X446" s="834">
        <f>VLOOKUP(BD_PRINCIPAL[[#This Row],[ENCUADRE. ESC.]],ORDEN1,2,FALSE)</f>
        <v>1</v>
      </c>
      <c r="Y446" s="834">
        <f>VLOOKUP(BD_PRINCIPAL[[#This Row],[DOTACIÓN ACTUAL]],ORDEN2,4,FALSE)</f>
        <v>341</v>
      </c>
      <c r="Z446" s="834">
        <f>VLOOKUP(BD_PRINCIPAL[[#This Row],[GRADO]],ORDEN3,2,FALSE)</f>
        <v>12</v>
      </c>
      <c r="AA446" s="834">
        <f>IFERROR(VLOOKUP(BD_PRINCIPAL[[#This Row],[DOTACIÓN ACTUAL]],ORDEN2,3,FALSE),0)</f>
        <v>0</v>
      </c>
      <c r="AB446" s="833" t="s">
        <v>962</v>
      </c>
      <c r="AC446" s="833" t="s">
        <v>962</v>
      </c>
      <c r="AD446" s="833" t="s">
        <v>962</v>
      </c>
      <c r="AE446" s="833" t="s">
        <v>962</v>
      </c>
      <c r="AF446" s="833" t="s">
        <v>962</v>
      </c>
      <c r="AG446" s="833" t="s">
        <v>962</v>
      </c>
      <c r="AH446" s="833"/>
      <c r="AI446" s="833"/>
      <c r="AJ446" s="833"/>
      <c r="AK446" s="833"/>
      <c r="AL446" s="833"/>
      <c r="AM446" s="833"/>
      <c r="AN446" s="833"/>
      <c r="AO446" s="833"/>
      <c r="AP446" s="833"/>
      <c r="AQ446" s="833"/>
      <c r="AR446" s="833"/>
      <c r="AS446" s="833"/>
      <c r="AT446" s="844"/>
      <c r="AU446" s="844"/>
      <c r="AV446" s="844"/>
      <c r="AW446" s="844"/>
      <c r="AX446" s="844"/>
      <c r="AY446" s="844"/>
      <c r="AZ446" s="844"/>
      <c r="BA446" s="833"/>
      <c r="BB446" s="833"/>
      <c r="BC446" s="833"/>
      <c r="BD446" s="833"/>
      <c r="BE446" s="833"/>
      <c r="BF446" s="833"/>
      <c r="BG446" s="833"/>
      <c r="BH446" s="833"/>
      <c r="BI446" s="833"/>
      <c r="BJ446" s="833"/>
      <c r="BK446" s="833"/>
      <c r="BL446" s="833"/>
      <c r="BM446" s="840">
        <v>45082</v>
      </c>
      <c r="BN446" s="886"/>
    </row>
    <row r="447" spans="1:66" s="233" customFormat="1" ht="26.4" x14ac:dyDescent="0.3">
      <c r="A447" s="834" t="s">
        <v>406</v>
      </c>
      <c r="B447" s="833" t="s">
        <v>180</v>
      </c>
      <c r="C447" s="834">
        <v>189250932</v>
      </c>
      <c r="D447" s="936" t="s">
        <v>787</v>
      </c>
      <c r="E447" s="836" t="s">
        <v>1398</v>
      </c>
      <c r="F447" s="836" t="s">
        <v>180</v>
      </c>
      <c r="G447" s="837" t="s">
        <v>4</v>
      </c>
      <c r="H447" s="838" t="s">
        <v>817</v>
      </c>
      <c r="I447" s="838" t="s">
        <v>874</v>
      </c>
      <c r="J447" s="907" t="s">
        <v>917</v>
      </c>
      <c r="K447" s="1289" t="s">
        <v>2290</v>
      </c>
      <c r="L447" s="839" t="s">
        <v>962</v>
      </c>
      <c r="M447" s="1315" t="s">
        <v>1398</v>
      </c>
      <c r="N447" s="840"/>
      <c r="O447" s="1300"/>
      <c r="P447" s="833"/>
      <c r="Q447" s="1300" t="s">
        <v>832</v>
      </c>
      <c r="R447" s="841">
        <f>$B$1</f>
        <v>45388</v>
      </c>
      <c r="S447" s="842"/>
      <c r="T447" s="842"/>
      <c r="U447" s="843"/>
      <c r="V447" s="843"/>
      <c r="W447" s="834" t="str">
        <f>IFERROR(IF(AND(BD_PRINCIPAL[[#This Row],[DESDE]]&lt;&gt;"",BD_PRINCIPAL[[#This Row],[HASTA]]&lt;&gt;""),_xlfn.DAYS(BD_PRINCIPAL[[#This Row],[HASTA]],BD_PRINCIPAL[[#This Row],[DESDE]]),"")+1,"")</f>
        <v/>
      </c>
      <c r="X447" s="834">
        <f>VLOOKUP(BD_PRINCIPAL[[#This Row],[ENCUADRE. ESC.]],ORDEN1,2,FALSE)</f>
        <v>1</v>
      </c>
      <c r="Y447" s="834">
        <f>VLOOKUP(BD_PRINCIPAL[[#This Row],[DOTACIÓN ACTUAL]],ORDEN2,4,FALSE)</f>
        <v>341</v>
      </c>
      <c r="Z447" s="834">
        <f>VLOOKUP(BD_PRINCIPAL[[#This Row],[GRADO]],ORDEN3,2,FALSE)</f>
        <v>12</v>
      </c>
      <c r="AA447" s="834">
        <f>IFERROR(VLOOKUP(BD_PRINCIPAL[[#This Row],[DOTACIÓN ACTUAL]],ORDEN2,3,FALSE),0)</f>
        <v>0</v>
      </c>
      <c r="AB447" s="833" t="s">
        <v>962</v>
      </c>
      <c r="AC447" s="833" t="s">
        <v>962</v>
      </c>
      <c r="AD447" s="833" t="s">
        <v>962</v>
      </c>
      <c r="AE447" s="833" t="s">
        <v>962</v>
      </c>
      <c r="AF447" s="833" t="s">
        <v>962</v>
      </c>
      <c r="AG447" s="833" t="s">
        <v>962</v>
      </c>
      <c r="AH447" s="833"/>
      <c r="AI447" s="833"/>
      <c r="AJ447" s="833"/>
      <c r="AK447" s="833"/>
      <c r="AL447" s="833"/>
      <c r="AM447" s="833"/>
      <c r="AN447" s="833"/>
      <c r="AO447" s="833"/>
      <c r="AP447" s="833"/>
      <c r="AQ447" s="833"/>
      <c r="AR447" s="833"/>
      <c r="AS447" s="833"/>
      <c r="AT447" s="844"/>
      <c r="AU447" s="844"/>
      <c r="AV447" s="844"/>
      <c r="AW447" s="844"/>
      <c r="AX447" s="844"/>
      <c r="AY447" s="844"/>
      <c r="AZ447" s="844"/>
      <c r="BA447" s="833"/>
      <c r="BB447" s="833"/>
      <c r="BC447" s="833"/>
      <c r="BD447" s="833"/>
      <c r="BE447" s="833"/>
      <c r="BF447" s="833"/>
      <c r="BG447" s="833"/>
      <c r="BH447" s="833"/>
      <c r="BI447" s="833"/>
      <c r="BJ447" s="833"/>
      <c r="BK447" s="833"/>
      <c r="BL447" s="833"/>
      <c r="BM447" s="840">
        <v>45058</v>
      </c>
      <c r="BN447" s="886"/>
    </row>
    <row r="448" spans="1:66" s="233" customFormat="1" x14ac:dyDescent="0.3">
      <c r="A448" s="834" t="s">
        <v>503</v>
      </c>
      <c r="B448" s="833" t="s">
        <v>106</v>
      </c>
      <c r="C448" s="834">
        <v>179846012</v>
      </c>
      <c r="D448" s="935" t="s">
        <v>784</v>
      </c>
      <c r="E448" s="836" t="s">
        <v>1398</v>
      </c>
      <c r="F448" s="836" t="s">
        <v>106</v>
      </c>
      <c r="G448" s="837" t="s">
        <v>4</v>
      </c>
      <c r="H448" s="838" t="s">
        <v>816</v>
      </c>
      <c r="I448" s="838" t="s">
        <v>874</v>
      </c>
      <c r="J448" s="907" t="s">
        <v>917</v>
      </c>
      <c r="K448" s="1289" t="s">
        <v>2290</v>
      </c>
      <c r="L448" s="839" t="s">
        <v>962</v>
      </c>
      <c r="M448" s="1315" t="s">
        <v>1398</v>
      </c>
      <c r="N448" s="840"/>
      <c r="O448" s="1300"/>
      <c r="P448" s="833"/>
      <c r="Q448" s="1300" t="s">
        <v>832</v>
      </c>
      <c r="R448" s="841">
        <f>$B$1</f>
        <v>45388</v>
      </c>
      <c r="S448" s="842"/>
      <c r="T448" s="842"/>
      <c r="U448" s="843"/>
      <c r="V448" s="843"/>
      <c r="W448" s="834" t="str">
        <f>IFERROR(IF(AND(BD_PRINCIPAL[[#This Row],[DESDE]]&lt;&gt;"",BD_PRINCIPAL[[#This Row],[HASTA]]&lt;&gt;""),_xlfn.DAYS(BD_PRINCIPAL[[#This Row],[HASTA]],BD_PRINCIPAL[[#This Row],[DESDE]]),"")+1,"")</f>
        <v/>
      </c>
      <c r="X448" s="834">
        <f>VLOOKUP(BD_PRINCIPAL[[#This Row],[ENCUADRE. ESC.]],ORDEN1,2,FALSE)</f>
        <v>1</v>
      </c>
      <c r="Y448" s="834">
        <f>VLOOKUP(BD_PRINCIPAL[[#This Row],[DOTACIÓN ACTUAL]],ORDEN2,4,FALSE)</f>
        <v>341</v>
      </c>
      <c r="Z448" s="834">
        <f>VLOOKUP(BD_PRINCIPAL[[#This Row],[GRADO]],ORDEN3,2,FALSE)</f>
        <v>12</v>
      </c>
      <c r="AA448" s="834">
        <f>IFERROR(VLOOKUP(BD_PRINCIPAL[[#This Row],[DOTACIÓN ACTUAL]],ORDEN2,3,FALSE),0)</f>
        <v>0</v>
      </c>
      <c r="AB448" s="833" t="s">
        <v>962</v>
      </c>
      <c r="AC448" s="833" t="s">
        <v>962</v>
      </c>
      <c r="AD448" s="833" t="s">
        <v>962</v>
      </c>
      <c r="AE448" s="833" t="s">
        <v>962</v>
      </c>
      <c r="AF448" s="833" t="s">
        <v>962</v>
      </c>
      <c r="AG448" s="833" t="s">
        <v>962</v>
      </c>
      <c r="AH448" s="833"/>
      <c r="AI448" s="833"/>
      <c r="AJ448" s="833"/>
      <c r="AK448" s="833"/>
      <c r="AL448" s="833"/>
      <c r="AM448" s="833"/>
      <c r="AN448" s="833"/>
      <c r="AO448" s="833"/>
      <c r="AP448" s="833"/>
      <c r="AQ448" s="833"/>
      <c r="AR448" s="833"/>
      <c r="AS448" s="833"/>
      <c r="AT448" s="844"/>
      <c r="AU448" s="844"/>
      <c r="AV448" s="844"/>
      <c r="AW448" s="844"/>
      <c r="AX448" s="844"/>
      <c r="AY448" s="844"/>
      <c r="AZ448" s="844"/>
      <c r="BA448" s="833"/>
      <c r="BB448" s="833"/>
      <c r="BC448" s="833"/>
      <c r="BD448" s="833"/>
      <c r="BE448" s="833"/>
      <c r="BF448" s="833"/>
      <c r="BG448" s="833"/>
      <c r="BH448" s="833"/>
      <c r="BI448" s="833"/>
      <c r="BJ448" s="833"/>
      <c r="BK448" s="833"/>
      <c r="BL448" s="833"/>
      <c r="BM448" s="840">
        <v>45086</v>
      </c>
      <c r="BN448" s="886"/>
    </row>
    <row r="449" spans="1:66" s="233" customFormat="1" x14ac:dyDescent="0.3">
      <c r="A449" s="834" t="s">
        <v>551</v>
      </c>
      <c r="B449" s="833" t="s">
        <v>51</v>
      </c>
      <c r="C449" s="834" t="s">
        <v>552</v>
      </c>
      <c r="D449" s="906" t="s">
        <v>902</v>
      </c>
      <c r="E449" s="905" t="s">
        <v>1398</v>
      </c>
      <c r="F449" s="836" t="s">
        <v>51</v>
      </c>
      <c r="G449" s="837" t="s">
        <v>4</v>
      </c>
      <c r="H449" s="838" t="s">
        <v>816</v>
      </c>
      <c r="I449" s="838" t="s">
        <v>874</v>
      </c>
      <c r="J449" s="907" t="s">
        <v>917</v>
      </c>
      <c r="K449" s="1289" t="s">
        <v>2290</v>
      </c>
      <c r="L449" s="839" t="s">
        <v>962</v>
      </c>
      <c r="M449" s="1315" t="s">
        <v>1398</v>
      </c>
      <c r="N449" s="840"/>
      <c r="O449" s="1300"/>
      <c r="P449" s="833"/>
      <c r="Q449" s="1300" t="s">
        <v>832</v>
      </c>
      <c r="R449" s="841">
        <f>$B$1</f>
        <v>45388</v>
      </c>
      <c r="S449" s="842"/>
      <c r="T449" s="842" t="s">
        <v>3090</v>
      </c>
      <c r="U449" s="843"/>
      <c r="V449" s="843"/>
      <c r="W449" s="834" t="str">
        <f>IFERROR(IF(AND(BD_PRINCIPAL[[#This Row],[DESDE]]&lt;&gt;"",BD_PRINCIPAL[[#This Row],[HASTA]]&lt;&gt;""),_xlfn.DAYS(BD_PRINCIPAL[[#This Row],[HASTA]],BD_PRINCIPAL[[#This Row],[DESDE]]),"")+1,"")</f>
        <v/>
      </c>
      <c r="X449" s="834">
        <f>VLOOKUP(BD_PRINCIPAL[[#This Row],[ENCUADRE. ESC.]],ORDEN1,2,FALSE)</f>
        <v>1</v>
      </c>
      <c r="Y449" s="834">
        <f>VLOOKUP(BD_PRINCIPAL[[#This Row],[DOTACIÓN ACTUAL]],ORDEN2,4,FALSE)</f>
        <v>341</v>
      </c>
      <c r="Z449" s="834">
        <f>VLOOKUP(BD_PRINCIPAL[[#This Row],[GRADO]],ORDEN3,2,FALSE)</f>
        <v>12</v>
      </c>
      <c r="AA449" s="834">
        <f>IFERROR(VLOOKUP(BD_PRINCIPAL[[#This Row],[DOTACIÓN ACTUAL]],ORDEN2,3,FALSE),0)</f>
        <v>0</v>
      </c>
      <c r="AB449" s="833" t="s">
        <v>962</v>
      </c>
      <c r="AC449" s="833" t="s">
        <v>962</v>
      </c>
      <c r="AD449" s="833" t="s">
        <v>962</v>
      </c>
      <c r="AE449" s="833" t="s">
        <v>962</v>
      </c>
      <c r="AF449" s="833" t="s">
        <v>962</v>
      </c>
      <c r="AG449" s="833" t="s">
        <v>962</v>
      </c>
      <c r="AH449" s="833"/>
      <c r="AI449" s="833"/>
      <c r="AJ449" s="833"/>
      <c r="AK449" s="833"/>
      <c r="AL449" s="833"/>
      <c r="AM449" s="833"/>
      <c r="AN449" s="833"/>
      <c r="AO449" s="833"/>
      <c r="AP449" s="833"/>
      <c r="AQ449" s="833"/>
      <c r="AR449" s="833"/>
      <c r="AS449" s="833"/>
      <c r="AT449" s="844"/>
      <c r="AU449" s="844"/>
      <c r="AV449" s="844"/>
      <c r="AW449" s="844"/>
      <c r="AX449" s="844"/>
      <c r="AY449" s="844"/>
      <c r="AZ449" s="844"/>
      <c r="BA449" s="833"/>
      <c r="BB449" s="833"/>
      <c r="BC449" s="833"/>
      <c r="BD449" s="833"/>
      <c r="BE449" s="833"/>
      <c r="BF449" s="833"/>
      <c r="BG449" s="833"/>
      <c r="BH449" s="833"/>
      <c r="BI449" s="833"/>
      <c r="BJ449" s="833"/>
      <c r="BK449" s="833"/>
      <c r="BL449" s="833"/>
      <c r="BM449" s="840">
        <v>45084</v>
      </c>
      <c r="BN449" s="886"/>
    </row>
    <row r="450" spans="1:66" s="233" customFormat="1" x14ac:dyDescent="0.3">
      <c r="A450" s="834" t="s">
        <v>270</v>
      </c>
      <c r="B450" s="833" t="s">
        <v>207</v>
      </c>
      <c r="C450" s="834">
        <v>137577151</v>
      </c>
      <c r="D450" s="340" t="s">
        <v>784</v>
      </c>
      <c r="E450" s="836" t="s">
        <v>1398</v>
      </c>
      <c r="F450" s="836" t="s">
        <v>207</v>
      </c>
      <c r="G450" s="903" t="s">
        <v>209</v>
      </c>
      <c r="H450" s="838" t="s">
        <v>816</v>
      </c>
      <c r="I450" s="838" t="s">
        <v>874</v>
      </c>
      <c r="J450" s="904" t="s">
        <v>836</v>
      </c>
      <c r="K450" s="1292" t="s">
        <v>2290</v>
      </c>
      <c r="L450" s="839" t="s">
        <v>962</v>
      </c>
      <c r="M450" s="1315" t="s">
        <v>1398</v>
      </c>
      <c r="N450" s="840"/>
      <c r="O450" s="1300"/>
      <c r="P450" s="833"/>
      <c r="Q450" s="1300" t="s">
        <v>836</v>
      </c>
      <c r="R450" s="841">
        <f>$B$1</f>
        <v>45388</v>
      </c>
      <c r="S450" s="842"/>
      <c r="T450" s="842"/>
      <c r="U450" s="843"/>
      <c r="V450" s="843"/>
      <c r="W450" s="834" t="str">
        <f>IFERROR(IF(AND(BD_PRINCIPAL[[#This Row],[DESDE]]&lt;&gt;"",BD_PRINCIPAL[[#This Row],[HASTA]]&lt;&gt;""),_xlfn.DAYS(BD_PRINCIPAL[[#This Row],[HASTA]],BD_PRINCIPAL[[#This Row],[DESDE]]),"")+1,"")</f>
        <v/>
      </c>
      <c r="X450" s="834">
        <f>VLOOKUP(BD_PRINCIPAL[[#This Row],[ENCUADRE. ESC.]],ORDEN1,2,FALSE)</f>
        <v>3</v>
      </c>
      <c r="Y450" s="834">
        <f>VLOOKUP(BD_PRINCIPAL[[#This Row],[DOTACIÓN ACTUAL]],ORDEN2,4,FALSE)</f>
        <v>341</v>
      </c>
      <c r="Z450" s="834">
        <f>VLOOKUP(BD_PRINCIPAL[[#This Row],[GRADO]],ORDEN3,2,FALSE)</f>
        <v>10</v>
      </c>
      <c r="AA450" s="834">
        <f>IFERROR(VLOOKUP(BD_PRINCIPAL[[#This Row],[DOTACIÓN ACTUAL]],ORDEN2,3,FALSE),0)</f>
        <v>0</v>
      </c>
      <c r="AB450" s="833" t="s">
        <v>962</v>
      </c>
      <c r="AC450" s="833" t="s">
        <v>962</v>
      </c>
      <c r="AD450" s="833" t="s">
        <v>962</v>
      </c>
      <c r="AE450" s="833" t="s">
        <v>962</v>
      </c>
      <c r="AF450" s="833" t="s">
        <v>962</v>
      </c>
      <c r="AG450" s="833" t="s">
        <v>962</v>
      </c>
      <c r="AH450" s="833"/>
      <c r="AI450" s="833"/>
      <c r="AJ450" s="833"/>
      <c r="AK450" s="833"/>
      <c r="AL450" s="833"/>
      <c r="AM450" s="833"/>
      <c r="AN450" s="833"/>
      <c r="AO450" s="833"/>
      <c r="AP450" s="833"/>
      <c r="AQ450" s="833"/>
      <c r="AR450" s="833"/>
      <c r="AS450" s="833"/>
      <c r="AT450" s="844"/>
      <c r="AU450" s="844"/>
      <c r="AV450" s="844"/>
      <c r="AW450" s="844"/>
      <c r="AX450" s="844"/>
      <c r="AY450" s="844"/>
      <c r="AZ450" s="844"/>
      <c r="BA450" s="833"/>
      <c r="BB450" s="833"/>
      <c r="BC450" s="833"/>
      <c r="BD450" s="833"/>
      <c r="BE450" s="833"/>
      <c r="BF450" s="833"/>
      <c r="BG450" s="833"/>
      <c r="BH450" s="833"/>
      <c r="BI450" s="833"/>
      <c r="BJ450" s="833"/>
      <c r="BK450" s="833"/>
      <c r="BL450" s="833"/>
      <c r="BM450" s="840">
        <v>45072</v>
      </c>
      <c r="BN450" s="886"/>
    </row>
    <row r="451" spans="1:66" s="221" customFormat="1" x14ac:dyDescent="0.3">
      <c r="A451" s="821" t="s">
        <v>1536</v>
      </c>
      <c r="B451" s="822" t="s">
        <v>76</v>
      </c>
      <c r="C451" s="821" t="s">
        <v>1537</v>
      </c>
      <c r="D451" s="863" t="s">
        <v>77</v>
      </c>
      <c r="E451" s="823" t="s">
        <v>77</v>
      </c>
      <c r="F451" s="823" t="s">
        <v>2128</v>
      </c>
      <c r="G451" s="824" t="s">
        <v>11</v>
      </c>
      <c r="H451" s="825" t="s">
        <v>816</v>
      </c>
      <c r="I451" s="825" t="s">
        <v>872</v>
      </c>
      <c r="J451" s="825" t="s">
        <v>834</v>
      </c>
      <c r="K451" s="1288" t="s">
        <v>2290</v>
      </c>
      <c r="L451" s="826" t="s">
        <v>1075</v>
      </c>
      <c r="M451" s="1314" t="s">
        <v>77</v>
      </c>
      <c r="N451" s="827"/>
      <c r="O451" s="1299"/>
      <c r="P451" s="822"/>
      <c r="Q451" s="1299" t="s">
        <v>834</v>
      </c>
      <c r="R451" s="828">
        <f>$B$1</f>
        <v>45388</v>
      </c>
      <c r="S451" s="829"/>
      <c r="T451" s="829"/>
      <c r="U451" s="830"/>
      <c r="V451" s="830"/>
      <c r="W451" s="821" t="str">
        <f>IFERROR(IF(AND(BD_PRINCIPAL[[#This Row],[DESDE]]&lt;&gt;"",BD_PRINCIPAL[[#This Row],[HASTA]]&lt;&gt;""),_xlfn.DAYS(BD_PRINCIPAL[[#This Row],[HASTA]],BD_PRINCIPAL[[#This Row],[DESDE]]),"")+1,"")</f>
        <v/>
      </c>
      <c r="X451" s="821">
        <f>VLOOKUP(BD_PRINCIPAL[[#This Row],[ENCUADRE. ESC.]],ORDEN1,2,FALSE)</f>
        <v>4</v>
      </c>
      <c r="Y451" s="821">
        <f>VLOOKUP(BD_PRINCIPAL[[#This Row],[DOTACIÓN ACTUAL]],ORDEN2,4,FALSE)</f>
        <v>295</v>
      </c>
      <c r="Z451" s="821">
        <f>VLOOKUP(BD_PRINCIPAL[[#This Row],[GRADO]],ORDEN3,2,FALSE)</f>
        <v>7</v>
      </c>
      <c r="AA451" s="821">
        <f>IFERROR(VLOOKUP(BD_PRINCIPAL[[#This Row],[DOTACIÓN ACTUAL]],ORDEN2,3,FALSE),0)</f>
        <v>0</v>
      </c>
      <c r="AB451" s="822" t="s">
        <v>1075</v>
      </c>
      <c r="AC451" s="822" t="s">
        <v>1075</v>
      </c>
      <c r="AD451" s="822" t="s">
        <v>1075</v>
      </c>
      <c r="AE451" s="822" t="s">
        <v>1075</v>
      </c>
      <c r="AF451" s="822" t="s">
        <v>1075</v>
      </c>
      <c r="AG451" s="822" t="s">
        <v>1075</v>
      </c>
      <c r="AH451" s="822"/>
      <c r="AI451" s="822"/>
      <c r="AJ451" s="822"/>
      <c r="AK451" s="822"/>
      <c r="AL451" s="822"/>
      <c r="AM451" s="822"/>
      <c r="AN451" s="822"/>
      <c r="AO451" s="822"/>
      <c r="AP451" s="822"/>
      <c r="AQ451" s="822"/>
      <c r="AR451" s="822"/>
      <c r="AS451" s="822"/>
      <c r="AT451" s="831"/>
      <c r="AU451" s="831"/>
      <c r="AV451" s="831"/>
      <c r="AW451" s="831"/>
      <c r="AX451" s="831"/>
      <c r="AY451" s="831"/>
      <c r="AZ451" s="831"/>
      <c r="BA451" s="822"/>
      <c r="BB451" s="822"/>
      <c r="BC451" s="822"/>
      <c r="BD451" s="822"/>
      <c r="BE451" s="822"/>
      <c r="BF451" s="822"/>
      <c r="BG451" s="822"/>
      <c r="BH451" s="822"/>
      <c r="BI451" s="822"/>
      <c r="BJ451" s="822"/>
      <c r="BK451" s="822"/>
      <c r="BL451" s="822"/>
      <c r="BM451" s="827" t="s">
        <v>2399</v>
      </c>
      <c r="BN451" s="900"/>
    </row>
    <row r="452" spans="1:66" s="221" customFormat="1" ht="39.6" x14ac:dyDescent="0.3">
      <c r="A452" s="821" t="s">
        <v>2477</v>
      </c>
      <c r="B452" s="878" t="s">
        <v>2476</v>
      </c>
      <c r="C452" s="821">
        <v>127764670</v>
      </c>
      <c r="D452" s="863" t="s">
        <v>1080</v>
      </c>
      <c r="E452" s="823" t="s">
        <v>809</v>
      </c>
      <c r="F452" s="823" t="s">
        <v>2479</v>
      </c>
      <c r="G452" s="879" t="s">
        <v>3</v>
      </c>
      <c r="H452" s="825" t="s">
        <v>816</v>
      </c>
      <c r="I452" s="825" t="s">
        <v>872</v>
      </c>
      <c r="J452" s="880" t="s">
        <v>834</v>
      </c>
      <c r="K452" s="1288" t="s">
        <v>2290</v>
      </c>
      <c r="L452" s="826" t="s">
        <v>909</v>
      </c>
      <c r="M452" s="1314" t="s">
        <v>809</v>
      </c>
      <c r="N452" s="881"/>
      <c r="O452" s="1299"/>
      <c r="P452" s="822"/>
      <c r="Q452" s="1299" t="s">
        <v>834</v>
      </c>
      <c r="R452" s="882">
        <v>27604</v>
      </c>
      <c r="S452" s="829"/>
      <c r="T452" s="829"/>
      <c r="U452" s="897">
        <v>45385</v>
      </c>
      <c r="V452" s="897"/>
      <c r="W452" s="883" t="str">
        <f>IFERROR(IF(AND(BD_PRINCIPAL[[#This Row],[DESDE]]&lt;&gt;"",BD_PRINCIPAL[[#This Row],[HASTA]]&lt;&gt;""),_xlfn.DAYS(BD_PRINCIPAL[[#This Row],[HASTA]],BD_PRINCIPAL[[#This Row],[DESDE]]),"")+1,"")</f>
        <v/>
      </c>
      <c r="X452" s="883">
        <f>VLOOKUP(BD_PRINCIPAL[[#This Row],[ENCUADRE. ESC.]],ORDEN1,2,FALSE)</f>
        <v>4</v>
      </c>
      <c r="Y452" s="883">
        <f>VLOOKUP(BD_PRINCIPAL[[#This Row],[DOTACIÓN ACTUAL]],ORDEN2,4,FALSE)</f>
        <v>300</v>
      </c>
      <c r="Z452" s="883">
        <f>VLOOKUP(BD_PRINCIPAL[[#This Row],[GRADO]],ORDEN3,2,FALSE)</f>
        <v>11</v>
      </c>
      <c r="AA452" s="883">
        <f>IFERROR(VLOOKUP(BD_PRINCIPAL[[#This Row],[DOTACIÓN ACTUAL]],ORDEN2,3,FALSE),0)</f>
        <v>0</v>
      </c>
      <c r="AB452" s="822" t="s">
        <v>1075</v>
      </c>
      <c r="AC452" s="822" t="s">
        <v>1075</v>
      </c>
      <c r="AD452" s="822" t="s">
        <v>909</v>
      </c>
      <c r="AE452" s="822" t="s">
        <v>909</v>
      </c>
      <c r="AF452" s="822" t="s">
        <v>909</v>
      </c>
      <c r="AG452" s="822" t="s">
        <v>909</v>
      </c>
      <c r="AH452" s="831"/>
      <c r="AI452" s="831"/>
      <c r="AJ452" s="831"/>
      <c r="AK452" s="831"/>
      <c r="AL452" s="831"/>
      <c r="AM452" s="831"/>
      <c r="AN452" s="831"/>
      <c r="AO452" s="831"/>
      <c r="AP452" s="831"/>
      <c r="AQ452" s="831"/>
      <c r="AR452" s="831"/>
      <c r="AS452" s="831"/>
      <c r="AT452" s="831"/>
      <c r="AU452" s="831"/>
      <c r="AV452" s="831"/>
      <c r="AW452" s="831"/>
      <c r="AX452" s="831"/>
      <c r="AY452" s="831"/>
      <c r="AZ452" s="831"/>
      <c r="BA452" s="822"/>
      <c r="BB452" s="822"/>
      <c r="BC452" s="822"/>
      <c r="BD452" s="822"/>
      <c r="BE452" s="822"/>
      <c r="BF452" s="822"/>
      <c r="BG452" s="822"/>
      <c r="BH452" s="822"/>
      <c r="BI452" s="822"/>
      <c r="BJ452" s="822"/>
      <c r="BK452" s="822"/>
      <c r="BL452" s="822"/>
      <c r="BM452" s="827" t="s">
        <v>2399</v>
      </c>
      <c r="BN452" s="900"/>
    </row>
    <row r="453" spans="1:66" s="189" customFormat="1" x14ac:dyDescent="0.3">
      <c r="A453" s="850" t="s">
        <v>1538</v>
      </c>
      <c r="B453" s="851" t="s">
        <v>181</v>
      </c>
      <c r="C453" s="850">
        <v>94929563</v>
      </c>
      <c r="D453" s="852" t="s">
        <v>77</v>
      </c>
      <c r="E453" s="853" t="s">
        <v>1079</v>
      </c>
      <c r="F453" s="853" t="s">
        <v>181</v>
      </c>
      <c r="G453" s="854" t="s">
        <v>11</v>
      </c>
      <c r="H453" s="855" t="s">
        <v>816</v>
      </c>
      <c r="I453" s="855" t="s">
        <v>872</v>
      </c>
      <c r="J453" s="855" t="s">
        <v>834</v>
      </c>
      <c r="K453" s="1291" t="s">
        <v>2290</v>
      </c>
      <c r="L453" s="856" t="s">
        <v>1083</v>
      </c>
      <c r="M453" s="1317" t="s">
        <v>1079</v>
      </c>
      <c r="N453" s="857"/>
      <c r="O453" s="1302"/>
      <c r="P453" s="851"/>
      <c r="Q453" s="1302" t="s">
        <v>834</v>
      </c>
      <c r="R453" s="858">
        <f>$B$1</f>
        <v>45388</v>
      </c>
      <c r="S453" s="859"/>
      <c r="T453" s="859" t="s">
        <v>2873</v>
      </c>
      <c r="U453" s="860">
        <v>45338</v>
      </c>
      <c r="V453" s="860">
        <v>45458</v>
      </c>
      <c r="W453" s="850">
        <f>IFERROR(IF(AND(BD_PRINCIPAL[[#This Row],[DESDE]]&lt;&gt;"",BD_PRINCIPAL[[#This Row],[HASTA]]&lt;&gt;""),_xlfn.DAYS(BD_PRINCIPAL[[#This Row],[HASTA]],BD_PRINCIPAL[[#This Row],[DESDE]]),"")+1,"")</f>
        <v>121</v>
      </c>
      <c r="X453" s="850">
        <f>VLOOKUP(BD_PRINCIPAL[[#This Row],[ENCUADRE. ESC.]],ORDEN1,2,FALSE)</f>
        <v>4</v>
      </c>
      <c r="Y453" s="850">
        <f>VLOOKUP(BD_PRINCIPAL[[#This Row],[DOTACIÓN ACTUAL]],ORDEN2,4,FALSE)</f>
        <v>339</v>
      </c>
      <c r="Z453" s="850">
        <f>VLOOKUP(BD_PRINCIPAL[[#This Row],[GRADO]],ORDEN3,2,FALSE)</f>
        <v>7</v>
      </c>
      <c r="AA453" s="850">
        <f>IFERROR(VLOOKUP(BD_PRINCIPAL[[#This Row],[DOTACIÓN ACTUAL]],ORDEN2,3,FALSE),0)</f>
        <v>0</v>
      </c>
      <c r="AB453" s="851" t="s">
        <v>1083</v>
      </c>
      <c r="AC453" s="851" t="s">
        <v>1083</v>
      </c>
      <c r="AD453" s="851" t="s">
        <v>1083</v>
      </c>
      <c r="AE453" s="851" t="s">
        <v>1083</v>
      </c>
      <c r="AF453" s="851" t="s">
        <v>1083</v>
      </c>
      <c r="AG453" s="851" t="s">
        <v>1083</v>
      </c>
      <c r="AH453" s="851"/>
      <c r="AI453" s="851"/>
      <c r="AJ453" s="851"/>
      <c r="AK453" s="851"/>
      <c r="AL453" s="851"/>
      <c r="AM453" s="851"/>
      <c r="AN453" s="851"/>
      <c r="AO453" s="851"/>
      <c r="AP453" s="851"/>
      <c r="AQ453" s="851"/>
      <c r="AR453" s="851"/>
      <c r="AS453" s="851"/>
      <c r="AT453" s="861"/>
      <c r="AU453" s="861"/>
      <c r="AV453" s="861"/>
      <c r="AW453" s="861"/>
      <c r="AX453" s="861"/>
      <c r="AY453" s="861"/>
      <c r="AZ453" s="861"/>
      <c r="BA453" s="851"/>
      <c r="BB453" s="851"/>
      <c r="BC453" s="851"/>
      <c r="BD453" s="851"/>
      <c r="BE453" s="851"/>
      <c r="BF453" s="851"/>
      <c r="BG453" s="851"/>
      <c r="BH453" s="851"/>
      <c r="BI453" s="851"/>
      <c r="BJ453" s="851"/>
      <c r="BK453" s="851"/>
      <c r="BL453" s="851"/>
      <c r="BM453" s="857" t="s">
        <v>2399</v>
      </c>
      <c r="BN453" s="888"/>
    </row>
    <row r="454" spans="1:66" s="233" customFormat="1" x14ac:dyDescent="0.3">
      <c r="A454" s="834" t="s">
        <v>599</v>
      </c>
      <c r="B454" s="833" t="s">
        <v>1903</v>
      </c>
      <c r="C454" s="834">
        <v>195831769</v>
      </c>
      <c r="D454" s="835" t="s">
        <v>1990</v>
      </c>
      <c r="E454" s="836" t="s">
        <v>1398</v>
      </c>
      <c r="F454" s="836" t="s">
        <v>1903</v>
      </c>
      <c r="G454" s="837" t="s">
        <v>14</v>
      </c>
      <c r="H454" s="838" t="s">
        <v>816</v>
      </c>
      <c r="I454" s="838" t="s">
        <v>874</v>
      </c>
      <c r="J454" s="838" t="s">
        <v>834</v>
      </c>
      <c r="K454" s="1289" t="s">
        <v>2290</v>
      </c>
      <c r="L454" s="839" t="s">
        <v>962</v>
      </c>
      <c r="M454" s="1315" t="s">
        <v>1398</v>
      </c>
      <c r="N454" s="840"/>
      <c r="O454" s="1300"/>
      <c r="P454" s="833"/>
      <c r="Q454" s="1300" t="s">
        <v>834</v>
      </c>
      <c r="R454" s="841">
        <f>$B$1</f>
        <v>45388</v>
      </c>
      <c r="S454" s="842"/>
      <c r="T454" s="842" t="s">
        <v>2815</v>
      </c>
      <c r="U454" s="843">
        <v>45281</v>
      </c>
      <c r="V454" s="843"/>
      <c r="W454" s="834" t="str">
        <f>IFERROR(IF(AND(BD_PRINCIPAL[[#This Row],[DESDE]]&lt;&gt;"",BD_PRINCIPAL[[#This Row],[HASTA]]&lt;&gt;""),_xlfn.DAYS(BD_PRINCIPAL[[#This Row],[HASTA]],BD_PRINCIPAL[[#This Row],[DESDE]]),"")+1,"")</f>
        <v/>
      </c>
      <c r="X454" s="834">
        <f>VLOOKUP(BD_PRINCIPAL[[#This Row],[ENCUADRE. ESC.]],ORDEN1,2,FALSE)</f>
        <v>4</v>
      </c>
      <c r="Y454" s="834">
        <f>VLOOKUP(BD_PRINCIPAL[[#This Row],[DOTACIÓN ACTUAL]],ORDEN2,4,FALSE)</f>
        <v>341</v>
      </c>
      <c r="Z454" s="834">
        <f>VLOOKUP(BD_PRINCIPAL[[#This Row],[GRADO]],ORDEN3,2,FALSE)</f>
        <v>13</v>
      </c>
      <c r="AA454" s="834">
        <f>IFERROR(VLOOKUP(BD_PRINCIPAL[[#This Row],[DOTACIÓN ACTUAL]],ORDEN2,3,FALSE),0)</f>
        <v>0</v>
      </c>
      <c r="AB454" s="833" t="s">
        <v>962</v>
      </c>
      <c r="AC454" s="833" t="s">
        <v>962</v>
      </c>
      <c r="AD454" s="833" t="s">
        <v>962</v>
      </c>
      <c r="AE454" s="833" t="s">
        <v>962</v>
      </c>
      <c r="AF454" s="833" t="s">
        <v>962</v>
      </c>
      <c r="AG454" s="833" t="s">
        <v>962</v>
      </c>
      <c r="AH454" s="833"/>
      <c r="AI454" s="833"/>
      <c r="AJ454" s="833"/>
      <c r="AK454" s="833"/>
      <c r="AL454" s="833"/>
      <c r="AM454" s="833"/>
      <c r="AN454" s="833"/>
      <c r="AO454" s="833"/>
      <c r="AP454" s="833"/>
      <c r="AQ454" s="833"/>
      <c r="AR454" s="833"/>
      <c r="AS454" s="833"/>
      <c r="AT454" s="844"/>
      <c r="AU454" s="844"/>
      <c r="AV454" s="844"/>
      <c r="AW454" s="844"/>
      <c r="AX454" s="844"/>
      <c r="AY454" s="844"/>
      <c r="AZ454" s="844"/>
      <c r="BA454" s="833"/>
      <c r="BB454" s="833"/>
      <c r="BC454" s="833"/>
      <c r="BD454" s="833"/>
      <c r="BE454" s="833"/>
      <c r="BF454" s="833"/>
      <c r="BG454" s="833"/>
      <c r="BH454" s="833"/>
      <c r="BI454" s="833"/>
      <c r="BJ454" s="833"/>
      <c r="BK454" s="833"/>
      <c r="BL454" s="833"/>
      <c r="BM454" s="840" t="s">
        <v>2399</v>
      </c>
      <c r="BN454" s="886"/>
    </row>
    <row r="455" spans="1:66" s="247" customFormat="1" x14ac:dyDescent="0.3">
      <c r="A455" s="807" t="s">
        <v>606</v>
      </c>
      <c r="B455" s="808" t="s">
        <v>607</v>
      </c>
      <c r="C455" s="807">
        <v>99833599</v>
      </c>
      <c r="D455" s="898" t="s">
        <v>784</v>
      </c>
      <c r="E455" s="809" t="s">
        <v>784</v>
      </c>
      <c r="F455" s="809" t="s">
        <v>607</v>
      </c>
      <c r="G455" s="810" t="s">
        <v>818</v>
      </c>
      <c r="H455" s="811" t="s">
        <v>817</v>
      </c>
      <c r="I455" s="811" t="s">
        <v>871</v>
      </c>
      <c r="J455" s="811" t="s">
        <v>818</v>
      </c>
      <c r="K455" s="1293" t="s">
        <v>2290</v>
      </c>
      <c r="L455" s="812" t="s">
        <v>1075</v>
      </c>
      <c r="M455" s="1318" t="s">
        <v>784</v>
      </c>
      <c r="N455" s="813"/>
      <c r="O455" s="1303"/>
      <c r="P455" s="808"/>
      <c r="Q455" s="1303" t="s">
        <v>818</v>
      </c>
      <c r="R455" s="814">
        <f>$B$1</f>
        <v>45388</v>
      </c>
      <c r="S455" s="815"/>
      <c r="T455" s="815"/>
      <c r="U455" s="816"/>
      <c r="V455" s="816"/>
      <c r="W455" s="807" t="str">
        <f>IFERROR(IF(AND(BD_PRINCIPAL[[#This Row],[DESDE]]&lt;&gt;"",BD_PRINCIPAL[[#This Row],[HASTA]]&lt;&gt;""),_xlfn.DAYS(BD_PRINCIPAL[[#This Row],[HASTA]],BD_PRINCIPAL[[#This Row],[DESDE]]),"")+1,"")</f>
        <v/>
      </c>
      <c r="X455" s="807">
        <f>VLOOKUP(BD_PRINCIPAL[[#This Row],[ENCUADRE. ESC.]],ORDEN1,2,FALSE)</f>
        <v>5</v>
      </c>
      <c r="Y455" s="807">
        <f>VLOOKUP(BD_PRINCIPAL[[#This Row],[DOTACIÓN ACTUAL]],ORDEN2,4,FALSE)</f>
        <v>11</v>
      </c>
      <c r="Z455" s="807">
        <f>VLOOKUP(BD_PRINCIPAL[[#This Row],[GRADO]],ORDEN3,2,FALSE)</f>
        <v>15</v>
      </c>
      <c r="AA455" s="807">
        <f>IFERROR(VLOOKUP(BD_PRINCIPAL[[#This Row],[DOTACIÓN ACTUAL]],ORDEN2,3,FALSE),0)</f>
        <v>0</v>
      </c>
      <c r="AB455" s="808" t="s">
        <v>1075</v>
      </c>
      <c r="AC455" s="808" t="s">
        <v>1075</v>
      </c>
      <c r="AD455" s="808" t="s">
        <v>1075</v>
      </c>
      <c r="AE455" s="808" t="s">
        <v>1075</v>
      </c>
      <c r="AF455" s="808" t="s">
        <v>1075</v>
      </c>
      <c r="AG455" s="808" t="s">
        <v>1075</v>
      </c>
      <c r="AH455" s="808"/>
      <c r="AI455" s="808"/>
      <c r="AJ455" s="808"/>
      <c r="AK455" s="808"/>
      <c r="AL455" s="808"/>
      <c r="AM455" s="808"/>
      <c r="AN455" s="808"/>
      <c r="AO455" s="808"/>
      <c r="AP455" s="808"/>
      <c r="AQ455" s="808"/>
      <c r="AR455" s="808"/>
      <c r="AS455" s="808"/>
      <c r="AT455" s="817"/>
      <c r="AU455" s="817"/>
      <c r="AV455" s="817"/>
      <c r="AW455" s="817"/>
      <c r="AX455" s="817"/>
      <c r="AY455" s="817"/>
      <c r="AZ455" s="817"/>
      <c r="BA455" s="808"/>
      <c r="BB455" s="808"/>
      <c r="BC455" s="808"/>
      <c r="BD455" s="808"/>
      <c r="BE455" s="808"/>
      <c r="BF455" s="808"/>
      <c r="BG455" s="808"/>
      <c r="BH455" s="808"/>
      <c r="BI455" s="808"/>
      <c r="BJ455" s="808"/>
      <c r="BK455" s="808"/>
      <c r="BL455" s="808"/>
      <c r="BM455" s="813" t="s">
        <v>2399</v>
      </c>
      <c r="BN455" s="891"/>
    </row>
    <row r="456" spans="1:66" s="233" customFormat="1" ht="26.4" x14ac:dyDescent="0.3">
      <c r="A456" s="834" t="s">
        <v>613</v>
      </c>
      <c r="B456" s="833" t="s">
        <v>84</v>
      </c>
      <c r="C456" s="834" t="s">
        <v>614</v>
      </c>
      <c r="D456" s="340" t="s">
        <v>1081</v>
      </c>
      <c r="E456" s="836" t="s">
        <v>1081</v>
      </c>
      <c r="F456" s="836" t="s">
        <v>84</v>
      </c>
      <c r="G456" s="837" t="s">
        <v>818</v>
      </c>
      <c r="H456" s="838" t="s">
        <v>816</v>
      </c>
      <c r="I456" s="838" t="s">
        <v>872</v>
      </c>
      <c r="J456" s="838" t="s">
        <v>818</v>
      </c>
      <c r="K456" s="1289" t="s">
        <v>2290</v>
      </c>
      <c r="L456" s="839" t="s">
        <v>1075</v>
      </c>
      <c r="M456" s="1315" t="s">
        <v>1081</v>
      </c>
      <c r="N456" s="840"/>
      <c r="O456" s="1300"/>
      <c r="P456" s="833"/>
      <c r="Q456" s="1300" t="s">
        <v>818</v>
      </c>
      <c r="R456" s="841">
        <f>$B$1</f>
        <v>45388</v>
      </c>
      <c r="S456" s="842"/>
      <c r="T456" s="842"/>
      <c r="U456" s="843"/>
      <c r="V456" s="843"/>
      <c r="W456" s="834" t="str">
        <f>IFERROR(IF(AND(BD_PRINCIPAL[[#This Row],[DESDE]]&lt;&gt;"",BD_PRINCIPAL[[#This Row],[HASTA]]&lt;&gt;""),_xlfn.DAYS(BD_PRINCIPAL[[#This Row],[HASTA]],BD_PRINCIPAL[[#This Row],[DESDE]]),"")+1,"")</f>
        <v/>
      </c>
      <c r="X456" s="834">
        <f>VLOOKUP(BD_PRINCIPAL[[#This Row],[ENCUADRE. ESC.]],ORDEN1,2,FALSE)</f>
        <v>5</v>
      </c>
      <c r="Y456" s="834">
        <f>VLOOKUP(BD_PRINCIPAL[[#This Row],[DOTACIÓN ACTUAL]],ORDEN2,4,FALSE)</f>
        <v>281</v>
      </c>
      <c r="Z456" s="834">
        <f>VLOOKUP(BD_PRINCIPAL[[#This Row],[GRADO]],ORDEN3,2,FALSE)</f>
        <v>15</v>
      </c>
      <c r="AA456" s="834">
        <f>IFERROR(VLOOKUP(BD_PRINCIPAL[[#This Row],[DOTACIÓN ACTUAL]],ORDEN2,3,FALSE),0)</f>
        <v>0</v>
      </c>
      <c r="AB456" s="833" t="s">
        <v>1075</v>
      </c>
      <c r="AC456" s="833" t="s">
        <v>1075</v>
      </c>
      <c r="AD456" s="833" t="s">
        <v>1075</v>
      </c>
      <c r="AE456" s="833" t="s">
        <v>1075</v>
      </c>
      <c r="AF456" s="833" t="s">
        <v>1075</v>
      </c>
      <c r="AG456" s="833" t="s">
        <v>1075</v>
      </c>
      <c r="AH456" s="833"/>
      <c r="AI456" s="833"/>
      <c r="AJ456" s="833"/>
      <c r="AK456" s="833"/>
      <c r="AL456" s="833"/>
      <c r="AM456" s="833"/>
      <c r="AN456" s="833"/>
      <c r="AO456" s="833"/>
      <c r="AP456" s="833"/>
      <c r="AQ456" s="833"/>
      <c r="AR456" s="833"/>
      <c r="AS456" s="833"/>
      <c r="AT456" s="844"/>
      <c r="AU456" s="844"/>
      <c r="AV456" s="844"/>
      <c r="AW456" s="844"/>
      <c r="AX456" s="844"/>
      <c r="AY456" s="844"/>
      <c r="AZ456" s="844"/>
      <c r="BA456" s="833"/>
      <c r="BB456" s="833"/>
      <c r="BC456" s="833"/>
      <c r="BD456" s="833"/>
      <c r="BE456" s="833"/>
      <c r="BF456" s="833"/>
      <c r="BG456" s="833"/>
      <c r="BH456" s="833"/>
      <c r="BI456" s="833"/>
      <c r="BJ456" s="833"/>
      <c r="BK456" s="833"/>
      <c r="BL456" s="833"/>
      <c r="BM456" s="840" t="s">
        <v>2399</v>
      </c>
      <c r="BN456" s="886"/>
    </row>
    <row r="457" spans="1:66" s="233" customFormat="1" ht="26.4" x14ac:dyDescent="0.3">
      <c r="A457" s="834" t="s">
        <v>619</v>
      </c>
      <c r="B457" s="833" t="s">
        <v>620</v>
      </c>
      <c r="C457" s="834">
        <v>116685426</v>
      </c>
      <c r="D457" s="340" t="s">
        <v>1081</v>
      </c>
      <c r="E457" s="836" t="s">
        <v>1081</v>
      </c>
      <c r="F457" s="836" t="s">
        <v>620</v>
      </c>
      <c r="G457" s="837" t="s">
        <v>818</v>
      </c>
      <c r="H457" s="838" t="s">
        <v>816</v>
      </c>
      <c r="I457" s="838" t="s">
        <v>872</v>
      </c>
      <c r="J457" s="838" t="s">
        <v>818</v>
      </c>
      <c r="K457" s="1289" t="s">
        <v>2290</v>
      </c>
      <c r="L457" s="839" t="s">
        <v>1075</v>
      </c>
      <c r="M457" s="1315" t="s">
        <v>1081</v>
      </c>
      <c r="N457" s="840"/>
      <c r="O457" s="1300"/>
      <c r="P457" s="833"/>
      <c r="Q457" s="1300" t="s">
        <v>818</v>
      </c>
      <c r="R457" s="841">
        <f>$B$1</f>
        <v>45388</v>
      </c>
      <c r="S457" s="845"/>
      <c r="T457" s="842"/>
      <c r="U457" s="843"/>
      <c r="V457" s="843"/>
      <c r="W457" s="834" t="str">
        <f>IFERROR(IF(AND(BD_PRINCIPAL[[#This Row],[DESDE]]&lt;&gt;"",BD_PRINCIPAL[[#This Row],[HASTA]]&lt;&gt;""),_xlfn.DAYS(BD_PRINCIPAL[[#This Row],[HASTA]],BD_PRINCIPAL[[#This Row],[DESDE]]),"")+1,"")</f>
        <v/>
      </c>
      <c r="X457" s="834">
        <f>VLOOKUP(BD_PRINCIPAL[[#This Row],[ENCUADRE. ESC.]],ORDEN1,2,FALSE)</f>
        <v>5</v>
      </c>
      <c r="Y457" s="834">
        <f>VLOOKUP(BD_PRINCIPAL[[#This Row],[DOTACIÓN ACTUAL]],ORDEN2,4,FALSE)</f>
        <v>281</v>
      </c>
      <c r="Z457" s="834">
        <f>VLOOKUP(BD_PRINCIPAL[[#This Row],[GRADO]],ORDEN3,2,FALSE)</f>
        <v>15</v>
      </c>
      <c r="AA457" s="834">
        <f>IFERROR(VLOOKUP(BD_PRINCIPAL[[#This Row],[DOTACIÓN ACTUAL]],ORDEN2,3,FALSE),0)</f>
        <v>0</v>
      </c>
      <c r="AB457" s="833" t="s">
        <v>1075</v>
      </c>
      <c r="AC457" s="833" t="s">
        <v>1075</v>
      </c>
      <c r="AD457" s="833" t="s">
        <v>1075</v>
      </c>
      <c r="AE457" s="833" t="s">
        <v>1075</v>
      </c>
      <c r="AF457" s="833" t="s">
        <v>1075</v>
      </c>
      <c r="AG457" s="833" t="s">
        <v>1075</v>
      </c>
      <c r="AH457" s="833"/>
      <c r="AI457" s="833"/>
      <c r="AJ457" s="833"/>
      <c r="AK457" s="833"/>
      <c r="AL457" s="833"/>
      <c r="AM457" s="833"/>
      <c r="AN457" s="833"/>
      <c r="AO457" s="833"/>
      <c r="AP457" s="833"/>
      <c r="AQ457" s="833"/>
      <c r="AR457" s="833"/>
      <c r="AS457" s="833"/>
      <c r="AT457" s="844"/>
      <c r="AU457" s="844"/>
      <c r="AV457" s="844"/>
      <c r="AW457" s="844"/>
      <c r="AX457" s="844"/>
      <c r="AY457" s="844"/>
      <c r="AZ457" s="844"/>
      <c r="BA457" s="833"/>
      <c r="BB457" s="833"/>
      <c r="BC457" s="833"/>
      <c r="BD457" s="833"/>
      <c r="BE457" s="833"/>
      <c r="BF457" s="833"/>
      <c r="BG457" s="833"/>
      <c r="BH457" s="833"/>
      <c r="BI457" s="833"/>
      <c r="BJ457" s="833"/>
      <c r="BK457" s="833"/>
      <c r="BL457" s="833"/>
      <c r="BM457" s="840" t="s">
        <v>2399</v>
      </c>
      <c r="BN457" s="886"/>
    </row>
    <row r="458" spans="1:66" s="233" customFormat="1" ht="26.4" x14ac:dyDescent="0.3">
      <c r="A458" s="834" t="s">
        <v>624</v>
      </c>
      <c r="B458" s="833" t="s">
        <v>625</v>
      </c>
      <c r="C458" s="834">
        <v>153747644</v>
      </c>
      <c r="D458" s="340" t="s">
        <v>1081</v>
      </c>
      <c r="E458" s="836" t="s">
        <v>1081</v>
      </c>
      <c r="F458" s="836" t="s">
        <v>625</v>
      </c>
      <c r="G458" s="837" t="s">
        <v>818</v>
      </c>
      <c r="H458" s="838" t="s">
        <v>816</v>
      </c>
      <c r="I458" s="838" t="s">
        <v>872</v>
      </c>
      <c r="J458" s="838" t="s">
        <v>818</v>
      </c>
      <c r="K458" s="1289" t="s">
        <v>2290</v>
      </c>
      <c r="L458" s="839" t="s">
        <v>1075</v>
      </c>
      <c r="M458" s="1315" t="s">
        <v>1081</v>
      </c>
      <c r="N458" s="840"/>
      <c r="O458" s="1300"/>
      <c r="P458" s="833"/>
      <c r="Q458" s="1300" t="s">
        <v>818</v>
      </c>
      <c r="R458" s="841">
        <f>$B$1</f>
        <v>45388</v>
      </c>
      <c r="S458" s="842"/>
      <c r="T458" s="842"/>
      <c r="U458" s="843"/>
      <c r="V458" s="843"/>
      <c r="W458" s="834" t="str">
        <f>IFERROR(IF(AND(BD_PRINCIPAL[[#This Row],[DESDE]]&lt;&gt;"",BD_PRINCIPAL[[#This Row],[HASTA]]&lt;&gt;""),_xlfn.DAYS(BD_PRINCIPAL[[#This Row],[HASTA]],BD_PRINCIPAL[[#This Row],[DESDE]]),"")+1,"")</f>
        <v/>
      </c>
      <c r="X458" s="834">
        <f>VLOOKUP(BD_PRINCIPAL[[#This Row],[ENCUADRE. ESC.]],ORDEN1,2,FALSE)</f>
        <v>5</v>
      </c>
      <c r="Y458" s="834">
        <f>VLOOKUP(BD_PRINCIPAL[[#This Row],[DOTACIÓN ACTUAL]],ORDEN2,4,FALSE)</f>
        <v>281</v>
      </c>
      <c r="Z458" s="834">
        <f>VLOOKUP(BD_PRINCIPAL[[#This Row],[GRADO]],ORDEN3,2,FALSE)</f>
        <v>15</v>
      </c>
      <c r="AA458" s="834">
        <f>IFERROR(VLOOKUP(BD_PRINCIPAL[[#This Row],[DOTACIÓN ACTUAL]],ORDEN2,3,FALSE),0)</f>
        <v>0</v>
      </c>
      <c r="AB458" s="833" t="s">
        <v>885</v>
      </c>
      <c r="AC458" s="833" t="s">
        <v>885</v>
      </c>
      <c r="AD458" s="833" t="s">
        <v>885</v>
      </c>
      <c r="AE458" s="833" t="s">
        <v>1075</v>
      </c>
      <c r="AF458" s="833" t="s">
        <v>1075</v>
      </c>
      <c r="AG458" s="833" t="s">
        <v>1075</v>
      </c>
      <c r="AH458" s="833"/>
      <c r="AI458" s="833"/>
      <c r="AJ458" s="833"/>
      <c r="AK458" s="833"/>
      <c r="AL458" s="833"/>
      <c r="AM458" s="833"/>
      <c r="AN458" s="833"/>
      <c r="AO458" s="833"/>
      <c r="AP458" s="833"/>
      <c r="AQ458" s="833"/>
      <c r="AR458" s="833"/>
      <c r="AS458" s="833"/>
      <c r="AT458" s="844"/>
      <c r="AU458" s="844"/>
      <c r="AV458" s="844"/>
      <c r="AW458" s="844"/>
      <c r="AX458" s="844"/>
      <c r="AY458" s="844"/>
      <c r="AZ458" s="844"/>
      <c r="BA458" s="833"/>
      <c r="BB458" s="833"/>
      <c r="BC458" s="833"/>
      <c r="BD458" s="833"/>
      <c r="BE458" s="833"/>
      <c r="BF458" s="833"/>
      <c r="BG458" s="833"/>
      <c r="BH458" s="833"/>
      <c r="BI458" s="833"/>
      <c r="BJ458" s="833"/>
      <c r="BK458" s="833"/>
      <c r="BL458" s="833"/>
      <c r="BM458" s="840" t="s">
        <v>2399</v>
      </c>
      <c r="BN458" s="886"/>
    </row>
    <row r="459" spans="1:66" s="233" customFormat="1" ht="26.4" x14ac:dyDescent="0.3">
      <c r="A459" s="834" t="s">
        <v>630</v>
      </c>
      <c r="B459" s="833" t="s">
        <v>632</v>
      </c>
      <c r="C459" s="834" t="s">
        <v>631</v>
      </c>
      <c r="D459" s="340" t="s">
        <v>1081</v>
      </c>
      <c r="E459" s="836" t="s">
        <v>1081</v>
      </c>
      <c r="F459" s="836" t="s">
        <v>632</v>
      </c>
      <c r="G459" s="837" t="s">
        <v>818</v>
      </c>
      <c r="H459" s="838" t="s">
        <v>816</v>
      </c>
      <c r="I459" s="838" t="s">
        <v>872</v>
      </c>
      <c r="J459" s="838" t="s">
        <v>818</v>
      </c>
      <c r="K459" s="1289" t="s">
        <v>2290</v>
      </c>
      <c r="L459" s="839" t="s">
        <v>1075</v>
      </c>
      <c r="M459" s="1315" t="s">
        <v>1081</v>
      </c>
      <c r="N459" s="840"/>
      <c r="O459" s="1300"/>
      <c r="P459" s="833"/>
      <c r="Q459" s="1300" t="s">
        <v>818</v>
      </c>
      <c r="R459" s="841">
        <f>$B$1</f>
        <v>45388</v>
      </c>
      <c r="S459" s="842"/>
      <c r="T459" s="842"/>
      <c r="U459" s="843"/>
      <c r="V459" s="843"/>
      <c r="W459" s="834" t="str">
        <f>IFERROR(IF(AND(BD_PRINCIPAL[[#This Row],[DESDE]]&lt;&gt;"",BD_PRINCIPAL[[#This Row],[HASTA]]&lt;&gt;""),_xlfn.DAYS(BD_PRINCIPAL[[#This Row],[HASTA]],BD_PRINCIPAL[[#This Row],[DESDE]]),"")+1,"")</f>
        <v/>
      </c>
      <c r="X459" s="834">
        <f>VLOOKUP(BD_PRINCIPAL[[#This Row],[ENCUADRE. ESC.]],ORDEN1,2,FALSE)</f>
        <v>5</v>
      </c>
      <c r="Y459" s="834">
        <f>VLOOKUP(BD_PRINCIPAL[[#This Row],[DOTACIÓN ACTUAL]],ORDEN2,4,FALSE)</f>
        <v>281</v>
      </c>
      <c r="Z459" s="834">
        <f>VLOOKUP(BD_PRINCIPAL[[#This Row],[GRADO]],ORDEN3,2,FALSE)</f>
        <v>15</v>
      </c>
      <c r="AA459" s="834">
        <f>IFERROR(VLOOKUP(BD_PRINCIPAL[[#This Row],[DOTACIÓN ACTUAL]],ORDEN2,3,FALSE),0)</f>
        <v>0</v>
      </c>
      <c r="AB459" s="833" t="s">
        <v>1075</v>
      </c>
      <c r="AC459" s="833" t="s">
        <v>1075</v>
      </c>
      <c r="AD459" s="833" t="s">
        <v>1075</v>
      </c>
      <c r="AE459" s="833" t="s">
        <v>1075</v>
      </c>
      <c r="AF459" s="833" t="s">
        <v>1075</v>
      </c>
      <c r="AG459" s="833" t="s">
        <v>1075</v>
      </c>
      <c r="AH459" s="833"/>
      <c r="AI459" s="833"/>
      <c r="AJ459" s="833"/>
      <c r="AK459" s="833"/>
      <c r="AL459" s="833"/>
      <c r="AM459" s="833"/>
      <c r="AN459" s="833"/>
      <c r="AO459" s="833"/>
      <c r="AP459" s="833"/>
      <c r="AQ459" s="833"/>
      <c r="AR459" s="833"/>
      <c r="AS459" s="833"/>
      <c r="AT459" s="844"/>
      <c r="AU459" s="844"/>
      <c r="AV459" s="844"/>
      <c r="AW459" s="844"/>
      <c r="AX459" s="844"/>
      <c r="AY459" s="844"/>
      <c r="AZ459" s="844"/>
      <c r="BA459" s="833"/>
      <c r="BB459" s="833"/>
      <c r="BC459" s="833"/>
      <c r="BD459" s="833"/>
      <c r="BE459" s="833"/>
      <c r="BF459" s="833"/>
      <c r="BG459" s="833"/>
      <c r="BH459" s="833"/>
      <c r="BI459" s="833"/>
      <c r="BJ459" s="833"/>
      <c r="BK459" s="833"/>
      <c r="BL459" s="833"/>
      <c r="BM459" s="840" t="s">
        <v>2399</v>
      </c>
      <c r="BN459" s="886"/>
    </row>
    <row r="460" spans="1:66" s="260" customFormat="1" x14ac:dyDescent="0.3">
      <c r="A460" s="796" t="s">
        <v>634</v>
      </c>
      <c r="B460" s="797" t="s">
        <v>635</v>
      </c>
      <c r="C460" s="796">
        <v>193035760</v>
      </c>
      <c r="D460" s="347" t="s">
        <v>1532</v>
      </c>
      <c r="E460" s="798" t="s">
        <v>1532</v>
      </c>
      <c r="F460" s="798" t="s">
        <v>635</v>
      </c>
      <c r="G460" s="799" t="s">
        <v>818</v>
      </c>
      <c r="H460" s="800" t="s">
        <v>817</v>
      </c>
      <c r="I460" s="800" t="s">
        <v>872</v>
      </c>
      <c r="J460" s="800" t="s">
        <v>818</v>
      </c>
      <c r="K460" s="1290" t="s">
        <v>2290</v>
      </c>
      <c r="L460" s="801" t="s">
        <v>1075</v>
      </c>
      <c r="M460" s="1316" t="s">
        <v>1532</v>
      </c>
      <c r="N460" s="802"/>
      <c r="O460" s="1301"/>
      <c r="P460" s="797"/>
      <c r="Q460" s="1301" t="s">
        <v>818</v>
      </c>
      <c r="R460" s="803">
        <f>$B$1</f>
        <v>45388</v>
      </c>
      <c r="S460" s="804"/>
      <c r="T460" s="804"/>
      <c r="U460" s="805"/>
      <c r="V460" s="805"/>
      <c r="W460" s="796" t="str">
        <f>IFERROR(IF(AND(BD_PRINCIPAL[[#This Row],[DESDE]]&lt;&gt;"",BD_PRINCIPAL[[#This Row],[HASTA]]&lt;&gt;""),_xlfn.DAYS(BD_PRINCIPAL[[#This Row],[HASTA]],BD_PRINCIPAL[[#This Row],[DESDE]]),"")+1,"")</f>
        <v/>
      </c>
      <c r="X460" s="796">
        <f>VLOOKUP(BD_PRINCIPAL[[#This Row],[ENCUADRE. ESC.]],ORDEN1,2,FALSE)</f>
        <v>5</v>
      </c>
      <c r="Y460" s="796">
        <f>VLOOKUP(BD_PRINCIPAL[[#This Row],[DOTACIÓN ACTUAL]],ORDEN2,4,FALSE)</f>
        <v>283</v>
      </c>
      <c r="Z460" s="796">
        <f>VLOOKUP(BD_PRINCIPAL[[#This Row],[GRADO]],ORDEN3,2,FALSE)</f>
        <v>15</v>
      </c>
      <c r="AA460" s="796">
        <f>IFERROR(VLOOKUP(BD_PRINCIPAL[[#This Row],[DOTACIÓN ACTUAL]],ORDEN2,3,FALSE),0)</f>
        <v>0</v>
      </c>
      <c r="AB460" s="797" t="s">
        <v>1075</v>
      </c>
      <c r="AC460" s="797" t="s">
        <v>1075</v>
      </c>
      <c r="AD460" s="797" t="s">
        <v>1075</v>
      </c>
      <c r="AE460" s="797" t="s">
        <v>1075</v>
      </c>
      <c r="AF460" s="797" t="s">
        <v>1075</v>
      </c>
      <c r="AG460" s="797" t="s">
        <v>1075</v>
      </c>
      <c r="AH460" s="797"/>
      <c r="AI460" s="797"/>
      <c r="AJ460" s="797"/>
      <c r="AK460" s="797"/>
      <c r="AL460" s="797"/>
      <c r="AM460" s="797"/>
      <c r="AN460" s="797"/>
      <c r="AO460" s="797"/>
      <c r="AP460" s="797"/>
      <c r="AQ460" s="797"/>
      <c r="AR460" s="797"/>
      <c r="AS460" s="797"/>
      <c r="AT460" s="806"/>
      <c r="AU460" s="806"/>
      <c r="AV460" s="806"/>
      <c r="AW460" s="806"/>
      <c r="AX460" s="806"/>
      <c r="AY460" s="806"/>
      <c r="AZ460" s="806"/>
      <c r="BA460" s="797"/>
      <c r="BB460" s="797"/>
      <c r="BC460" s="797"/>
      <c r="BD460" s="797"/>
      <c r="BE460" s="797"/>
      <c r="BF460" s="797"/>
      <c r="BG460" s="797"/>
      <c r="BH460" s="797"/>
      <c r="BI460" s="797"/>
      <c r="BJ460" s="797"/>
      <c r="BK460" s="797"/>
      <c r="BL460" s="797"/>
      <c r="BM460" s="802" t="s">
        <v>2399</v>
      </c>
      <c r="BN460" s="875"/>
    </row>
    <row r="461" spans="1:66" s="189" customFormat="1" x14ac:dyDescent="0.3">
      <c r="A461" s="850" t="s">
        <v>629</v>
      </c>
      <c r="B461" s="851" t="s">
        <v>249</v>
      </c>
      <c r="C461" s="850">
        <v>118481860</v>
      </c>
      <c r="D461" s="382" t="s">
        <v>1532</v>
      </c>
      <c r="E461" s="853" t="s">
        <v>72</v>
      </c>
      <c r="F461" s="853" t="s">
        <v>249</v>
      </c>
      <c r="G461" s="854" t="s">
        <v>818</v>
      </c>
      <c r="H461" s="855" t="s">
        <v>817</v>
      </c>
      <c r="I461" s="855" t="s">
        <v>872</v>
      </c>
      <c r="J461" s="855" t="s">
        <v>818</v>
      </c>
      <c r="K461" s="1291" t="s">
        <v>2290</v>
      </c>
      <c r="L461" s="856" t="s">
        <v>1075</v>
      </c>
      <c r="M461" s="1317" t="s">
        <v>72</v>
      </c>
      <c r="N461" s="857"/>
      <c r="O461" s="1302"/>
      <c r="P461" s="851"/>
      <c r="Q461" s="1302" t="s">
        <v>818</v>
      </c>
      <c r="R461" s="858">
        <f>$B$1</f>
        <v>45388</v>
      </c>
      <c r="S461" s="859"/>
      <c r="T461" s="859"/>
      <c r="U461" s="860"/>
      <c r="V461" s="860"/>
      <c r="W461" s="850" t="str">
        <f>IFERROR(IF(AND(BD_PRINCIPAL[[#This Row],[DESDE]]&lt;&gt;"",BD_PRINCIPAL[[#This Row],[HASTA]]&lt;&gt;""),_xlfn.DAYS(BD_PRINCIPAL[[#This Row],[HASTA]],BD_PRINCIPAL[[#This Row],[DESDE]]),"")+1,"")</f>
        <v/>
      </c>
      <c r="X461" s="850">
        <f>VLOOKUP(BD_PRINCIPAL[[#This Row],[ENCUADRE. ESC.]],ORDEN1,2,FALSE)</f>
        <v>5</v>
      </c>
      <c r="Y461" s="850">
        <f>VLOOKUP(BD_PRINCIPAL[[#This Row],[DOTACIÓN ACTUAL]],ORDEN2,4,FALSE)</f>
        <v>284</v>
      </c>
      <c r="Z461" s="850">
        <f>VLOOKUP(BD_PRINCIPAL[[#This Row],[GRADO]],ORDEN3,2,FALSE)</f>
        <v>15</v>
      </c>
      <c r="AA461" s="850">
        <f>IFERROR(VLOOKUP(BD_PRINCIPAL[[#This Row],[DOTACIÓN ACTUAL]],ORDEN2,3,FALSE),0)</f>
        <v>0</v>
      </c>
      <c r="AB461" s="851" t="s">
        <v>1075</v>
      </c>
      <c r="AC461" s="851" t="s">
        <v>1075</v>
      </c>
      <c r="AD461" s="851" t="s">
        <v>1075</v>
      </c>
      <c r="AE461" s="851" t="s">
        <v>1075</v>
      </c>
      <c r="AF461" s="851" t="s">
        <v>1075</v>
      </c>
      <c r="AG461" s="851" t="s">
        <v>1075</v>
      </c>
      <c r="AH461" s="851"/>
      <c r="AI461" s="851"/>
      <c r="AJ461" s="851"/>
      <c r="AK461" s="851"/>
      <c r="AL461" s="851"/>
      <c r="AM461" s="851"/>
      <c r="AN461" s="851"/>
      <c r="AO461" s="851"/>
      <c r="AP461" s="851"/>
      <c r="AQ461" s="851"/>
      <c r="AR461" s="851"/>
      <c r="AS461" s="851"/>
      <c r="AT461" s="861"/>
      <c r="AU461" s="861"/>
      <c r="AV461" s="861"/>
      <c r="AW461" s="861"/>
      <c r="AX461" s="861"/>
      <c r="AY461" s="861"/>
      <c r="AZ461" s="861"/>
      <c r="BA461" s="851"/>
      <c r="BB461" s="851"/>
      <c r="BC461" s="851"/>
      <c r="BD461" s="851"/>
      <c r="BE461" s="851"/>
      <c r="BF461" s="851"/>
      <c r="BG461" s="851"/>
      <c r="BH461" s="851"/>
      <c r="BI461" s="851"/>
      <c r="BJ461" s="851"/>
      <c r="BK461" s="851"/>
      <c r="BL461" s="851"/>
      <c r="BM461" s="857" t="s">
        <v>2399</v>
      </c>
      <c r="BN461" s="888"/>
    </row>
    <row r="462" spans="1:66" s="189" customFormat="1" x14ac:dyDescent="0.3">
      <c r="A462" s="850" t="s">
        <v>633</v>
      </c>
      <c r="B462" s="851" t="s">
        <v>82</v>
      </c>
      <c r="C462" s="850">
        <v>108821035</v>
      </c>
      <c r="D462" s="852" t="s">
        <v>83</v>
      </c>
      <c r="E462" s="853" t="s">
        <v>83</v>
      </c>
      <c r="F462" s="853" t="s">
        <v>82</v>
      </c>
      <c r="G462" s="854" t="s">
        <v>818</v>
      </c>
      <c r="H462" s="855" t="s">
        <v>816</v>
      </c>
      <c r="I462" s="855" t="s">
        <v>872</v>
      </c>
      <c r="J462" s="855" t="s">
        <v>818</v>
      </c>
      <c r="K462" s="1291" t="s">
        <v>2290</v>
      </c>
      <c r="L462" s="856" t="s">
        <v>1075</v>
      </c>
      <c r="M462" s="1317" t="s">
        <v>83</v>
      </c>
      <c r="N462" s="857"/>
      <c r="O462" s="1302"/>
      <c r="P462" s="851"/>
      <c r="Q462" s="1302" t="s">
        <v>818</v>
      </c>
      <c r="R462" s="858">
        <f>$B$1</f>
        <v>45388</v>
      </c>
      <c r="S462" s="859"/>
      <c r="T462" s="859"/>
      <c r="U462" s="860"/>
      <c r="V462" s="860"/>
      <c r="W462" s="850" t="str">
        <f>IFERROR(IF(AND(BD_PRINCIPAL[[#This Row],[DESDE]]&lt;&gt;"",BD_PRINCIPAL[[#This Row],[HASTA]]&lt;&gt;""),_xlfn.DAYS(BD_PRINCIPAL[[#This Row],[HASTA]],BD_PRINCIPAL[[#This Row],[DESDE]]),"")+1,"")</f>
        <v/>
      </c>
      <c r="X462" s="850">
        <f>VLOOKUP(BD_PRINCIPAL[[#This Row],[ENCUADRE. ESC.]],ORDEN1,2,FALSE)</f>
        <v>5</v>
      </c>
      <c r="Y462" s="850">
        <f>VLOOKUP(BD_PRINCIPAL[[#This Row],[DOTACIÓN ACTUAL]],ORDEN2,4,FALSE)</f>
        <v>289</v>
      </c>
      <c r="Z462" s="850">
        <f>VLOOKUP(BD_PRINCIPAL[[#This Row],[GRADO]],ORDEN3,2,FALSE)</f>
        <v>15</v>
      </c>
      <c r="AA462" s="850">
        <f>IFERROR(VLOOKUP(BD_PRINCIPAL[[#This Row],[DOTACIÓN ACTUAL]],ORDEN2,3,FALSE),0)</f>
        <v>0</v>
      </c>
      <c r="AB462" s="851" t="s">
        <v>1075</v>
      </c>
      <c r="AC462" s="851" t="s">
        <v>1075</v>
      </c>
      <c r="AD462" s="851" t="s">
        <v>1075</v>
      </c>
      <c r="AE462" s="851" t="s">
        <v>1075</v>
      </c>
      <c r="AF462" s="851" t="s">
        <v>1075</v>
      </c>
      <c r="AG462" s="851" t="s">
        <v>1075</v>
      </c>
      <c r="AH462" s="851"/>
      <c r="AI462" s="851"/>
      <c r="AJ462" s="851"/>
      <c r="AK462" s="851"/>
      <c r="AL462" s="851"/>
      <c r="AM462" s="851"/>
      <c r="AN462" s="851"/>
      <c r="AO462" s="851"/>
      <c r="AP462" s="851"/>
      <c r="AQ462" s="851"/>
      <c r="AR462" s="851"/>
      <c r="AS462" s="851"/>
      <c r="AT462" s="861"/>
      <c r="AU462" s="861"/>
      <c r="AV462" s="861"/>
      <c r="AW462" s="861"/>
      <c r="AX462" s="861"/>
      <c r="AY462" s="861"/>
      <c r="AZ462" s="861"/>
      <c r="BA462" s="851"/>
      <c r="BB462" s="851"/>
      <c r="BC462" s="851"/>
      <c r="BD462" s="851"/>
      <c r="BE462" s="851"/>
      <c r="BF462" s="851"/>
      <c r="BG462" s="851"/>
      <c r="BH462" s="851"/>
      <c r="BI462" s="851"/>
      <c r="BJ462" s="851"/>
      <c r="BK462" s="851"/>
      <c r="BL462" s="851"/>
      <c r="BM462" s="857" t="s">
        <v>2399</v>
      </c>
      <c r="BN462" s="888"/>
    </row>
    <row r="463" spans="1:66" s="221" customFormat="1" x14ac:dyDescent="0.3">
      <c r="A463" s="821" t="s">
        <v>621</v>
      </c>
      <c r="B463" s="822" t="s">
        <v>85</v>
      </c>
      <c r="C463" s="821">
        <v>107280391</v>
      </c>
      <c r="D463" s="346" t="s">
        <v>1080</v>
      </c>
      <c r="E463" s="823" t="s">
        <v>1080</v>
      </c>
      <c r="F463" s="823" t="s">
        <v>85</v>
      </c>
      <c r="G463" s="824" t="s">
        <v>818</v>
      </c>
      <c r="H463" s="825" t="s">
        <v>816</v>
      </c>
      <c r="I463" s="825" t="s">
        <v>872</v>
      </c>
      <c r="J463" s="825" t="s">
        <v>818</v>
      </c>
      <c r="K463" s="1288" t="s">
        <v>2290</v>
      </c>
      <c r="L463" s="826" t="s">
        <v>1075</v>
      </c>
      <c r="M463" s="1314" t="s">
        <v>1080</v>
      </c>
      <c r="N463" s="827"/>
      <c r="O463" s="1299"/>
      <c r="P463" s="822"/>
      <c r="Q463" s="1299" t="s">
        <v>818</v>
      </c>
      <c r="R463" s="828">
        <f>$B$1</f>
        <v>45388</v>
      </c>
      <c r="S463" s="877"/>
      <c r="T463" s="829"/>
      <c r="U463" s="830"/>
      <c r="V463" s="830"/>
      <c r="W463" s="821" t="str">
        <f>IFERROR(IF(AND(BD_PRINCIPAL[[#This Row],[DESDE]]&lt;&gt;"",BD_PRINCIPAL[[#This Row],[HASTA]]&lt;&gt;""),_xlfn.DAYS(BD_PRINCIPAL[[#This Row],[HASTA]],BD_PRINCIPAL[[#This Row],[DESDE]]),"")+1,"")</f>
        <v/>
      </c>
      <c r="X463" s="821">
        <f>VLOOKUP(BD_PRINCIPAL[[#This Row],[ENCUADRE. ESC.]],ORDEN1,2,FALSE)</f>
        <v>5</v>
      </c>
      <c r="Y463" s="821">
        <f>VLOOKUP(BD_PRINCIPAL[[#This Row],[DOTACIÓN ACTUAL]],ORDEN2,4,FALSE)</f>
        <v>290</v>
      </c>
      <c r="Z463" s="821">
        <f>VLOOKUP(BD_PRINCIPAL[[#This Row],[GRADO]],ORDEN3,2,FALSE)</f>
        <v>15</v>
      </c>
      <c r="AA463" s="821">
        <f>IFERROR(VLOOKUP(BD_PRINCIPAL[[#This Row],[DOTACIÓN ACTUAL]],ORDEN2,3,FALSE),0)</f>
        <v>0</v>
      </c>
      <c r="AB463" s="822" t="s">
        <v>1075</v>
      </c>
      <c r="AC463" s="822" t="s">
        <v>1075</v>
      </c>
      <c r="AD463" s="822" t="s">
        <v>1075</v>
      </c>
      <c r="AE463" s="822" t="s">
        <v>1075</v>
      </c>
      <c r="AF463" s="822" t="s">
        <v>1075</v>
      </c>
      <c r="AG463" s="822" t="s">
        <v>1075</v>
      </c>
      <c r="AH463" s="822"/>
      <c r="AI463" s="822"/>
      <c r="AJ463" s="822"/>
      <c r="AK463" s="822"/>
      <c r="AL463" s="822"/>
      <c r="AM463" s="822"/>
      <c r="AN463" s="822"/>
      <c r="AO463" s="822"/>
      <c r="AP463" s="822"/>
      <c r="AQ463" s="822"/>
      <c r="AR463" s="822"/>
      <c r="AS463" s="822"/>
      <c r="AT463" s="831"/>
      <c r="AU463" s="831"/>
      <c r="AV463" s="831"/>
      <c r="AW463" s="831"/>
      <c r="AX463" s="831"/>
      <c r="AY463" s="831"/>
      <c r="AZ463" s="831"/>
      <c r="BA463" s="822"/>
      <c r="BB463" s="822"/>
      <c r="BC463" s="822"/>
      <c r="BD463" s="822"/>
      <c r="BE463" s="822"/>
      <c r="BF463" s="822"/>
      <c r="BG463" s="822"/>
      <c r="BH463" s="822"/>
      <c r="BI463" s="822"/>
      <c r="BJ463" s="822"/>
      <c r="BK463" s="822"/>
      <c r="BL463" s="822"/>
      <c r="BM463" s="827" t="s">
        <v>2399</v>
      </c>
      <c r="BN463" s="900"/>
    </row>
    <row r="464" spans="1:66" s="221" customFormat="1" x14ac:dyDescent="0.3">
      <c r="A464" s="821" t="s">
        <v>1964</v>
      </c>
      <c r="B464" s="878" t="s">
        <v>1966</v>
      </c>
      <c r="C464" s="821" t="s">
        <v>1965</v>
      </c>
      <c r="D464" s="863" t="s">
        <v>1080</v>
      </c>
      <c r="E464" s="823" t="s">
        <v>1080</v>
      </c>
      <c r="F464" s="823" t="s">
        <v>1966</v>
      </c>
      <c r="G464" s="879" t="s">
        <v>818</v>
      </c>
      <c r="H464" s="825" t="s">
        <v>816</v>
      </c>
      <c r="I464" s="825" t="s">
        <v>872</v>
      </c>
      <c r="J464" s="880" t="s">
        <v>818</v>
      </c>
      <c r="K464" s="1288" t="s">
        <v>2290</v>
      </c>
      <c r="L464" s="826" t="s">
        <v>1075</v>
      </c>
      <c r="M464" s="1314" t="s">
        <v>1080</v>
      </c>
      <c r="N464" s="881"/>
      <c r="O464" s="1299"/>
      <c r="P464" s="822"/>
      <c r="Q464" s="1299" t="s">
        <v>818</v>
      </c>
      <c r="R464" s="882">
        <f>$B$1</f>
        <v>45388</v>
      </c>
      <c r="S464" s="829"/>
      <c r="T464" s="829"/>
      <c r="U464" s="830"/>
      <c r="V464" s="830"/>
      <c r="W464" s="883" t="str">
        <f>IFERROR(IF(AND(BD_PRINCIPAL[[#This Row],[DESDE]]&lt;&gt;"",BD_PRINCIPAL[[#This Row],[HASTA]]&lt;&gt;""),_xlfn.DAYS(BD_PRINCIPAL[[#This Row],[HASTA]],BD_PRINCIPAL[[#This Row],[DESDE]]),"")+1,"")</f>
        <v/>
      </c>
      <c r="X464" s="883">
        <f>VLOOKUP(BD_PRINCIPAL[[#This Row],[ENCUADRE. ESC.]],ORDEN1,2,FALSE)</f>
        <v>5</v>
      </c>
      <c r="Y464" s="883">
        <f>VLOOKUP(BD_PRINCIPAL[[#This Row],[DOTACIÓN ACTUAL]],ORDEN2,4,FALSE)</f>
        <v>290</v>
      </c>
      <c r="Z464" s="883">
        <f>VLOOKUP(BD_PRINCIPAL[[#This Row],[GRADO]],ORDEN3,2,FALSE)</f>
        <v>15</v>
      </c>
      <c r="AA464" s="883">
        <f>IFERROR(VLOOKUP(BD_PRINCIPAL[[#This Row],[DOTACIÓN ACTUAL]],ORDEN2,3,FALSE),0)</f>
        <v>0</v>
      </c>
      <c r="AB464" s="822" t="s">
        <v>1075</v>
      </c>
      <c r="AC464" s="822" t="s">
        <v>1075</v>
      </c>
      <c r="AD464" s="822" t="s">
        <v>1075</v>
      </c>
      <c r="AE464" s="822" t="s">
        <v>1075</v>
      </c>
      <c r="AF464" s="822" t="s">
        <v>1075</v>
      </c>
      <c r="AG464" s="822" t="s">
        <v>1075</v>
      </c>
      <c r="AH464" s="822"/>
      <c r="AI464" s="822"/>
      <c r="AJ464" s="822"/>
      <c r="AK464" s="822"/>
      <c r="AL464" s="822"/>
      <c r="AM464" s="822"/>
      <c r="AN464" s="822"/>
      <c r="AO464" s="822"/>
      <c r="AP464" s="822"/>
      <c r="AQ464" s="822"/>
      <c r="AR464" s="822"/>
      <c r="AS464" s="822"/>
      <c r="AT464" s="831"/>
      <c r="AU464" s="831"/>
      <c r="AV464" s="831"/>
      <c r="AW464" s="831"/>
      <c r="AX464" s="831"/>
      <c r="AY464" s="831"/>
      <c r="AZ464" s="831"/>
      <c r="BA464" s="822"/>
      <c r="BB464" s="822"/>
      <c r="BC464" s="822"/>
      <c r="BD464" s="822"/>
      <c r="BE464" s="822"/>
      <c r="BF464" s="822"/>
      <c r="BG464" s="822"/>
      <c r="BH464" s="822"/>
      <c r="BI464" s="822"/>
      <c r="BJ464" s="822"/>
      <c r="BK464" s="822"/>
      <c r="BL464" s="822"/>
      <c r="BM464" s="827" t="s">
        <v>2399</v>
      </c>
      <c r="BN464" s="900"/>
    </row>
    <row r="465" spans="1:66" s="233" customFormat="1" x14ac:dyDescent="0.3">
      <c r="A465" s="834" t="s">
        <v>622</v>
      </c>
      <c r="B465" s="833" t="s">
        <v>623</v>
      </c>
      <c r="C465" s="834">
        <v>122443752</v>
      </c>
      <c r="D465" s="835" t="s">
        <v>88</v>
      </c>
      <c r="E465" s="884" t="s">
        <v>88</v>
      </c>
      <c r="F465" s="836" t="s">
        <v>623</v>
      </c>
      <c r="G465" s="837" t="s">
        <v>818</v>
      </c>
      <c r="H465" s="838" t="s">
        <v>816</v>
      </c>
      <c r="I465" s="838" t="s">
        <v>872</v>
      </c>
      <c r="J465" s="838" t="s">
        <v>818</v>
      </c>
      <c r="K465" s="1289" t="s">
        <v>2290</v>
      </c>
      <c r="L465" s="839" t="s">
        <v>1075</v>
      </c>
      <c r="M465" s="1315" t="s">
        <v>88</v>
      </c>
      <c r="N465" s="840"/>
      <c r="O465" s="1300"/>
      <c r="P465" s="833"/>
      <c r="Q465" s="1300" t="s">
        <v>818</v>
      </c>
      <c r="R465" s="841">
        <f>$B$1</f>
        <v>45388</v>
      </c>
      <c r="S465" s="842"/>
      <c r="T465" s="842"/>
      <c r="U465" s="843"/>
      <c r="V465" s="843"/>
      <c r="W465" s="834" t="str">
        <f>IFERROR(IF(AND(BD_PRINCIPAL[[#This Row],[DESDE]]&lt;&gt;"",BD_PRINCIPAL[[#This Row],[HASTA]]&lt;&gt;""),_xlfn.DAYS(BD_PRINCIPAL[[#This Row],[HASTA]],BD_PRINCIPAL[[#This Row],[DESDE]]),"")+1,"")</f>
        <v/>
      </c>
      <c r="X465" s="834">
        <f>VLOOKUP(BD_PRINCIPAL[[#This Row],[ENCUADRE. ESC.]],ORDEN1,2,FALSE)</f>
        <v>5</v>
      </c>
      <c r="Y465" s="834">
        <f>VLOOKUP(BD_PRINCIPAL[[#This Row],[DOTACIÓN ACTUAL]],ORDEN2,4,FALSE)</f>
        <v>291</v>
      </c>
      <c r="Z465" s="834">
        <f>VLOOKUP(BD_PRINCIPAL[[#This Row],[GRADO]],ORDEN3,2,FALSE)</f>
        <v>15</v>
      </c>
      <c r="AA465" s="834">
        <f>IFERROR(VLOOKUP(BD_PRINCIPAL[[#This Row],[DOTACIÓN ACTUAL]],ORDEN2,3,FALSE),0)</f>
        <v>0</v>
      </c>
      <c r="AB465" s="833" t="s">
        <v>1075</v>
      </c>
      <c r="AC465" s="833" t="s">
        <v>1075</v>
      </c>
      <c r="AD465" s="833" t="s">
        <v>1075</v>
      </c>
      <c r="AE465" s="833" t="s">
        <v>1075</v>
      </c>
      <c r="AF465" s="833" t="s">
        <v>1075</v>
      </c>
      <c r="AG465" s="833" t="s">
        <v>1075</v>
      </c>
      <c r="AH465" s="833"/>
      <c r="AI465" s="833"/>
      <c r="AJ465" s="833"/>
      <c r="AK465" s="833"/>
      <c r="AL465" s="833"/>
      <c r="AM465" s="833"/>
      <c r="AN465" s="833"/>
      <c r="AO465" s="833"/>
      <c r="AP465" s="833"/>
      <c r="AQ465" s="833"/>
      <c r="AR465" s="833"/>
      <c r="AS465" s="833"/>
      <c r="AT465" s="844"/>
      <c r="AU465" s="844"/>
      <c r="AV465" s="844"/>
      <c r="AW465" s="844"/>
      <c r="AX465" s="844"/>
      <c r="AY465" s="844"/>
      <c r="AZ465" s="844"/>
      <c r="BA465" s="833"/>
      <c r="BB465" s="833"/>
      <c r="BC465" s="833"/>
      <c r="BD465" s="833"/>
      <c r="BE465" s="833"/>
      <c r="BF465" s="833"/>
      <c r="BG465" s="833"/>
      <c r="BH465" s="833"/>
      <c r="BI465" s="833"/>
      <c r="BJ465" s="833"/>
      <c r="BK465" s="833"/>
      <c r="BL465" s="833"/>
      <c r="BM465" s="840" t="s">
        <v>2399</v>
      </c>
      <c r="BN465" s="886"/>
    </row>
    <row r="466" spans="1:66" s="233" customFormat="1" x14ac:dyDescent="0.3">
      <c r="A466" s="834" t="s">
        <v>636</v>
      </c>
      <c r="B466" s="833" t="s">
        <v>87</v>
      </c>
      <c r="C466" s="834">
        <v>109150967</v>
      </c>
      <c r="D466" s="835" t="s">
        <v>88</v>
      </c>
      <c r="E466" s="836" t="s">
        <v>88</v>
      </c>
      <c r="F466" s="836" t="s">
        <v>87</v>
      </c>
      <c r="G466" s="837" t="s">
        <v>818</v>
      </c>
      <c r="H466" s="838" t="s">
        <v>816</v>
      </c>
      <c r="I466" s="838" t="s">
        <v>872</v>
      </c>
      <c r="J466" s="838" t="s">
        <v>818</v>
      </c>
      <c r="K466" s="1289" t="s">
        <v>2290</v>
      </c>
      <c r="L466" s="839" t="s">
        <v>1075</v>
      </c>
      <c r="M466" s="1315" t="s">
        <v>88</v>
      </c>
      <c r="N466" s="840"/>
      <c r="O466" s="1300"/>
      <c r="P466" s="833"/>
      <c r="Q466" s="1300" t="s">
        <v>818</v>
      </c>
      <c r="R466" s="841">
        <f>$B$1</f>
        <v>45388</v>
      </c>
      <c r="S466" s="842"/>
      <c r="T466" s="842"/>
      <c r="U466" s="843"/>
      <c r="V466" s="843"/>
      <c r="W466" s="834" t="str">
        <f>IFERROR(IF(AND(BD_PRINCIPAL[[#This Row],[DESDE]]&lt;&gt;"",BD_PRINCIPAL[[#This Row],[HASTA]]&lt;&gt;""),_xlfn.DAYS(BD_PRINCIPAL[[#This Row],[HASTA]],BD_PRINCIPAL[[#This Row],[DESDE]]),"")+1,"")</f>
        <v/>
      </c>
      <c r="X466" s="834">
        <f>VLOOKUP(BD_PRINCIPAL[[#This Row],[ENCUADRE. ESC.]],ORDEN1,2,FALSE)</f>
        <v>5</v>
      </c>
      <c r="Y466" s="834">
        <f>VLOOKUP(BD_PRINCIPAL[[#This Row],[DOTACIÓN ACTUAL]],ORDEN2,4,FALSE)</f>
        <v>291</v>
      </c>
      <c r="Z466" s="834">
        <f>VLOOKUP(BD_PRINCIPAL[[#This Row],[GRADO]],ORDEN3,2,FALSE)</f>
        <v>15</v>
      </c>
      <c r="AA466" s="834">
        <f>IFERROR(VLOOKUP(BD_PRINCIPAL[[#This Row],[DOTACIÓN ACTUAL]],ORDEN2,3,FALSE),0)</f>
        <v>0</v>
      </c>
      <c r="AB466" s="833" t="s">
        <v>1075</v>
      </c>
      <c r="AC466" s="833" t="s">
        <v>1075</v>
      </c>
      <c r="AD466" s="833" t="s">
        <v>1075</v>
      </c>
      <c r="AE466" s="833" t="s">
        <v>1075</v>
      </c>
      <c r="AF466" s="833" t="s">
        <v>1075</v>
      </c>
      <c r="AG466" s="833" t="s">
        <v>1075</v>
      </c>
      <c r="AH466" s="833"/>
      <c r="AI466" s="833"/>
      <c r="AJ466" s="833"/>
      <c r="AK466" s="833"/>
      <c r="AL466" s="833"/>
      <c r="AM466" s="833"/>
      <c r="AN466" s="833"/>
      <c r="AO466" s="833"/>
      <c r="AP466" s="833"/>
      <c r="AQ466" s="833"/>
      <c r="AR466" s="833"/>
      <c r="AS466" s="833"/>
      <c r="AT466" s="844"/>
      <c r="AU466" s="844"/>
      <c r="AV466" s="844"/>
      <c r="AW466" s="844"/>
      <c r="AX466" s="844"/>
      <c r="AY466" s="844"/>
      <c r="AZ466" s="844"/>
      <c r="BA466" s="833"/>
      <c r="BB466" s="833"/>
      <c r="BC466" s="833"/>
      <c r="BD466" s="833"/>
      <c r="BE466" s="833"/>
      <c r="BF466" s="833"/>
      <c r="BG466" s="833"/>
      <c r="BH466" s="833"/>
      <c r="BI466" s="833"/>
      <c r="BJ466" s="833"/>
      <c r="BK466" s="833"/>
      <c r="BL466" s="833"/>
      <c r="BM466" s="840" t="s">
        <v>2399</v>
      </c>
      <c r="BN466" s="886"/>
    </row>
    <row r="467" spans="1:66" s="221" customFormat="1" x14ac:dyDescent="0.3">
      <c r="A467" s="821" t="s">
        <v>626</v>
      </c>
      <c r="B467" s="822" t="s">
        <v>86</v>
      </c>
      <c r="C467" s="821" t="s">
        <v>627</v>
      </c>
      <c r="D467" s="863" t="s">
        <v>77</v>
      </c>
      <c r="E467" s="823" t="s">
        <v>77</v>
      </c>
      <c r="F467" s="823" t="s">
        <v>86</v>
      </c>
      <c r="G467" s="824" t="s">
        <v>818</v>
      </c>
      <c r="H467" s="825" t="s">
        <v>816</v>
      </c>
      <c r="I467" s="825" t="s">
        <v>872</v>
      </c>
      <c r="J467" s="825" t="s">
        <v>818</v>
      </c>
      <c r="K467" s="1288" t="s">
        <v>2290</v>
      </c>
      <c r="L467" s="826" t="s">
        <v>1075</v>
      </c>
      <c r="M467" s="1314" t="s">
        <v>77</v>
      </c>
      <c r="N467" s="827"/>
      <c r="O467" s="1299"/>
      <c r="P467" s="822"/>
      <c r="Q467" s="1299" t="s">
        <v>818</v>
      </c>
      <c r="R467" s="828">
        <f>$B$1</f>
        <v>45388</v>
      </c>
      <c r="S467" s="829"/>
      <c r="T467" s="829"/>
      <c r="U467" s="830"/>
      <c r="V467" s="830"/>
      <c r="W467" s="821" t="str">
        <f>IFERROR(IF(AND(BD_PRINCIPAL[[#This Row],[DESDE]]&lt;&gt;"",BD_PRINCIPAL[[#This Row],[HASTA]]&lt;&gt;""),_xlfn.DAYS(BD_PRINCIPAL[[#This Row],[HASTA]],BD_PRINCIPAL[[#This Row],[DESDE]]),"")+1,"")</f>
        <v/>
      </c>
      <c r="X467" s="821">
        <f>VLOOKUP(BD_PRINCIPAL[[#This Row],[ENCUADRE. ESC.]],ORDEN1,2,FALSE)</f>
        <v>5</v>
      </c>
      <c r="Y467" s="821">
        <f>VLOOKUP(BD_PRINCIPAL[[#This Row],[DOTACIÓN ACTUAL]],ORDEN2,4,FALSE)</f>
        <v>295</v>
      </c>
      <c r="Z467" s="821">
        <f>VLOOKUP(BD_PRINCIPAL[[#This Row],[GRADO]],ORDEN3,2,FALSE)</f>
        <v>15</v>
      </c>
      <c r="AA467" s="821">
        <f>IFERROR(VLOOKUP(BD_PRINCIPAL[[#This Row],[DOTACIÓN ACTUAL]],ORDEN2,3,FALSE),0)</f>
        <v>0</v>
      </c>
      <c r="AB467" s="822" t="s">
        <v>1075</v>
      </c>
      <c r="AC467" s="822" t="s">
        <v>1075</v>
      </c>
      <c r="AD467" s="822" t="s">
        <v>1075</v>
      </c>
      <c r="AE467" s="822" t="s">
        <v>1075</v>
      </c>
      <c r="AF467" s="822" t="s">
        <v>1075</v>
      </c>
      <c r="AG467" s="822" t="s">
        <v>1075</v>
      </c>
      <c r="AH467" s="822"/>
      <c r="AI467" s="822"/>
      <c r="AJ467" s="822"/>
      <c r="AK467" s="822"/>
      <c r="AL467" s="822"/>
      <c r="AM467" s="822"/>
      <c r="AN467" s="822"/>
      <c r="AO467" s="822"/>
      <c r="AP467" s="822"/>
      <c r="AQ467" s="822"/>
      <c r="AR467" s="822"/>
      <c r="AS467" s="822"/>
      <c r="AT467" s="831"/>
      <c r="AU467" s="831"/>
      <c r="AV467" s="831"/>
      <c r="AW467" s="831"/>
      <c r="AX467" s="831"/>
      <c r="AY467" s="831"/>
      <c r="AZ467" s="831"/>
      <c r="BA467" s="822"/>
      <c r="BB467" s="822"/>
      <c r="BC467" s="822"/>
      <c r="BD467" s="822"/>
      <c r="BE467" s="822"/>
      <c r="BF467" s="822"/>
      <c r="BG467" s="822"/>
      <c r="BH467" s="822"/>
      <c r="BI467" s="822"/>
      <c r="BJ467" s="822"/>
      <c r="BK467" s="822"/>
      <c r="BL467" s="822"/>
      <c r="BM467" s="827" t="s">
        <v>2399</v>
      </c>
      <c r="BN467" s="900"/>
    </row>
    <row r="468" spans="1:66" s="221" customFormat="1" x14ac:dyDescent="0.3">
      <c r="A468" s="821" t="s">
        <v>2065</v>
      </c>
      <c r="B468" s="878" t="s">
        <v>2066</v>
      </c>
      <c r="C468" s="821">
        <v>195031606</v>
      </c>
      <c r="D468" s="863" t="s">
        <v>77</v>
      </c>
      <c r="E468" s="823" t="s">
        <v>77</v>
      </c>
      <c r="F468" s="823" t="s">
        <v>2288</v>
      </c>
      <c r="G468" s="879" t="s">
        <v>818</v>
      </c>
      <c r="H468" s="825" t="s">
        <v>816</v>
      </c>
      <c r="I468" s="825" t="s">
        <v>872</v>
      </c>
      <c r="J468" s="880" t="s">
        <v>818</v>
      </c>
      <c r="K468" s="1288" t="s">
        <v>2290</v>
      </c>
      <c r="L468" s="826" t="s">
        <v>1075</v>
      </c>
      <c r="M468" s="1314" t="s">
        <v>77</v>
      </c>
      <c r="N468" s="881"/>
      <c r="O468" s="1299"/>
      <c r="P468" s="822"/>
      <c r="Q468" s="1299" t="s">
        <v>818</v>
      </c>
      <c r="R468" s="882">
        <f>$B$1</f>
        <v>45388</v>
      </c>
      <c r="S468" s="829"/>
      <c r="T468" s="829"/>
      <c r="U468" s="830"/>
      <c r="V468" s="830"/>
      <c r="W468" s="883" t="str">
        <f>IFERROR(IF(AND(BD_PRINCIPAL[[#This Row],[DESDE]]&lt;&gt;"",BD_PRINCIPAL[[#This Row],[HASTA]]&lt;&gt;""),_xlfn.DAYS(BD_PRINCIPAL[[#This Row],[HASTA]],BD_PRINCIPAL[[#This Row],[DESDE]]),"")+1,"")</f>
        <v/>
      </c>
      <c r="X468" s="883">
        <f>VLOOKUP(BD_PRINCIPAL[[#This Row],[ENCUADRE. ESC.]],ORDEN1,2,FALSE)</f>
        <v>5</v>
      </c>
      <c r="Y468" s="883">
        <f>VLOOKUP(BD_PRINCIPAL[[#This Row],[DOTACIÓN ACTUAL]],ORDEN2,4,FALSE)</f>
        <v>295</v>
      </c>
      <c r="Z468" s="883">
        <f>VLOOKUP(BD_PRINCIPAL[[#This Row],[GRADO]],ORDEN3,2,FALSE)</f>
        <v>15</v>
      </c>
      <c r="AA468" s="883">
        <f>IFERROR(VLOOKUP(BD_PRINCIPAL[[#This Row],[DOTACIÓN ACTUAL]],ORDEN2,3,FALSE),0)</f>
        <v>0</v>
      </c>
      <c r="AB468" s="822" t="s">
        <v>1075</v>
      </c>
      <c r="AC468" s="822" t="s">
        <v>1075</v>
      </c>
      <c r="AD468" s="822" t="s">
        <v>1075</v>
      </c>
      <c r="AE468" s="822" t="s">
        <v>1075</v>
      </c>
      <c r="AF468" s="822" t="s">
        <v>1075</v>
      </c>
      <c r="AG468" s="822" t="s">
        <v>1075</v>
      </c>
      <c r="AH468" s="822"/>
      <c r="AI468" s="822"/>
      <c r="AJ468" s="822"/>
      <c r="AK468" s="822"/>
      <c r="AL468" s="822"/>
      <c r="AM468" s="822"/>
      <c r="AN468" s="822"/>
      <c r="AO468" s="822"/>
      <c r="AP468" s="822"/>
      <c r="AQ468" s="822"/>
      <c r="AR468" s="822"/>
      <c r="AS468" s="822"/>
      <c r="AT468" s="831"/>
      <c r="AU468" s="831"/>
      <c r="AV468" s="831"/>
      <c r="AW468" s="831"/>
      <c r="AX468" s="831"/>
      <c r="AY468" s="831"/>
      <c r="AZ468" s="831"/>
      <c r="BA468" s="822"/>
      <c r="BB468" s="822"/>
      <c r="BC468" s="822"/>
      <c r="BD468" s="822"/>
      <c r="BE468" s="822"/>
      <c r="BF468" s="822"/>
      <c r="BG468" s="822"/>
      <c r="BH468" s="822"/>
      <c r="BI468" s="822"/>
      <c r="BJ468" s="822"/>
      <c r="BK468" s="822"/>
      <c r="BL468" s="822"/>
      <c r="BM468" s="827" t="s">
        <v>2399</v>
      </c>
      <c r="BN468" s="900"/>
    </row>
    <row r="469" spans="1:66" s="221" customFormat="1" x14ac:dyDescent="0.3">
      <c r="A469" s="821" t="s">
        <v>638</v>
      </c>
      <c r="B469" s="822" t="s">
        <v>81</v>
      </c>
      <c r="C469" s="821">
        <v>128975748</v>
      </c>
      <c r="D469" s="863" t="s">
        <v>77</v>
      </c>
      <c r="E469" s="823" t="s">
        <v>77</v>
      </c>
      <c r="F469" s="823" t="s">
        <v>81</v>
      </c>
      <c r="G469" s="824" t="s">
        <v>818</v>
      </c>
      <c r="H469" s="825" t="s">
        <v>816</v>
      </c>
      <c r="I469" s="825" t="s">
        <v>872</v>
      </c>
      <c r="J469" s="825" t="s">
        <v>818</v>
      </c>
      <c r="K469" s="1288" t="s">
        <v>2290</v>
      </c>
      <c r="L469" s="826" t="s">
        <v>1075</v>
      </c>
      <c r="M469" s="1314" t="s">
        <v>77</v>
      </c>
      <c r="N469" s="827"/>
      <c r="O469" s="1299"/>
      <c r="P469" s="822"/>
      <c r="Q469" s="1299" t="s">
        <v>818</v>
      </c>
      <c r="R469" s="828">
        <f>$B$1</f>
        <v>45388</v>
      </c>
      <c r="S469" s="829"/>
      <c r="T469" s="829"/>
      <c r="U469" s="830"/>
      <c r="V469" s="830"/>
      <c r="W469" s="821" t="str">
        <f>IFERROR(IF(AND(BD_PRINCIPAL[[#This Row],[DESDE]]&lt;&gt;"",BD_PRINCIPAL[[#This Row],[HASTA]]&lt;&gt;""),_xlfn.DAYS(BD_PRINCIPAL[[#This Row],[HASTA]],BD_PRINCIPAL[[#This Row],[DESDE]]),"")+1,"")</f>
        <v/>
      </c>
      <c r="X469" s="821">
        <f>VLOOKUP(BD_PRINCIPAL[[#This Row],[ENCUADRE. ESC.]],ORDEN1,2,FALSE)</f>
        <v>5</v>
      </c>
      <c r="Y469" s="821">
        <f>VLOOKUP(BD_PRINCIPAL[[#This Row],[DOTACIÓN ACTUAL]],ORDEN2,4,FALSE)</f>
        <v>295</v>
      </c>
      <c r="Z469" s="821">
        <f>VLOOKUP(BD_PRINCIPAL[[#This Row],[GRADO]],ORDEN3,2,FALSE)</f>
        <v>15</v>
      </c>
      <c r="AA469" s="821">
        <f>IFERROR(VLOOKUP(BD_PRINCIPAL[[#This Row],[DOTACIÓN ACTUAL]],ORDEN2,3,FALSE),0)</f>
        <v>0</v>
      </c>
      <c r="AB469" s="822" t="s">
        <v>1075</v>
      </c>
      <c r="AC469" s="822" t="s">
        <v>1075</v>
      </c>
      <c r="AD469" s="822" t="s">
        <v>1075</v>
      </c>
      <c r="AE469" s="822" t="s">
        <v>1075</v>
      </c>
      <c r="AF469" s="822" t="s">
        <v>1075</v>
      </c>
      <c r="AG469" s="822" t="s">
        <v>1075</v>
      </c>
      <c r="AH469" s="822"/>
      <c r="AI469" s="822"/>
      <c r="AJ469" s="822"/>
      <c r="AK469" s="822"/>
      <c r="AL469" s="822"/>
      <c r="AM469" s="822"/>
      <c r="AN469" s="822"/>
      <c r="AO469" s="822"/>
      <c r="AP469" s="822"/>
      <c r="AQ469" s="822"/>
      <c r="AR469" s="822"/>
      <c r="AS469" s="822"/>
      <c r="AT469" s="831"/>
      <c r="AU469" s="831"/>
      <c r="AV469" s="831"/>
      <c r="AW469" s="831"/>
      <c r="AX469" s="831"/>
      <c r="AY469" s="831"/>
      <c r="AZ469" s="831"/>
      <c r="BA469" s="822"/>
      <c r="BB469" s="822"/>
      <c r="BC469" s="822"/>
      <c r="BD469" s="822"/>
      <c r="BE469" s="822"/>
      <c r="BF469" s="822"/>
      <c r="BG469" s="822"/>
      <c r="BH469" s="822"/>
      <c r="BI469" s="822"/>
      <c r="BJ469" s="822"/>
      <c r="BK469" s="822"/>
      <c r="BL469" s="822"/>
      <c r="BM469" s="827" t="s">
        <v>2399</v>
      </c>
      <c r="BN469" s="900"/>
    </row>
    <row r="470" spans="1:66" s="233" customFormat="1" x14ac:dyDescent="0.3">
      <c r="A470" s="834" t="s">
        <v>637</v>
      </c>
      <c r="B470" s="833" t="s">
        <v>780</v>
      </c>
      <c r="C470" s="834">
        <v>98184759</v>
      </c>
      <c r="D470" s="835" t="s">
        <v>782</v>
      </c>
      <c r="E470" s="884" t="s">
        <v>782</v>
      </c>
      <c r="F470" s="836" t="s">
        <v>780</v>
      </c>
      <c r="G470" s="837" t="s">
        <v>818</v>
      </c>
      <c r="H470" s="838" t="s">
        <v>817</v>
      </c>
      <c r="I470" s="838" t="s">
        <v>872</v>
      </c>
      <c r="J470" s="838" t="s">
        <v>818</v>
      </c>
      <c r="K470" s="1289" t="s">
        <v>2290</v>
      </c>
      <c r="L470" s="839" t="s">
        <v>1075</v>
      </c>
      <c r="M470" s="1315" t="s">
        <v>782</v>
      </c>
      <c r="N470" s="840"/>
      <c r="O470" s="1300"/>
      <c r="P470" s="833"/>
      <c r="Q470" s="1300" t="s">
        <v>818</v>
      </c>
      <c r="R470" s="841">
        <f>$B$1</f>
        <v>45388</v>
      </c>
      <c r="S470" s="842"/>
      <c r="T470" s="842"/>
      <c r="U470" s="843"/>
      <c r="V470" s="843"/>
      <c r="W470" s="834" t="str">
        <f>IFERROR(IF(AND(BD_PRINCIPAL[[#This Row],[DESDE]]&lt;&gt;"",BD_PRINCIPAL[[#This Row],[HASTA]]&lt;&gt;""),_xlfn.DAYS(BD_PRINCIPAL[[#This Row],[HASTA]],BD_PRINCIPAL[[#This Row],[DESDE]]),"")+1,"")</f>
        <v/>
      </c>
      <c r="X470" s="834">
        <f>VLOOKUP(BD_PRINCIPAL[[#This Row],[ENCUADRE. ESC.]],ORDEN1,2,FALSE)</f>
        <v>5</v>
      </c>
      <c r="Y470" s="834">
        <f>VLOOKUP(BD_PRINCIPAL[[#This Row],[DOTACIÓN ACTUAL]],ORDEN2,4,FALSE)</f>
        <v>296</v>
      </c>
      <c r="Z470" s="834">
        <f>VLOOKUP(BD_PRINCIPAL[[#This Row],[GRADO]],ORDEN3,2,FALSE)</f>
        <v>15</v>
      </c>
      <c r="AA470" s="834">
        <f>IFERROR(VLOOKUP(BD_PRINCIPAL[[#This Row],[DOTACIÓN ACTUAL]],ORDEN2,3,FALSE),0)</f>
        <v>0</v>
      </c>
      <c r="AB470" s="833" t="s">
        <v>1075</v>
      </c>
      <c r="AC470" s="833" t="s">
        <v>1075</v>
      </c>
      <c r="AD470" s="833" t="s">
        <v>1075</v>
      </c>
      <c r="AE470" s="833" t="s">
        <v>1075</v>
      </c>
      <c r="AF470" s="833" t="s">
        <v>1075</v>
      </c>
      <c r="AG470" s="833" t="s">
        <v>1075</v>
      </c>
      <c r="AH470" s="833"/>
      <c r="AI470" s="833"/>
      <c r="AJ470" s="833"/>
      <c r="AK470" s="833"/>
      <c r="AL470" s="833"/>
      <c r="AM470" s="833"/>
      <c r="AN470" s="833"/>
      <c r="AO470" s="833"/>
      <c r="AP470" s="833"/>
      <c r="AQ470" s="833"/>
      <c r="AR470" s="833"/>
      <c r="AS470" s="833"/>
      <c r="AT470" s="844"/>
      <c r="AU470" s="844"/>
      <c r="AV470" s="844"/>
      <c r="AW470" s="844"/>
      <c r="AX470" s="844"/>
      <c r="AY470" s="844"/>
      <c r="AZ470" s="844"/>
      <c r="BA470" s="833"/>
      <c r="BB470" s="833"/>
      <c r="BC470" s="833"/>
      <c r="BD470" s="833"/>
      <c r="BE470" s="833"/>
      <c r="BF470" s="833"/>
      <c r="BG470" s="833"/>
      <c r="BH470" s="833"/>
      <c r="BI470" s="833"/>
      <c r="BJ470" s="833"/>
      <c r="BK470" s="833"/>
      <c r="BL470" s="833"/>
      <c r="BM470" s="840" t="s">
        <v>2399</v>
      </c>
      <c r="BN470" s="886"/>
    </row>
    <row r="471" spans="1:66" s="260" customFormat="1" ht="26.4" x14ac:dyDescent="0.3">
      <c r="A471" s="796" t="s">
        <v>617</v>
      </c>
      <c r="B471" s="797" t="s">
        <v>211</v>
      </c>
      <c r="C471" s="796">
        <v>69788726</v>
      </c>
      <c r="D471" s="347" t="s">
        <v>1081</v>
      </c>
      <c r="E471" s="798" t="s">
        <v>1527</v>
      </c>
      <c r="F471" s="798" t="s">
        <v>211</v>
      </c>
      <c r="G471" s="799" t="s">
        <v>818</v>
      </c>
      <c r="H471" s="800" t="s">
        <v>816</v>
      </c>
      <c r="I471" s="800" t="s">
        <v>872</v>
      </c>
      <c r="J471" s="800" t="s">
        <v>818</v>
      </c>
      <c r="K471" s="1290" t="s">
        <v>2290</v>
      </c>
      <c r="L471" s="801" t="s">
        <v>909</v>
      </c>
      <c r="M471" s="1316" t="s">
        <v>1527</v>
      </c>
      <c r="N471" s="802"/>
      <c r="O471" s="1301"/>
      <c r="P471" s="797"/>
      <c r="Q471" s="1301" t="s">
        <v>818</v>
      </c>
      <c r="R471" s="803">
        <f>$B$1</f>
        <v>45388</v>
      </c>
      <c r="S471" s="804"/>
      <c r="T471" s="804"/>
      <c r="U471" s="805">
        <v>45385</v>
      </c>
      <c r="V471" s="805"/>
      <c r="W471" s="796" t="str">
        <f>IFERROR(IF(AND(BD_PRINCIPAL[[#This Row],[DESDE]]&lt;&gt;"",BD_PRINCIPAL[[#This Row],[HASTA]]&lt;&gt;""),_xlfn.DAYS(BD_PRINCIPAL[[#This Row],[HASTA]],BD_PRINCIPAL[[#This Row],[DESDE]]),"")+1,"")</f>
        <v/>
      </c>
      <c r="X471" s="796">
        <f>VLOOKUP(BD_PRINCIPAL[[#This Row],[ENCUADRE. ESC.]],ORDEN1,2,FALSE)</f>
        <v>5</v>
      </c>
      <c r="Y471" s="796">
        <f>VLOOKUP(BD_PRINCIPAL[[#This Row],[DOTACIÓN ACTUAL]],ORDEN2,4,FALSE)</f>
        <v>298</v>
      </c>
      <c r="Z471" s="796">
        <f>VLOOKUP(BD_PRINCIPAL[[#This Row],[GRADO]],ORDEN3,2,FALSE)</f>
        <v>15</v>
      </c>
      <c r="AA471" s="796">
        <f>IFERROR(VLOOKUP(BD_PRINCIPAL[[#This Row],[DOTACIÓN ACTUAL]],ORDEN2,3,FALSE),0)</f>
        <v>0</v>
      </c>
      <c r="AB471" s="797" t="s">
        <v>1075</v>
      </c>
      <c r="AC471" s="797" t="s">
        <v>909</v>
      </c>
      <c r="AD471" s="797" t="s">
        <v>909</v>
      </c>
      <c r="AE471" s="797" t="s">
        <v>909</v>
      </c>
      <c r="AF471" s="797" t="s">
        <v>909</v>
      </c>
      <c r="AG471" s="797" t="s">
        <v>909</v>
      </c>
      <c r="AH471" s="797"/>
      <c r="AI471" s="797"/>
      <c r="AJ471" s="797"/>
      <c r="AK471" s="797"/>
      <c r="AL471" s="797"/>
      <c r="AM471" s="797"/>
      <c r="AN471" s="797"/>
      <c r="AO471" s="797"/>
      <c r="AP471" s="797"/>
      <c r="AQ471" s="797"/>
      <c r="AR471" s="797"/>
      <c r="AS471" s="797"/>
      <c r="AT471" s="806"/>
      <c r="AU471" s="806"/>
      <c r="AV471" s="806"/>
      <c r="AW471" s="806"/>
      <c r="AX471" s="806"/>
      <c r="AY471" s="806"/>
      <c r="AZ471" s="806"/>
      <c r="BA471" s="797"/>
      <c r="BB471" s="797"/>
      <c r="BC471" s="797"/>
      <c r="BD471" s="797"/>
      <c r="BE471" s="797"/>
      <c r="BF471" s="797"/>
      <c r="BG471" s="797"/>
      <c r="BH471" s="797"/>
      <c r="BI471" s="797"/>
      <c r="BJ471" s="797"/>
      <c r="BK471" s="797"/>
      <c r="BL471" s="797"/>
      <c r="BM471" s="802" t="s">
        <v>2399</v>
      </c>
      <c r="BN471" s="875"/>
    </row>
    <row r="472" spans="1:66" s="221" customFormat="1" x14ac:dyDescent="0.3">
      <c r="A472" s="821" t="s">
        <v>615</v>
      </c>
      <c r="B472" s="822" t="s">
        <v>79</v>
      </c>
      <c r="C472" s="821">
        <v>151094899</v>
      </c>
      <c r="D472" s="863" t="s">
        <v>639</v>
      </c>
      <c r="E472" s="823" t="s">
        <v>639</v>
      </c>
      <c r="F472" s="823" t="s">
        <v>79</v>
      </c>
      <c r="G472" s="824" t="s">
        <v>818</v>
      </c>
      <c r="H472" s="825" t="s">
        <v>816</v>
      </c>
      <c r="I472" s="825" t="s">
        <v>872</v>
      </c>
      <c r="J472" s="825" t="s">
        <v>818</v>
      </c>
      <c r="K472" s="1288" t="s">
        <v>2290</v>
      </c>
      <c r="L472" s="826" t="s">
        <v>1075</v>
      </c>
      <c r="M472" s="1314" t="s">
        <v>639</v>
      </c>
      <c r="N472" s="827"/>
      <c r="O472" s="1299"/>
      <c r="P472" s="822"/>
      <c r="Q472" s="1299" t="s">
        <v>818</v>
      </c>
      <c r="R472" s="828">
        <f>$B$1</f>
        <v>45388</v>
      </c>
      <c r="S472" s="829"/>
      <c r="T472" s="829"/>
      <c r="U472" s="830"/>
      <c r="V472" s="830"/>
      <c r="W472" s="821" t="str">
        <f>IFERROR(IF(AND(BD_PRINCIPAL[[#This Row],[DESDE]]&lt;&gt;"",BD_PRINCIPAL[[#This Row],[HASTA]]&lt;&gt;""),_xlfn.DAYS(BD_PRINCIPAL[[#This Row],[HASTA]],BD_PRINCIPAL[[#This Row],[DESDE]]),"")+1,"")</f>
        <v/>
      </c>
      <c r="X472" s="821">
        <f>VLOOKUP(BD_PRINCIPAL[[#This Row],[ENCUADRE. ESC.]],ORDEN1,2,FALSE)</f>
        <v>5</v>
      </c>
      <c r="Y472" s="821">
        <f>VLOOKUP(BD_PRINCIPAL[[#This Row],[DOTACIÓN ACTUAL]],ORDEN2,4,FALSE)</f>
        <v>320</v>
      </c>
      <c r="Z472" s="821">
        <f>VLOOKUP(BD_PRINCIPAL[[#This Row],[GRADO]],ORDEN3,2,FALSE)</f>
        <v>15</v>
      </c>
      <c r="AA472" s="821">
        <f>IFERROR(VLOOKUP(BD_PRINCIPAL[[#This Row],[DOTACIÓN ACTUAL]],ORDEN2,3,FALSE),0)</f>
        <v>0</v>
      </c>
      <c r="AB472" s="822" t="s">
        <v>1075</v>
      </c>
      <c r="AC472" s="822" t="s">
        <v>1075</v>
      </c>
      <c r="AD472" s="822" t="s">
        <v>1075</v>
      </c>
      <c r="AE472" s="822" t="s">
        <v>1075</v>
      </c>
      <c r="AF472" s="822" t="s">
        <v>1075</v>
      </c>
      <c r="AG472" s="822" t="s">
        <v>1075</v>
      </c>
      <c r="AH472" s="822"/>
      <c r="AI472" s="822"/>
      <c r="AJ472" s="822"/>
      <c r="AK472" s="822"/>
      <c r="AL472" s="822"/>
      <c r="AM472" s="822"/>
      <c r="AN472" s="822"/>
      <c r="AO472" s="822"/>
      <c r="AP472" s="822"/>
      <c r="AQ472" s="822"/>
      <c r="AR472" s="822"/>
      <c r="AS472" s="822"/>
      <c r="AT472" s="831"/>
      <c r="AU472" s="831"/>
      <c r="AV472" s="831"/>
      <c r="AW472" s="831"/>
      <c r="AX472" s="831"/>
      <c r="AY472" s="831"/>
      <c r="AZ472" s="831"/>
      <c r="BA472" s="822"/>
      <c r="BB472" s="822"/>
      <c r="BC472" s="822"/>
      <c r="BD472" s="822"/>
      <c r="BE472" s="822"/>
      <c r="BF472" s="822"/>
      <c r="BG472" s="822"/>
      <c r="BH472" s="822"/>
      <c r="BI472" s="822"/>
      <c r="BJ472" s="822"/>
      <c r="BK472" s="822"/>
      <c r="BL472" s="822"/>
      <c r="BM472" s="827" t="s">
        <v>2399</v>
      </c>
      <c r="BN472" s="900"/>
    </row>
    <row r="473" spans="1:66" s="247" customFormat="1" x14ac:dyDescent="0.3">
      <c r="A473" s="807" t="s">
        <v>618</v>
      </c>
      <c r="B473" s="808" t="s">
        <v>80</v>
      </c>
      <c r="C473" s="807">
        <v>129104562</v>
      </c>
      <c r="D473" s="400" t="s">
        <v>792</v>
      </c>
      <c r="E473" s="809" t="s">
        <v>792</v>
      </c>
      <c r="F473" s="809" t="s">
        <v>80</v>
      </c>
      <c r="G473" s="810" t="s">
        <v>818</v>
      </c>
      <c r="H473" s="811" t="s">
        <v>816</v>
      </c>
      <c r="I473" s="811" t="s">
        <v>872</v>
      </c>
      <c r="J473" s="811" t="s">
        <v>818</v>
      </c>
      <c r="K473" s="1293" t="s">
        <v>2290</v>
      </c>
      <c r="L473" s="812" t="s">
        <v>1075</v>
      </c>
      <c r="M473" s="1318" t="s">
        <v>792</v>
      </c>
      <c r="N473" s="813"/>
      <c r="O473" s="1303"/>
      <c r="P473" s="808"/>
      <c r="Q473" s="1303" t="s">
        <v>818</v>
      </c>
      <c r="R473" s="814">
        <f>$B$1</f>
        <v>45388</v>
      </c>
      <c r="S473" s="815"/>
      <c r="T473" s="815"/>
      <c r="U473" s="816"/>
      <c r="V473" s="816"/>
      <c r="W473" s="807" t="str">
        <f>IFERROR(IF(AND(BD_PRINCIPAL[[#This Row],[DESDE]]&lt;&gt;"",BD_PRINCIPAL[[#This Row],[HASTA]]&lt;&gt;""),_xlfn.DAYS(BD_PRINCIPAL[[#This Row],[HASTA]],BD_PRINCIPAL[[#This Row],[DESDE]]),"")+1,"")</f>
        <v/>
      </c>
      <c r="X473" s="807">
        <f>VLOOKUP(BD_PRINCIPAL[[#This Row],[ENCUADRE. ESC.]],ORDEN1,2,FALSE)</f>
        <v>5</v>
      </c>
      <c r="Y473" s="807">
        <f>VLOOKUP(BD_PRINCIPAL[[#This Row],[DOTACIÓN ACTUAL]],ORDEN2,4,FALSE)</f>
        <v>327</v>
      </c>
      <c r="Z473" s="807">
        <f>VLOOKUP(BD_PRINCIPAL[[#This Row],[GRADO]],ORDEN3,2,FALSE)</f>
        <v>15</v>
      </c>
      <c r="AA473" s="807">
        <f>IFERROR(VLOOKUP(BD_PRINCIPAL[[#This Row],[DOTACIÓN ACTUAL]],ORDEN2,3,FALSE),0)</f>
        <v>0</v>
      </c>
      <c r="AB473" s="808" t="s">
        <v>1075</v>
      </c>
      <c r="AC473" s="808" t="s">
        <v>1075</v>
      </c>
      <c r="AD473" s="808" t="s">
        <v>1075</v>
      </c>
      <c r="AE473" s="808" t="s">
        <v>1075</v>
      </c>
      <c r="AF473" s="808" t="s">
        <v>1075</v>
      </c>
      <c r="AG473" s="808" t="s">
        <v>1075</v>
      </c>
      <c r="AH473" s="808"/>
      <c r="AI473" s="808"/>
      <c r="AJ473" s="808"/>
      <c r="AK473" s="808"/>
      <c r="AL473" s="808"/>
      <c r="AM473" s="808"/>
      <c r="AN473" s="808"/>
      <c r="AO473" s="808"/>
      <c r="AP473" s="808"/>
      <c r="AQ473" s="808"/>
      <c r="AR473" s="808"/>
      <c r="AS473" s="808"/>
      <c r="AT473" s="817"/>
      <c r="AU473" s="817"/>
      <c r="AV473" s="817"/>
      <c r="AW473" s="817"/>
      <c r="AX473" s="817"/>
      <c r="AY473" s="817"/>
      <c r="AZ473" s="817"/>
      <c r="BA473" s="808"/>
      <c r="BB473" s="808"/>
      <c r="BC473" s="808"/>
      <c r="BD473" s="808"/>
      <c r="BE473" s="808"/>
      <c r="BF473" s="808"/>
      <c r="BG473" s="808"/>
      <c r="BH473" s="808"/>
      <c r="BI473" s="808"/>
      <c r="BJ473" s="808"/>
      <c r="BK473" s="808"/>
      <c r="BL473" s="808"/>
      <c r="BM473" s="813" t="s">
        <v>2399</v>
      </c>
      <c r="BN473" s="891"/>
    </row>
    <row r="474" spans="1:66" s="221" customFormat="1" ht="26.4" x14ac:dyDescent="0.3">
      <c r="A474" s="821" t="s">
        <v>616</v>
      </c>
      <c r="B474" s="822" t="s">
        <v>78</v>
      </c>
      <c r="C474" s="821">
        <v>117555178</v>
      </c>
      <c r="D474" s="346" t="s">
        <v>786</v>
      </c>
      <c r="E474" s="823" t="s">
        <v>786</v>
      </c>
      <c r="F474" s="823" t="s">
        <v>78</v>
      </c>
      <c r="G474" s="824" t="s">
        <v>818</v>
      </c>
      <c r="H474" s="825" t="s">
        <v>817</v>
      </c>
      <c r="I474" s="825" t="s">
        <v>872</v>
      </c>
      <c r="J474" s="825" t="s">
        <v>818</v>
      </c>
      <c r="K474" s="1288" t="s">
        <v>2290</v>
      </c>
      <c r="L474" s="826" t="s">
        <v>1075</v>
      </c>
      <c r="M474" s="1314" t="s">
        <v>786</v>
      </c>
      <c r="N474" s="827"/>
      <c r="O474" s="1299"/>
      <c r="P474" s="822"/>
      <c r="Q474" s="1299" t="s">
        <v>818</v>
      </c>
      <c r="R474" s="828">
        <f>$B$1</f>
        <v>45388</v>
      </c>
      <c r="S474" s="829"/>
      <c r="T474" s="829"/>
      <c r="U474" s="830"/>
      <c r="V474" s="830"/>
      <c r="W474" s="821" t="str">
        <f>IFERROR(IF(AND(BD_PRINCIPAL[[#This Row],[DESDE]]&lt;&gt;"",BD_PRINCIPAL[[#This Row],[HASTA]]&lt;&gt;""),_xlfn.DAYS(BD_PRINCIPAL[[#This Row],[HASTA]],BD_PRINCIPAL[[#This Row],[DESDE]]),"")+1,"")</f>
        <v/>
      </c>
      <c r="X474" s="821">
        <f>VLOOKUP(BD_PRINCIPAL[[#This Row],[ENCUADRE. ESC.]],ORDEN1,2,FALSE)</f>
        <v>5</v>
      </c>
      <c r="Y474" s="821">
        <f>VLOOKUP(BD_PRINCIPAL[[#This Row],[DOTACIÓN ACTUAL]],ORDEN2,4,FALSE)</f>
        <v>330</v>
      </c>
      <c r="Z474" s="821">
        <f>VLOOKUP(BD_PRINCIPAL[[#This Row],[GRADO]],ORDEN3,2,FALSE)</f>
        <v>15</v>
      </c>
      <c r="AA474" s="821">
        <f>IFERROR(VLOOKUP(BD_PRINCIPAL[[#This Row],[DOTACIÓN ACTUAL]],ORDEN2,3,FALSE),0)</f>
        <v>0</v>
      </c>
      <c r="AB474" s="822" t="s">
        <v>1075</v>
      </c>
      <c r="AC474" s="822" t="s">
        <v>1075</v>
      </c>
      <c r="AD474" s="822" t="s">
        <v>1075</v>
      </c>
      <c r="AE474" s="822" t="s">
        <v>1075</v>
      </c>
      <c r="AF474" s="822" t="s">
        <v>1075</v>
      </c>
      <c r="AG474" s="822" t="s">
        <v>1075</v>
      </c>
      <c r="AH474" s="822"/>
      <c r="AI474" s="822"/>
      <c r="AJ474" s="822"/>
      <c r="AK474" s="822"/>
      <c r="AL474" s="822"/>
      <c r="AM474" s="822"/>
      <c r="AN474" s="822"/>
      <c r="AO474" s="822"/>
      <c r="AP474" s="822"/>
      <c r="AQ474" s="822"/>
      <c r="AR474" s="822"/>
      <c r="AS474" s="822"/>
      <c r="AT474" s="831"/>
      <c r="AU474" s="831"/>
      <c r="AV474" s="831"/>
      <c r="AW474" s="831"/>
      <c r="AX474" s="831"/>
      <c r="AY474" s="831"/>
      <c r="AZ474" s="831"/>
      <c r="BA474" s="822"/>
      <c r="BB474" s="822"/>
      <c r="BC474" s="822"/>
      <c r="BD474" s="822"/>
      <c r="BE474" s="822"/>
      <c r="BF474" s="822"/>
      <c r="BG474" s="822"/>
      <c r="BH474" s="822"/>
      <c r="BI474" s="822"/>
      <c r="BJ474" s="822"/>
      <c r="BK474" s="822"/>
      <c r="BL474" s="822"/>
      <c r="BM474" s="827" t="s">
        <v>2399</v>
      </c>
      <c r="BN474" s="900"/>
    </row>
    <row r="475" spans="1:66" s="221" customFormat="1" ht="26.4" x14ac:dyDescent="0.3">
      <c r="A475" s="821" t="s">
        <v>608</v>
      </c>
      <c r="B475" s="822" t="s">
        <v>609</v>
      </c>
      <c r="C475" s="821">
        <v>112749217</v>
      </c>
      <c r="D475" s="346" t="s">
        <v>786</v>
      </c>
      <c r="E475" s="823" t="s">
        <v>786</v>
      </c>
      <c r="F475" s="823" t="s">
        <v>609</v>
      </c>
      <c r="G475" s="824" t="s">
        <v>818</v>
      </c>
      <c r="H475" s="825" t="s">
        <v>816</v>
      </c>
      <c r="I475" s="825" t="s">
        <v>871</v>
      </c>
      <c r="J475" s="825" t="s">
        <v>818</v>
      </c>
      <c r="K475" s="1288" t="s">
        <v>2290</v>
      </c>
      <c r="L475" s="826" t="s">
        <v>1075</v>
      </c>
      <c r="M475" s="1314" t="s">
        <v>786</v>
      </c>
      <c r="N475" s="827"/>
      <c r="O475" s="1299"/>
      <c r="P475" s="822"/>
      <c r="Q475" s="1299" t="s">
        <v>818</v>
      </c>
      <c r="R475" s="828">
        <f>$B$1</f>
        <v>45388</v>
      </c>
      <c r="S475" s="829"/>
      <c r="T475" s="829"/>
      <c r="U475" s="830"/>
      <c r="V475" s="830"/>
      <c r="W475" s="821" t="str">
        <f>IFERROR(IF(AND(BD_PRINCIPAL[[#This Row],[DESDE]]&lt;&gt;"",BD_PRINCIPAL[[#This Row],[HASTA]]&lt;&gt;""),_xlfn.DAYS(BD_PRINCIPAL[[#This Row],[HASTA]],BD_PRINCIPAL[[#This Row],[DESDE]]),"")+1,"")</f>
        <v/>
      </c>
      <c r="X475" s="821">
        <f>VLOOKUP(BD_PRINCIPAL[[#This Row],[ENCUADRE. ESC.]],ORDEN1,2,FALSE)</f>
        <v>5</v>
      </c>
      <c r="Y475" s="821">
        <f>VLOOKUP(BD_PRINCIPAL[[#This Row],[DOTACIÓN ACTUAL]],ORDEN2,4,FALSE)</f>
        <v>330</v>
      </c>
      <c r="Z475" s="821">
        <f>VLOOKUP(BD_PRINCIPAL[[#This Row],[GRADO]],ORDEN3,2,FALSE)</f>
        <v>15</v>
      </c>
      <c r="AA475" s="821">
        <f>IFERROR(VLOOKUP(BD_PRINCIPAL[[#This Row],[DOTACIÓN ACTUAL]],ORDEN2,3,FALSE),0)</f>
        <v>0</v>
      </c>
      <c r="AB475" s="822" t="s">
        <v>1075</v>
      </c>
      <c r="AC475" s="822" t="s">
        <v>1075</v>
      </c>
      <c r="AD475" s="822" t="s">
        <v>1075</v>
      </c>
      <c r="AE475" s="822" t="s">
        <v>1075</v>
      </c>
      <c r="AF475" s="822" t="s">
        <v>1075</v>
      </c>
      <c r="AG475" s="822" t="s">
        <v>1075</v>
      </c>
      <c r="AH475" s="822"/>
      <c r="AI475" s="822"/>
      <c r="AJ475" s="822"/>
      <c r="AK475" s="822"/>
      <c r="AL475" s="822"/>
      <c r="AM475" s="822"/>
      <c r="AN475" s="822"/>
      <c r="AO475" s="822"/>
      <c r="AP475" s="822"/>
      <c r="AQ475" s="822"/>
      <c r="AR475" s="822"/>
      <c r="AS475" s="822"/>
      <c r="AT475" s="831"/>
      <c r="AU475" s="831"/>
      <c r="AV475" s="831"/>
      <c r="AW475" s="831"/>
      <c r="AX475" s="831"/>
      <c r="AY475" s="831"/>
      <c r="AZ475" s="831"/>
      <c r="BA475" s="822"/>
      <c r="BB475" s="822"/>
      <c r="BC475" s="822"/>
      <c r="BD475" s="822"/>
      <c r="BE475" s="822"/>
      <c r="BF475" s="822"/>
      <c r="BG475" s="822"/>
      <c r="BH475" s="822"/>
      <c r="BI475" s="822"/>
      <c r="BJ475" s="822"/>
      <c r="BK475" s="822"/>
      <c r="BL475" s="822"/>
      <c r="BM475" s="827" t="s">
        <v>2399</v>
      </c>
      <c r="BN475" s="900"/>
    </row>
    <row r="476" spans="1:66" s="247" customFormat="1" ht="26.4" x14ac:dyDescent="0.3">
      <c r="A476" s="807" t="s">
        <v>604</v>
      </c>
      <c r="B476" s="808" t="s">
        <v>605</v>
      </c>
      <c r="C476" s="807">
        <v>142989220</v>
      </c>
      <c r="D476" s="400" t="s">
        <v>814</v>
      </c>
      <c r="E476" s="809" t="s">
        <v>814</v>
      </c>
      <c r="F476" s="809" t="s">
        <v>605</v>
      </c>
      <c r="G476" s="810" t="s">
        <v>818</v>
      </c>
      <c r="H476" s="811" t="s">
        <v>817</v>
      </c>
      <c r="I476" s="811" t="s">
        <v>871</v>
      </c>
      <c r="J476" s="811" t="s">
        <v>818</v>
      </c>
      <c r="K476" s="1293" t="s">
        <v>2290</v>
      </c>
      <c r="L476" s="812" t="s">
        <v>1075</v>
      </c>
      <c r="M476" s="1318" t="s">
        <v>814</v>
      </c>
      <c r="N476" s="813"/>
      <c r="O476" s="1303"/>
      <c r="P476" s="808"/>
      <c r="Q476" s="1303" t="s">
        <v>818</v>
      </c>
      <c r="R476" s="814">
        <f>$B$1</f>
        <v>45388</v>
      </c>
      <c r="S476" s="815"/>
      <c r="T476" s="815"/>
      <c r="U476" s="816"/>
      <c r="V476" s="816"/>
      <c r="W476" s="807" t="str">
        <f>IFERROR(IF(AND(BD_PRINCIPAL[[#This Row],[DESDE]]&lt;&gt;"",BD_PRINCIPAL[[#This Row],[HASTA]]&lt;&gt;""),_xlfn.DAYS(BD_PRINCIPAL[[#This Row],[HASTA]],BD_PRINCIPAL[[#This Row],[DESDE]]),"")+1,"")</f>
        <v/>
      </c>
      <c r="X476" s="807">
        <f>VLOOKUP(BD_PRINCIPAL[[#This Row],[ENCUADRE. ESC.]],ORDEN1,2,FALSE)</f>
        <v>5</v>
      </c>
      <c r="Y476" s="807">
        <f>VLOOKUP(BD_PRINCIPAL[[#This Row],[DOTACIÓN ACTUAL]],ORDEN2,4,FALSE)</f>
        <v>332</v>
      </c>
      <c r="Z476" s="807">
        <f>VLOOKUP(BD_PRINCIPAL[[#This Row],[GRADO]],ORDEN3,2,FALSE)</f>
        <v>15</v>
      </c>
      <c r="AA476" s="807">
        <f>IFERROR(VLOOKUP(BD_PRINCIPAL[[#This Row],[DOTACIÓN ACTUAL]],ORDEN2,3,FALSE),0)</f>
        <v>0</v>
      </c>
      <c r="AB476" s="808" t="s">
        <v>1075</v>
      </c>
      <c r="AC476" s="808" t="s">
        <v>1075</v>
      </c>
      <c r="AD476" s="808" t="s">
        <v>1075</v>
      </c>
      <c r="AE476" s="808" t="s">
        <v>1075</v>
      </c>
      <c r="AF476" s="808" t="s">
        <v>1075</v>
      </c>
      <c r="AG476" s="808" t="s">
        <v>1075</v>
      </c>
      <c r="AH476" s="808"/>
      <c r="AI476" s="808"/>
      <c r="AJ476" s="808"/>
      <c r="AK476" s="808"/>
      <c r="AL476" s="808"/>
      <c r="AM476" s="808"/>
      <c r="AN476" s="808"/>
      <c r="AO476" s="808"/>
      <c r="AP476" s="808"/>
      <c r="AQ476" s="808"/>
      <c r="AR476" s="808"/>
      <c r="AS476" s="808"/>
      <c r="AT476" s="817"/>
      <c r="AU476" s="817"/>
      <c r="AV476" s="817"/>
      <c r="AW476" s="817"/>
      <c r="AX476" s="817"/>
      <c r="AY476" s="817"/>
      <c r="AZ476" s="817"/>
      <c r="BA476" s="808"/>
      <c r="BB476" s="808"/>
      <c r="BC476" s="808"/>
      <c r="BD476" s="808"/>
      <c r="BE476" s="808"/>
      <c r="BF476" s="808"/>
      <c r="BG476" s="808"/>
      <c r="BH476" s="808"/>
      <c r="BI476" s="808"/>
      <c r="BJ476" s="808"/>
      <c r="BK476" s="808"/>
      <c r="BL476" s="808"/>
      <c r="BM476" s="813" t="s">
        <v>2399</v>
      </c>
      <c r="BN476" s="891"/>
    </row>
    <row r="477" spans="1:66" s="247" customFormat="1" ht="26.4" x14ac:dyDescent="0.3">
      <c r="A477" s="807" t="s">
        <v>612</v>
      </c>
      <c r="B477" s="808" t="s">
        <v>602</v>
      </c>
      <c r="C477" s="807">
        <v>138974960</v>
      </c>
      <c r="D477" s="400" t="s">
        <v>814</v>
      </c>
      <c r="E477" s="809" t="s">
        <v>814</v>
      </c>
      <c r="F477" s="809" t="s">
        <v>602</v>
      </c>
      <c r="G477" s="810" t="s">
        <v>818</v>
      </c>
      <c r="H477" s="811" t="s">
        <v>817</v>
      </c>
      <c r="I477" s="811" t="s">
        <v>871</v>
      </c>
      <c r="J477" s="811" t="s">
        <v>818</v>
      </c>
      <c r="K477" s="1293" t="s">
        <v>2290</v>
      </c>
      <c r="L477" s="812" t="s">
        <v>1075</v>
      </c>
      <c r="M477" s="1318" t="s">
        <v>814</v>
      </c>
      <c r="N477" s="813"/>
      <c r="O477" s="1303"/>
      <c r="P477" s="808"/>
      <c r="Q477" s="1303" t="s">
        <v>818</v>
      </c>
      <c r="R477" s="814">
        <f>$B$1</f>
        <v>45388</v>
      </c>
      <c r="S477" s="934"/>
      <c r="T477" s="815" t="s">
        <v>2768</v>
      </c>
      <c r="U477" s="816"/>
      <c r="V477" s="816"/>
      <c r="W477" s="807" t="str">
        <f>IFERROR(IF(AND(BD_PRINCIPAL[[#This Row],[DESDE]]&lt;&gt;"",BD_PRINCIPAL[[#This Row],[HASTA]]&lt;&gt;""),_xlfn.DAYS(BD_PRINCIPAL[[#This Row],[HASTA]],BD_PRINCIPAL[[#This Row],[DESDE]]),"")+1,"")</f>
        <v/>
      </c>
      <c r="X477" s="807">
        <f>VLOOKUP(BD_PRINCIPAL[[#This Row],[ENCUADRE. ESC.]],ORDEN1,2,FALSE)</f>
        <v>5</v>
      </c>
      <c r="Y477" s="807">
        <f>VLOOKUP(BD_PRINCIPAL[[#This Row],[DOTACIÓN ACTUAL]],ORDEN2,4,FALSE)</f>
        <v>332</v>
      </c>
      <c r="Z477" s="807">
        <f>VLOOKUP(BD_PRINCIPAL[[#This Row],[GRADO]],ORDEN3,2,FALSE)</f>
        <v>15</v>
      </c>
      <c r="AA477" s="807">
        <f>IFERROR(VLOOKUP(BD_PRINCIPAL[[#This Row],[DOTACIÓN ACTUAL]],ORDEN2,3,FALSE),0)</f>
        <v>0</v>
      </c>
      <c r="AB477" s="808" t="s">
        <v>1075</v>
      </c>
      <c r="AC477" s="808" t="s">
        <v>1075</v>
      </c>
      <c r="AD477" s="808" t="s">
        <v>1075</v>
      </c>
      <c r="AE477" s="808" t="s">
        <v>1075</v>
      </c>
      <c r="AF477" s="808" t="s">
        <v>1075</v>
      </c>
      <c r="AG477" s="808" t="s">
        <v>1075</v>
      </c>
      <c r="AH477" s="808"/>
      <c r="AI477" s="808"/>
      <c r="AJ477" s="808"/>
      <c r="AK477" s="808"/>
      <c r="AL477" s="808"/>
      <c r="AM477" s="808"/>
      <c r="AN477" s="808"/>
      <c r="AO477" s="808"/>
      <c r="AP477" s="808"/>
      <c r="AQ477" s="808"/>
      <c r="AR477" s="808"/>
      <c r="AS477" s="808"/>
      <c r="AT477" s="817"/>
      <c r="AU477" s="817"/>
      <c r="AV477" s="817"/>
      <c r="AW477" s="817"/>
      <c r="AX477" s="817"/>
      <c r="AY477" s="817"/>
      <c r="AZ477" s="817"/>
      <c r="BA477" s="808"/>
      <c r="BB477" s="808"/>
      <c r="BC477" s="808"/>
      <c r="BD477" s="808"/>
      <c r="BE477" s="808"/>
      <c r="BF477" s="808"/>
      <c r="BG477" s="808"/>
      <c r="BH477" s="808"/>
      <c r="BI477" s="808"/>
      <c r="BJ477" s="808"/>
      <c r="BK477" s="808"/>
      <c r="BL477" s="808"/>
      <c r="BM477" s="813" t="s">
        <v>2399</v>
      </c>
      <c r="BN477" s="891"/>
    </row>
    <row r="478" spans="1:66" s="189" customFormat="1" ht="26.4" x14ac:dyDescent="0.3">
      <c r="A478" s="850" t="s">
        <v>610</v>
      </c>
      <c r="B478" s="851" t="s">
        <v>611</v>
      </c>
      <c r="C478" s="850">
        <v>168130317</v>
      </c>
      <c r="D478" s="382" t="s">
        <v>783</v>
      </c>
      <c r="E478" s="853" t="s">
        <v>783</v>
      </c>
      <c r="F478" s="853" t="s">
        <v>611</v>
      </c>
      <c r="G478" s="854" t="s">
        <v>818</v>
      </c>
      <c r="H478" s="855" t="s">
        <v>816</v>
      </c>
      <c r="I478" s="855" t="s">
        <v>871</v>
      </c>
      <c r="J478" s="855" t="s">
        <v>818</v>
      </c>
      <c r="K478" s="1291" t="s">
        <v>2290</v>
      </c>
      <c r="L478" s="856" t="s">
        <v>1075</v>
      </c>
      <c r="M478" s="1317" t="s">
        <v>783</v>
      </c>
      <c r="N478" s="857"/>
      <c r="O478" s="1302"/>
      <c r="P478" s="851"/>
      <c r="Q478" s="1302" t="s">
        <v>818</v>
      </c>
      <c r="R478" s="858">
        <f>$B$1</f>
        <v>45388</v>
      </c>
      <c r="S478" s="859"/>
      <c r="T478" s="859"/>
      <c r="U478" s="860"/>
      <c r="V478" s="860"/>
      <c r="W478" s="850" t="str">
        <f>IFERROR(IF(AND(BD_PRINCIPAL[[#This Row],[DESDE]]&lt;&gt;"",BD_PRINCIPAL[[#This Row],[HASTA]]&lt;&gt;""),_xlfn.DAYS(BD_PRINCIPAL[[#This Row],[HASTA]],BD_PRINCIPAL[[#This Row],[DESDE]]),"")+1,"")</f>
        <v/>
      </c>
      <c r="X478" s="850">
        <f>VLOOKUP(BD_PRINCIPAL[[#This Row],[ENCUADRE. ESC.]],ORDEN1,2,FALSE)</f>
        <v>5</v>
      </c>
      <c r="Y478" s="850">
        <f>VLOOKUP(BD_PRINCIPAL[[#This Row],[DOTACIÓN ACTUAL]],ORDEN2,4,FALSE)</f>
        <v>334</v>
      </c>
      <c r="Z478" s="850">
        <f>VLOOKUP(BD_PRINCIPAL[[#This Row],[GRADO]],ORDEN3,2,FALSE)</f>
        <v>15</v>
      </c>
      <c r="AA478" s="850">
        <f>IFERROR(VLOOKUP(BD_PRINCIPAL[[#This Row],[DOTACIÓN ACTUAL]],ORDEN2,3,FALSE),0)</f>
        <v>0</v>
      </c>
      <c r="AB478" s="851" t="s">
        <v>1075</v>
      </c>
      <c r="AC478" s="851" t="s">
        <v>1075</v>
      </c>
      <c r="AD478" s="851" t="s">
        <v>1075</v>
      </c>
      <c r="AE478" s="851" t="s">
        <v>1075</v>
      </c>
      <c r="AF478" s="851" t="s">
        <v>1075</v>
      </c>
      <c r="AG478" s="851" t="s">
        <v>1075</v>
      </c>
      <c r="AH478" s="851"/>
      <c r="AI478" s="851"/>
      <c r="AJ478" s="851"/>
      <c r="AK478" s="851"/>
      <c r="AL478" s="851"/>
      <c r="AM478" s="851"/>
      <c r="AN478" s="851"/>
      <c r="AO478" s="851"/>
      <c r="AP478" s="851"/>
      <c r="AQ478" s="851"/>
      <c r="AR478" s="851"/>
      <c r="AS478" s="851"/>
      <c r="AT478" s="861"/>
      <c r="AU478" s="861"/>
      <c r="AV478" s="861"/>
      <c r="AW478" s="861"/>
      <c r="AX478" s="861"/>
      <c r="AY478" s="861"/>
      <c r="AZ478" s="861"/>
      <c r="BA478" s="851"/>
      <c r="BB478" s="851"/>
      <c r="BC478" s="851"/>
      <c r="BD478" s="851"/>
      <c r="BE478" s="851"/>
      <c r="BF478" s="851"/>
      <c r="BG478" s="851"/>
      <c r="BH478" s="851"/>
      <c r="BI478" s="851"/>
      <c r="BJ478" s="851"/>
      <c r="BK478" s="851"/>
      <c r="BL478" s="851"/>
      <c r="BM478" s="857" t="s">
        <v>2399</v>
      </c>
      <c r="BN478" s="888"/>
    </row>
    <row r="479" spans="1:66" s="233" customFormat="1" x14ac:dyDescent="0.3">
      <c r="A479" s="834" t="s">
        <v>628</v>
      </c>
      <c r="B479" s="833" t="s">
        <v>1002</v>
      </c>
      <c r="C479" s="834">
        <v>133554823</v>
      </c>
      <c r="D479" s="340" t="s">
        <v>22</v>
      </c>
      <c r="E479" s="836" t="s">
        <v>22</v>
      </c>
      <c r="F479" s="836" t="s">
        <v>1002</v>
      </c>
      <c r="G479" s="837" t="s">
        <v>818</v>
      </c>
      <c r="H479" s="838" t="s">
        <v>816</v>
      </c>
      <c r="I479" s="838" t="s">
        <v>872</v>
      </c>
      <c r="J479" s="838" t="s">
        <v>818</v>
      </c>
      <c r="K479" s="1289" t="s">
        <v>2290</v>
      </c>
      <c r="L479" s="839" t="s">
        <v>1075</v>
      </c>
      <c r="M479" s="1315" t="s">
        <v>22</v>
      </c>
      <c r="N479" s="840"/>
      <c r="O479" s="1300"/>
      <c r="P479" s="833"/>
      <c r="Q479" s="1300" t="s">
        <v>818</v>
      </c>
      <c r="R479" s="841">
        <f>$B$1</f>
        <v>45388</v>
      </c>
      <c r="S479" s="842"/>
      <c r="T479" s="842"/>
      <c r="U479" s="843"/>
      <c r="V479" s="843"/>
      <c r="W479" s="834" t="str">
        <f>IFERROR(IF(AND(BD_PRINCIPAL[[#This Row],[DESDE]]&lt;&gt;"",BD_PRINCIPAL[[#This Row],[HASTA]]&lt;&gt;""),_xlfn.DAYS(BD_PRINCIPAL[[#This Row],[HASTA]],BD_PRINCIPAL[[#This Row],[DESDE]]),"")+1,"")</f>
        <v/>
      </c>
      <c r="X479" s="834">
        <f>VLOOKUP(BD_PRINCIPAL[[#This Row],[ENCUADRE. ESC.]],ORDEN1,2,FALSE)</f>
        <v>5</v>
      </c>
      <c r="Y479" s="834">
        <f>VLOOKUP(BD_PRINCIPAL[[#This Row],[DOTACIÓN ACTUAL]],ORDEN2,4,FALSE)</f>
        <v>336</v>
      </c>
      <c r="Z479" s="834">
        <f>VLOOKUP(BD_PRINCIPAL[[#This Row],[GRADO]],ORDEN3,2,FALSE)</f>
        <v>15</v>
      </c>
      <c r="AA479" s="834">
        <f>IFERROR(VLOOKUP(BD_PRINCIPAL[[#This Row],[DOTACIÓN ACTUAL]],ORDEN2,3,FALSE),0)</f>
        <v>0</v>
      </c>
      <c r="AB479" s="833" t="s">
        <v>1075</v>
      </c>
      <c r="AC479" s="833" t="s">
        <v>1075</v>
      </c>
      <c r="AD479" s="833" t="s">
        <v>1075</v>
      </c>
      <c r="AE479" s="833" t="s">
        <v>1075</v>
      </c>
      <c r="AF479" s="833" t="s">
        <v>1075</v>
      </c>
      <c r="AG479" s="833" t="s">
        <v>1075</v>
      </c>
      <c r="AH479" s="833"/>
      <c r="AI479" s="833"/>
      <c r="AJ479" s="833"/>
      <c r="AK479" s="833"/>
      <c r="AL479" s="833"/>
      <c r="AM479" s="833"/>
      <c r="AN479" s="833"/>
      <c r="AO479" s="833"/>
      <c r="AP479" s="833"/>
      <c r="AQ479" s="833"/>
      <c r="AR479" s="833"/>
      <c r="AS479" s="833"/>
      <c r="AT479" s="844"/>
      <c r="AU479" s="844"/>
      <c r="AV479" s="844"/>
      <c r="AW479" s="844"/>
      <c r="AX479" s="844"/>
      <c r="AY479" s="844"/>
      <c r="AZ479" s="844"/>
      <c r="BA479" s="833"/>
      <c r="BB479" s="833"/>
      <c r="BC479" s="833"/>
      <c r="BD479" s="833"/>
      <c r="BE479" s="833"/>
      <c r="BF479" s="833"/>
      <c r="BG479" s="833"/>
      <c r="BH479" s="833"/>
      <c r="BI479" s="833"/>
      <c r="BJ479" s="833"/>
      <c r="BK479" s="833"/>
      <c r="BL479" s="833"/>
      <c r="BM479" s="840" t="s">
        <v>2399</v>
      </c>
      <c r="BN479" s="886"/>
    </row>
    <row r="480" spans="1:66" s="233" customFormat="1" x14ac:dyDescent="0.3">
      <c r="A480" s="834" t="s">
        <v>2966</v>
      </c>
      <c r="B480" s="939" t="s">
        <v>2967</v>
      </c>
      <c r="C480" s="834">
        <v>170493036</v>
      </c>
      <c r="D480" s="835" t="s">
        <v>1398</v>
      </c>
      <c r="E480" s="836" t="s">
        <v>1398</v>
      </c>
      <c r="F480" s="836" t="s">
        <v>2967</v>
      </c>
      <c r="G480" s="941" t="s">
        <v>818</v>
      </c>
      <c r="H480" s="838" t="s">
        <v>816</v>
      </c>
      <c r="I480" s="838" t="s">
        <v>871</v>
      </c>
      <c r="J480" s="907" t="s">
        <v>818</v>
      </c>
      <c r="K480" s="1289" t="s">
        <v>2290</v>
      </c>
      <c r="L480" s="839" t="s">
        <v>962</v>
      </c>
      <c r="M480" s="1315" t="s">
        <v>1398</v>
      </c>
      <c r="N480" s="942"/>
      <c r="O480" s="1300"/>
      <c r="P480" s="833"/>
      <c r="Q480" s="1300" t="s">
        <v>818</v>
      </c>
      <c r="R480" s="943">
        <v>32401</v>
      </c>
      <c r="S480" s="842"/>
      <c r="T480" s="842"/>
      <c r="U480" s="950"/>
      <c r="V480" s="950"/>
      <c r="W480" s="944" t="str">
        <f>IFERROR(IF(AND(BD_PRINCIPAL[[#This Row],[DESDE]]&lt;&gt;"",BD_PRINCIPAL[[#This Row],[HASTA]]&lt;&gt;""),_xlfn.DAYS(BD_PRINCIPAL[[#This Row],[HASTA]],BD_PRINCIPAL[[#This Row],[DESDE]]),"")+1,"")</f>
        <v/>
      </c>
      <c r="X480" s="944">
        <f>VLOOKUP(BD_PRINCIPAL[[#This Row],[ENCUADRE. ESC.]],ORDEN1,2,FALSE)</f>
        <v>5</v>
      </c>
      <c r="Y480" s="944">
        <f>VLOOKUP(BD_PRINCIPAL[[#This Row],[DOTACIÓN ACTUAL]],ORDEN2,4,FALSE)</f>
        <v>341</v>
      </c>
      <c r="Z480" s="944">
        <f>VLOOKUP(BD_PRINCIPAL[[#This Row],[GRADO]],ORDEN3,2,FALSE)</f>
        <v>15</v>
      </c>
      <c r="AA480" s="944">
        <f>IFERROR(VLOOKUP(BD_PRINCIPAL[[#This Row],[DOTACIÓN ACTUAL]],ORDEN2,3,FALSE),0)</f>
        <v>0</v>
      </c>
      <c r="AB480" s="844" t="s">
        <v>962</v>
      </c>
      <c r="AC480" s="844" t="s">
        <v>962</v>
      </c>
      <c r="AD480" s="844" t="s">
        <v>962</v>
      </c>
      <c r="AE480" s="844" t="s">
        <v>962</v>
      </c>
      <c r="AF480" s="844" t="s">
        <v>962</v>
      </c>
      <c r="AG480" s="844" t="s">
        <v>962</v>
      </c>
      <c r="AH480" s="844"/>
      <c r="AI480" s="844"/>
      <c r="AJ480" s="844"/>
      <c r="AK480" s="844"/>
      <c r="AL480" s="844"/>
      <c r="AM480" s="844"/>
      <c r="AN480" s="844"/>
      <c r="AO480" s="844"/>
      <c r="AP480" s="844"/>
      <c r="AQ480" s="844"/>
      <c r="AR480" s="844"/>
      <c r="AS480" s="844"/>
      <c r="AT480" s="844"/>
      <c r="AU480" s="844"/>
      <c r="AV480" s="844"/>
      <c r="AW480" s="844"/>
      <c r="AX480" s="844"/>
      <c r="AY480" s="844"/>
      <c r="AZ480" s="844"/>
      <c r="BA480" s="833"/>
      <c r="BB480" s="833"/>
      <c r="BC480" s="833"/>
      <c r="BD480" s="833"/>
      <c r="BE480" s="833"/>
      <c r="BF480" s="833"/>
      <c r="BG480" s="833"/>
      <c r="BH480" s="833"/>
      <c r="BI480" s="833"/>
      <c r="BJ480" s="833"/>
      <c r="BK480" s="833"/>
      <c r="BL480" s="833"/>
      <c r="BM480" s="951"/>
      <c r="BN480" s="951"/>
    </row>
    <row r="481" spans="1:66" s="260" customFormat="1" x14ac:dyDescent="0.3">
      <c r="A481" s="796" t="s">
        <v>271</v>
      </c>
      <c r="B481" s="797" t="s">
        <v>603</v>
      </c>
      <c r="C481" s="796">
        <v>128524282</v>
      </c>
      <c r="D481" s="381" t="s">
        <v>208</v>
      </c>
      <c r="E481" s="798" t="s">
        <v>208</v>
      </c>
      <c r="F481" s="798" t="s">
        <v>603</v>
      </c>
      <c r="G481" s="799" t="s">
        <v>2164</v>
      </c>
      <c r="H481" s="800" t="s">
        <v>817</v>
      </c>
      <c r="I481" s="800" t="s">
        <v>871</v>
      </c>
      <c r="J481" s="799" t="s">
        <v>2164</v>
      </c>
      <c r="K481" s="1290" t="s">
        <v>2290</v>
      </c>
      <c r="L481" s="801" t="s">
        <v>1075</v>
      </c>
      <c r="M481" s="1316" t="s">
        <v>208</v>
      </c>
      <c r="N481" s="802"/>
      <c r="O481" s="1301"/>
      <c r="P481" s="797"/>
      <c r="Q481" s="1301" t="s">
        <v>2164</v>
      </c>
      <c r="R481" s="803">
        <f>$B$1</f>
        <v>45388</v>
      </c>
      <c r="S481" s="804"/>
      <c r="T481" s="804"/>
      <c r="U481" s="805"/>
      <c r="V481" s="805"/>
      <c r="W481" s="796" t="str">
        <f>IFERROR(IF(AND(BD_PRINCIPAL[[#This Row],[DESDE]]&lt;&gt;"",BD_PRINCIPAL[[#This Row],[HASTA]]&lt;&gt;""),_xlfn.DAYS(BD_PRINCIPAL[[#This Row],[HASTA]],BD_PRINCIPAL[[#This Row],[DESDE]]),"")+1,"")</f>
        <v/>
      </c>
      <c r="X481" s="796">
        <f>VLOOKUP(BD_PRINCIPAL[[#This Row],[ENCUADRE. ESC.]],ORDEN1,2,FALSE)</f>
        <v>6</v>
      </c>
      <c r="Y481" s="796">
        <f>VLOOKUP(BD_PRINCIPAL[[#This Row],[DOTACIÓN ACTUAL]],ORDEN2,4,FALSE)</f>
        <v>12</v>
      </c>
      <c r="Z481" s="796">
        <f>VLOOKUP(BD_PRINCIPAL[[#This Row],[GRADO]],ORDEN3,2,FALSE)</f>
        <v>14</v>
      </c>
      <c r="AA481" s="796">
        <f>IFERROR(VLOOKUP(BD_PRINCIPAL[[#This Row],[DOTACIÓN ACTUAL]],ORDEN2,3,FALSE),0)</f>
        <v>0</v>
      </c>
      <c r="AB481" s="797" t="s">
        <v>1075</v>
      </c>
      <c r="AC481" s="797" t="s">
        <v>1075</v>
      </c>
      <c r="AD481" s="797" t="s">
        <v>1075</v>
      </c>
      <c r="AE481" s="797" t="s">
        <v>1075</v>
      </c>
      <c r="AF481" s="797" t="s">
        <v>1075</v>
      </c>
      <c r="AG481" s="797" t="s">
        <v>1075</v>
      </c>
      <c r="AH481" s="797"/>
      <c r="AI481" s="797"/>
      <c r="AJ481" s="797"/>
      <c r="AK481" s="797"/>
      <c r="AL481" s="797"/>
      <c r="AM481" s="797"/>
      <c r="AN481" s="797"/>
      <c r="AO481" s="797"/>
      <c r="AP481" s="797"/>
      <c r="AQ481" s="797"/>
      <c r="AR481" s="797"/>
      <c r="AS481" s="797"/>
      <c r="AT481" s="806"/>
      <c r="AU481" s="806"/>
      <c r="AV481" s="806"/>
      <c r="AW481" s="806"/>
      <c r="AX481" s="806"/>
      <c r="AY481" s="806"/>
      <c r="AZ481" s="806"/>
      <c r="BA481" s="797"/>
      <c r="BB481" s="797"/>
      <c r="BC481" s="797"/>
      <c r="BD481" s="797"/>
      <c r="BE481" s="797"/>
      <c r="BF481" s="797"/>
      <c r="BG481" s="797"/>
      <c r="BH481" s="797"/>
      <c r="BI481" s="797"/>
      <c r="BJ481" s="797"/>
      <c r="BK481" s="797"/>
      <c r="BL481" s="797"/>
      <c r="BM481" s="802" t="s">
        <v>2399</v>
      </c>
      <c r="BN481" s="875"/>
    </row>
    <row r="482" spans="1:66" s="221" customFormat="1" x14ac:dyDescent="0.3">
      <c r="D482" s="706"/>
      <c r="E482" s="707"/>
      <c r="F482" s="707"/>
      <c r="H482" s="708"/>
      <c r="I482" s="709"/>
      <c r="J482" s="710"/>
      <c r="K482" s="711"/>
      <c r="L482" s="712"/>
      <c r="M482" s="713"/>
      <c r="N482" s="710"/>
      <c r="P482" s="714"/>
    </row>
    <row r="483" spans="1:66" s="221" customFormat="1" x14ac:dyDescent="0.3">
      <c r="D483" s="706"/>
      <c r="E483" s="707"/>
      <c r="F483" s="707"/>
      <c r="H483" s="708"/>
      <c r="I483" s="709"/>
      <c r="J483" s="710"/>
      <c r="K483" s="711"/>
      <c r="L483" s="712"/>
      <c r="M483" s="713"/>
      <c r="N483" s="710"/>
      <c r="P483" s="714"/>
    </row>
    <row r="484" spans="1:66" s="221" customFormat="1" x14ac:dyDescent="0.3">
      <c r="D484" s="706"/>
      <c r="E484" s="707"/>
      <c r="F484" s="707"/>
      <c r="H484" s="708"/>
      <c r="I484" s="709"/>
      <c r="J484" s="710"/>
      <c r="K484" s="711"/>
      <c r="L484" s="712"/>
      <c r="M484" s="713"/>
      <c r="N484" s="710"/>
      <c r="P484" s="714"/>
    </row>
    <row r="485" spans="1:66" s="221" customFormat="1" x14ac:dyDescent="0.3">
      <c r="D485" s="706"/>
      <c r="E485" s="707"/>
      <c r="F485" s="707"/>
      <c r="H485" s="708"/>
      <c r="I485" s="709"/>
      <c r="J485" s="710"/>
      <c r="K485" s="711"/>
      <c r="L485" s="712"/>
      <c r="M485" s="713"/>
      <c r="N485" s="710"/>
      <c r="P485" s="714"/>
    </row>
    <row r="486" spans="1:66" s="221" customFormat="1" x14ac:dyDescent="0.3">
      <c r="D486" s="706"/>
      <c r="E486" s="707"/>
      <c r="F486" s="707"/>
      <c r="H486" s="708"/>
      <c r="I486" s="709"/>
      <c r="J486" s="710"/>
      <c r="K486" s="711"/>
      <c r="L486" s="712"/>
      <c r="M486" s="713"/>
      <c r="N486" s="710"/>
      <c r="P486" s="714"/>
    </row>
    <row r="487" spans="1:66" s="221" customFormat="1" x14ac:dyDescent="0.3">
      <c r="D487" s="706"/>
      <c r="E487" s="707"/>
      <c r="F487" s="707"/>
      <c r="H487" s="708"/>
      <c r="I487" s="709"/>
      <c r="J487" s="710"/>
      <c r="K487" s="711"/>
      <c r="L487" s="712"/>
      <c r="M487" s="713"/>
      <c r="N487" s="710"/>
      <c r="P487" s="714"/>
    </row>
    <row r="488" spans="1:66" s="221" customFormat="1" x14ac:dyDescent="0.3">
      <c r="D488" s="706"/>
      <c r="E488" s="707"/>
      <c r="F488" s="707"/>
      <c r="H488" s="708"/>
      <c r="I488" s="709"/>
      <c r="J488" s="710"/>
      <c r="K488" s="711"/>
      <c r="L488" s="712"/>
      <c r="M488" s="713"/>
      <c r="N488" s="710"/>
      <c r="P488" s="714"/>
    </row>
    <row r="489" spans="1:66" s="221" customFormat="1" x14ac:dyDescent="0.3">
      <c r="D489" s="706"/>
      <c r="E489" s="707"/>
      <c r="F489" s="707"/>
      <c r="H489" s="708"/>
      <c r="I489" s="709"/>
      <c r="J489" s="710"/>
      <c r="K489" s="711"/>
      <c r="L489" s="712"/>
      <c r="M489" s="713"/>
      <c r="N489" s="710"/>
      <c r="P489" s="714"/>
    </row>
    <row r="490" spans="1:66" s="221" customFormat="1" x14ac:dyDescent="0.3">
      <c r="D490" s="706"/>
      <c r="E490" s="707"/>
      <c r="F490" s="707"/>
      <c r="H490" s="708"/>
      <c r="I490" s="709"/>
      <c r="J490" s="710"/>
      <c r="K490" s="711"/>
      <c r="L490" s="712"/>
      <c r="M490" s="713"/>
      <c r="N490" s="710"/>
      <c r="P490" s="714"/>
    </row>
    <row r="491" spans="1:66" s="221" customFormat="1" x14ac:dyDescent="0.3">
      <c r="D491" s="706"/>
      <c r="E491" s="707"/>
      <c r="F491" s="707"/>
      <c r="H491" s="708"/>
      <c r="I491" s="709"/>
      <c r="J491" s="710"/>
      <c r="K491" s="711"/>
      <c r="L491" s="712"/>
      <c r="M491" s="713"/>
      <c r="N491" s="710"/>
      <c r="P491" s="714"/>
    </row>
    <row r="492" spans="1:66" s="221" customFormat="1" x14ac:dyDescent="0.3">
      <c r="D492" s="706"/>
      <c r="E492" s="707"/>
      <c r="F492" s="707"/>
      <c r="H492" s="708"/>
      <c r="I492" s="709"/>
      <c r="J492" s="710"/>
      <c r="K492" s="711"/>
      <c r="L492" s="712"/>
      <c r="M492" s="713"/>
      <c r="N492" s="710"/>
      <c r="P492" s="714"/>
    </row>
    <row r="493" spans="1:66" s="221" customFormat="1" x14ac:dyDescent="0.3">
      <c r="D493" s="706"/>
      <c r="E493" s="707"/>
      <c r="F493" s="707"/>
      <c r="H493" s="708"/>
      <c r="I493" s="709"/>
      <c r="J493" s="710"/>
      <c r="K493" s="711"/>
      <c r="L493" s="712"/>
      <c r="M493" s="713"/>
      <c r="N493" s="710"/>
      <c r="P493" s="714"/>
    </row>
    <row r="494" spans="1:66" s="221" customFormat="1" x14ac:dyDescent="0.3">
      <c r="D494" s="706"/>
      <c r="E494" s="707"/>
      <c r="F494" s="707"/>
      <c r="H494" s="708"/>
      <c r="I494" s="709"/>
      <c r="J494" s="710"/>
      <c r="K494" s="711"/>
      <c r="L494" s="712"/>
      <c r="M494" s="713"/>
      <c r="N494" s="710"/>
      <c r="P494" s="714"/>
    </row>
    <row r="495" spans="1:66" s="221" customFormat="1" x14ac:dyDescent="0.3">
      <c r="D495" s="706"/>
      <c r="E495" s="707"/>
      <c r="F495" s="707"/>
      <c r="H495" s="708"/>
      <c r="I495" s="709"/>
      <c r="J495" s="710"/>
      <c r="K495" s="711"/>
      <c r="L495" s="712"/>
      <c r="M495" s="713"/>
      <c r="N495" s="710"/>
      <c r="P495" s="714"/>
    </row>
    <row r="496" spans="1:66" s="221" customFormat="1" x14ac:dyDescent="0.3">
      <c r="D496" s="706"/>
      <c r="E496" s="707"/>
      <c r="F496" s="707"/>
      <c r="H496" s="708"/>
      <c r="I496" s="709"/>
      <c r="J496" s="710"/>
      <c r="K496" s="711"/>
      <c r="L496" s="712"/>
      <c r="M496" s="713"/>
      <c r="N496" s="710"/>
      <c r="P496" s="714"/>
    </row>
    <row r="497" spans="4:16" s="221" customFormat="1" x14ac:dyDescent="0.3">
      <c r="D497" s="706"/>
      <c r="E497" s="707"/>
      <c r="F497" s="707"/>
      <c r="H497" s="708"/>
      <c r="I497" s="709"/>
      <c r="J497" s="710"/>
      <c r="K497" s="711"/>
      <c r="L497" s="712"/>
      <c r="M497" s="713"/>
      <c r="N497" s="710"/>
      <c r="P497" s="714"/>
    </row>
    <row r="498" spans="4:16" s="221" customFormat="1" x14ac:dyDescent="0.3">
      <c r="D498" s="706"/>
      <c r="E498" s="707"/>
      <c r="F498" s="707"/>
      <c r="H498" s="708"/>
      <c r="I498" s="709"/>
      <c r="J498" s="710"/>
      <c r="K498" s="711"/>
      <c r="L498" s="712"/>
      <c r="M498" s="713"/>
      <c r="N498" s="710"/>
      <c r="P498" s="714"/>
    </row>
    <row r="499" spans="4:16" s="221" customFormat="1" x14ac:dyDescent="0.3">
      <c r="D499" s="706"/>
      <c r="E499" s="707"/>
      <c r="F499" s="707"/>
      <c r="H499" s="708"/>
      <c r="I499" s="709"/>
      <c r="J499" s="710"/>
      <c r="K499" s="711"/>
      <c r="L499" s="712"/>
      <c r="M499" s="713"/>
      <c r="N499" s="710"/>
      <c r="P499" s="714"/>
    </row>
    <row r="500" spans="4:16" s="221" customFormat="1" x14ac:dyDescent="0.3">
      <c r="D500" s="706"/>
      <c r="E500" s="707"/>
      <c r="F500" s="707"/>
      <c r="H500" s="708"/>
      <c r="I500" s="709"/>
      <c r="J500" s="710"/>
      <c r="K500" s="711"/>
      <c r="L500" s="712"/>
      <c r="M500" s="713"/>
      <c r="N500" s="710"/>
      <c r="P500" s="714"/>
    </row>
    <row r="501" spans="4:16" s="221" customFormat="1" x14ac:dyDescent="0.3">
      <c r="D501" s="706"/>
      <c r="E501" s="707"/>
      <c r="F501" s="707"/>
      <c r="H501" s="708"/>
      <c r="I501" s="709"/>
      <c r="J501" s="710"/>
      <c r="K501" s="711"/>
      <c r="L501" s="712"/>
      <c r="M501" s="713"/>
      <c r="N501" s="710"/>
      <c r="P501" s="714"/>
    </row>
    <row r="502" spans="4:16" s="221" customFormat="1" x14ac:dyDescent="0.3">
      <c r="D502" s="706"/>
      <c r="E502" s="707"/>
      <c r="F502" s="707"/>
      <c r="H502" s="708"/>
      <c r="I502" s="709"/>
      <c r="J502" s="710"/>
      <c r="K502" s="711"/>
      <c r="L502" s="712"/>
      <c r="M502" s="713"/>
      <c r="N502" s="710"/>
      <c r="P502" s="714"/>
    </row>
    <row r="503" spans="4:16" s="221" customFormat="1" x14ac:dyDescent="0.3">
      <c r="D503" s="706"/>
      <c r="E503" s="707"/>
      <c r="F503" s="707"/>
      <c r="H503" s="708"/>
      <c r="I503" s="709"/>
      <c r="J503" s="710"/>
      <c r="K503" s="711"/>
      <c r="L503" s="712"/>
      <c r="M503" s="713"/>
      <c r="N503" s="710"/>
      <c r="P503" s="714"/>
    </row>
    <row r="504" spans="4:16" s="221" customFormat="1" x14ac:dyDescent="0.3">
      <c r="D504" s="706"/>
      <c r="E504" s="707"/>
      <c r="F504" s="707"/>
      <c r="H504" s="708"/>
      <c r="I504" s="709"/>
      <c r="J504" s="710"/>
      <c r="K504" s="711"/>
      <c r="L504" s="712"/>
      <c r="M504" s="713"/>
      <c r="N504" s="710"/>
      <c r="P504" s="714"/>
    </row>
    <row r="505" spans="4:16" s="221" customFormat="1" x14ac:dyDescent="0.3">
      <c r="D505" s="706"/>
      <c r="E505" s="707"/>
      <c r="F505" s="707"/>
      <c r="H505" s="708"/>
      <c r="I505" s="709"/>
      <c r="J505" s="710"/>
      <c r="K505" s="711"/>
      <c r="L505" s="712"/>
      <c r="M505" s="713"/>
      <c r="N505" s="710"/>
      <c r="P505" s="714"/>
    </row>
    <row r="506" spans="4:16" s="221" customFormat="1" x14ac:dyDescent="0.3">
      <c r="D506" s="706"/>
      <c r="E506" s="707"/>
      <c r="F506" s="707"/>
      <c r="H506" s="708"/>
      <c r="I506" s="709"/>
      <c r="J506" s="710"/>
      <c r="K506" s="711"/>
      <c r="L506" s="712"/>
      <c r="M506" s="713"/>
      <c r="N506" s="710"/>
      <c r="P506" s="714"/>
    </row>
    <row r="507" spans="4:16" s="221" customFormat="1" x14ac:dyDescent="0.3">
      <c r="D507" s="706"/>
      <c r="E507" s="707"/>
      <c r="F507" s="707"/>
      <c r="H507" s="708"/>
      <c r="I507" s="709"/>
      <c r="J507" s="710"/>
      <c r="K507" s="711"/>
      <c r="L507" s="712"/>
      <c r="M507" s="713"/>
      <c r="N507" s="710"/>
      <c r="P507" s="714"/>
    </row>
    <row r="508" spans="4:16" s="221" customFormat="1" x14ac:dyDescent="0.3">
      <c r="D508" s="706"/>
      <c r="E508" s="707"/>
      <c r="F508" s="707"/>
      <c r="H508" s="708"/>
      <c r="I508" s="709"/>
      <c r="J508" s="710"/>
      <c r="K508" s="711"/>
      <c r="L508" s="712"/>
      <c r="M508" s="713"/>
      <c r="N508" s="710"/>
      <c r="P508" s="714"/>
    </row>
    <row r="509" spans="4:16" s="221" customFormat="1" x14ac:dyDescent="0.3">
      <c r="D509" s="706"/>
      <c r="E509" s="707"/>
      <c r="F509" s="707"/>
      <c r="H509" s="708"/>
      <c r="I509" s="709"/>
      <c r="J509" s="710"/>
      <c r="K509" s="711"/>
      <c r="L509" s="712"/>
      <c r="M509" s="713"/>
      <c r="N509" s="710"/>
      <c r="P509" s="714"/>
    </row>
    <row r="510" spans="4:16" s="221" customFormat="1" x14ac:dyDescent="0.3">
      <c r="D510" s="706"/>
      <c r="E510" s="707"/>
      <c r="F510" s="707"/>
      <c r="H510" s="708"/>
      <c r="I510" s="709"/>
      <c r="J510" s="710"/>
      <c r="K510" s="711"/>
      <c r="L510" s="712"/>
      <c r="M510" s="713"/>
      <c r="N510" s="710"/>
      <c r="P510" s="714"/>
    </row>
    <row r="511" spans="4:16" s="221" customFormat="1" x14ac:dyDescent="0.3">
      <c r="D511" s="706"/>
      <c r="E511" s="707"/>
      <c r="F511" s="707"/>
      <c r="H511" s="708"/>
      <c r="I511" s="709"/>
      <c r="J511" s="710"/>
      <c r="K511" s="711"/>
      <c r="L511" s="712"/>
      <c r="M511" s="713"/>
      <c r="N511" s="710"/>
      <c r="P511" s="714"/>
    </row>
    <row r="512" spans="4:16" s="221" customFormat="1" x14ac:dyDescent="0.3">
      <c r="D512" s="706"/>
      <c r="E512" s="707"/>
      <c r="F512" s="707"/>
      <c r="H512" s="708"/>
      <c r="I512" s="709"/>
      <c r="J512" s="710"/>
      <c r="K512" s="711"/>
      <c r="L512" s="712"/>
      <c r="M512" s="713"/>
      <c r="N512" s="710"/>
      <c r="P512" s="714"/>
    </row>
    <row r="513" spans="4:16" s="221" customFormat="1" x14ac:dyDescent="0.3">
      <c r="D513" s="706"/>
      <c r="E513" s="707"/>
      <c r="F513" s="707"/>
      <c r="H513" s="708"/>
      <c r="I513" s="709"/>
      <c r="J513" s="710"/>
      <c r="K513" s="711"/>
      <c r="L513" s="712"/>
      <c r="M513" s="713"/>
      <c r="N513" s="710"/>
      <c r="P513" s="714"/>
    </row>
    <row r="514" spans="4:16" s="221" customFormat="1" x14ac:dyDescent="0.3">
      <c r="D514" s="706"/>
      <c r="E514" s="707"/>
      <c r="F514" s="707"/>
      <c r="H514" s="708"/>
      <c r="I514" s="709"/>
      <c r="J514" s="710"/>
      <c r="K514" s="711"/>
      <c r="L514" s="712"/>
      <c r="M514" s="713"/>
      <c r="N514" s="710"/>
      <c r="P514" s="714"/>
    </row>
    <row r="515" spans="4:16" s="221" customFormat="1" x14ac:dyDescent="0.3">
      <c r="D515" s="706"/>
      <c r="E515" s="707"/>
      <c r="F515" s="707"/>
      <c r="H515" s="708"/>
      <c r="I515" s="709"/>
      <c r="J515" s="710"/>
      <c r="K515" s="711"/>
      <c r="L515" s="712"/>
      <c r="M515" s="713"/>
      <c r="N515" s="710"/>
      <c r="P515" s="714"/>
    </row>
    <row r="516" spans="4:16" s="221" customFormat="1" x14ac:dyDescent="0.3">
      <c r="D516" s="706"/>
      <c r="E516" s="707"/>
      <c r="F516" s="707"/>
      <c r="H516" s="708"/>
      <c r="I516" s="709"/>
      <c r="J516" s="710"/>
      <c r="K516" s="711"/>
      <c r="L516" s="712"/>
      <c r="M516" s="713"/>
      <c r="N516" s="710"/>
      <c r="P516" s="714"/>
    </row>
    <row r="517" spans="4:16" s="221" customFormat="1" x14ac:dyDescent="0.3">
      <c r="D517" s="706"/>
      <c r="E517" s="707"/>
      <c r="F517" s="707"/>
      <c r="H517" s="708"/>
      <c r="I517" s="709"/>
      <c r="J517" s="710"/>
      <c r="K517" s="711"/>
      <c r="L517" s="712"/>
      <c r="M517" s="713"/>
      <c r="N517" s="710"/>
      <c r="P517" s="714"/>
    </row>
    <row r="518" spans="4:16" s="221" customFormat="1" x14ac:dyDescent="0.3">
      <c r="D518" s="706"/>
      <c r="E518" s="707"/>
      <c r="F518" s="707"/>
      <c r="H518" s="708"/>
      <c r="I518" s="709"/>
      <c r="J518" s="710"/>
      <c r="K518" s="711"/>
      <c r="L518" s="712"/>
      <c r="M518" s="713"/>
      <c r="N518" s="710"/>
      <c r="P518" s="714"/>
    </row>
    <row r="519" spans="4:16" s="221" customFormat="1" x14ac:dyDescent="0.3">
      <c r="D519" s="706"/>
      <c r="E519" s="707"/>
      <c r="F519" s="707"/>
      <c r="H519" s="708"/>
      <c r="I519" s="709"/>
      <c r="J519" s="710"/>
      <c r="K519" s="711"/>
      <c r="L519" s="712"/>
      <c r="M519" s="713"/>
      <c r="N519" s="710"/>
      <c r="P519" s="714"/>
    </row>
    <row r="520" spans="4:16" s="221" customFormat="1" x14ac:dyDescent="0.3">
      <c r="D520" s="706"/>
      <c r="E520" s="707"/>
      <c r="F520" s="707"/>
      <c r="H520" s="708"/>
      <c r="I520" s="709"/>
      <c r="J520" s="710"/>
      <c r="K520" s="711"/>
      <c r="L520" s="712"/>
      <c r="M520" s="713"/>
      <c r="N520" s="710"/>
      <c r="P520" s="714"/>
    </row>
    <row r="521" spans="4:16" s="221" customFormat="1" x14ac:dyDescent="0.3">
      <c r="D521" s="706"/>
      <c r="E521" s="707"/>
      <c r="F521" s="707"/>
      <c r="H521" s="708"/>
      <c r="I521" s="709"/>
      <c r="J521" s="710"/>
      <c r="K521" s="711"/>
      <c r="L521" s="712"/>
      <c r="M521" s="713"/>
      <c r="N521" s="710"/>
      <c r="P521" s="714"/>
    </row>
    <row r="522" spans="4:16" s="221" customFormat="1" x14ac:dyDescent="0.3">
      <c r="D522" s="706"/>
      <c r="E522" s="707"/>
      <c r="F522" s="707"/>
      <c r="H522" s="708"/>
      <c r="I522" s="709"/>
      <c r="J522" s="710"/>
      <c r="K522" s="711"/>
      <c r="L522" s="712"/>
      <c r="M522" s="713"/>
      <c r="N522" s="710"/>
      <c r="P522" s="714"/>
    </row>
    <row r="523" spans="4:16" s="221" customFormat="1" x14ac:dyDescent="0.3">
      <c r="D523" s="706"/>
      <c r="E523" s="707"/>
      <c r="F523" s="707"/>
      <c r="H523" s="708"/>
      <c r="I523" s="709"/>
      <c r="J523" s="710"/>
      <c r="K523" s="711"/>
      <c r="L523" s="712"/>
      <c r="M523" s="713"/>
      <c r="N523" s="710"/>
      <c r="P523" s="714"/>
    </row>
    <row r="524" spans="4:16" s="221" customFormat="1" x14ac:dyDescent="0.3">
      <c r="D524" s="706"/>
      <c r="E524" s="707"/>
      <c r="F524" s="707"/>
      <c r="H524" s="708"/>
      <c r="I524" s="709"/>
      <c r="J524" s="710"/>
      <c r="K524" s="711"/>
      <c r="L524" s="712"/>
      <c r="M524" s="713"/>
      <c r="N524" s="710"/>
      <c r="P524" s="714"/>
    </row>
    <row r="525" spans="4:16" s="221" customFormat="1" x14ac:dyDescent="0.3">
      <c r="D525" s="706"/>
      <c r="E525" s="707"/>
      <c r="F525" s="707"/>
      <c r="H525" s="708"/>
      <c r="I525" s="709"/>
      <c r="J525" s="710"/>
      <c r="K525" s="711"/>
      <c r="L525" s="712"/>
      <c r="M525" s="713"/>
      <c r="N525" s="710"/>
      <c r="P525" s="714"/>
    </row>
    <row r="526" spans="4:16" s="221" customFormat="1" x14ac:dyDescent="0.3">
      <c r="D526" s="706"/>
      <c r="E526" s="707"/>
      <c r="F526" s="707"/>
      <c r="H526" s="708"/>
      <c r="I526" s="709"/>
      <c r="J526" s="710"/>
      <c r="K526" s="711"/>
      <c r="L526" s="712"/>
      <c r="M526" s="713"/>
      <c r="N526" s="710"/>
      <c r="P526" s="714"/>
    </row>
    <row r="527" spans="4:16" s="221" customFormat="1" x14ac:dyDescent="0.3">
      <c r="D527" s="706"/>
      <c r="E527" s="707"/>
      <c r="F527" s="707"/>
      <c r="H527" s="708"/>
      <c r="I527" s="709"/>
      <c r="J527" s="710"/>
      <c r="K527" s="711"/>
      <c r="L527" s="712"/>
      <c r="M527" s="713"/>
      <c r="N527" s="710"/>
      <c r="P527" s="714"/>
    </row>
    <row r="528" spans="4:16" s="221" customFormat="1" x14ac:dyDescent="0.3">
      <c r="D528" s="706"/>
      <c r="E528" s="707"/>
      <c r="F528" s="707"/>
      <c r="H528" s="708"/>
      <c r="I528" s="709"/>
      <c r="J528" s="710"/>
      <c r="K528" s="711"/>
      <c r="L528" s="712"/>
      <c r="M528" s="713"/>
      <c r="N528" s="710"/>
      <c r="P528" s="714"/>
    </row>
    <row r="529" spans="4:16" s="221" customFormat="1" x14ac:dyDescent="0.3">
      <c r="D529" s="706"/>
      <c r="E529" s="707"/>
      <c r="F529" s="707"/>
      <c r="H529" s="708"/>
      <c r="I529" s="709"/>
      <c r="J529" s="710"/>
      <c r="K529" s="711"/>
      <c r="L529" s="712"/>
      <c r="M529" s="713"/>
      <c r="N529" s="710"/>
      <c r="P529" s="714"/>
    </row>
    <row r="530" spans="4:16" s="221" customFormat="1" x14ac:dyDescent="0.3">
      <c r="D530" s="706"/>
      <c r="E530" s="707"/>
      <c r="F530" s="707"/>
      <c r="H530" s="708"/>
      <c r="I530" s="709"/>
      <c r="J530" s="710"/>
      <c r="K530" s="711"/>
      <c r="L530" s="712"/>
      <c r="M530" s="713"/>
      <c r="N530" s="710"/>
      <c r="P530" s="714"/>
    </row>
    <row r="531" spans="4:16" s="221" customFormat="1" x14ac:dyDescent="0.3">
      <c r="D531" s="706"/>
      <c r="E531" s="707"/>
      <c r="F531" s="707"/>
      <c r="H531" s="708"/>
      <c r="I531" s="709"/>
      <c r="J531" s="710"/>
      <c r="K531" s="711"/>
      <c r="L531" s="712"/>
      <c r="M531" s="713"/>
      <c r="N531" s="710"/>
      <c r="P531" s="714"/>
    </row>
    <row r="532" spans="4:16" s="221" customFormat="1" x14ac:dyDescent="0.3">
      <c r="D532" s="706"/>
      <c r="E532" s="707"/>
      <c r="F532" s="707"/>
      <c r="H532" s="708"/>
      <c r="I532" s="709"/>
      <c r="J532" s="710"/>
      <c r="K532" s="711"/>
      <c r="L532" s="712"/>
      <c r="M532" s="713"/>
      <c r="N532" s="710"/>
      <c r="P532" s="714"/>
    </row>
    <row r="533" spans="4:16" s="221" customFormat="1" x14ac:dyDescent="0.3">
      <c r="D533" s="706"/>
      <c r="E533" s="707"/>
      <c r="F533" s="707"/>
      <c r="H533" s="708"/>
      <c r="I533" s="709"/>
      <c r="J533" s="710"/>
      <c r="K533" s="711"/>
      <c r="L533" s="712"/>
      <c r="M533" s="713"/>
      <c r="N533" s="710"/>
      <c r="P533" s="714"/>
    </row>
    <row r="534" spans="4:16" s="221" customFormat="1" x14ac:dyDescent="0.3">
      <c r="D534" s="706"/>
      <c r="E534" s="707"/>
      <c r="F534" s="707"/>
      <c r="H534" s="708"/>
      <c r="I534" s="709"/>
      <c r="J534" s="710"/>
      <c r="K534" s="711"/>
      <c r="L534" s="712"/>
      <c r="M534" s="713"/>
      <c r="N534" s="710"/>
      <c r="P534" s="714"/>
    </row>
    <row r="535" spans="4:16" s="221" customFormat="1" x14ac:dyDescent="0.3">
      <c r="D535" s="706"/>
      <c r="E535" s="707"/>
      <c r="F535" s="707"/>
      <c r="H535" s="708"/>
      <c r="I535" s="709"/>
      <c r="J535" s="710"/>
      <c r="K535" s="711"/>
      <c r="L535" s="712"/>
      <c r="M535" s="713"/>
      <c r="N535" s="710"/>
      <c r="P535" s="714"/>
    </row>
    <row r="536" spans="4:16" s="221" customFormat="1" x14ac:dyDescent="0.3">
      <c r="D536" s="706"/>
      <c r="E536" s="707"/>
      <c r="F536" s="707"/>
      <c r="H536" s="708"/>
      <c r="I536" s="709"/>
      <c r="J536" s="710"/>
      <c r="K536" s="711"/>
      <c r="L536" s="712"/>
      <c r="M536" s="713"/>
      <c r="N536" s="710"/>
      <c r="P536" s="714"/>
    </row>
    <row r="537" spans="4:16" s="221" customFormat="1" x14ac:dyDescent="0.3">
      <c r="D537" s="706"/>
      <c r="E537" s="707"/>
      <c r="F537" s="707"/>
      <c r="H537" s="708"/>
      <c r="I537" s="709"/>
      <c r="J537" s="710"/>
      <c r="K537" s="711"/>
      <c r="L537" s="712"/>
      <c r="M537" s="713"/>
      <c r="N537" s="710"/>
      <c r="P537" s="714"/>
    </row>
    <row r="538" spans="4:16" s="221" customFormat="1" x14ac:dyDescent="0.3">
      <c r="D538" s="706"/>
      <c r="E538" s="707"/>
      <c r="F538" s="707"/>
      <c r="H538" s="708"/>
      <c r="I538" s="709"/>
      <c r="J538" s="710"/>
      <c r="K538" s="711"/>
      <c r="L538" s="712"/>
      <c r="M538" s="713"/>
      <c r="N538" s="710"/>
      <c r="P538" s="714"/>
    </row>
    <row r="539" spans="4:16" s="221" customFormat="1" x14ac:dyDescent="0.3">
      <c r="D539" s="706"/>
      <c r="E539" s="707"/>
      <c r="F539" s="707"/>
      <c r="H539" s="708"/>
      <c r="I539" s="709"/>
      <c r="J539" s="710"/>
      <c r="K539" s="711"/>
      <c r="L539" s="712"/>
      <c r="M539" s="713"/>
      <c r="N539" s="710"/>
      <c r="P539" s="714"/>
    </row>
    <row r="540" spans="4:16" s="221" customFormat="1" x14ac:dyDescent="0.3">
      <c r="D540" s="706"/>
      <c r="E540" s="707"/>
      <c r="F540" s="707"/>
      <c r="H540" s="708"/>
      <c r="I540" s="709"/>
      <c r="J540" s="710"/>
      <c r="K540" s="711"/>
      <c r="L540" s="712"/>
      <c r="M540" s="713"/>
      <c r="N540" s="710"/>
      <c r="P540" s="714"/>
    </row>
    <row r="541" spans="4:16" s="221" customFormat="1" x14ac:dyDescent="0.3">
      <c r="D541" s="706"/>
      <c r="E541" s="707"/>
      <c r="F541" s="707"/>
      <c r="H541" s="708"/>
      <c r="I541" s="709"/>
      <c r="J541" s="710"/>
      <c r="K541" s="711"/>
      <c r="L541" s="712"/>
      <c r="M541" s="713"/>
      <c r="N541" s="710"/>
      <c r="P541" s="714"/>
    </row>
    <row r="542" spans="4:16" s="221" customFormat="1" x14ac:dyDescent="0.3">
      <c r="D542" s="706"/>
      <c r="E542" s="707"/>
      <c r="F542" s="707"/>
      <c r="H542" s="708"/>
      <c r="I542" s="709"/>
      <c r="J542" s="710"/>
      <c r="K542" s="711"/>
      <c r="L542" s="712"/>
      <c r="M542" s="713"/>
      <c r="N542" s="710"/>
      <c r="P542" s="714"/>
    </row>
    <row r="543" spans="4:16" s="221" customFormat="1" x14ac:dyDescent="0.3">
      <c r="D543" s="706"/>
      <c r="E543" s="707"/>
      <c r="F543" s="707"/>
      <c r="H543" s="708"/>
      <c r="I543" s="709"/>
      <c r="J543" s="710"/>
      <c r="K543" s="711"/>
      <c r="L543" s="712"/>
      <c r="M543" s="713"/>
      <c r="N543" s="710"/>
      <c r="P543" s="714"/>
    </row>
    <row r="544" spans="4:16" s="221" customFormat="1" x14ac:dyDescent="0.3">
      <c r="D544" s="706"/>
      <c r="E544" s="707"/>
      <c r="F544" s="707"/>
      <c r="H544" s="708"/>
      <c r="I544" s="709"/>
      <c r="J544" s="710"/>
      <c r="K544" s="711"/>
      <c r="L544" s="712"/>
      <c r="M544" s="713"/>
      <c r="N544" s="710"/>
      <c r="P544" s="714"/>
    </row>
    <row r="545" spans="4:16" s="221" customFormat="1" x14ac:dyDescent="0.3">
      <c r="D545" s="706"/>
      <c r="E545" s="707"/>
      <c r="F545" s="707"/>
      <c r="H545" s="708"/>
      <c r="I545" s="709"/>
      <c r="J545" s="710"/>
      <c r="K545" s="711"/>
      <c r="L545" s="712"/>
      <c r="M545" s="713"/>
      <c r="N545" s="710"/>
      <c r="P545" s="714"/>
    </row>
    <row r="546" spans="4:16" s="221" customFormat="1" x14ac:dyDescent="0.3">
      <c r="D546" s="706"/>
      <c r="E546" s="707"/>
      <c r="F546" s="707"/>
      <c r="H546" s="708"/>
      <c r="I546" s="709"/>
      <c r="J546" s="710"/>
      <c r="K546" s="711"/>
      <c r="L546" s="712"/>
      <c r="M546" s="713"/>
      <c r="N546" s="710"/>
      <c r="P546" s="714"/>
    </row>
    <row r="547" spans="4:16" s="221" customFormat="1" x14ac:dyDescent="0.3">
      <c r="D547" s="706"/>
      <c r="E547" s="707"/>
      <c r="F547" s="707"/>
      <c r="H547" s="708"/>
      <c r="I547" s="709"/>
      <c r="J547" s="710"/>
      <c r="K547" s="711"/>
      <c r="L547" s="712"/>
      <c r="M547" s="713"/>
      <c r="N547" s="710"/>
      <c r="P547" s="714"/>
    </row>
    <row r="548" spans="4:16" s="221" customFormat="1" x14ac:dyDescent="0.3">
      <c r="D548" s="706"/>
      <c r="E548" s="707"/>
      <c r="F548" s="707"/>
      <c r="H548" s="708"/>
      <c r="I548" s="709"/>
      <c r="J548" s="710"/>
      <c r="K548" s="711"/>
      <c r="L548" s="712"/>
      <c r="M548" s="713"/>
      <c r="N548" s="710"/>
      <c r="P548" s="714"/>
    </row>
    <row r="549" spans="4:16" s="221" customFormat="1" x14ac:dyDescent="0.3">
      <c r="D549" s="706"/>
      <c r="E549" s="707"/>
      <c r="F549" s="707"/>
      <c r="H549" s="708"/>
      <c r="I549" s="709"/>
      <c r="J549" s="710"/>
      <c r="K549" s="711"/>
      <c r="L549" s="712"/>
      <c r="M549" s="713"/>
      <c r="N549" s="710"/>
      <c r="P549" s="714"/>
    </row>
    <row r="550" spans="4:16" s="221" customFormat="1" x14ac:dyDescent="0.3">
      <c r="D550" s="706"/>
      <c r="E550" s="707"/>
      <c r="F550" s="707"/>
      <c r="H550" s="708"/>
      <c r="I550" s="709"/>
      <c r="J550" s="710"/>
      <c r="K550" s="711"/>
      <c r="L550" s="712"/>
      <c r="M550" s="713"/>
      <c r="N550" s="710"/>
      <c r="P550" s="714"/>
    </row>
    <row r="551" spans="4:16" s="221" customFormat="1" x14ac:dyDescent="0.3">
      <c r="D551" s="706"/>
      <c r="E551" s="707"/>
      <c r="F551" s="707"/>
      <c r="H551" s="708"/>
      <c r="I551" s="709"/>
      <c r="J551" s="710"/>
      <c r="K551" s="711"/>
      <c r="L551" s="712"/>
      <c r="M551" s="713"/>
      <c r="N551" s="710"/>
      <c r="P551" s="714"/>
    </row>
    <row r="552" spans="4:16" s="221" customFormat="1" x14ac:dyDescent="0.3">
      <c r="D552" s="706"/>
      <c r="E552" s="707"/>
      <c r="F552" s="707"/>
      <c r="H552" s="708"/>
      <c r="I552" s="709"/>
      <c r="J552" s="710"/>
      <c r="K552" s="711"/>
      <c r="L552" s="712"/>
      <c r="M552" s="713"/>
      <c r="N552" s="710"/>
      <c r="P552" s="714"/>
    </row>
    <row r="553" spans="4:16" s="221" customFormat="1" x14ac:dyDescent="0.3">
      <c r="D553" s="706"/>
      <c r="E553" s="707"/>
      <c r="F553" s="707"/>
      <c r="H553" s="708"/>
      <c r="I553" s="709"/>
      <c r="J553" s="710"/>
      <c r="K553" s="711"/>
      <c r="L553" s="712"/>
      <c r="M553" s="713"/>
      <c r="N553" s="710"/>
      <c r="P553" s="714"/>
    </row>
    <row r="554" spans="4:16" s="221" customFormat="1" x14ac:dyDescent="0.3">
      <c r="D554" s="706"/>
      <c r="E554" s="707"/>
      <c r="F554" s="707"/>
      <c r="H554" s="708"/>
      <c r="I554" s="709"/>
      <c r="J554" s="710"/>
      <c r="K554" s="711"/>
      <c r="L554" s="712"/>
      <c r="M554" s="713"/>
      <c r="N554" s="710"/>
      <c r="P554" s="714"/>
    </row>
    <row r="555" spans="4:16" s="221" customFormat="1" x14ac:dyDescent="0.3">
      <c r="D555" s="706"/>
      <c r="E555" s="707"/>
      <c r="F555" s="707"/>
      <c r="H555" s="708"/>
      <c r="I555" s="709"/>
      <c r="J555" s="710"/>
      <c r="K555" s="711"/>
      <c r="L555" s="712"/>
      <c r="M555" s="713"/>
      <c r="N555" s="710"/>
      <c r="P555" s="714"/>
    </row>
    <row r="556" spans="4:16" s="221" customFormat="1" x14ac:dyDescent="0.3">
      <c r="D556" s="706"/>
      <c r="E556" s="707"/>
      <c r="F556" s="707"/>
      <c r="H556" s="708"/>
      <c r="I556" s="709"/>
      <c r="J556" s="710"/>
      <c r="K556" s="711"/>
      <c r="L556" s="712"/>
      <c r="M556" s="713"/>
      <c r="N556" s="710"/>
      <c r="P556" s="714"/>
    </row>
    <row r="557" spans="4:16" s="221" customFormat="1" x14ac:dyDescent="0.3">
      <c r="D557" s="706"/>
      <c r="E557" s="707"/>
      <c r="F557" s="707"/>
      <c r="H557" s="708"/>
      <c r="I557" s="709"/>
      <c r="J557" s="710"/>
      <c r="K557" s="711"/>
      <c r="L557" s="712"/>
      <c r="M557" s="713"/>
      <c r="N557" s="710"/>
      <c r="P557" s="714"/>
    </row>
    <row r="558" spans="4:16" s="221" customFormat="1" x14ac:dyDescent="0.3">
      <c r="D558" s="706"/>
      <c r="E558" s="707"/>
      <c r="F558" s="707"/>
      <c r="H558" s="708"/>
      <c r="I558" s="709"/>
      <c r="J558" s="710"/>
      <c r="K558" s="711"/>
      <c r="L558" s="712"/>
      <c r="M558" s="713"/>
      <c r="N558" s="710"/>
      <c r="P558" s="714"/>
    </row>
    <row r="559" spans="4:16" s="221" customFormat="1" x14ac:dyDescent="0.3">
      <c r="D559" s="706"/>
      <c r="E559" s="707"/>
      <c r="F559" s="707"/>
      <c r="H559" s="708"/>
      <c r="I559" s="709"/>
      <c r="J559" s="710"/>
      <c r="K559" s="711"/>
      <c r="L559" s="712"/>
      <c r="M559" s="713"/>
      <c r="N559" s="710"/>
      <c r="P559" s="714"/>
    </row>
    <row r="560" spans="4:16" s="221" customFormat="1" x14ac:dyDescent="0.3">
      <c r="D560" s="706"/>
      <c r="E560" s="707"/>
      <c r="F560" s="707"/>
      <c r="H560" s="708"/>
      <c r="I560" s="709"/>
      <c r="J560" s="710"/>
      <c r="K560" s="711"/>
      <c r="L560" s="712"/>
      <c r="M560" s="713"/>
      <c r="N560" s="710"/>
      <c r="P560" s="714"/>
    </row>
    <row r="561" spans="4:16" s="221" customFormat="1" x14ac:dyDescent="0.3">
      <c r="D561" s="706"/>
      <c r="E561" s="707"/>
      <c r="F561" s="707"/>
      <c r="H561" s="708"/>
      <c r="I561" s="709"/>
      <c r="J561" s="710"/>
      <c r="K561" s="711"/>
      <c r="L561" s="712"/>
      <c r="M561" s="713"/>
      <c r="N561" s="710"/>
      <c r="P561" s="714"/>
    </row>
    <row r="562" spans="4:16" s="221" customFormat="1" x14ac:dyDescent="0.3">
      <c r="D562" s="706"/>
      <c r="E562" s="707"/>
      <c r="F562" s="707"/>
      <c r="H562" s="708"/>
      <c r="I562" s="709"/>
      <c r="J562" s="710"/>
      <c r="K562" s="711"/>
      <c r="L562" s="712"/>
      <c r="M562" s="713"/>
      <c r="N562" s="710"/>
      <c r="P562" s="714"/>
    </row>
    <row r="563" spans="4:16" s="221" customFormat="1" x14ac:dyDescent="0.3">
      <c r="D563" s="706"/>
      <c r="E563" s="707"/>
      <c r="F563" s="707"/>
      <c r="H563" s="708"/>
      <c r="I563" s="709"/>
      <c r="J563" s="710"/>
      <c r="K563" s="711"/>
      <c r="L563" s="712"/>
      <c r="M563" s="713"/>
      <c r="N563" s="710"/>
      <c r="P563" s="714"/>
    </row>
    <row r="564" spans="4:16" s="221" customFormat="1" x14ac:dyDescent="0.3">
      <c r="D564" s="706"/>
      <c r="E564" s="707"/>
      <c r="F564" s="707"/>
      <c r="H564" s="708"/>
      <c r="I564" s="709"/>
      <c r="J564" s="710"/>
      <c r="K564" s="711"/>
      <c r="L564" s="712"/>
      <c r="M564" s="713"/>
      <c r="N564" s="710"/>
      <c r="P564" s="714"/>
    </row>
    <row r="565" spans="4:16" s="221" customFormat="1" x14ac:dyDescent="0.3">
      <c r="D565" s="706"/>
      <c r="E565" s="707"/>
      <c r="F565" s="707"/>
      <c r="H565" s="708"/>
      <c r="I565" s="709"/>
      <c r="J565" s="710"/>
      <c r="K565" s="711"/>
      <c r="L565" s="712"/>
      <c r="M565" s="713"/>
      <c r="N565" s="710"/>
      <c r="P565" s="714"/>
    </row>
    <row r="566" spans="4:16" s="221" customFormat="1" x14ac:dyDescent="0.3">
      <c r="D566" s="706"/>
      <c r="E566" s="707"/>
      <c r="F566" s="707"/>
      <c r="H566" s="708"/>
      <c r="I566" s="709"/>
      <c r="J566" s="710"/>
      <c r="K566" s="711"/>
      <c r="L566" s="712"/>
      <c r="M566" s="713"/>
      <c r="N566" s="710"/>
      <c r="P566" s="714"/>
    </row>
    <row r="567" spans="4:16" s="221" customFormat="1" x14ac:dyDescent="0.3">
      <c r="D567" s="706"/>
      <c r="E567" s="707"/>
      <c r="F567" s="707"/>
      <c r="H567" s="708"/>
      <c r="I567" s="709"/>
      <c r="J567" s="710"/>
      <c r="K567" s="711"/>
      <c r="L567" s="712"/>
      <c r="M567" s="713"/>
      <c r="N567" s="710"/>
      <c r="P567" s="714"/>
    </row>
    <row r="568" spans="4:16" s="221" customFormat="1" x14ac:dyDescent="0.3">
      <c r="D568" s="706"/>
      <c r="E568" s="707"/>
      <c r="F568" s="707"/>
      <c r="H568" s="708"/>
      <c r="I568" s="709"/>
      <c r="J568" s="710"/>
      <c r="K568" s="711"/>
      <c r="L568" s="712"/>
      <c r="M568" s="713"/>
      <c r="N568" s="710"/>
      <c r="P568" s="714"/>
    </row>
    <row r="569" spans="4:16" s="221" customFormat="1" x14ac:dyDescent="0.3">
      <c r="D569" s="706"/>
      <c r="E569" s="707"/>
      <c r="F569" s="707"/>
      <c r="H569" s="708"/>
      <c r="I569" s="709"/>
      <c r="J569" s="710"/>
      <c r="K569" s="711"/>
      <c r="L569" s="712"/>
      <c r="M569" s="713"/>
      <c r="N569" s="710"/>
      <c r="P569" s="714"/>
    </row>
    <row r="570" spans="4:16" s="221" customFormat="1" x14ac:dyDescent="0.3">
      <c r="D570" s="706"/>
      <c r="E570" s="707"/>
      <c r="F570" s="707"/>
      <c r="H570" s="708"/>
      <c r="I570" s="709"/>
      <c r="J570" s="710"/>
      <c r="K570" s="711"/>
      <c r="L570" s="712"/>
      <c r="M570" s="713"/>
      <c r="N570" s="710"/>
      <c r="P570" s="714"/>
    </row>
    <row r="571" spans="4:16" s="221" customFormat="1" x14ac:dyDescent="0.3">
      <c r="D571" s="706"/>
      <c r="E571" s="707"/>
      <c r="F571" s="707"/>
      <c r="H571" s="708"/>
      <c r="I571" s="709"/>
      <c r="J571" s="710"/>
      <c r="K571" s="711"/>
      <c r="L571" s="712"/>
      <c r="M571" s="713"/>
      <c r="N571" s="710"/>
      <c r="P571" s="714"/>
    </row>
    <row r="572" spans="4:16" s="221" customFormat="1" x14ac:dyDescent="0.3">
      <c r="D572" s="706"/>
      <c r="E572" s="707"/>
      <c r="F572" s="707"/>
      <c r="H572" s="708"/>
      <c r="I572" s="709"/>
      <c r="J572" s="710"/>
      <c r="K572" s="711"/>
      <c r="L572" s="712"/>
      <c r="M572" s="713"/>
      <c r="N572" s="710"/>
      <c r="P572" s="714"/>
    </row>
    <row r="573" spans="4:16" s="221" customFormat="1" x14ac:dyDescent="0.3">
      <c r="D573" s="706"/>
      <c r="E573" s="707"/>
      <c r="F573" s="707"/>
      <c r="H573" s="708"/>
      <c r="I573" s="709"/>
      <c r="J573" s="710"/>
      <c r="K573" s="711"/>
      <c r="L573" s="712"/>
      <c r="M573" s="713"/>
      <c r="N573" s="710"/>
      <c r="P573" s="714"/>
    </row>
    <row r="574" spans="4:16" s="221" customFormat="1" x14ac:dyDescent="0.3">
      <c r="D574" s="706"/>
      <c r="E574" s="707"/>
      <c r="F574" s="707"/>
      <c r="H574" s="708"/>
      <c r="I574" s="709"/>
      <c r="J574" s="710"/>
      <c r="K574" s="711"/>
      <c r="L574" s="712"/>
      <c r="M574" s="713"/>
      <c r="N574" s="710"/>
      <c r="P574" s="714"/>
    </row>
    <row r="575" spans="4:16" s="221" customFormat="1" x14ac:dyDescent="0.3">
      <c r="D575" s="706"/>
      <c r="E575" s="707"/>
      <c r="F575" s="707"/>
      <c r="H575" s="708"/>
      <c r="I575" s="709"/>
      <c r="J575" s="710"/>
      <c r="K575" s="711"/>
      <c r="L575" s="712"/>
      <c r="M575" s="713"/>
      <c r="N575" s="710"/>
      <c r="P575" s="714"/>
    </row>
    <row r="576" spans="4:16" s="221" customFormat="1" x14ac:dyDescent="0.3">
      <c r="D576" s="706"/>
      <c r="E576" s="707"/>
      <c r="F576" s="707"/>
      <c r="H576" s="708"/>
      <c r="I576" s="709"/>
      <c r="J576" s="710"/>
      <c r="K576" s="711"/>
      <c r="L576" s="712"/>
      <c r="M576" s="713"/>
      <c r="N576" s="710"/>
      <c r="P576" s="714"/>
    </row>
    <row r="577" spans="4:16" s="221" customFormat="1" x14ac:dyDescent="0.3">
      <c r="D577" s="706"/>
      <c r="E577" s="707"/>
      <c r="F577" s="707"/>
      <c r="H577" s="708"/>
      <c r="I577" s="709"/>
      <c r="J577" s="710"/>
      <c r="K577" s="711"/>
      <c r="L577" s="712"/>
      <c r="M577" s="713"/>
      <c r="N577" s="710"/>
      <c r="P577" s="714"/>
    </row>
    <row r="578" spans="4:16" s="221" customFormat="1" x14ac:dyDescent="0.3">
      <c r="D578" s="706"/>
      <c r="E578" s="707"/>
      <c r="F578" s="707"/>
      <c r="H578" s="708"/>
      <c r="I578" s="709"/>
      <c r="J578" s="710"/>
      <c r="K578" s="711"/>
      <c r="L578" s="712"/>
      <c r="M578" s="713"/>
      <c r="N578" s="710"/>
      <c r="P578" s="714"/>
    </row>
    <row r="579" spans="4:16" s="221" customFormat="1" x14ac:dyDescent="0.3">
      <c r="D579" s="706"/>
      <c r="E579" s="707"/>
      <c r="F579" s="707"/>
      <c r="H579" s="708"/>
      <c r="I579" s="709"/>
      <c r="J579" s="710"/>
      <c r="K579" s="711"/>
      <c r="L579" s="712"/>
      <c r="M579" s="713"/>
      <c r="N579" s="710"/>
      <c r="P579" s="714"/>
    </row>
    <row r="580" spans="4:16" s="221" customFormat="1" x14ac:dyDescent="0.3">
      <c r="D580" s="706"/>
      <c r="E580" s="707"/>
      <c r="F580" s="707"/>
      <c r="H580" s="708"/>
      <c r="I580" s="709"/>
      <c r="J580" s="710"/>
      <c r="K580" s="711"/>
      <c r="L580" s="712"/>
      <c r="M580" s="713"/>
      <c r="N580" s="710"/>
      <c r="P580" s="714"/>
    </row>
    <row r="581" spans="4:16" s="221" customFormat="1" x14ac:dyDescent="0.3">
      <c r="D581" s="706"/>
      <c r="E581" s="707"/>
      <c r="F581" s="707"/>
      <c r="H581" s="708"/>
      <c r="I581" s="709"/>
      <c r="J581" s="710"/>
      <c r="K581" s="711"/>
      <c r="L581" s="712"/>
      <c r="M581" s="713"/>
      <c r="N581" s="710"/>
      <c r="P581" s="714"/>
    </row>
    <row r="582" spans="4:16" s="221" customFormat="1" x14ac:dyDescent="0.3">
      <c r="D582" s="706"/>
      <c r="E582" s="707"/>
      <c r="F582" s="707"/>
      <c r="H582" s="708"/>
      <c r="I582" s="709"/>
      <c r="J582" s="710"/>
      <c r="K582" s="711"/>
      <c r="L582" s="712"/>
      <c r="M582" s="713"/>
      <c r="N582" s="710"/>
      <c r="P582" s="714"/>
    </row>
    <row r="583" spans="4:16" s="221" customFormat="1" x14ac:dyDescent="0.3">
      <c r="D583" s="706"/>
      <c r="E583" s="707"/>
      <c r="F583" s="707"/>
      <c r="H583" s="708"/>
      <c r="I583" s="709"/>
      <c r="J583" s="710"/>
      <c r="K583" s="711"/>
      <c r="L583" s="712"/>
      <c r="M583" s="713"/>
      <c r="N583" s="710"/>
      <c r="P583" s="714"/>
    </row>
    <row r="584" spans="4:16" s="221" customFormat="1" x14ac:dyDescent="0.3">
      <c r="D584" s="706"/>
      <c r="E584" s="707"/>
      <c r="F584" s="707"/>
      <c r="H584" s="708"/>
      <c r="I584" s="709"/>
      <c r="J584" s="710"/>
      <c r="K584" s="711"/>
      <c r="L584" s="712"/>
      <c r="M584" s="713"/>
      <c r="N584" s="710"/>
      <c r="P584" s="714"/>
    </row>
    <row r="585" spans="4:16" s="221" customFormat="1" x14ac:dyDescent="0.3">
      <c r="D585" s="706"/>
      <c r="E585" s="707"/>
      <c r="F585" s="707"/>
      <c r="H585" s="708"/>
      <c r="I585" s="709"/>
      <c r="J585" s="710"/>
      <c r="K585" s="711"/>
      <c r="L585" s="712"/>
      <c r="M585" s="713"/>
      <c r="N585" s="710"/>
      <c r="P585" s="714"/>
    </row>
    <row r="586" spans="4:16" s="221" customFormat="1" x14ac:dyDescent="0.3">
      <c r="D586" s="706"/>
      <c r="E586" s="707"/>
      <c r="F586" s="707"/>
      <c r="H586" s="708"/>
      <c r="I586" s="709"/>
      <c r="J586" s="710"/>
      <c r="K586" s="711"/>
      <c r="L586" s="712"/>
      <c r="M586" s="713"/>
      <c r="N586" s="710"/>
      <c r="P586" s="714"/>
    </row>
    <row r="587" spans="4:16" s="221" customFormat="1" x14ac:dyDescent="0.3">
      <c r="D587" s="706"/>
      <c r="E587" s="707"/>
      <c r="F587" s="707"/>
      <c r="H587" s="708"/>
      <c r="I587" s="709"/>
      <c r="J587" s="710"/>
      <c r="K587" s="711"/>
      <c r="L587" s="712"/>
      <c r="M587" s="713"/>
      <c r="N587" s="710"/>
      <c r="P587" s="714"/>
    </row>
    <row r="588" spans="4:16" s="221" customFormat="1" x14ac:dyDescent="0.3">
      <c r="D588" s="706"/>
      <c r="E588" s="707"/>
      <c r="F588" s="707"/>
      <c r="H588" s="708"/>
      <c r="I588" s="709"/>
      <c r="J588" s="710"/>
      <c r="K588" s="711"/>
      <c r="L588" s="712"/>
      <c r="M588" s="713"/>
      <c r="N588" s="710"/>
      <c r="P588" s="714"/>
    </row>
    <row r="589" spans="4:16" s="221" customFormat="1" x14ac:dyDescent="0.3">
      <c r="D589" s="706"/>
      <c r="E589" s="707"/>
      <c r="F589" s="707"/>
      <c r="H589" s="708"/>
      <c r="I589" s="709"/>
      <c r="J589" s="710"/>
      <c r="K589" s="711"/>
      <c r="L589" s="712"/>
      <c r="M589" s="713"/>
      <c r="N589" s="710"/>
      <c r="P589" s="714"/>
    </row>
    <row r="590" spans="4:16" s="221" customFormat="1" x14ac:dyDescent="0.3">
      <c r="D590" s="706"/>
      <c r="E590" s="707"/>
      <c r="F590" s="707"/>
      <c r="H590" s="708"/>
      <c r="I590" s="709"/>
      <c r="J590" s="710"/>
      <c r="K590" s="711"/>
      <c r="L590" s="712"/>
      <c r="M590" s="713"/>
      <c r="N590" s="710"/>
      <c r="P590" s="714"/>
    </row>
    <row r="591" spans="4:16" s="221" customFormat="1" x14ac:dyDescent="0.3">
      <c r="D591" s="706"/>
      <c r="E591" s="707"/>
      <c r="F591" s="707"/>
      <c r="H591" s="708"/>
      <c r="I591" s="709"/>
      <c r="J591" s="710"/>
      <c r="K591" s="711"/>
      <c r="L591" s="712"/>
      <c r="M591" s="713"/>
      <c r="N591" s="710"/>
      <c r="P591" s="714"/>
    </row>
    <row r="592" spans="4:16" s="221" customFormat="1" x14ac:dyDescent="0.3">
      <c r="D592" s="706"/>
      <c r="E592" s="707"/>
      <c r="F592" s="707"/>
      <c r="H592" s="708"/>
      <c r="I592" s="709"/>
      <c r="J592" s="710"/>
      <c r="K592" s="711"/>
      <c r="L592" s="712"/>
      <c r="M592" s="713"/>
      <c r="N592" s="710"/>
      <c r="P592" s="714"/>
    </row>
    <row r="593" spans="1:62" s="221" customFormat="1" x14ac:dyDescent="0.3">
      <c r="D593" s="706"/>
      <c r="E593" s="707"/>
      <c r="F593" s="707"/>
      <c r="H593" s="708"/>
      <c r="I593" s="709"/>
      <c r="J593" s="710"/>
      <c r="K593" s="711"/>
      <c r="L593" s="712"/>
      <c r="M593" s="713"/>
      <c r="N593" s="710"/>
      <c r="P593" s="714"/>
    </row>
    <row r="594" spans="1:62" s="221" customFormat="1" x14ac:dyDescent="0.3">
      <c r="D594" s="706"/>
      <c r="E594" s="707"/>
      <c r="F594" s="707"/>
      <c r="H594" s="708"/>
      <c r="I594" s="709"/>
      <c r="J594" s="710"/>
      <c r="K594" s="711"/>
      <c r="L594" s="712"/>
      <c r="M594" s="713"/>
      <c r="N594" s="710"/>
      <c r="P594" s="714"/>
    </row>
    <row r="595" spans="1:62" s="221" customFormat="1" x14ac:dyDescent="0.3">
      <c r="D595" s="706"/>
      <c r="E595" s="707"/>
      <c r="F595" s="707"/>
      <c r="H595" s="708"/>
      <c r="I595" s="709"/>
      <c r="J595" s="710"/>
      <c r="K595" s="711"/>
      <c r="L595" s="712"/>
      <c r="M595" s="713"/>
      <c r="N595" s="710"/>
      <c r="P595" s="714"/>
    </row>
    <row r="596" spans="1:62" s="221" customFormat="1" x14ac:dyDescent="0.3">
      <c r="D596" s="706"/>
      <c r="E596" s="707"/>
      <c r="F596" s="707"/>
      <c r="H596" s="708"/>
      <c r="I596" s="709"/>
      <c r="J596" s="710"/>
      <c r="K596" s="711"/>
      <c r="L596" s="712"/>
      <c r="M596" s="713"/>
      <c r="N596" s="710"/>
      <c r="P596" s="714"/>
    </row>
    <row r="597" spans="1:62" s="221" customFormat="1" x14ac:dyDescent="0.3">
      <c r="D597" s="706"/>
      <c r="E597" s="707"/>
      <c r="F597" s="707"/>
      <c r="H597" s="708"/>
      <c r="I597" s="709"/>
      <c r="J597" s="710"/>
      <c r="K597" s="711"/>
      <c r="L597" s="712"/>
      <c r="M597" s="713"/>
      <c r="N597" s="710"/>
      <c r="P597" s="714"/>
    </row>
    <row r="598" spans="1:62" s="221" customFormat="1" x14ac:dyDescent="0.3">
      <c r="D598" s="706"/>
      <c r="E598" s="707"/>
      <c r="F598" s="707"/>
      <c r="H598" s="708"/>
      <c r="I598" s="709"/>
      <c r="J598" s="710"/>
      <c r="K598" s="711"/>
      <c r="L598" s="712"/>
      <c r="M598" s="713"/>
      <c r="N598" s="710"/>
      <c r="P598" s="714"/>
    </row>
    <row r="599" spans="1:62" s="221" customFormat="1" x14ac:dyDescent="0.3">
      <c r="D599" s="706"/>
      <c r="E599" s="707"/>
      <c r="F599" s="707"/>
      <c r="H599" s="708"/>
      <c r="I599" s="709"/>
      <c r="J599" s="710"/>
      <c r="K599" s="711"/>
      <c r="L599" s="712"/>
      <c r="M599" s="713"/>
      <c r="N599" s="710"/>
      <c r="P599" s="714"/>
    </row>
    <row r="600" spans="1:62" s="221" customFormat="1" x14ac:dyDescent="0.3">
      <c r="D600" s="706"/>
      <c r="E600" s="707"/>
      <c r="F600" s="707"/>
      <c r="H600" s="708"/>
      <c r="I600" s="709"/>
      <c r="J600" s="710"/>
      <c r="K600" s="711"/>
      <c r="L600" s="712"/>
      <c r="M600" s="713"/>
      <c r="N600" s="710"/>
      <c r="P600" s="714"/>
    </row>
    <row r="601" spans="1:62" s="638" customFormat="1" x14ac:dyDescent="0.3">
      <c r="A601" s="148"/>
      <c r="B601" s="148"/>
      <c r="C601" s="148"/>
      <c r="D601" s="492"/>
      <c r="E601" s="489"/>
      <c r="F601" s="489"/>
      <c r="G601" s="148"/>
      <c r="H601" s="150"/>
      <c r="I601" s="151"/>
      <c r="J601" s="152"/>
      <c r="K601" s="476"/>
      <c r="L601" s="149"/>
      <c r="M601" s="280"/>
      <c r="N601" s="154"/>
      <c r="O601" s="155"/>
      <c r="P601" s="153"/>
      <c r="Q601" s="148"/>
      <c r="R601" s="148"/>
      <c r="S601" s="155"/>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row>
    <row r="602" spans="1:62" s="638" customFormat="1" x14ac:dyDescent="0.3">
      <c r="A602" s="148"/>
      <c r="B602" s="148"/>
      <c r="C602" s="148"/>
      <c r="D602" s="492"/>
      <c r="E602" s="489"/>
      <c r="F602" s="489"/>
      <c r="G602" s="148"/>
      <c r="H602" s="150"/>
      <c r="I602" s="151"/>
      <c r="J602" s="152"/>
      <c r="K602" s="476"/>
      <c r="L602" s="149"/>
      <c r="M602" s="280"/>
      <c r="N602" s="154"/>
      <c r="O602" s="155"/>
      <c r="P602" s="153"/>
      <c r="Q602" s="148"/>
      <c r="R602" s="148"/>
      <c r="S602" s="155"/>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row>
    <row r="603" spans="1:62" s="638" customFormat="1" x14ac:dyDescent="0.3">
      <c r="A603" s="148"/>
      <c r="B603" s="148"/>
      <c r="C603" s="148"/>
      <c r="D603" s="492"/>
      <c r="E603" s="489"/>
      <c r="F603" s="489"/>
      <c r="G603" s="148"/>
      <c r="H603" s="150"/>
      <c r="I603" s="151"/>
      <c r="J603" s="152"/>
      <c r="K603" s="476"/>
      <c r="L603" s="149"/>
      <c r="M603" s="280"/>
      <c r="N603" s="154"/>
      <c r="O603" s="155"/>
      <c r="P603" s="153"/>
      <c r="Q603" s="148"/>
      <c r="R603" s="148"/>
      <c r="S603" s="155"/>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row>
    <row r="604" spans="1:62" s="638" customFormat="1" x14ac:dyDescent="0.3">
      <c r="A604" s="148"/>
      <c r="B604" s="148"/>
      <c r="C604" s="148"/>
      <c r="D604" s="492"/>
      <c r="E604" s="489"/>
      <c r="F604" s="489"/>
      <c r="G604" s="148"/>
      <c r="H604" s="150"/>
      <c r="I604" s="151"/>
      <c r="J604" s="152"/>
      <c r="K604" s="476"/>
      <c r="L604" s="149"/>
      <c r="M604" s="280"/>
      <c r="N604" s="154"/>
      <c r="O604" s="155"/>
      <c r="P604" s="153"/>
      <c r="Q604" s="148"/>
      <c r="R604" s="148"/>
      <c r="S604" s="155"/>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row>
    <row r="605" spans="1:62" s="638" customFormat="1" x14ac:dyDescent="0.3">
      <c r="A605" s="148"/>
      <c r="B605" s="148"/>
      <c r="C605" s="148"/>
      <c r="D605" s="492"/>
      <c r="E605" s="489"/>
      <c r="F605" s="489"/>
      <c r="G605" s="148"/>
      <c r="H605" s="150"/>
      <c r="I605" s="151"/>
      <c r="J605" s="152"/>
      <c r="K605" s="476"/>
      <c r="L605" s="149"/>
      <c r="M605" s="280"/>
      <c r="N605" s="154"/>
      <c r="O605" s="155"/>
      <c r="P605" s="153"/>
      <c r="Q605" s="148"/>
      <c r="R605" s="148"/>
      <c r="S605" s="155"/>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row>
    <row r="606" spans="1:62" s="638" customFormat="1" x14ac:dyDescent="0.3">
      <c r="A606" s="148"/>
      <c r="B606" s="148"/>
      <c r="C606" s="148"/>
      <c r="D606" s="492"/>
      <c r="E606" s="489"/>
      <c r="F606" s="489"/>
      <c r="G606" s="148"/>
      <c r="H606" s="150"/>
      <c r="I606" s="151"/>
      <c r="J606" s="152"/>
      <c r="K606" s="476"/>
      <c r="L606" s="149"/>
      <c r="M606" s="280"/>
      <c r="N606" s="154"/>
      <c r="O606" s="155"/>
      <c r="P606" s="153"/>
      <c r="Q606" s="148"/>
      <c r="R606" s="148"/>
      <c r="S606" s="155"/>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row>
    <row r="607" spans="1:62" s="638" customFormat="1" x14ac:dyDescent="0.3">
      <c r="A607" s="148"/>
      <c r="B607" s="148"/>
      <c r="C607" s="148"/>
      <c r="D607" s="492"/>
      <c r="E607" s="489"/>
      <c r="F607" s="489"/>
      <c r="G607" s="148"/>
      <c r="H607" s="150"/>
      <c r="I607" s="151"/>
      <c r="J607" s="152"/>
      <c r="K607" s="476"/>
      <c r="L607" s="149"/>
      <c r="M607" s="280"/>
      <c r="N607" s="154"/>
      <c r="O607" s="155"/>
      <c r="P607" s="153"/>
      <c r="Q607" s="148"/>
      <c r="R607" s="148"/>
      <c r="S607" s="155"/>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row>
    <row r="608" spans="1:62" s="638" customFormat="1" x14ac:dyDescent="0.3">
      <c r="A608" s="148"/>
      <c r="B608" s="148"/>
      <c r="C608" s="148"/>
      <c r="D608" s="492"/>
      <c r="E608" s="489"/>
      <c r="F608" s="489"/>
      <c r="G608" s="148"/>
      <c r="H608" s="150"/>
      <c r="I608" s="151"/>
      <c r="J608" s="152"/>
      <c r="K608" s="476"/>
      <c r="L608" s="149"/>
      <c r="M608" s="280"/>
      <c r="N608" s="154"/>
      <c r="O608" s="155"/>
      <c r="P608" s="153"/>
      <c r="Q608" s="148"/>
      <c r="R608" s="148"/>
      <c r="S608" s="155"/>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row>
    <row r="609" spans="1:62" s="638" customFormat="1" x14ac:dyDescent="0.3">
      <c r="A609" s="148"/>
      <c r="B609" s="148"/>
      <c r="C609" s="148"/>
      <c r="D609" s="492"/>
      <c r="E609" s="489"/>
      <c r="F609" s="489"/>
      <c r="G609" s="148"/>
      <c r="H609" s="150"/>
      <c r="I609" s="151"/>
      <c r="J609" s="152"/>
      <c r="K609" s="476"/>
      <c r="L609" s="149"/>
      <c r="M609" s="280"/>
      <c r="N609" s="154"/>
      <c r="O609" s="155"/>
      <c r="P609" s="153"/>
      <c r="Q609" s="148"/>
      <c r="R609" s="148"/>
      <c r="S609" s="155"/>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row>
    <row r="610" spans="1:62" s="638" customFormat="1" x14ac:dyDescent="0.3">
      <c r="A610" s="148"/>
      <c r="B610" s="148"/>
      <c r="C610" s="148"/>
      <c r="D610" s="492"/>
      <c r="E610" s="489"/>
      <c r="F610" s="489"/>
      <c r="G610" s="148"/>
      <c r="H610" s="150"/>
      <c r="I610" s="151"/>
      <c r="J610" s="152"/>
      <c r="K610" s="476"/>
      <c r="L610" s="149"/>
      <c r="M610" s="280"/>
      <c r="N610" s="154"/>
      <c r="O610" s="155"/>
      <c r="P610" s="153"/>
      <c r="Q610" s="148"/>
      <c r="R610" s="148"/>
      <c r="S610" s="155"/>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row>
    <row r="611" spans="1:62" s="638" customFormat="1" x14ac:dyDescent="0.3">
      <c r="A611" s="148"/>
      <c r="B611" s="148"/>
      <c r="C611" s="148"/>
      <c r="D611" s="492"/>
      <c r="E611" s="489"/>
      <c r="F611" s="489"/>
      <c r="G611" s="148"/>
      <c r="H611" s="150"/>
      <c r="I611" s="151"/>
      <c r="J611" s="152"/>
      <c r="K611" s="476"/>
      <c r="L611" s="149"/>
      <c r="M611" s="280"/>
      <c r="N611" s="154"/>
      <c r="O611" s="155"/>
      <c r="P611" s="153"/>
      <c r="Q611" s="148"/>
      <c r="R611" s="148"/>
      <c r="S611" s="155"/>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row>
    <row r="612" spans="1:62" s="638" customFormat="1" x14ac:dyDescent="0.3">
      <c r="A612" s="148"/>
      <c r="B612" s="148"/>
      <c r="C612" s="148"/>
      <c r="D612" s="492"/>
      <c r="E612" s="489"/>
      <c r="F612" s="489"/>
      <c r="G612" s="148"/>
      <c r="H612" s="150"/>
      <c r="I612" s="151"/>
      <c r="J612" s="152"/>
      <c r="K612" s="476"/>
      <c r="L612" s="149"/>
      <c r="M612" s="280"/>
      <c r="N612" s="154"/>
      <c r="O612" s="155"/>
      <c r="P612" s="153"/>
      <c r="Q612" s="148"/>
      <c r="R612" s="148"/>
      <c r="S612" s="155"/>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row>
    <row r="613" spans="1:62" s="638" customFormat="1" x14ac:dyDescent="0.3">
      <c r="A613" s="148"/>
      <c r="B613" s="148"/>
      <c r="C613" s="148"/>
      <c r="D613" s="492"/>
      <c r="E613" s="489"/>
      <c r="F613" s="489"/>
      <c r="G613" s="148"/>
      <c r="H613" s="150"/>
      <c r="I613" s="151"/>
      <c r="J613" s="152"/>
      <c r="K613" s="476"/>
      <c r="L613" s="149"/>
      <c r="M613" s="280"/>
      <c r="N613" s="154"/>
      <c r="O613" s="155"/>
      <c r="P613" s="153"/>
      <c r="Q613" s="148"/>
      <c r="R613" s="148"/>
      <c r="S613" s="155"/>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row>
    <row r="614" spans="1:62" s="638" customFormat="1" x14ac:dyDescent="0.3">
      <c r="A614" s="148"/>
      <c r="B614" s="148"/>
      <c r="C614" s="148"/>
      <c r="D614" s="492"/>
      <c r="E614" s="489"/>
      <c r="F614" s="489"/>
      <c r="G614" s="148"/>
      <c r="H614" s="150"/>
      <c r="I614" s="151"/>
      <c r="J614" s="152"/>
      <c r="K614" s="476"/>
      <c r="L614" s="149"/>
      <c r="M614" s="280"/>
      <c r="N614" s="154"/>
      <c r="O614" s="155"/>
      <c r="P614" s="153"/>
      <c r="Q614" s="148"/>
      <c r="R614" s="148"/>
      <c r="S614" s="155"/>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row>
    <row r="615" spans="1:62" s="638" customFormat="1" x14ac:dyDescent="0.3">
      <c r="A615" s="148"/>
      <c r="B615" s="148"/>
      <c r="C615" s="148"/>
      <c r="D615" s="492"/>
      <c r="E615" s="489"/>
      <c r="F615" s="489"/>
      <c r="G615" s="148"/>
      <c r="H615" s="150"/>
      <c r="I615" s="151"/>
      <c r="J615" s="152"/>
      <c r="K615" s="476"/>
      <c r="L615" s="149"/>
      <c r="M615" s="280"/>
      <c r="N615" s="154"/>
      <c r="O615" s="155"/>
      <c r="P615" s="153"/>
      <c r="Q615" s="148"/>
      <c r="R615" s="148"/>
      <c r="S615" s="155"/>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row>
    <row r="616" spans="1:62" s="638" customFormat="1" x14ac:dyDescent="0.3">
      <c r="A616" s="148"/>
      <c r="B616" s="148"/>
      <c r="C616" s="148"/>
      <c r="D616" s="492"/>
      <c r="E616" s="489"/>
      <c r="F616" s="489"/>
      <c r="G616" s="148"/>
      <c r="H616" s="150"/>
      <c r="I616" s="151"/>
      <c r="J616" s="152"/>
      <c r="K616" s="476"/>
      <c r="L616" s="149"/>
      <c r="M616" s="280"/>
      <c r="N616" s="154"/>
      <c r="O616" s="155"/>
      <c r="P616" s="153"/>
      <c r="Q616" s="148"/>
      <c r="R616" s="148"/>
      <c r="S616" s="155"/>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row>
    <row r="617" spans="1:62" s="638" customFormat="1" x14ac:dyDescent="0.3">
      <c r="A617" s="148"/>
      <c r="B617" s="148"/>
      <c r="C617" s="148"/>
      <c r="D617" s="492"/>
      <c r="E617" s="489"/>
      <c r="F617" s="489"/>
      <c r="G617" s="148"/>
      <c r="H617" s="150"/>
      <c r="I617" s="151"/>
      <c r="J617" s="152"/>
      <c r="K617" s="476"/>
      <c r="L617" s="149"/>
      <c r="M617" s="280"/>
      <c r="N617" s="154"/>
      <c r="O617" s="155"/>
      <c r="P617" s="153"/>
      <c r="Q617" s="148"/>
      <c r="R617" s="148"/>
      <c r="S617" s="155"/>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row>
    <row r="618" spans="1:62" s="638" customFormat="1" x14ac:dyDescent="0.3">
      <c r="A618" s="148"/>
      <c r="B618" s="148"/>
      <c r="C618" s="148"/>
      <c r="D618" s="492"/>
      <c r="E618" s="489"/>
      <c r="F618" s="489"/>
      <c r="G618" s="148"/>
      <c r="H618" s="150"/>
      <c r="I618" s="151"/>
      <c r="J618" s="152"/>
      <c r="K618" s="476"/>
      <c r="L618" s="149"/>
      <c r="M618" s="280"/>
      <c r="N618" s="154"/>
      <c r="O618" s="155"/>
      <c r="P618" s="153"/>
      <c r="Q618" s="148"/>
      <c r="R618" s="148"/>
      <c r="S618" s="155"/>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row>
    <row r="619" spans="1:62" s="638" customFormat="1" x14ac:dyDescent="0.3">
      <c r="A619" s="148"/>
      <c r="B619" s="148"/>
      <c r="C619" s="148"/>
      <c r="D619" s="492"/>
      <c r="E619" s="489"/>
      <c r="F619" s="489"/>
      <c r="G619" s="148"/>
      <c r="H619" s="150"/>
      <c r="I619" s="151"/>
      <c r="J619" s="152"/>
      <c r="K619" s="476"/>
      <c r="L619" s="149"/>
      <c r="M619" s="280"/>
      <c r="N619" s="154"/>
      <c r="O619" s="155"/>
      <c r="P619" s="153"/>
      <c r="Q619" s="148"/>
      <c r="R619" s="148"/>
      <c r="S619" s="155"/>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row>
    <row r="620" spans="1:62" s="638" customFormat="1" x14ac:dyDescent="0.3">
      <c r="A620" s="148"/>
      <c r="B620" s="148"/>
      <c r="C620" s="148"/>
      <c r="D620" s="492"/>
      <c r="E620" s="489"/>
      <c r="F620" s="489"/>
      <c r="G620" s="148"/>
      <c r="H620" s="150"/>
      <c r="I620" s="151"/>
      <c r="J620" s="152"/>
      <c r="K620" s="476"/>
      <c r="L620" s="149"/>
      <c r="M620" s="280"/>
      <c r="N620" s="154"/>
      <c r="O620" s="155"/>
      <c r="P620" s="153"/>
      <c r="Q620" s="148"/>
      <c r="R620" s="148"/>
      <c r="S620" s="155"/>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row>
    <row r="621" spans="1:62" s="638" customFormat="1" x14ac:dyDescent="0.3">
      <c r="A621" s="148"/>
      <c r="B621" s="148"/>
      <c r="C621" s="148"/>
      <c r="D621" s="492"/>
      <c r="E621" s="489"/>
      <c r="F621" s="489"/>
      <c r="G621" s="148"/>
      <c r="H621" s="150"/>
      <c r="I621" s="151"/>
      <c r="J621" s="152"/>
      <c r="K621" s="476"/>
      <c r="L621" s="149"/>
      <c r="M621" s="280"/>
      <c r="N621" s="154"/>
      <c r="O621" s="155"/>
      <c r="P621" s="153"/>
      <c r="Q621" s="148"/>
      <c r="R621" s="148"/>
      <c r="S621" s="155"/>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row>
    <row r="622" spans="1:62" s="638" customFormat="1" x14ac:dyDescent="0.3">
      <c r="A622" s="148"/>
      <c r="B622" s="148"/>
      <c r="C622" s="148"/>
      <c r="D622" s="492"/>
      <c r="E622" s="489"/>
      <c r="F622" s="489"/>
      <c r="G622" s="148"/>
      <c r="H622" s="150"/>
      <c r="I622" s="151"/>
      <c r="J622" s="152"/>
      <c r="K622" s="476"/>
      <c r="L622" s="149"/>
      <c r="M622" s="280"/>
      <c r="N622" s="154"/>
      <c r="O622" s="155"/>
      <c r="P622" s="153"/>
      <c r="Q622" s="148"/>
      <c r="R622" s="148"/>
      <c r="S622" s="155"/>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row>
    <row r="623" spans="1:62" s="638" customFormat="1" x14ac:dyDescent="0.3">
      <c r="A623" s="148"/>
      <c r="B623" s="148"/>
      <c r="C623" s="148"/>
      <c r="D623" s="492"/>
      <c r="E623" s="489"/>
      <c r="F623" s="489"/>
      <c r="G623" s="148"/>
      <c r="H623" s="150"/>
      <c r="I623" s="151"/>
      <c r="J623" s="152"/>
      <c r="K623" s="476"/>
      <c r="L623" s="149"/>
      <c r="M623" s="280"/>
      <c r="N623" s="154"/>
      <c r="O623" s="155"/>
      <c r="P623" s="153"/>
      <c r="Q623" s="148"/>
      <c r="R623" s="148"/>
      <c r="S623" s="155"/>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row>
    <row r="624" spans="1:62" s="638" customFormat="1" x14ac:dyDescent="0.3">
      <c r="A624" s="148"/>
      <c r="B624" s="148"/>
      <c r="C624" s="148"/>
      <c r="D624" s="492"/>
      <c r="E624" s="489"/>
      <c r="F624" s="489"/>
      <c r="G624" s="148"/>
      <c r="H624" s="150"/>
      <c r="I624" s="151"/>
      <c r="J624" s="152"/>
      <c r="K624" s="476"/>
      <c r="L624" s="149"/>
      <c r="M624" s="280"/>
      <c r="N624" s="154"/>
      <c r="O624" s="155"/>
      <c r="P624" s="153"/>
      <c r="Q624" s="148"/>
      <c r="R624" s="148"/>
      <c r="S624" s="155"/>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row>
    <row r="625" spans="1:62" s="638" customFormat="1" x14ac:dyDescent="0.3">
      <c r="A625" s="148"/>
      <c r="B625" s="148"/>
      <c r="C625" s="148"/>
      <c r="D625" s="492"/>
      <c r="E625" s="489"/>
      <c r="F625" s="489"/>
      <c r="G625" s="148"/>
      <c r="H625" s="150"/>
      <c r="I625" s="151"/>
      <c r="J625" s="152"/>
      <c r="K625" s="476"/>
      <c r="L625" s="149"/>
      <c r="M625" s="280"/>
      <c r="N625" s="154"/>
      <c r="O625" s="155"/>
      <c r="P625" s="153"/>
      <c r="Q625" s="148"/>
      <c r="R625" s="148"/>
      <c r="S625" s="155"/>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row>
    <row r="626" spans="1:62" s="638" customFormat="1" x14ac:dyDescent="0.3">
      <c r="A626" s="148"/>
      <c r="B626" s="148"/>
      <c r="C626" s="148"/>
      <c r="D626" s="492"/>
      <c r="E626" s="489"/>
      <c r="F626" s="489"/>
      <c r="G626" s="148"/>
      <c r="H626" s="150"/>
      <c r="I626" s="151"/>
      <c r="J626" s="152"/>
      <c r="K626" s="476"/>
      <c r="L626" s="149"/>
      <c r="M626" s="280"/>
      <c r="N626" s="154"/>
      <c r="O626" s="155"/>
      <c r="P626" s="153"/>
      <c r="Q626" s="148"/>
      <c r="R626" s="148"/>
      <c r="S626" s="155"/>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row>
    <row r="627" spans="1:62" s="638" customFormat="1" x14ac:dyDescent="0.3">
      <c r="A627" s="148"/>
      <c r="B627" s="148"/>
      <c r="C627" s="148"/>
      <c r="D627" s="492"/>
      <c r="E627" s="489"/>
      <c r="F627" s="489"/>
      <c r="G627" s="148"/>
      <c r="H627" s="150"/>
      <c r="I627" s="151"/>
      <c r="J627" s="152"/>
      <c r="K627" s="476"/>
      <c r="L627" s="149"/>
      <c r="M627" s="280"/>
      <c r="N627" s="154"/>
      <c r="O627" s="155"/>
      <c r="P627" s="153"/>
      <c r="Q627" s="148"/>
      <c r="R627" s="148"/>
      <c r="S627" s="155"/>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row>
    <row r="628" spans="1:62" s="638" customFormat="1" x14ac:dyDescent="0.3">
      <c r="A628" s="148"/>
      <c r="B628" s="148"/>
      <c r="C628" s="148"/>
      <c r="D628" s="492"/>
      <c r="E628" s="489"/>
      <c r="F628" s="489"/>
      <c r="G628" s="148"/>
      <c r="H628" s="150"/>
      <c r="I628" s="151"/>
      <c r="J628" s="152"/>
      <c r="K628" s="476"/>
      <c r="L628" s="149"/>
      <c r="M628" s="280"/>
      <c r="N628" s="154"/>
      <c r="O628" s="155"/>
      <c r="P628" s="153"/>
      <c r="Q628" s="148"/>
      <c r="R628" s="148"/>
      <c r="S628" s="155"/>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row>
    <row r="629" spans="1:62" s="638" customFormat="1" x14ac:dyDescent="0.3">
      <c r="A629" s="148"/>
      <c r="B629" s="148"/>
      <c r="C629" s="148"/>
      <c r="D629" s="492"/>
      <c r="E629" s="489"/>
      <c r="F629" s="489"/>
      <c r="G629" s="148"/>
      <c r="H629" s="150"/>
      <c r="I629" s="151"/>
      <c r="J629" s="152"/>
      <c r="K629" s="476"/>
      <c r="L629" s="149"/>
      <c r="M629" s="280"/>
      <c r="N629" s="154"/>
      <c r="O629" s="155"/>
      <c r="P629" s="153"/>
      <c r="Q629" s="148"/>
      <c r="R629" s="148"/>
      <c r="S629" s="155"/>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row>
    <row r="630" spans="1:62" s="638" customFormat="1" x14ac:dyDescent="0.3">
      <c r="A630" s="148"/>
      <c r="B630" s="148"/>
      <c r="C630" s="148"/>
      <c r="D630" s="492"/>
      <c r="E630" s="489"/>
      <c r="F630" s="489"/>
      <c r="G630" s="148"/>
      <c r="H630" s="150"/>
      <c r="I630" s="151"/>
      <c r="J630" s="152"/>
      <c r="K630" s="476"/>
      <c r="L630" s="149"/>
      <c r="M630" s="280"/>
      <c r="N630" s="154"/>
      <c r="O630" s="155"/>
      <c r="P630" s="153"/>
      <c r="Q630" s="148"/>
      <c r="R630" s="148"/>
      <c r="S630" s="155"/>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row>
    <row r="631" spans="1:62" s="638" customFormat="1" x14ac:dyDescent="0.3">
      <c r="A631" s="148"/>
      <c r="B631" s="148"/>
      <c r="C631" s="148"/>
      <c r="D631" s="492"/>
      <c r="E631" s="489"/>
      <c r="F631" s="489"/>
      <c r="G631" s="148"/>
      <c r="H631" s="150"/>
      <c r="I631" s="151"/>
      <c r="J631" s="152"/>
      <c r="K631" s="476"/>
      <c r="L631" s="149"/>
      <c r="M631" s="280"/>
      <c r="N631" s="154"/>
      <c r="O631" s="155"/>
      <c r="P631" s="153"/>
      <c r="Q631" s="148"/>
      <c r="R631" s="148"/>
      <c r="S631" s="155"/>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row>
    <row r="632" spans="1:62" s="638" customFormat="1" x14ac:dyDescent="0.3">
      <c r="A632" s="148"/>
      <c r="B632" s="148"/>
      <c r="C632" s="148"/>
      <c r="D632" s="492"/>
      <c r="E632" s="489"/>
      <c r="F632" s="489"/>
      <c r="G632" s="148"/>
      <c r="H632" s="150"/>
      <c r="I632" s="151"/>
      <c r="J632" s="152"/>
      <c r="K632" s="476"/>
      <c r="L632" s="149"/>
      <c r="M632" s="280"/>
      <c r="N632" s="154"/>
      <c r="O632" s="155"/>
      <c r="P632" s="153"/>
      <c r="Q632" s="148"/>
      <c r="R632" s="148"/>
      <c r="S632" s="155"/>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row>
    <row r="633" spans="1:62" s="638" customFormat="1" x14ac:dyDescent="0.3">
      <c r="A633" s="148"/>
      <c r="B633" s="148"/>
      <c r="C633" s="148"/>
      <c r="D633" s="492"/>
      <c r="E633" s="489"/>
      <c r="F633" s="489"/>
      <c r="G633" s="148"/>
      <c r="H633" s="150"/>
      <c r="I633" s="151"/>
      <c r="J633" s="152"/>
      <c r="K633" s="476"/>
      <c r="L633" s="149"/>
      <c r="M633" s="280"/>
      <c r="N633" s="154"/>
      <c r="O633" s="155"/>
      <c r="P633" s="153"/>
      <c r="Q633" s="148"/>
      <c r="R633" s="148"/>
      <c r="S633" s="155"/>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row>
    <row r="634" spans="1:62" s="638" customFormat="1" x14ac:dyDescent="0.3">
      <c r="A634" s="148"/>
      <c r="B634" s="148"/>
      <c r="C634" s="148"/>
      <c r="D634" s="492"/>
      <c r="E634" s="489"/>
      <c r="F634" s="489"/>
      <c r="G634" s="148"/>
      <c r="H634" s="150"/>
      <c r="I634" s="151"/>
      <c r="J634" s="152"/>
      <c r="K634" s="476"/>
      <c r="L634" s="149"/>
      <c r="M634" s="280"/>
      <c r="N634" s="154"/>
      <c r="O634" s="155"/>
      <c r="P634" s="153"/>
      <c r="Q634" s="148"/>
      <c r="R634" s="148"/>
      <c r="S634" s="155"/>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row>
    <row r="635" spans="1:62" s="638" customFormat="1" x14ac:dyDescent="0.3">
      <c r="A635" s="148"/>
      <c r="B635" s="148"/>
      <c r="C635" s="148"/>
      <c r="D635" s="492"/>
      <c r="E635" s="489"/>
      <c r="F635" s="489"/>
      <c r="G635" s="148"/>
      <c r="H635" s="150"/>
      <c r="I635" s="151"/>
      <c r="J635" s="152"/>
      <c r="K635" s="476"/>
      <c r="L635" s="149"/>
      <c r="M635" s="280"/>
      <c r="N635" s="154"/>
      <c r="O635" s="155"/>
      <c r="P635" s="153"/>
      <c r="Q635" s="148"/>
      <c r="R635" s="148"/>
      <c r="S635" s="155"/>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row>
    <row r="636" spans="1:62" s="638" customFormat="1" x14ac:dyDescent="0.3">
      <c r="A636" s="148"/>
      <c r="B636" s="148"/>
      <c r="C636" s="148"/>
      <c r="D636" s="492"/>
      <c r="E636" s="489"/>
      <c r="F636" s="489"/>
      <c r="G636" s="148"/>
      <c r="H636" s="150"/>
      <c r="I636" s="151"/>
      <c r="J636" s="152"/>
      <c r="K636" s="476"/>
      <c r="L636" s="149"/>
      <c r="M636" s="280"/>
      <c r="N636" s="154"/>
      <c r="O636" s="155"/>
      <c r="P636" s="153"/>
      <c r="Q636" s="148"/>
      <c r="R636" s="148"/>
      <c r="S636" s="155"/>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row>
    <row r="637" spans="1:62" s="638" customFormat="1" x14ac:dyDescent="0.3">
      <c r="A637" s="148"/>
      <c r="B637" s="148"/>
      <c r="C637" s="148"/>
      <c r="D637" s="492"/>
      <c r="E637" s="489"/>
      <c r="F637" s="489"/>
      <c r="G637" s="148"/>
      <c r="H637" s="150"/>
      <c r="I637" s="151"/>
      <c r="J637" s="152"/>
      <c r="K637" s="476"/>
      <c r="L637" s="149"/>
      <c r="M637" s="280"/>
      <c r="N637" s="154"/>
      <c r="O637" s="155"/>
      <c r="P637" s="153"/>
      <c r="Q637" s="148"/>
      <c r="R637" s="148"/>
      <c r="S637" s="155"/>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row>
    <row r="638" spans="1:62" s="638" customFormat="1" x14ac:dyDescent="0.3">
      <c r="A638" s="148"/>
      <c r="B638" s="148"/>
      <c r="C638" s="148"/>
      <c r="D638" s="492"/>
      <c r="E638" s="489"/>
      <c r="F638" s="489"/>
      <c r="G638" s="148"/>
      <c r="H638" s="150"/>
      <c r="I638" s="151"/>
      <c r="J638" s="152"/>
      <c r="K638" s="476"/>
      <c r="L638" s="149"/>
      <c r="M638" s="280"/>
      <c r="N638" s="154"/>
      <c r="O638" s="155"/>
      <c r="P638" s="153"/>
      <c r="Q638" s="148"/>
      <c r="R638" s="148"/>
      <c r="S638" s="155"/>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row>
    <row r="639" spans="1:62" s="638" customFormat="1" x14ac:dyDescent="0.3">
      <c r="A639" s="148"/>
      <c r="B639" s="148"/>
      <c r="C639" s="148"/>
      <c r="D639" s="492"/>
      <c r="E639" s="489"/>
      <c r="F639" s="489"/>
      <c r="G639" s="148"/>
      <c r="H639" s="150"/>
      <c r="I639" s="151"/>
      <c r="J639" s="152"/>
      <c r="K639" s="476"/>
      <c r="L639" s="149"/>
      <c r="M639" s="280"/>
      <c r="N639" s="154"/>
      <c r="O639" s="155"/>
      <c r="P639" s="153"/>
      <c r="Q639" s="148"/>
      <c r="R639" s="148"/>
      <c r="S639" s="155"/>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row>
    <row r="640" spans="1:62" s="638" customFormat="1" x14ac:dyDescent="0.3">
      <c r="A640" s="148"/>
      <c r="B640" s="148"/>
      <c r="C640" s="148"/>
      <c r="D640" s="492"/>
      <c r="E640" s="489"/>
      <c r="F640" s="489"/>
      <c r="G640" s="148"/>
      <c r="H640" s="150"/>
      <c r="I640" s="151"/>
      <c r="J640" s="152"/>
      <c r="K640" s="476"/>
      <c r="L640" s="149"/>
      <c r="M640" s="280"/>
      <c r="N640" s="154"/>
      <c r="O640" s="155"/>
      <c r="P640" s="153"/>
      <c r="Q640" s="148"/>
      <c r="R640" s="148"/>
      <c r="S640" s="155"/>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row>
    <row r="641" spans="1:62" s="638" customFormat="1" x14ac:dyDescent="0.3">
      <c r="A641" s="148"/>
      <c r="B641" s="148"/>
      <c r="C641" s="148"/>
      <c r="D641" s="492"/>
      <c r="E641" s="489"/>
      <c r="F641" s="489"/>
      <c r="G641" s="148"/>
      <c r="H641" s="150"/>
      <c r="I641" s="151"/>
      <c r="J641" s="152"/>
      <c r="K641" s="476"/>
      <c r="L641" s="149"/>
      <c r="M641" s="280"/>
      <c r="N641" s="154"/>
      <c r="O641" s="155"/>
      <c r="P641" s="153"/>
      <c r="Q641" s="148"/>
      <c r="R641" s="148"/>
      <c r="S641" s="155"/>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row>
    <row r="642" spans="1:62" s="638" customFormat="1" x14ac:dyDescent="0.3">
      <c r="A642" s="148"/>
      <c r="B642" s="148"/>
      <c r="C642" s="148"/>
      <c r="D642" s="492"/>
      <c r="E642" s="489"/>
      <c r="F642" s="489"/>
      <c r="G642" s="148"/>
      <c r="H642" s="150"/>
      <c r="I642" s="151"/>
      <c r="J642" s="152"/>
      <c r="K642" s="476"/>
      <c r="L642" s="149"/>
      <c r="M642" s="280"/>
      <c r="N642" s="154"/>
      <c r="O642" s="155"/>
      <c r="P642" s="153"/>
      <c r="Q642" s="148"/>
      <c r="R642" s="148"/>
      <c r="S642" s="155"/>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row>
    <row r="643" spans="1:62" s="638" customFormat="1" x14ac:dyDescent="0.3">
      <c r="A643" s="148"/>
      <c r="B643" s="148"/>
      <c r="C643" s="148"/>
      <c r="D643" s="492"/>
      <c r="E643" s="489"/>
      <c r="F643" s="489"/>
      <c r="G643" s="148"/>
      <c r="H643" s="150"/>
      <c r="I643" s="151"/>
      <c r="J643" s="152"/>
      <c r="K643" s="476"/>
      <c r="L643" s="149"/>
      <c r="M643" s="280"/>
      <c r="N643" s="154"/>
      <c r="O643" s="155"/>
      <c r="P643" s="153"/>
      <c r="Q643" s="148"/>
      <c r="R643" s="148"/>
      <c r="S643" s="155"/>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row>
    <row r="644" spans="1:62" s="638" customFormat="1" x14ac:dyDescent="0.3">
      <c r="A644" s="148"/>
      <c r="B644" s="148"/>
      <c r="C644" s="148"/>
      <c r="D644" s="492"/>
      <c r="E644" s="489"/>
      <c r="F644" s="489"/>
      <c r="G644" s="148"/>
      <c r="H644" s="150"/>
      <c r="I644" s="151"/>
      <c r="J644" s="152"/>
      <c r="K644" s="476"/>
      <c r="L644" s="149"/>
      <c r="M644" s="280"/>
      <c r="N644" s="154"/>
      <c r="O644" s="155"/>
      <c r="P644" s="153"/>
      <c r="Q644" s="148"/>
      <c r="R644" s="148"/>
      <c r="S644" s="155"/>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row>
    <row r="645" spans="1:62" s="638" customFormat="1" x14ac:dyDescent="0.3">
      <c r="A645" s="148"/>
      <c r="B645" s="148"/>
      <c r="C645" s="148"/>
      <c r="D645" s="492"/>
      <c r="E645" s="489"/>
      <c r="F645" s="489"/>
      <c r="G645" s="148"/>
      <c r="H645" s="150"/>
      <c r="I645" s="151"/>
      <c r="J645" s="152"/>
      <c r="K645" s="476"/>
      <c r="L645" s="149"/>
      <c r="M645" s="280"/>
      <c r="N645" s="154"/>
      <c r="O645" s="155"/>
      <c r="P645" s="153"/>
      <c r="Q645" s="148"/>
      <c r="R645" s="148"/>
      <c r="S645" s="155"/>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row>
    <row r="646" spans="1:62" s="638" customFormat="1" x14ac:dyDescent="0.3">
      <c r="A646" s="148"/>
      <c r="B646" s="148"/>
      <c r="C646" s="148"/>
      <c r="D646" s="492"/>
      <c r="E646" s="489"/>
      <c r="F646" s="489"/>
      <c r="G646" s="148"/>
      <c r="H646" s="150"/>
      <c r="I646" s="151"/>
      <c r="J646" s="152"/>
      <c r="K646" s="476"/>
      <c r="L646" s="149"/>
      <c r="M646" s="280"/>
      <c r="N646" s="154"/>
      <c r="O646" s="155"/>
      <c r="P646" s="153"/>
      <c r="Q646" s="148"/>
      <c r="R646" s="148"/>
      <c r="S646" s="155"/>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row>
    <row r="647" spans="1:62" s="638" customFormat="1" x14ac:dyDescent="0.3">
      <c r="A647" s="148"/>
      <c r="B647" s="148"/>
      <c r="C647" s="148"/>
      <c r="D647" s="492"/>
      <c r="E647" s="489"/>
      <c r="F647" s="489"/>
      <c r="G647" s="148"/>
      <c r="H647" s="150"/>
      <c r="I647" s="151"/>
      <c r="J647" s="152"/>
      <c r="K647" s="476"/>
      <c r="L647" s="149"/>
      <c r="M647" s="280"/>
      <c r="N647" s="154"/>
      <c r="O647" s="155"/>
      <c r="P647" s="153"/>
      <c r="Q647" s="148"/>
      <c r="R647" s="148"/>
      <c r="S647" s="155"/>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row>
    <row r="648" spans="1:62" s="638" customFormat="1" x14ac:dyDescent="0.3">
      <c r="A648" s="148"/>
      <c r="B648" s="148"/>
      <c r="C648" s="148"/>
      <c r="D648" s="492"/>
      <c r="E648" s="489"/>
      <c r="F648" s="489"/>
      <c r="G648" s="148"/>
      <c r="H648" s="150"/>
      <c r="I648" s="151"/>
      <c r="J648" s="152"/>
      <c r="K648" s="476"/>
      <c r="L648" s="149"/>
      <c r="M648" s="280"/>
      <c r="N648" s="154"/>
      <c r="O648" s="155"/>
      <c r="P648" s="153"/>
      <c r="Q648" s="148"/>
      <c r="R648" s="148"/>
      <c r="S648" s="155"/>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row>
    <row r="649" spans="1:62" s="638" customFormat="1" x14ac:dyDescent="0.3">
      <c r="A649" s="148"/>
      <c r="B649" s="148"/>
      <c r="C649" s="148"/>
      <c r="D649" s="492"/>
      <c r="E649" s="489"/>
      <c r="F649" s="489"/>
      <c r="G649" s="148"/>
      <c r="H649" s="150"/>
      <c r="I649" s="151"/>
      <c r="J649" s="152"/>
      <c r="K649" s="476"/>
      <c r="L649" s="149"/>
      <c r="M649" s="280"/>
      <c r="N649" s="154"/>
      <c r="O649" s="155"/>
      <c r="P649" s="153"/>
      <c r="Q649" s="148"/>
      <c r="R649" s="148"/>
      <c r="S649" s="155"/>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row>
    <row r="650" spans="1:62" s="638" customFormat="1" x14ac:dyDescent="0.3">
      <c r="A650" s="148"/>
      <c r="B650" s="148"/>
      <c r="C650" s="148"/>
      <c r="D650" s="492"/>
      <c r="E650" s="489"/>
      <c r="F650" s="489"/>
      <c r="G650" s="148"/>
      <c r="H650" s="150"/>
      <c r="I650" s="151"/>
      <c r="J650" s="152"/>
      <c r="K650" s="476"/>
      <c r="L650" s="149"/>
      <c r="M650" s="280"/>
      <c r="N650" s="154"/>
      <c r="O650" s="155"/>
      <c r="P650" s="153"/>
      <c r="Q650" s="148"/>
      <c r="R650" s="148"/>
      <c r="S650" s="155"/>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row>
    <row r="651" spans="1:62" s="638" customFormat="1" x14ac:dyDescent="0.3">
      <c r="A651" s="148"/>
      <c r="B651" s="148"/>
      <c r="C651" s="148"/>
      <c r="D651" s="492"/>
      <c r="E651" s="489"/>
      <c r="F651" s="489"/>
      <c r="G651" s="148"/>
      <c r="H651" s="150"/>
      <c r="I651" s="151"/>
      <c r="J651" s="152"/>
      <c r="K651" s="476"/>
      <c r="L651" s="149"/>
      <c r="M651" s="280"/>
      <c r="N651" s="154"/>
      <c r="O651" s="155"/>
      <c r="P651" s="153"/>
      <c r="Q651" s="148"/>
      <c r="R651" s="148"/>
      <c r="S651" s="155"/>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row>
    <row r="652" spans="1:62" s="638" customFormat="1" x14ac:dyDescent="0.3">
      <c r="A652" s="148"/>
      <c r="B652" s="148"/>
      <c r="C652" s="148"/>
      <c r="D652" s="492"/>
      <c r="E652" s="489"/>
      <c r="F652" s="489"/>
      <c r="G652" s="148"/>
      <c r="H652" s="150"/>
      <c r="I652" s="151"/>
      <c r="J652" s="152"/>
      <c r="K652" s="476"/>
      <c r="L652" s="149"/>
      <c r="M652" s="280"/>
      <c r="N652" s="154"/>
      <c r="O652" s="155"/>
      <c r="P652" s="153"/>
      <c r="Q652" s="148"/>
      <c r="R652" s="148"/>
      <c r="S652" s="155"/>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row>
    <row r="653" spans="1:62" s="638" customFormat="1" x14ac:dyDescent="0.3">
      <c r="A653" s="148"/>
      <c r="B653" s="148"/>
      <c r="C653" s="148"/>
      <c r="D653" s="492"/>
      <c r="E653" s="489"/>
      <c r="F653" s="489"/>
      <c r="G653" s="148"/>
      <c r="H653" s="150"/>
      <c r="I653" s="151"/>
      <c r="J653" s="152"/>
      <c r="K653" s="476"/>
      <c r="L653" s="149"/>
      <c r="M653" s="280"/>
      <c r="N653" s="154"/>
      <c r="O653" s="155"/>
      <c r="P653" s="153"/>
      <c r="Q653" s="148"/>
      <c r="R653" s="148"/>
      <c r="S653" s="155"/>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row>
    <row r="654" spans="1:62" s="638" customFormat="1" x14ac:dyDescent="0.3">
      <c r="A654" s="148"/>
      <c r="B654" s="148"/>
      <c r="C654" s="148"/>
      <c r="D654" s="492"/>
      <c r="E654" s="489"/>
      <c r="F654" s="489"/>
      <c r="G654" s="148"/>
      <c r="H654" s="150"/>
      <c r="I654" s="151"/>
      <c r="J654" s="152"/>
      <c r="K654" s="476"/>
      <c r="L654" s="149"/>
      <c r="M654" s="280"/>
      <c r="N654" s="154"/>
      <c r="O654" s="155"/>
      <c r="P654" s="153"/>
      <c r="Q654" s="148"/>
      <c r="R654" s="148"/>
      <c r="S654" s="155"/>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row>
    <row r="655" spans="1:62" s="638" customFormat="1" x14ac:dyDescent="0.3">
      <c r="A655" s="148"/>
      <c r="B655" s="148"/>
      <c r="C655" s="148"/>
      <c r="D655" s="492"/>
      <c r="E655" s="489"/>
      <c r="F655" s="489"/>
      <c r="G655" s="148"/>
      <c r="H655" s="150"/>
      <c r="I655" s="151"/>
      <c r="J655" s="152"/>
      <c r="K655" s="476"/>
      <c r="L655" s="149"/>
      <c r="M655" s="280"/>
      <c r="N655" s="154"/>
      <c r="O655" s="155"/>
      <c r="P655" s="153"/>
      <c r="Q655" s="148"/>
      <c r="R655" s="148"/>
      <c r="S655" s="155"/>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row>
    <row r="656" spans="1:62" s="638" customFormat="1" x14ac:dyDescent="0.3">
      <c r="A656" s="148"/>
      <c r="B656" s="148"/>
      <c r="C656" s="148"/>
      <c r="D656" s="492"/>
      <c r="E656" s="489"/>
      <c r="F656" s="489"/>
      <c r="G656" s="148"/>
      <c r="H656" s="150"/>
      <c r="I656" s="151"/>
      <c r="J656" s="152"/>
      <c r="K656" s="476"/>
      <c r="L656" s="149"/>
      <c r="M656" s="280"/>
      <c r="N656" s="154"/>
      <c r="O656" s="155"/>
      <c r="P656" s="153"/>
      <c r="Q656" s="148"/>
      <c r="R656" s="148"/>
      <c r="S656" s="155"/>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row>
    <row r="657" spans="1:62" s="638" customFormat="1" x14ac:dyDescent="0.3">
      <c r="A657" s="148"/>
      <c r="B657" s="148"/>
      <c r="C657" s="148"/>
      <c r="D657" s="492"/>
      <c r="E657" s="489"/>
      <c r="F657" s="489"/>
      <c r="G657" s="148"/>
      <c r="H657" s="150"/>
      <c r="I657" s="151"/>
      <c r="J657" s="152"/>
      <c r="K657" s="476"/>
      <c r="L657" s="149"/>
      <c r="M657" s="280"/>
      <c r="N657" s="154"/>
      <c r="O657" s="155"/>
      <c r="P657" s="153"/>
      <c r="Q657" s="148"/>
      <c r="R657" s="148"/>
      <c r="S657" s="155"/>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row>
    <row r="658" spans="1:62" s="638" customFormat="1" x14ac:dyDescent="0.3">
      <c r="A658" s="148"/>
      <c r="B658" s="148"/>
      <c r="C658" s="148"/>
      <c r="D658" s="492"/>
      <c r="E658" s="489"/>
      <c r="F658" s="489"/>
      <c r="G658" s="148"/>
      <c r="H658" s="150"/>
      <c r="I658" s="151"/>
      <c r="J658" s="152"/>
      <c r="K658" s="476"/>
      <c r="L658" s="149"/>
      <c r="M658" s="280"/>
      <c r="N658" s="154"/>
      <c r="O658" s="155"/>
      <c r="P658" s="153"/>
      <c r="Q658" s="148"/>
      <c r="R658" s="148"/>
      <c r="S658" s="155"/>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row>
    <row r="659" spans="1:62" s="638" customFormat="1" x14ac:dyDescent="0.3">
      <c r="A659" s="148"/>
      <c r="B659" s="148"/>
      <c r="C659" s="148"/>
      <c r="D659" s="492"/>
      <c r="E659" s="489"/>
      <c r="F659" s="489"/>
      <c r="G659" s="148"/>
      <c r="H659" s="150"/>
      <c r="I659" s="151"/>
      <c r="J659" s="152"/>
      <c r="K659" s="476"/>
      <c r="L659" s="149"/>
      <c r="M659" s="280"/>
      <c r="N659" s="154"/>
      <c r="O659" s="155"/>
      <c r="P659" s="153"/>
      <c r="Q659" s="148"/>
      <c r="R659" s="148"/>
      <c r="S659" s="155"/>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row>
    <row r="660" spans="1:62" s="638" customFormat="1" x14ac:dyDescent="0.3">
      <c r="A660" s="148"/>
      <c r="B660" s="148"/>
      <c r="C660" s="148"/>
      <c r="D660" s="492"/>
      <c r="E660" s="489"/>
      <c r="F660" s="489"/>
      <c r="G660" s="148"/>
      <c r="H660" s="150"/>
      <c r="I660" s="151"/>
      <c r="J660" s="152"/>
      <c r="K660" s="476"/>
      <c r="L660" s="149"/>
      <c r="M660" s="280"/>
      <c r="N660" s="154"/>
      <c r="O660" s="155"/>
      <c r="P660" s="153"/>
      <c r="Q660" s="148"/>
      <c r="R660" s="148"/>
      <c r="S660" s="155"/>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row>
    <row r="661" spans="1:62" s="638" customFormat="1" x14ac:dyDescent="0.3">
      <c r="A661" s="148"/>
      <c r="B661" s="148"/>
      <c r="C661" s="148"/>
      <c r="D661" s="492"/>
      <c r="E661" s="489"/>
      <c r="F661" s="489"/>
      <c r="G661" s="148"/>
      <c r="H661" s="150"/>
      <c r="I661" s="151"/>
      <c r="J661" s="152"/>
      <c r="K661" s="476"/>
      <c r="L661" s="149"/>
      <c r="M661" s="280"/>
      <c r="N661" s="154"/>
      <c r="O661" s="155"/>
      <c r="P661" s="153"/>
      <c r="Q661" s="148"/>
      <c r="R661" s="148"/>
      <c r="S661" s="155"/>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row>
    <row r="662" spans="1:62" s="638" customFormat="1" x14ac:dyDescent="0.3">
      <c r="A662" s="148"/>
      <c r="B662" s="148"/>
      <c r="C662" s="148"/>
      <c r="D662" s="492"/>
      <c r="E662" s="489"/>
      <c r="F662" s="489"/>
      <c r="G662" s="148"/>
      <c r="H662" s="150"/>
      <c r="I662" s="151"/>
      <c r="J662" s="152"/>
      <c r="K662" s="476"/>
      <c r="L662" s="149"/>
      <c r="M662" s="280"/>
      <c r="N662" s="154"/>
      <c r="O662" s="155"/>
      <c r="P662" s="153"/>
      <c r="Q662" s="148"/>
      <c r="R662" s="148"/>
      <c r="S662" s="155"/>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row>
    <row r="663" spans="1:62" s="638" customFormat="1" x14ac:dyDescent="0.3">
      <c r="A663" s="148"/>
      <c r="B663" s="148"/>
      <c r="C663" s="148"/>
      <c r="D663" s="492"/>
      <c r="E663" s="489"/>
      <c r="F663" s="489"/>
      <c r="G663" s="148"/>
      <c r="H663" s="150"/>
      <c r="I663" s="151"/>
      <c r="J663" s="152"/>
      <c r="K663" s="476"/>
      <c r="L663" s="149"/>
      <c r="M663" s="280"/>
      <c r="N663" s="154"/>
      <c r="O663" s="155"/>
      <c r="P663" s="153"/>
      <c r="Q663" s="148"/>
      <c r="R663" s="148"/>
      <c r="S663" s="155"/>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row>
    <row r="664" spans="1:62" s="638" customFormat="1" x14ac:dyDescent="0.3">
      <c r="A664" s="148"/>
      <c r="B664" s="148"/>
      <c r="C664" s="148"/>
      <c r="D664" s="492"/>
      <c r="E664" s="489"/>
      <c r="F664" s="489"/>
      <c r="G664" s="148"/>
      <c r="H664" s="150"/>
      <c r="I664" s="151"/>
      <c r="J664" s="152"/>
      <c r="K664" s="476"/>
      <c r="L664" s="149"/>
      <c r="M664" s="280"/>
      <c r="N664" s="154"/>
      <c r="O664" s="155"/>
      <c r="P664" s="153"/>
      <c r="Q664" s="148"/>
      <c r="R664" s="148"/>
      <c r="S664" s="155"/>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row>
    <row r="665" spans="1:62" s="638" customFormat="1" x14ac:dyDescent="0.3">
      <c r="A665" s="148"/>
      <c r="B665" s="148"/>
      <c r="C665" s="148"/>
      <c r="D665" s="492"/>
      <c r="E665" s="489"/>
      <c r="F665" s="489"/>
      <c r="G665" s="148"/>
      <c r="H665" s="150"/>
      <c r="I665" s="151"/>
      <c r="J665" s="152"/>
      <c r="K665" s="476"/>
      <c r="L665" s="149"/>
      <c r="M665" s="280"/>
      <c r="N665" s="154"/>
      <c r="O665" s="155"/>
      <c r="P665" s="153"/>
      <c r="Q665" s="148"/>
      <c r="R665" s="148"/>
      <c r="S665" s="155"/>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row>
    <row r="666" spans="1:62" s="638" customFormat="1" x14ac:dyDescent="0.3">
      <c r="A666" s="148"/>
      <c r="B666" s="148"/>
      <c r="C666" s="148"/>
      <c r="D666" s="492"/>
      <c r="E666" s="489"/>
      <c r="F666" s="489"/>
      <c r="G666" s="148"/>
      <c r="H666" s="150"/>
      <c r="I666" s="151"/>
      <c r="J666" s="152"/>
      <c r="K666" s="476"/>
      <c r="L666" s="149"/>
      <c r="M666" s="280"/>
      <c r="N666" s="154"/>
      <c r="O666" s="155"/>
      <c r="P666" s="153"/>
      <c r="Q666" s="148"/>
      <c r="R666" s="148"/>
      <c r="S666" s="155"/>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row>
    <row r="667" spans="1:62" s="638" customFormat="1" x14ac:dyDescent="0.3">
      <c r="A667" s="148"/>
      <c r="B667" s="148"/>
      <c r="C667" s="148"/>
      <c r="D667" s="492"/>
      <c r="E667" s="489"/>
      <c r="F667" s="489"/>
      <c r="G667" s="148"/>
      <c r="H667" s="150"/>
      <c r="I667" s="151"/>
      <c r="J667" s="152"/>
      <c r="K667" s="476"/>
      <c r="L667" s="149"/>
      <c r="M667" s="280"/>
      <c r="N667" s="154"/>
      <c r="O667" s="155"/>
      <c r="P667" s="153"/>
      <c r="Q667" s="148"/>
      <c r="R667" s="148"/>
      <c r="S667" s="155"/>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row>
    <row r="668" spans="1:62" s="638" customFormat="1" x14ac:dyDescent="0.3">
      <c r="A668" s="148"/>
      <c r="B668" s="148"/>
      <c r="C668" s="148"/>
      <c r="D668" s="492"/>
      <c r="E668" s="489"/>
      <c r="F668" s="489"/>
      <c r="G668" s="148"/>
      <c r="H668" s="150"/>
      <c r="I668" s="151"/>
      <c r="J668" s="152"/>
      <c r="K668" s="476"/>
      <c r="L668" s="149"/>
      <c r="M668" s="280"/>
      <c r="N668" s="154"/>
      <c r="O668" s="155"/>
      <c r="P668" s="153"/>
      <c r="Q668" s="148"/>
      <c r="R668" s="148"/>
      <c r="S668" s="155"/>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row>
    <row r="669" spans="1:62" s="638" customFormat="1" x14ac:dyDescent="0.3">
      <c r="A669" s="148"/>
      <c r="B669" s="148"/>
      <c r="C669" s="148"/>
      <c r="D669" s="492"/>
      <c r="E669" s="489"/>
      <c r="F669" s="489"/>
      <c r="G669" s="148"/>
      <c r="H669" s="150"/>
      <c r="I669" s="151"/>
      <c r="J669" s="152"/>
      <c r="K669" s="476"/>
      <c r="L669" s="149"/>
      <c r="M669" s="280"/>
      <c r="N669" s="154"/>
      <c r="O669" s="155"/>
      <c r="P669" s="153"/>
      <c r="Q669" s="148"/>
      <c r="R669" s="148"/>
      <c r="S669" s="155"/>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row>
    <row r="670" spans="1:62" s="638" customFormat="1" x14ac:dyDescent="0.3">
      <c r="A670" s="148"/>
      <c r="B670" s="148"/>
      <c r="C670" s="148"/>
      <c r="D670" s="492"/>
      <c r="E670" s="489"/>
      <c r="F670" s="489"/>
      <c r="G670" s="148"/>
      <c r="H670" s="150"/>
      <c r="I670" s="151"/>
      <c r="J670" s="152"/>
      <c r="K670" s="476"/>
      <c r="L670" s="149"/>
      <c r="M670" s="280"/>
      <c r="N670" s="154"/>
      <c r="O670" s="155"/>
      <c r="P670" s="153"/>
      <c r="Q670" s="148"/>
      <c r="R670" s="148"/>
      <c r="S670" s="155"/>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row>
    <row r="671" spans="1:62" s="638" customFormat="1" x14ac:dyDescent="0.3">
      <c r="A671" s="148"/>
      <c r="B671" s="148"/>
      <c r="C671" s="148"/>
      <c r="D671" s="492"/>
      <c r="E671" s="489"/>
      <c r="F671" s="489"/>
      <c r="G671" s="148"/>
      <c r="H671" s="150"/>
      <c r="I671" s="151"/>
      <c r="J671" s="152"/>
      <c r="K671" s="476"/>
      <c r="L671" s="149"/>
      <c r="M671" s="280"/>
      <c r="N671" s="154"/>
      <c r="O671" s="155"/>
      <c r="P671" s="153"/>
      <c r="Q671" s="148"/>
      <c r="R671" s="148"/>
      <c r="S671" s="155"/>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row>
    <row r="672" spans="1:62" s="638" customFormat="1" x14ac:dyDescent="0.3">
      <c r="A672" s="148"/>
      <c r="B672" s="148"/>
      <c r="C672" s="148"/>
      <c r="D672" s="492"/>
      <c r="E672" s="489"/>
      <c r="F672" s="489"/>
      <c r="G672" s="148"/>
      <c r="H672" s="150"/>
      <c r="I672" s="151"/>
      <c r="J672" s="152"/>
      <c r="K672" s="476"/>
      <c r="L672" s="149"/>
      <c r="M672" s="280"/>
      <c r="N672" s="154"/>
      <c r="O672" s="155"/>
      <c r="P672" s="153"/>
      <c r="Q672" s="148"/>
      <c r="R672" s="148"/>
      <c r="S672" s="155"/>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row>
    <row r="673" spans="1:62" s="638" customFormat="1" x14ac:dyDescent="0.3">
      <c r="A673" s="148"/>
      <c r="B673" s="148"/>
      <c r="C673" s="148"/>
      <c r="D673" s="492"/>
      <c r="E673" s="489"/>
      <c r="F673" s="489"/>
      <c r="G673" s="148"/>
      <c r="H673" s="150"/>
      <c r="I673" s="151"/>
      <c r="J673" s="152"/>
      <c r="K673" s="476"/>
      <c r="L673" s="149"/>
      <c r="M673" s="280"/>
      <c r="N673" s="154"/>
      <c r="O673" s="155"/>
      <c r="P673" s="153"/>
      <c r="Q673" s="148"/>
      <c r="R673" s="148"/>
      <c r="S673" s="155"/>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row>
    <row r="674" spans="1:62" s="638" customFormat="1" x14ac:dyDescent="0.3">
      <c r="A674" s="148"/>
      <c r="B674" s="148"/>
      <c r="C674" s="148"/>
      <c r="D674" s="492"/>
      <c r="E674" s="489"/>
      <c r="F674" s="489"/>
      <c r="G674" s="148"/>
      <c r="H674" s="150"/>
      <c r="I674" s="151"/>
      <c r="J674" s="152"/>
      <c r="K674" s="476"/>
      <c r="L674" s="149"/>
      <c r="M674" s="280"/>
      <c r="N674" s="154"/>
      <c r="O674" s="155"/>
      <c r="P674" s="153"/>
      <c r="Q674" s="148"/>
      <c r="R674" s="148"/>
      <c r="S674" s="155"/>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row>
    <row r="675" spans="1:62" s="638" customFormat="1" x14ac:dyDescent="0.3">
      <c r="A675" s="148"/>
      <c r="B675" s="148"/>
      <c r="C675" s="148"/>
      <c r="D675" s="492"/>
      <c r="E675" s="489"/>
      <c r="F675" s="489"/>
      <c r="G675" s="148"/>
      <c r="H675" s="150"/>
      <c r="I675" s="151"/>
      <c r="J675" s="152"/>
      <c r="K675" s="476"/>
      <c r="L675" s="149"/>
      <c r="M675" s="280"/>
      <c r="N675" s="154"/>
      <c r="O675" s="155"/>
      <c r="P675" s="153"/>
      <c r="Q675" s="148"/>
      <c r="R675" s="148"/>
      <c r="S675" s="155"/>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row>
    <row r="676" spans="1:62" s="638" customFormat="1" x14ac:dyDescent="0.3">
      <c r="A676" s="148"/>
      <c r="B676" s="148"/>
      <c r="C676" s="148"/>
      <c r="D676" s="492"/>
      <c r="E676" s="489"/>
      <c r="F676" s="489"/>
      <c r="G676" s="148"/>
      <c r="H676" s="150"/>
      <c r="I676" s="151"/>
      <c r="J676" s="152"/>
      <c r="K676" s="476"/>
      <c r="L676" s="149"/>
      <c r="M676" s="280"/>
      <c r="N676" s="154"/>
      <c r="O676" s="155"/>
      <c r="P676" s="153"/>
      <c r="Q676" s="148"/>
      <c r="R676" s="148"/>
      <c r="S676" s="155"/>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row>
    <row r="677" spans="1:62" s="638" customFormat="1" x14ac:dyDescent="0.3">
      <c r="A677" s="148"/>
      <c r="B677" s="148"/>
      <c r="C677" s="148"/>
      <c r="D677" s="492"/>
      <c r="E677" s="489"/>
      <c r="F677" s="489"/>
      <c r="G677" s="148"/>
      <c r="H677" s="150"/>
      <c r="I677" s="151"/>
      <c r="J677" s="152"/>
      <c r="K677" s="476"/>
      <c r="L677" s="149"/>
      <c r="M677" s="280"/>
      <c r="N677" s="154"/>
      <c r="O677" s="155"/>
      <c r="P677" s="153"/>
      <c r="Q677" s="148"/>
      <c r="R677" s="148"/>
      <c r="S677" s="155"/>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row>
    <row r="678" spans="1:62" s="638" customFormat="1" x14ac:dyDescent="0.3">
      <c r="A678" s="148"/>
      <c r="B678" s="148"/>
      <c r="C678" s="148"/>
      <c r="D678" s="492"/>
      <c r="E678" s="489"/>
      <c r="F678" s="489"/>
      <c r="G678" s="148"/>
      <c r="H678" s="150"/>
      <c r="I678" s="151"/>
      <c r="J678" s="152"/>
      <c r="K678" s="476"/>
      <c r="L678" s="149"/>
      <c r="M678" s="280"/>
      <c r="N678" s="154"/>
      <c r="O678" s="155"/>
      <c r="P678" s="153"/>
      <c r="Q678" s="148"/>
      <c r="R678" s="148"/>
      <c r="S678" s="155"/>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row>
    <row r="679" spans="1:62" s="638" customFormat="1" x14ac:dyDescent="0.3">
      <c r="A679" s="148"/>
      <c r="B679" s="148"/>
      <c r="C679" s="148"/>
      <c r="D679" s="492"/>
      <c r="E679" s="489"/>
      <c r="F679" s="489"/>
      <c r="G679" s="148"/>
      <c r="H679" s="150"/>
      <c r="I679" s="151"/>
      <c r="J679" s="152"/>
      <c r="K679" s="476"/>
      <c r="L679" s="149"/>
      <c r="M679" s="280"/>
      <c r="N679" s="154"/>
      <c r="O679" s="155"/>
      <c r="P679" s="153"/>
      <c r="Q679" s="148"/>
      <c r="R679" s="148"/>
      <c r="S679" s="155"/>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row>
    <row r="680" spans="1:62" s="638" customFormat="1" x14ac:dyDescent="0.3">
      <c r="A680" s="148"/>
      <c r="B680" s="148"/>
      <c r="C680" s="148"/>
      <c r="D680" s="492"/>
      <c r="E680" s="489"/>
      <c r="F680" s="489"/>
      <c r="G680" s="148"/>
      <c r="H680" s="150"/>
      <c r="I680" s="151"/>
      <c r="J680" s="152"/>
      <c r="K680" s="476"/>
      <c r="L680" s="149"/>
      <c r="M680" s="280"/>
      <c r="N680" s="154"/>
      <c r="O680" s="155"/>
      <c r="P680" s="153"/>
      <c r="Q680" s="148"/>
      <c r="R680" s="148"/>
      <c r="S680" s="155"/>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row>
    <row r="681" spans="1:62" s="638" customFormat="1" x14ac:dyDescent="0.3">
      <c r="A681" s="148"/>
      <c r="B681" s="148"/>
      <c r="C681" s="148"/>
      <c r="D681" s="492"/>
      <c r="E681" s="489"/>
      <c r="F681" s="489"/>
      <c r="G681" s="148"/>
      <c r="H681" s="150"/>
      <c r="I681" s="151"/>
      <c r="J681" s="152"/>
      <c r="K681" s="476"/>
      <c r="L681" s="149"/>
      <c r="M681" s="280"/>
      <c r="N681" s="154"/>
      <c r="O681" s="155"/>
      <c r="P681" s="153"/>
      <c r="Q681" s="148"/>
      <c r="R681" s="148"/>
      <c r="S681" s="155"/>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row>
    <row r="682" spans="1:62" s="638" customFormat="1" x14ac:dyDescent="0.3">
      <c r="A682" s="148"/>
      <c r="B682" s="148"/>
      <c r="C682" s="148"/>
      <c r="D682" s="492"/>
      <c r="E682" s="489"/>
      <c r="F682" s="489"/>
      <c r="G682" s="148"/>
      <c r="H682" s="150"/>
      <c r="I682" s="151"/>
      <c r="J682" s="152"/>
      <c r="K682" s="476"/>
      <c r="L682" s="149"/>
      <c r="M682" s="280"/>
      <c r="N682" s="154"/>
      <c r="O682" s="155"/>
      <c r="P682" s="153"/>
      <c r="Q682" s="148"/>
      <c r="R682" s="148"/>
      <c r="S682" s="155"/>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row>
    <row r="683" spans="1:62" s="638" customFormat="1" x14ac:dyDescent="0.3">
      <c r="A683" s="148"/>
      <c r="B683" s="148"/>
      <c r="C683" s="148"/>
      <c r="D683" s="492"/>
      <c r="E683" s="489"/>
      <c r="F683" s="489"/>
      <c r="G683" s="148"/>
      <c r="H683" s="150"/>
      <c r="I683" s="151"/>
      <c r="J683" s="152"/>
      <c r="K683" s="476"/>
      <c r="L683" s="149"/>
      <c r="M683" s="280"/>
      <c r="N683" s="154"/>
      <c r="O683" s="155"/>
      <c r="P683" s="153"/>
      <c r="Q683" s="148"/>
      <c r="R683" s="148"/>
      <c r="S683" s="155"/>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row>
    <row r="684" spans="1:62" s="638" customFormat="1" x14ac:dyDescent="0.3">
      <c r="A684" s="148"/>
      <c r="B684" s="148"/>
      <c r="C684" s="148"/>
      <c r="D684" s="492"/>
      <c r="E684" s="489"/>
      <c r="F684" s="489"/>
      <c r="G684" s="148"/>
      <c r="H684" s="150"/>
      <c r="I684" s="151"/>
      <c r="J684" s="152"/>
      <c r="K684" s="476"/>
      <c r="L684" s="149"/>
      <c r="M684" s="280"/>
      <c r="N684" s="154"/>
      <c r="O684" s="155"/>
      <c r="P684" s="153"/>
      <c r="Q684" s="148"/>
      <c r="R684" s="148"/>
      <c r="S684" s="155"/>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row>
    <row r="685" spans="1:62" s="638" customFormat="1" x14ac:dyDescent="0.3">
      <c r="A685" s="148"/>
      <c r="B685" s="148"/>
      <c r="C685" s="148"/>
      <c r="D685" s="492"/>
      <c r="E685" s="489"/>
      <c r="F685" s="489"/>
      <c r="G685" s="148"/>
      <c r="H685" s="150"/>
      <c r="I685" s="151"/>
      <c r="J685" s="152"/>
      <c r="K685" s="476"/>
      <c r="L685" s="149"/>
      <c r="M685" s="280"/>
      <c r="N685" s="154"/>
      <c r="O685" s="155"/>
      <c r="P685" s="153"/>
      <c r="Q685" s="148"/>
      <c r="R685" s="148"/>
      <c r="S685" s="155"/>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row>
    <row r="686" spans="1:62" s="638" customFormat="1" x14ac:dyDescent="0.3">
      <c r="A686" s="148"/>
      <c r="B686" s="148"/>
      <c r="C686" s="148"/>
      <c r="D686" s="492"/>
      <c r="E686" s="489"/>
      <c r="F686" s="489"/>
      <c r="G686" s="148"/>
      <c r="H686" s="150"/>
      <c r="I686" s="151"/>
      <c r="J686" s="152"/>
      <c r="K686" s="476"/>
      <c r="L686" s="149"/>
      <c r="M686" s="280"/>
      <c r="N686" s="154"/>
      <c r="O686" s="155"/>
      <c r="P686" s="153"/>
      <c r="Q686" s="148"/>
      <c r="R686" s="148"/>
      <c r="S686" s="155"/>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row>
    <row r="687" spans="1:62" s="638" customFormat="1" x14ac:dyDescent="0.3">
      <c r="A687" s="148"/>
      <c r="B687" s="148"/>
      <c r="C687" s="148"/>
      <c r="D687" s="492"/>
      <c r="E687" s="489"/>
      <c r="F687" s="489"/>
      <c r="G687" s="148"/>
      <c r="H687" s="150"/>
      <c r="I687" s="151"/>
      <c r="J687" s="152"/>
      <c r="K687" s="476"/>
      <c r="L687" s="149"/>
      <c r="M687" s="280"/>
      <c r="N687" s="154"/>
      <c r="O687" s="155"/>
      <c r="P687" s="153"/>
      <c r="Q687" s="148"/>
      <c r="R687" s="148"/>
      <c r="S687" s="155"/>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row>
    <row r="688" spans="1:62" s="638" customFormat="1" x14ac:dyDescent="0.3">
      <c r="A688" s="148"/>
      <c r="B688" s="148"/>
      <c r="C688" s="148"/>
      <c r="D688" s="492"/>
      <c r="E688" s="489"/>
      <c r="F688" s="489"/>
      <c r="G688" s="148"/>
      <c r="H688" s="150"/>
      <c r="I688" s="151"/>
      <c r="J688" s="152"/>
      <c r="K688" s="476"/>
      <c r="L688" s="149"/>
      <c r="M688" s="280"/>
      <c r="N688" s="154"/>
      <c r="O688" s="155"/>
      <c r="P688" s="153"/>
      <c r="Q688" s="148"/>
      <c r="R688" s="148"/>
      <c r="S688" s="155"/>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row>
    <row r="689" spans="1:62" s="638" customFormat="1" x14ac:dyDescent="0.3">
      <c r="A689" s="148"/>
      <c r="B689" s="148"/>
      <c r="C689" s="148"/>
      <c r="D689" s="492"/>
      <c r="E689" s="489"/>
      <c r="F689" s="489"/>
      <c r="G689" s="148"/>
      <c r="H689" s="150"/>
      <c r="I689" s="151"/>
      <c r="J689" s="152"/>
      <c r="K689" s="476"/>
      <c r="L689" s="149"/>
      <c r="M689" s="280"/>
      <c r="N689" s="154"/>
      <c r="O689" s="155"/>
      <c r="P689" s="153"/>
      <c r="Q689" s="148"/>
      <c r="R689" s="148"/>
      <c r="S689" s="155"/>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row>
    <row r="690" spans="1:62" s="638" customFormat="1" x14ac:dyDescent="0.3">
      <c r="A690" s="148"/>
      <c r="B690" s="148"/>
      <c r="C690" s="148"/>
      <c r="D690" s="492"/>
      <c r="E690" s="489"/>
      <c r="F690" s="489"/>
      <c r="G690" s="148"/>
      <c r="H690" s="150"/>
      <c r="I690" s="151"/>
      <c r="J690" s="152"/>
      <c r="K690" s="476"/>
      <c r="L690" s="149"/>
      <c r="M690" s="280"/>
      <c r="N690" s="154"/>
      <c r="O690" s="155"/>
      <c r="P690" s="153"/>
      <c r="Q690" s="148"/>
      <c r="R690" s="148"/>
      <c r="S690" s="155"/>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row>
    <row r="691" spans="1:62" s="638" customFormat="1" x14ac:dyDescent="0.3">
      <c r="A691" s="148"/>
      <c r="B691" s="148"/>
      <c r="C691" s="148"/>
      <c r="D691" s="492"/>
      <c r="E691" s="489"/>
      <c r="F691" s="489"/>
      <c r="G691" s="148"/>
      <c r="H691" s="150"/>
      <c r="I691" s="151"/>
      <c r="J691" s="152"/>
      <c r="K691" s="476"/>
      <c r="L691" s="149"/>
      <c r="M691" s="280"/>
      <c r="N691" s="154"/>
      <c r="O691" s="155"/>
      <c r="P691" s="153"/>
      <c r="Q691" s="148"/>
      <c r="R691" s="148"/>
      <c r="S691" s="155"/>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row>
    <row r="692" spans="1:62" s="638" customFormat="1" x14ac:dyDescent="0.3">
      <c r="A692" s="148"/>
      <c r="B692" s="148"/>
      <c r="C692" s="148"/>
      <c r="D692" s="492"/>
      <c r="E692" s="489"/>
      <c r="F692" s="489"/>
      <c r="G692" s="148"/>
      <c r="H692" s="150"/>
      <c r="I692" s="151"/>
      <c r="J692" s="152"/>
      <c r="K692" s="476"/>
      <c r="L692" s="149"/>
      <c r="M692" s="280"/>
      <c r="N692" s="154"/>
      <c r="O692" s="155"/>
      <c r="P692" s="153"/>
      <c r="Q692" s="148"/>
      <c r="R692" s="148"/>
      <c r="S692" s="155"/>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row>
    <row r="693" spans="1:62" s="638" customFormat="1" x14ac:dyDescent="0.3">
      <c r="A693" s="148"/>
      <c r="B693" s="148"/>
      <c r="C693" s="148"/>
      <c r="D693" s="492"/>
      <c r="E693" s="489"/>
      <c r="F693" s="489"/>
      <c r="G693" s="148"/>
      <c r="H693" s="150"/>
      <c r="I693" s="151"/>
      <c r="J693" s="152"/>
      <c r="K693" s="476"/>
      <c r="L693" s="149"/>
      <c r="M693" s="280"/>
      <c r="N693" s="154"/>
      <c r="O693" s="155"/>
      <c r="P693" s="153"/>
      <c r="Q693" s="148"/>
      <c r="R693" s="148"/>
      <c r="S693" s="155"/>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row>
    <row r="694" spans="1:62" s="638" customFormat="1" x14ac:dyDescent="0.3">
      <c r="A694" s="148"/>
      <c r="B694" s="148"/>
      <c r="C694" s="148"/>
      <c r="D694" s="492"/>
      <c r="E694" s="489"/>
      <c r="F694" s="489"/>
      <c r="G694" s="148"/>
      <c r="H694" s="150"/>
      <c r="I694" s="151"/>
      <c r="J694" s="152"/>
      <c r="K694" s="476"/>
      <c r="L694" s="149"/>
      <c r="M694" s="280"/>
      <c r="N694" s="154"/>
      <c r="O694" s="155"/>
      <c r="P694" s="153"/>
      <c r="Q694" s="148"/>
      <c r="R694" s="148"/>
      <c r="S694" s="155"/>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row>
    <row r="695" spans="1:62" s="638" customFormat="1" x14ac:dyDescent="0.3">
      <c r="A695" s="148"/>
      <c r="B695" s="148"/>
      <c r="C695" s="148"/>
      <c r="D695" s="492"/>
      <c r="E695" s="489"/>
      <c r="F695" s="489"/>
      <c r="G695" s="148"/>
      <c r="H695" s="150"/>
      <c r="I695" s="151"/>
      <c r="J695" s="152"/>
      <c r="K695" s="476"/>
      <c r="L695" s="149"/>
      <c r="M695" s="280"/>
      <c r="N695" s="154"/>
      <c r="O695" s="155"/>
      <c r="P695" s="153"/>
      <c r="Q695" s="148"/>
      <c r="R695" s="148"/>
      <c r="S695" s="155"/>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row>
    <row r="696" spans="1:62" s="638" customFormat="1" x14ac:dyDescent="0.3">
      <c r="A696" s="148"/>
      <c r="B696" s="148"/>
      <c r="C696" s="148"/>
      <c r="D696" s="492"/>
      <c r="E696" s="489"/>
      <c r="F696" s="489"/>
      <c r="G696" s="148"/>
      <c r="H696" s="150"/>
      <c r="I696" s="151"/>
      <c r="J696" s="152"/>
      <c r="K696" s="476"/>
      <c r="L696" s="149"/>
      <c r="M696" s="280"/>
      <c r="N696" s="154"/>
      <c r="O696" s="155"/>
      <c r="P696" s="153"/>
      <c r="Q696" s="148"/>
      <c r="R696" s="148"/>
      <c r="S696" s="155"/>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row>
    <row r="697" spans="1:62" s="638" customFormat="1" x14ac:dyDescent="0.3">
      <c r="A697" s="148"/>
      <c r="B697" s="148"/>
      <c r="C697" s="148"/>
      <c r="D697" s="492"/>
      <c r="E697" s="489"/>
      <c r="F697" s="489"/>
      <c r="G697" s="148"/>
      <c r="H697" s="150"/>
      <c r="I697" s="151"/>
      <c r="J697" s="152"/>
      <c r="K697" s="476"/>
      <c r="L697" s="149"/>
      <c r="M697" s="280"/>
      <c r="N697" s="154"/>
      <c r="O697" s="155"/>
      <c r="P697" s="153"/>
      <c r="Q697" s="148"/>
      <c r="R697" s="148"/>
      <c r="S697" s="155"/>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row>
    <row r="698" spans="1:62" s="638" customFormat="1" x14ac:dyDescent="0.3">
      <c r="A698" s="148"/>
      <c r="B698" s="148"/>
      <c r="C698" s="148"/>
      <c r="D698" s="492"/>
      <c r="E698" s="489"/>
      <c r="F698" s="489"/>
      <c r="G698" s="148"/>
      <c r="H698" s="150"/>
      <c r="I698" s="151"/>
      <c r="J698" s="152"/>
      <c r="K698" s="476"/>
      <c r="L698" s="149"/>
      <c r="M698" s="280"/>
      <c r="N698" s="154"/>
      <c r="O698" s="155"/>
      <c r="P698" s="153"/>
      <c r="Q698" s="148"/>
      <c r="R698" s="148"/>
      <c r="S698" s="155"/>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row>
    <row r="699" spans="1:62" s="638" customFormat="1" x14ac:dyDescent="0.3">
      <c r="A699" s="148"/>
      <c r="B699" s="148"/>
      <c r="C699" s="148"/>
      <c r="D699" s="492"/>
      <c r="E699" s="489"/>
      <c r="F699" s="489"/>
      <c r="G699" s="148"/>
      <c r="H699" s="150"/>
      <c r="I699" s="151"/>
      <c r="J699" s="152"/>
      <c r="K699" s="476"/>
      <c r="L699" s="149"/>
      <c r="M699" s="280"/>
      <c r="N699" s="154"/>
      <c r="O699" s="155"/>
      <c r="P699" s="153"/>
      <c r="Q699" s="148"/>
      <c r="R699" s="148"/>
      <c r="S699" s="155"/>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row>
    <row r="700" spans="1:62" s="638" customFormat="1" x14ac:dyDescent="0.3">
      <c r="A700" s="148"/>
      <c r="B700" s="148"/>
      <c r="C700" s="148"/>
      <c r="D700" s="492"/>
      <c r="E700" s="489"/>
      <c r="F700" s="489"/>
      <c r="G700" s="148"/>
      <c r="H700" s="150"/>
      <c r="I700" s="151"/>
      <c r="J700" s="152"/>
      <c r="K700" s="476"/>
      <c r="L700" s="149"/>
      <c r="M700" s="280"/>
      <c r="N700" s="154"/>
      <c r="O700" s="155"/>
      <c r="P700" s="153"/>
      <c r="Q700" s="148"/>
      <c r="R700" s="148"/>
      <c r="S700" s="155"/>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row>
    <row r="701" spans="1:62" s="638" customFormat="1" x14ac:dyDescent="0.3">
      <c r="A701" s="148"/>
      <c r="B701" s="148"/>
      <c r="C701" s="148"/>
      <c r="D701" s="492"/>
      <c r="E701" s="489"/>
      <c r="F701" s="489"/>
      <c r="G701" s="148"/>
      <c r="H701" s="150"/>
      <c r="I701" s="151"/>
      <c r="J701" s="152"/>
      <c r="K701" s="476"/>
      <c r="L701" s="149"/>
      <c r="M701" s="280"/>
      <c r="N701" s="154"/>
      <c r="O701" s="155"/>
      <c r="P701" s="153"/>
      <c r="Q701" s="148"/>
      <c r="R701" s="148"/>
      <c r="S701" s="155"/>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row>
    <row r="702" spans="1:62" s="638" customFormat="1" x14ac:dyDescent="0.3">
      <c r="A702" s="148"/>
      <c r="B702" s="148"/>
      <c r="C702" s="148"/>
      <c r="D702" s="492"/>
      <c r="E702" s="489"/>
      <c r="F702" s="489"/>
      <c r="G702" s="148"/>
      <c r="H702" s="150"/>
      <c r="I702" s="151"/>
      <c r="J702" s="152"/>
      <c r="K702" s="476"/>
      <c r="L702" s="149"/>
      <c r="M702" s="280"/>
      <c r="N702" s="154"/>
      <c r="O702" s="155"/>
      <c r="P702" s="153"/>
      <c r="Q702" s="148"/>
      <c r="R702" s="148"/>
      <c r="S702" s="155"/>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row>
    <row r="703" spans="1:62" s="638" customFormat="1" x14ac:dyDescent="0.3">
      <c r="A703" s="148"/>
      <c r="B703" s="148"/>
      <c r="C703" s="148"/>
      <c r="D703" s="492"/>
      <c r="E703" s="489"/>
      <c r="F703" s="489"/>
      <c r="G703" s="148"/>
      <c r="H703" s="150"/>
      <c r="I703" s="151"/>
      <c r="J703" s="152"/>
      <c r="K703" s="476"/>
      <c r="L703" s="149"/>
      <c r="M703" s="280"/>
      <c r="N703" s="154"/>
      <c r="O703" s="155"/>
      <c r="P703" s="153"/>
      <c r="Q703" s="148"/>
      <c r="R703" s="148"/>
      <c r="S703" s="155"/>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row>
    <row r="704" spans="1:62" s="638" customFormat="1" x14ac:dyDescent="0.3">
      <c r="A704" s="148"/>
      <c r="B704" s="148"/>
      <c r="C704" s="148"/>
      <c r="D704" s="492"/>
      <c r="E704" s="489"/>
      <c r="F704" s="489"/>
      <c r="G704" s="148"/>
      <c r="H704" s="150"/>
      <c r="I704" s="151"/>
      <c r="J704" s="152"/>
      <c r="K704" s="476"/>
      <c r="L704" s="149"/>
      <c r="M704" s="280"/>
      <c r="N704" s="154"/>
      <c r="O704" s="155"/>
      <c r="P704" s="153"/>
      <c r="Q704" s="148"/>
      <c r="R704" s="148"/>
      <c r="S704" s="155"/>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row>
    <row r="705" spans="1:62" s="638" customFormat="1" x14ac:dyDescent="0.3">
      <c r="A705" s="148"/>
      <c r="B705" s="148"/>
      <c r="C705" s="148"/>
      <c r="D705" s="492"/>
      <c r="E705" s="489"/>
      <c r="F705" s="489"/>
      <c r="G705" s="148"/>
      <c r="H705" s="150"/>
      <c r="I705" s="151"/>
      <c r="J705" s="152"/>
      <c r="K705" s="476"/>
      <c r="L705" s="149"/>
      <c r="M705" s="280"/>
      <c r="N705" s="154"/>
      <c r="O705" s="155"/>
      <c r="P705" s="153"/>
      <c r="Q705" s="148"/>
      <c r="R705" s="148"/>
      <c r="S705" s="155"/>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row>
    <row r="706" spans="1:62" s="638" customFormat="1" x14ac:dyDescent="0.3">
      <c r="A706" s="148"/>
      <c r="B706" s="148"/>
      <c r="C706" s="148"/>
      <c r="D706" s="492"/>
      <c r="E706" s="489"/>
      <c r="F706" s="489"/>
      <c r="G706" s="148"/>
      <c r="H706" s="150"/>
      <c r="I706" s="151"/>
      <c r="J706" s="152"/>
      <c r="K706" s="476"/>
      <c r="L706" s="149"/>
      <c r="M706" s="280"/>
      <c r="N706" s="154"/>
      <c r="O706" s="155"/>
      <c r="P706" s="153"/>
      <c r="Q706" s="148"/>
      <c r="R706" s="148"/>
      <c r="S706" s="155"/>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row>
    <row r="707" spans="1:62" s="638" customFormat="1" x14ac:dyDescent="0.3">
      <c r="A707" s="148"/>
      <c r="B707" s="148"/>
      <c r="C707" s="148"/>
      <c r="D707" s="492"/>
      <c r="E707" s="489"/>
      <c r="F707" s="489"/>
      <c r="G707" s="148"/>
      <c r="H707" s="150"/>
      <c r="I707" s="151"/>
      <c r="J707" s="152"/>
      <c r="K707" s="476"/>
      <c r="L707" s="149"/>
      <c r="M707" s="280"/>
      <c r="N707" s="154"/>
      <c r="O707" s="155"/>
      <c r="P707" s="153"/>
      <c r="Q707" s="148"/>
      <c r="R707" s="148"/>
      <c r="S707" s="155"/>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row>
    <row r="708" spans="1:62" s="638" customFormat="1" x14ac:dyDescent="0.3">
      <c r="A708" s="148"/>
      <c r="B708" s="148"/>
      <c r="C708" s="148"/>
      <c r="D708" s="492"/>
      <c r="E708" s="489"/>
      <c r="F708" s="489"/>
      <c r="G708" s="148"/>
      <c r="H708" s="150"/>
      <c r="I708" s="151"/>
      <c r="J708" s="152"/>
      <c r="K708" s="476"/>
      <c r="L708" s="149"/>
      <c r="M708" s="280"/>
      <c r="N708" s="154"/>
      <c r="O708" s="155"/>
      <c r="P708" s="153"/>
      <c r="Q708" s="148"/>
      <c r="R708" s="148"/>
      <c r="S708" s="155"/>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row>
    <row r="709" spans="1:62" s="638" customFormat="1" x14ac:dyDescent="0.3">
      <c r="A709" s="148"/>
      <c r="B709" s="148"/>
      <c r="C709" s="148"/>
      <c r="D709" s="492"/>
      <c r="E709" s="489"/>
      <c r="F709" s="489"/>
      <c r="G709" s="148"/>
      <c r="H709" s="150"/>
      <c r="I709" s="151"/>
      <c r="J709" s="152"/>
      <c r="K709" s="476"/>
      <c r="L709" s="149"/>
      <c r="M709" s="280"/>
      <c r="N709" s="154"/>
      <c r="O709" s="155"/>
      <c r="P709" s="153"/>
      <c r="Q709" s="148"/>
      <c r="R709" s="148"/>
      <c r="S709" s="155"/>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row>
    <row r="710" spans="1:62" s="638" customFormat="1" x14ac:dyDescent="0.3">
      <c r="A710" s="148"/>
      <c r="B710" s="148"/>
      <c r="C710" s="148"/>
      <c r="D710" s="492"/>
      <c r="E710" s="489"/>
      <c r="F710" s="489"/>
      <c r="G710" s="148"/>
      <c r="H710" s="150"/>
      <c r="I710" s="151"/>
      <c r="J710" s="152"/>
      <c r="K710" s="476"/>
      <c r="L710" s="149"/>
      <c r="M710" s="280"/>
      <c r="N710" s="154"/>
      <c r="O710" s="155"/>
      <c r="P710" s="153"/>
      <c r="Q710" s="148"/>
      <c r="R710" s="148"/>
      <c r="S710" s="155"/>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row>
    <row r="711" spans="1:62" s="638" customFormat="1" x14ac:dyDescent="0.3">
      <c r="A711" s="148"/>
      <c r="B711" s="148"/>
      <c r="C711" s="148"/>
      <c r="D711" s="492"/>
      <c r="E711" s="489"/>
      <c r="F711" s="489"/>
      <c r="G711" s="148"/>
      <c r="H711" s="150"/>
      <c r="I711" s="151"/>
      <c r="J711" s="152"/>
      <c r="K711" s="476"/>
      <c r="L711" s="149"/>
      <c r="M711" s="280"/>
      <c r="N711" s="154"/>
      <c r="O711" s="155"/>
      <c r="P711" s="153"/>
      <c r="Q711" s="148"/>
      <c r="R711" s="148"/>
      <c r="S711" s="155"/>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row>
    <row r="712" spans="1:62" s="638" customFormat="1" x14ac:dyDescent="0.3">
      <c r="A712" s="148"/>
      <c r="B712" s="148"/>
      <c r="C712" s="148"/>
      <c r="D712" s="492"/>
      <c r="E712" s="489"/>
      <c r="F712" s="489"/>
      <c r="G712" s="148"/>
      <c r="H712" s="150"/>
      <c r="I712" s="151"/>
      <c r="J712" s="152"/>
      <c r="K712" s="476"/>
      <c r="L712" s="149"/>
      <c r="M712" s="280"/>
      <c r="N712" s="154"/>
      <c r="O712" s="155"/>
      <c r="P712" s="153"/>
      <c r="Q712" s="148"/>
      <c r="R712" s="148"/>
      <c r="S712" s="155"/>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row>
    <row r="713" spans="1:62" s="638" customFormat="1" x14ac:dyDescent="0.3">
      <c r="A713" s="148"/>
      <c r="B713" s="148"/>
      <c r="C713" s="148"/>
      <c r="D713" s="492"/>
      <c r="E713" s="489"/>
      <c r="F713" s="489"/>
      <c r="G713" s="148"/>
      <c r="H713" s="150"/>
      <c r="I713" s="151"/>
      <c r="J713" s="152"/>
      <c r="K713" s="476"/>
      <c r="L713" s="149"/>
      <c r="M713" s="280"/>
      <c r="N713" s="154"/>
      <c r="O713" s="155"/>
      <c r="P713" s="153"/>
      <c r="Q713" s="148"/>
      <c r="R713" s="148"/>
      <c r="S713" s="155"/>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row>
    <row r="714" spans="1:62" s="638" customFormat="1" x14ac:dyDescent="0.3">
      <c r="A714" s="148"/>
      <c r="B714" s="148"/>
      <c r="C714" s="148"/>
      <c r="D714" s="492"/>
      <c r="E714" s="489"/>
      <c r="F714" s="489"/>
      <c r="G714" s="148"/>
      <c r="H714" s="150"/>
      <c r="I714" s="151"/>
      <c r="J714" s="152"/>
      <c r="K714" s="476"/>
      <c r="L714" s="149"/>
      <c r="M714" s="280"/>
      <c r="N714" s="154"/>
      <c r="O714" s="155"/>
      <c r="P714" s="153"/>
      <c r="Q714" s="148"/>
      <c r="R714" s="148"/>
      <c r="S714" s="155"/>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row>
    <row r="715" spans="1:62" s="638" customFormat="1" x14ac:dyDescent="0.3">
      <c r="A715" s="148"/>
      <c r="B715" s="148"/>
      <c r="C715" s="148"/>
      <c r="D715" s="492"/>
      <c r="E715" s="489"/>
      <c r="F715" s="489"/>
      <c r="G715" s="148"/>
      <c r="H715" s="150"/>
      <c r="I715" s="151"/>
      <c r="J715" s="152"/>
      <c r="K715" s="476"/>
      <c r="L715" s="149"/>
      <c r="M715" s="280"/>
      <c r="N715" s="154"/>
      <c r="O715" s="155"/>
      <c r="P715" s="153"/>
      <c r="Q715" s="148"/>
      <c r="R715" s="148"/>
      <c r="S715" s="155"/>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row>
    <row r="716" spans="1:62" s="638" customFormat="1" x14ac:dyDescent="0.3">
      <c r="A716" s="148"/>
      <c r="B716" s="148"/>
      <c r="C716" s="148"/>
      <c r="D716" s="492"/>
      <c r="E716" s="489"/>
      <c r="F716" s="489"/>
      <c r="G716" s="148"/>
      <c r="H716" s="150"/>
      <c r="I716" s="151"/>
      <c r="J716" s="152"/>
      <c r="K716" s="476"/>
      <c r="L716" s="149"/>
      <c r="M716" s="280"/>
      <c r="N716" s="154"/>
      <c r="O716" s="155"/>
      <c r="P716" s="153"/>
      <c r="Q716" s="148"/>
      <c r="R716" s="148"/>
      <c r="S716" s="155"/>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row>
    <row r="717" spans="1:62" s="638" customFormat="1" x14ac:dyDescent="0.3">
      <c r="A717" s="148"/>
      <c r="B717" s="148"/>
      <c r="C717" s="148"/>
      <c r="D717" s="492"/>
      <c r="E717" s="489"/>
      <c r="F717" s="489"/>
      <c r="G717" s="148"/>
      <c r="H717" s="150"/>
      <c r="I717" s="151"/>
      <c r="J717" s="152"/>
      <c r="K717" s="476"/>
      <c r="L717" s="149"/>
      <c r="M717" s="280"/>
      <c r="N717" s="154"/>
      <c r="O717" s="155"/>
      <c r="P717" s="153"/>
      <c r="Q717" s="148"/>
      <c r="R717" s="148"/>
      <c r="S717" s="155"/>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row>
    <row r="718" spans="1:62" s="638" customFormat="1" x14ac:dyDescent="0.3">
      <c r="A718" s="148"/>
      <c r="B718" s="148"/>
      <c r="C718" s="148"/>
      <c r="D718" s="492"/>
      <c r="E718" s="489"/>
      <c r="F718" s="489"/>
      <c r="G718" s="148"/>
      <c r="H718" s="150"/>
      <c r="I718" s="151"/>
      <c r="J718" s="152"/>
      <c r="K718" s="476"/>
      <c r="L718" s="149"/>
      <c r="M718" s="280"/>
      <c r="N718" s="154"/>
      <c r="O718" s="155"/>
      <c r="P718" s="153"/>
      <c r="Q718" s="148"/>
      <c r="R718" s="148"/>
      <c r="S718" s="155"/>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row>
    <row r="719" spans="1:62" s="638" customFormat="1" x14ac:dyDescent="0.3">
      <c r="A719" s="148"/>
      <c r="B719" s="148"/>
      <c r="C719" s="148"/>
      <c r="D719" s="492"/>
      <c r="E719" s="489"/>
      <c r="F719" s="489"/>
      <c r="G719" s="148"/>
      <c r="H719" s="150"/>
      <c r="I719" s="151"/>
      <c r="J719" s="152"/>
      <c r="K719" s="476"/>
      <c r="L719" s="149"/>
      <c r="M719" s="280"/>
      <c r="N719" s="154"/>
      <c r="O719" s="155"/>
      <c r="P719" s="153"/>
      <c r="Q719" s="148"/>
      <c r="R719" s="148"/>
      <c r="S719" s="155"/>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row>
    <row r="720" spans="1:62" s="638" customFormat="1" x14ac:dyDescent="0.3">
      <c r="A720" s="148"/>
      <c r="B720" s="148"/>
      <c r="C720" s="148"/>
      <c r="D720" s="492"/>
      <c r="E720" s="489"/>
      <c r="F720" s="489"/>
      <c r="G720" s="148"/>
      <c r="H720" s="150"/>
      <c r="I720" s="151"/>
      <c r="J720" s="152"/>
      <c r="K720" s="476"/>
      <c r="L720" s="149"/>
      <c r="M720" s="280"/>
      <c r="N720" s="154"/>
      <c r="O720" s="155"/>
      <c r="P720" s="153"/>
      <c r="Q720" s="148"/>
      <c r="R720" s="148"/>
      <c r="S720" s="155"/>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row>
    <row r="721" spans="1:62" s="638" customFormat="1" x14ac:dyDescent="0.3">
      <c r="A721" s="148"/>
      <c r="B721" s="148"/>
      <c r="C721" s="148"/>
      <c r="D721" s="492"/>
      <c r="E721" s="489"/>
      <c r="F721" s="489"/>
      <c r="G721" s="148"/>
      <c r="H721" s="150"/>
      <c r="I721" s="151"/>
      <c r="J721" s="152"/>
      <c r="K721" s="476"/>
      <c r="L721" s="149"/>
      <c r="M721" s="280"/>
      <c r="N721" s="154"/>
      <c r="O721" s="155"/>
      <c r="P721" s="153"/>
      <c r="Q721" s="148"/>
      <c r="R721" s="148"/>
      <c r="S721" s="155"/>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row>
    <row r="722" spans="1:62" s="638" customFormat="1" x14ac:dyDescent="0.3">
      <c r="A722" s="148"/>
      <c r="B722" s="148"/>
      <c r="C722" s="148"/>
      <c r="D722" s="492"/>
      <c r="E722" s="489"/>
      <c r="F722" s="489"/>
      <c r="G722" s="148"/>
      <c r="H722" s="150"/>
      <c r="I722" s="151"/>
      <c r="J722" s="152"/>
      <c r="K722" s="476"/>
      <c r="L722" s="149"/>
      <c r="M722" s="280"/>
      <c r="N722" s="154"/>
      <c r="O722" s="155"/>
      <c r="P722" s="153"/>
      <c r="Q722" s="148"/>
      <c r="R722" s="148"/>
      <c r="S722" s="155"/>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row>
    <row r="723" spans="1:62" s="638" customFormat="1" x14ac:dyDescent="0.3">
      <c r="A723" s="148"/>
      <c r="B723" s="148"/>
      <c r="C723" s="148"/>
      <c r="D723" s="492"/>
      <c r="E723" s="489"/>
      <c r="F723" s="489"/>
      <c r="G723" s="148"/>
      <c r="H723" s="150"/>
      <c r="I723" s="151"/>
      <c r="J723" s="152"/>
      <c r="K723" s="476"/>
      <c r="L723" s="149"/>
      <c r="M723" s="280"/>
      <c r="N723" s="154"/>
      <c r="O723" s="155"/>
      <c r="P723" s="153"/>
      <c r="Q723" s="148"/>
      <c r="R723" s="148"/>
      <c r="S723" s="155"/>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row>
    <row r="724" spans="1:62" s="638" customFormat="1" x14ac:dyDescent="0.3">
      <c r="A724" s="148"/>
      <c r="B724" s="148"/>
      <c r="C724" s="148"/>
      <c r="D724" s="492"/>
      <c r="E724" s="489"/>
      <c r="F724" s="489"/>
      <c r="G724" s="148"/>
      <c r="H724" s="150"/>
      <c r="I724" s="151"/>
      <c r="J724" s="152"/>
      <c r="K724" s="476"/>
      <c r="L724" s="149"/>
      <c r="M724" s="280"/>
      <c r="N724" s="154"/>
      <c r="O724" s="155"/>
      <c r="P724" s="153"/>
      <c r="Q724" s="148"/>
      <c r="R724" s="148"/>
      <c r="S724" s="155"/>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row>
    <row r="725" spans="1:62" s="638" customFormat="1" x14ac:dyDescent="0.3">
      <c r="A725" s="148"/>
      <c r="B725" s="148"/>
      <c r="C725" s="148"/>
      <c r="D725" s="492"/>
      <c r="E725" s="489"/>
      <c r="F725" s="489"/>
      <c r="G725" s="148"/>
      <c r="H725" s="150"/>
      <c r="I725" s="151"/>
      <c r="J725" s="152"/>
      <c r="K725" s="476"/>
      <c r="L725" s="149"/>
      <c r="M725" s="280"/>
      <c r="N725" s="154"/>
      <c r="O725" s="155"/>
      <c r="P725" s="153"/>
      <c r="Q725" s="148"/>
      <c r="R725" s="148"/>
      <c r="S725" s="155"/>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row>
    <row r="726" spans="1:62" s="638" customFormat="1" x14ac:dyDescent="0.3">
      <c r="A726" s="148"/>
      <c r="B726" s="148"/>
      <c r="C726" s="148"/>
      <c r="D726" s="492"/>
      <c r="E726" s="489"/>
      <c r="F726" s="489"/>
      <c r="G726" s="148"/>
      <c r="H726" s="150"/>
      <c r="I726" s="151"/>
      <c r="J726" s="152"/>
      <c r="K726" s="476"/>
      <c r="L726" s="149"/>
      <c r="M726" s="280"/>
      <c r="N726" s="154"/>
      <c r="O726" s="155"/>
      <c r="P726" s="153"/>
      <c r="Q726" s="148"/>
      <c r="R726" s="148"/>
      <c r="S726" s="155"/>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row>
    <row r="727" spans="1:62" s="638" customFormat="1" x14ac:dyDescent="0.3">
      <c r="A727" s="148"/>
      <c r="B727" s="148"/>
      <c r="C727" s="148"/>
      <c r="D727" s="492"/>
      <c r="E727" s="489"/>
      <c r="F727" s="489"/>
      <c r="G727" s="148"/>
      <c r="H727" s="150"/>
      <c r="I727" s="151"/>
      <c r="J727" s="152"/>
      <c r="K727" s="476"/>
      <c r="L727" s="149"/>
      <c r="M727" s="280"/>
      <c r="N727" s="154"/>
      <c r="O727" s="155"/>
      <c r="P727" s="153"/>
      <c r="Q727" s="148"/>
      <c r="R727" s="148"/>
      <c r="S727" s="155"/>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row>
    <row r="728" spans="1:62" s="638" customFormat="1" x14ac:dyDescent="0.3">
      <c r="A728" s="148"/>
      <c r="B728" s="148"/>
      <c r="C728" s="148"/>
      <c r="D728" s="492"/>
      <c r="E728" s="489"/>
      <c r="F728" s="489"/>
      <c r="G728" s="148"/>
      <c r="H728" s="150"/>
      <c r="I728" s="151"/>
      <c r="J728" s="152"/>
      <c r="K728" s="476"/>
      <c r="L728" s="149"/>
      <c r="M728" s="280"/>
      <c r="N728" s="154"/>
      <c r="O728" s="155"/>
      <c r="P728" s="153"/>
      <c r="Q728" s="148"/>
      <c r="R728" s="148"/>
      <c r="S728" s="155"/>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row>
    <row r="729" spans="1:62" s="638" customFormat="1" x14ac:dyDescent="0.3">
      <c r="A729" s="148"/>
      <c r="B729" s="148"/>
      <c r="C729" s="148"/>
      <c r="D729" s="492"/>
      <c r="E729" s="489"/>
      <c r="F729" s="489"/>
      <c r="G729" s="148"/>
      <c r="H729" s="150"/>
      <c r="I729" s="151"/>
      <c r="J729" s="152"/>
      <c r="K729" s="476"/>
      <c r="L729" s="149"/>
      <c r="M729" s="280"/>
      <c r="N729" s="154"/>
      <c r="O729" s="155"/>
      <c r="P729" s="153"/>
      <c r="Q729" s="148"/>
      <c r="R729" s="148"/>
      <c r="S729" s="155"/>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row>
    <row r="730" spans="1:62" s="638" customFormat="1" x14ac:dyDescent="0.3">
      <c r="A730" s="148"/>
      <c r="B730" s="148"/>
      <c r="C730" s="148"/>
      <c r="D730" s="492"/>
      <c r="E730" s="489"/>
      <c r="F730" s="489"/>
      <c r="G730" s="148"/>
      <c r="H730" s="150"/>
      <c r="I730" s="151"/>
      <c r="J730" s="152"/>
      <c r="K730" s="476"/>
      <c r="L730" s="149"/>
      <c r="M730" s="280"/>
      <c r="N730" s="154"/>
      <c r="O730" s="155"/>
      <c r="P730" s="153"/>
      <c r="Q730" s="148"/>
      <c r="R730" s="148"/>
      <c r="S730" s="155"/>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row>
    <row r="731" spans="1:62" s="638" customFormat="1" x14ac:dyDescent="0.3">
      <c r="A731" s="148"/>
      <c r="B731" s="148"/>
      <c r="C731" s="148"/>
      <c r="D731" s="492"/>
      <c r="E731" s="489"/>
      <c r="F731" s="489"/>
      <c r="G731" s="148"/>
      <c r="H731" s="150"/>
      <c r="I731" s="151"/>
      <c r="J731" s="152"/>
      <c r="K731" s="476"/>
      <c r="L731" s="149"/>
      <c r="M731" s="280"/>
      <c r="N731" s="154"/>
      <c r="O731" s="155"/>
      <c r="P731" s="153"/>
      <c r="Q731" s="148"/>
      <c r="R731" s="148"/>
      <c r="S731" s="155"/>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row>
    <row r="732" spans="1:62" s="638" customFormat="1" x14ac:dyDescent="0.3">
      <c r="A732" s="148"/>
      <c r="B732" s="148"/>
      <c r="C732" s="148"/>
      <c r="D732" s="492"/>
      <c r="E732" s="489"/>
      <c r="F732" s="489"/>
      <c r="G732" s="148"/>
      <c r="H732" s="150"/>
      <c r="I732" s="151"/>
      <c r="J732" s="152"/>
      <c r="K732" s="476"/>
      <c r="L732" s="149"/>
      <c r="M732" s="280"/>
      <c r="N732" s="154"/>
      <c r="O732" s="155"/>
      <c r="P732" s="153"/>
      <c r="Q732" s="148"/>
      <c r="R732" s="148"/>
      <c r="S732" s="155"/>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row>
    <row r="733" spans="1:62" s="638" customFormat="1" x14ac:dyDescent="0.3">
      <c r="A733" s="148"/>
      <c r="B733" s="148"/>
      <c r="C733" s="148"/>
      <c r="D733" s="492"/>
      <c r="E733" s="489"/>
      <c r="F733" s="489"/>
      <c r="G733" s="148"/>
      <c r="H733" s="150"/>
      <c r="I733" s="151"/>
      <c r="J733" s="152"/>
      <c r="K733" s="476"/>
      <c r="L733" s="149"/>
      <c r="M733" s="280"/>
      <c r="N733" s="154"/>
      <c r="O733" s="155"/>
      <c r="P733" s="153"/>
      <c r="Q733" s="148"/>
      <c r="R733" s="148"/>
      <c r="S733" s="155"/>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row>
    <row r="734" spans="1:62" s="638" customFormat="1" x14ac:dyDescent="0.3">
      <c r="A734" s="148"/>
      <c r="B734" s="148"/>
      <c r="C734" s="148"/>
      <c r="D734" s="492"/>
      <c r="E734" s="489"/>
      <c r="F734" s="489"/>
      <c r="G734" s="148"/>
      <c r="H734" s="150"/>
      <c r="I734" s="151"/>
      <c r="J734" s="152"/>
      <c r="K734" s="476"/>
      <c r="L734" s="149"/>
      <c r="M734" s="280"/>
      <c r="N734" s="154"/>
      <c r="O734" s="155"/>
      <c r="P734" s="153"/>
      <c r="Q734" s="148"/>
      <c r="R734" s="148"/>
      <c r="S734" s="155"/>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row>
    <row r="735" spans="1:62" s="638" customFormat="1" x14ac:dyDescent="0.3">
      <c r="A735" s="148"/>
      <c r="B735" s="148"/>
      <c r="C735" s="148"/>
      <c r="D735" s="492"/>
      <c r="E735" s="489"/>
      <c r="F735" s="489"/>
      <c r="G735" s="148"/>
      <c r="H735" s="150"/>
      <c r="I735" s="151"/>
      <c r="J735" s="152"/>
      <c r="K735" s="476"/>
      <c r="L735" s="149"/>
      <c r="M735" s="280"/>
      <c r="N735" s="154"/>
      <c r="O735" s="155"/>
      <c r="P735" s="153"/>
      <c r="Q735" s="148"/>
      <c r="R735" s="148"/>
      <c r="S735" s="155"/>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row>
    <row r="736" spans="1:62" s="638" customFormat="1" x14ac:dyDescent="0.3">
      <c r="A736" s="148"/>
      <c r="B736" s="148"/>
      <c r="C736" s="148"/>
      <c r="D736" s="492"/>
      <c r="E736" s="489"/>
      <c r="F736" s="489"/>
      <c r="G736" s="148"/>
      <c r="H736" s="150"/>
      <c r="I736" s="151"/>
      <c r="J736" s="152"/>
      <c r="K736" s="476"/>
      <c r="L736" s="149"/>
      <c r="M736" s="280"/>
      <c r="N736" s="154"/>
      <c r="O736" s="155"/>
      <c r="P736" s="153"/>
      <c r="Q736" s="148"/>
      <c r="R736" s="148"/>
      <c r="S736" s="155"/>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row>
    <row r="737" spans="1:62" s="638" customFormat="1" x14ac:dyDescent="0.3">
      <c r="A737" s="148"/>
      <c r="B737" s="148"/>
      <c r="C737" s="148"/>
      <c r="D737" s="492"/>
      <c r="E737" s="489"/>
      <c r="F737" s="489"/>
      <c r="G737" s="148"/>
      <c r="H737" s="150"/>
      <c r="I737" s="151"/>
      <c r="J737" s="152"/>
      <c r="K737" s="476"/>
      <c r="L737" s="149"/>
      <c r="M737" s="280"/>
      <c r="N737" s="154"/>
      <c r="O737" s="155"/>
      <c r="P737" s="153"/>
      <c r="Q737" s="148"/>
      <c r="R737" s="148"/>
      <c r="S737" s="155"/>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row>
    <row r="738" spans="1:62" s="638" customFormat="1" x14ac:dyDescent="0.3">
      <c r="A738" s="148"/>
      <c r="B738" s="148"/>
      <c r="C738" s="148"/>
      <c r="D738" s="492"/>
      <c r="E738" s="489"/>
      <c r="F738" s="489"/>
      <c r="G738" s="148"/>
      <c r="H738" s="150"/>
      <c r="I738" s="151"/>
      <c r="J738" s="152"/>
      <c r="K738" s="476"/>
      <c r="L738" s="149"/>
      <c r="M738" s="280"/>
      <c r="N738" s="154"/>
      <c r="O738" s="155"/>
      <c r="P738" s="153"/>
      <c r="Q738" s="148"/>
      <c r="R738" s="148"/>
      <c r="S738" s="155"/>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row>
    <row r="739" spans="1:62" s="638" customFormat="1" x14ac:dyDescent="0.3">
      <c r="A739" s="148"/>
      <c r="B739" s="148"/>
      <c r="C739" s="148"/>
      <c r="D739" s="492"/>
      <c r="E739" s="489"/>
      <c r="F739" s="489"/>
      <c r="G739" s="148"/>
      <c r="H739" s="150"/>
      <c r="I739" s="151"/>
      <c r="J739" s="152"/>
      <c r="K739" s="476"/>
      <c r="L739" s="149"/>
      <c r="M739" s="280"/>
      <c r="N739" s="154"/>
      <c r="O739" s="155"/>
      <c r="P739" s="153"/>
      <c r="Q739" s="148"/>
      <c r="R739" s="148"/>
      <c r="S739" s="155"/>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row>
    <row r="740" spans="1:62" s="638" customFormat="1" x14ac:dyDescent="0.3">
      <c r="A740" s="148"/>
      <c r="B740" s="148"/>
      <c r="C740" s="148"/>
      <c r="D740" s="492"/>
      <c r="E740" s="489"/>
      <c r="F740" s="489"/>
      <c r="G740" s="148"/>
      <c r="H740" s="150"/>
      <c r="I740" s="151"/>
      <c r="J740" s="152"/>
      <c r="K740" s="476"/>
      <c r="L740" s="149"/>
      <c r="M740" s="280"/>
      <c r="N740" s="154"/>
      <c r="O740" s="155"/>
      <c r="P740" s="153"/>
      <c r="Q740" s="148"/>
      <c r="R740" s="148"/>
      <c r="S740" s="155"/>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row>
    <row r="741" spans="1:62" s="638" customFormat="1" x14ac:dyDescent="0.3">
      <c r="A741" s="148"/>
      <c r="B741" s="148"/>
      <c r="C741" s="148"/>
      <c r="D741" s="492"/>
      <c r="E741" s="489"/>
      <c r="F741" s="489"/>
      <c r="G741" s="148"/>
      <c r="H741" s="150"/>
      <c r="I741" s="151"/>
      <c r="J741" s="152"/>
      <c r="K741" s="476"/>
      <c r="L741" s="149"/>
      <c r="M741" s="280"/>
      <c r="N741" s="154"/>
      <c r="O741" s="155"/>
      <c r="P741" s="153"/>
      <c r="Q741" s="148"/>
      <c r="R741" s="148"/>
      <c r="S741" s="155"/>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row>
    <row r="742" spans="1:62" s="638" customFormat="1" x14ac:dyDescent="0.3">
      <c r="A742" s="148"/>
      <c r="B742" s="148"/>
      <c r="C742" s="148"/>
      <c r="D742" s="492"/>
      <c r="E742" s="489"/>
      <c r="F742" s="489"/>
      <c r="G742" s="148"/>
      <c r="H742" s="150"/>
      <c r="I742" s="151"/>
      <c r="J742" s="152"/>
      <c r="K742" s="476"/>
      <c r="L742" s="149"/>
      <c r="M742" s="280"/>
      <c r="N742" s="154"/>
      <c r="O742" s="155"/>
      <c r="P742" s="153"/>
      <c r="Q742" s="148"/>
      <c r="R742" s="148"/>
      <c r="S742" s="155"/>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row>
    <row r="743" spans="1:62" s="638" customFormat="1" x14ac:dyDescent="0.3">
      <c r="A743" s="148"/>
      <c r="B743" s="148"/>
      <c r="C743" s="148"/>
      <c r="D743" s="492"/>
      <c r="E743" s="489"/>
      <c r="F743" s="489"/>
      <c r="G743" s="148"/>
      <c r="H743" s="150"/>
      <c r="I743" s="151"/>
      <c r="J743" s="152"/>
      <c r="K743" s="476"/>
      <c r="L743" s="149"/>
      <c r="M743" s="280"/>
      <c r="N743" s="154"/>
      <c r="O743" s="155"/>
      <c r="P743" s="153"/>
      <c r="Q743" s="148"/>
      <c r="R743" s="148"/>
      <c r="S743" s="155"/>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row>
    <row r="744" spans="1:62" s="638" customFormat="1" x14ac:dyDescent="0.3">
      <c r="A744" s="148"/>
      <c r="B744" s="148"/>
      <c r="C744" s="148"/>
      <c r="D744" s="492"/>
      <c r="E744" s="489"/>
      <c r="F744" s="489"/>
      <c r="G744" s="148"/>
      <c r="H744" s="150"/>
      <c r="I744" s="151"/>
      <c r="J744" s="152"/>
      <c r="K744" s="476"/>
      <c r="L744" s="149"/>
      <c r="M744" s="280"/>
      <c r="N744" s="154"/>
      <c r="O744" s="155"/>
      <c r="P744" s="153"/>
      <c r="Q744" s="148"/>
      <c r="R744" s="148"/>
      <c r="S744" s="155"/>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row>
    <row r="745" spans="1:62" s="638" customFormat="1" x14ac:dyDescent="0.3">
      <c r="A745" s="148"/>
      <c r="B745" s="148"/>
      <c r="C745" s="148"/>
      <c r="D745" s="492"/>
      <c r="E745" s="489"/>
      <c r="F745" s="489"/>
      <c r="G745" s="148"/>
      <c r="H745" s="150"/>
      <c r="I745" s="151"/>
      <c r="J745" s="152"/>
      <c r="K745" s="476"/>
      <c r="L745" s="149"/>
      <c r="M745" s="280"/>
      <c r="N745" s="154"/>
      <c r="O745" s="155"/>
      <c r="P745" s="153"/>
      <c r="Q745" s="148"/>
      <c r="R745" s="148"/>
      <c r="S745" s="155"/>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row>
    <row r="746" spans="1:62" s="638" customFormat="1" x14ac:dyDescent="0.3">
      <c r="A746" s="148"/>
      <c r="B746" s="148"/>
      <c r="C746" s="148"/>
      <c r="D746" s="492"/>
      <c r="E746" s="489"/>
      <c r="F746" s="489"/>
      <c r="G746" s="148"/>
      <c r="H746" s="150"/>
      <c r="I746" s="151"/>
      <c r="J746" s="152"/>
      <c r="K746" s="476"/>
      <c r="L746" s="149"/>
      <c r="M746" s="280"/>
      <c r="N746" s="154"/>
      <c r="O746" s="155"/>
      <c r="P746" s="153"/>
      <c r="Q746" s="148"/>
      <c r="R746" s="148"/>
      <c r="S746" s="155"/>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row>
    <row r="747" spans="1:62" s="638" customFormat="1" x14ac:dyDescent="0.3">
      <c r="A747" s="148"/>
      <c r="B747" s="148"/>
      <c r="C747" s="148"/>
      <c r="D747" s="492"/>
      <c r="E747" s="489"/>
      <c r="F747" s="489"/>
      <c r="G747" s="148"/>
      <c r="H747" s="150"/>
      <c r="I747" s="151"/>
      <c r="J747" s="152"/>
      <c r="K747" s="476"/>
      <c r="L747" s="149"/>
      <c r="M747" s="280"/>
      <c r="N747" s="154"/>
      <c r="O747" s="155"/>
      <c r="P747" s="153"/>
      <c r="Q747" s="148"/>
      <c r="R747" s="148"/>
      <c r="S747" s="155"/>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row>
    <row r="748" spans="1:62" s="638" customFormat="1" x14ac:dyDescent="0.3">
      <c r="A748" s="148"/>
      <c r="B748" s="148"/>
      <c r="C748" s="148"/>
      <c r="D748" s="492"/>
      <c r="E748" s="489"/>
      <c r="F748" s="489"/>
      <c r="G748" s="148"/>
      <c r="H748" s="150"/>
      <c r="I748" s="151"/>
      <c r="J748" s="152"/>
      <c r="K748" s="476"/>
      <c r="L748" s="149"/>
      <c r="M748" s="280"/>
      <c r="N748" s="154"/>
      <c r="O748" s="155"/>
      <c r="P748" s="153"/>
      <c r="Q748" s="148"/>
      <c r="R748" s="148"/>
      <c r="S748" s="155"/>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row>
    <row r="749" spans="1:62" s="638" customFormat="1" x14ac:dyDescent="0.3">
      <c r="A749" s="148"/>
      <c r="B749" s="148"/>
      <c r="C749" s="148"/>
      <c r="D749" s="492"/>
      <c r="E749" s="489"/>
      <c r="F749" s="489"/>
      <c r="G749" s="148"/>
      <c r="H749" s="150"/>
      <c r="I749" s="151"/>
      <c r="J749" s="152"/>
      <c r="K749" s="476"/>
      <c r="L749" s="149"/>
      <c r="M749" s="280"/>
      <c r="N749" s="154"/>
      <c r="O749" s="155"/>
      <c r="P749" s="153"/>
      <c r="Q749" s="148"/>
      <c r="R749" s="148"/>
      <c r="S749" s="155"/>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row>
    <row r="750" spans="1:62" s="638" customFormat="1" x14ac:dyDescent="0.3">
      <c r="A750" s="148"/>
      <c r="B750" s="148"/>
      <c r="C750" s="148"/>
      <c r="D750" s="492"/>
      <c r="E750" s="489"/>
      <c r="F750" s="489"/>
      <c r="G750" s="148"/>
      <c r="H750" s="150"/>
      <c r="I750" s="151"/>
      <c r="J750" s="152"/>
      <c r="K750" s="476"/>
      <c r="L750" s="149"/>
      <c r="M750" s="280"/>
      <c r="N750" s="154"/>
      <c r="O750" s="155"/>
      <c r="P750" s="153"/>
      <c r="Q750" s="148"/>
      <c r="R750" s="148"/>
      <c r="S750" s="155"/>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row>
    <row r="751" spans="1:62" s="638" customFormat="1" x14ac:dyDescent="0.3">
      <c r="A751" s="148"/>
      <c r="B751" s="148"/>
      <c r="C751" s="148"/>
      <c r="D751" s="492"/>
      <c r="E751" s="489"/>
      <c r="F751" s="489"/>
      <c r="G751" s="148"/>
      <c r="H751" s="150"/>
      <c r="I751" s="151"/>
      <c r="J751" s="152"/>
      <c r="K751" s="476"/>
      <c r="L751" s="149"/>
      <c r="M751" s="280"/>
      <c r="N751" s="154"/>
      <c r="O751" s="155"/>
      <c r="P751" s="153"/>
      <c r="Q751" s="148"/>
      <c r="R751" s="148"/>
      <c r="S751" s="155"/>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row>
    <row r="752" spans="1:62" s="638" customFormat="1" x14ac:dyDescent="0.3">
      <c r="A752" s="148"/>
      <c r="B752" s="148"/>
      <c r="C752" s="148"/>
      <c r="D752" s="492"/>
      <c r="E752" s="489"/>
      <c r="F752" s="489"/>
      <c r="G752" s="148"/>
      <c r="H752" s="150"/>
      <c r="I752" s="151"/>
      <c r="J752" s="152"/>
      <c r="K752" s="476"/>
      <c r="L752" s="149"/>
      <c r="M752" s="280"/>
      <c r="N752" s="154"/>
      <c r="O752" s="155"/>
      <c r="P752" s="153"/>
      <c r="Q752" s="148"/>
      <c r="R752" s="148"/>
      <c r="S752" s="155"/>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row>
    <row r="753" spans="1:62" s="638" customFormat="1" x14ac:dyDescent="0.3">
      <c r="A753" s="148"/>
      <c r="B753" s="148"/>
      <c r="C753" s="148"/>
      <c r="D753" s="492"/>
      <c r="E753" s="489"/>
      <c r="F753" s="489"/>
      <c r="G753" s="148"/>
      <c r="H753" s="150"/>
      <c r="I753" s="151"/>
      <c r="J753" s="152"/>
      <c r="K753" s="476"/>
      <c r="L753" s="149"/>
      <c r="M753" s="280"/>
      <c r="N753" s="154"/>
      <c r="O753" s="155"/>
      <c r="P753" s="153"/>
      <c r="Q753" s="148"/>
      <c r="R753" s="148"/>
      <c r="S753" s="155"/>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row>
    <row r="754" spans="1:62" s="638" customFormat="1" x14ac:dyDescent="0.3">
      <c r="A754" s="148"/>
      <c r="B754" s="148"/>
      <c r="C754" s="148"/>
      <c r="D754" s="492"/>
      <c r="E754" s="489"/>
      <c r="F754" s="489"/>
      <c r="G754" s="148"/>
      <c r="H754" s="150"/>
      <c r="I754" s="151"/>
      <c r="J754" s="152"/>
      <c r="K754" s="476"/>
      <c r="L754" s="149"/>
      <c r="M754" s="280"/>
      <c r="N754" s="154"/>
      <c r="O754" s="155"/>
      <c r="P754" s="153"/>
      <c r="Q754" s="148"/>
      <c r="R754" s="148"/>
      <c r="S754" s="155"/>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row>
    <row r="755" spans="1:62" s="638" customFormat="1" x14ac:dyDescent="0.3">
      <c r="A755" s="148"/>
      <c r="B755" s="148"/>
      <c r="C755" s="148"/>
      <c r="D755" s="492"/>
      <c r="E755" s="489"/>
      <c r="F755" s="489"/>
      <c r="G755" s="148"/>
      <c r="H755" s="150"/>
      <c r="I755" s="151"/>
      <c r="J755" s="152"/>
      <c r="K755" s="476"/>
      <c r="L755" s="149"/>
      <c r="M755" s="280"/>
      <c r="N755" s="154"/>
      <c r="O755" s="155"/>
      <c r="P755" s="153"/>
      <c r="Q755" s="148"/>
      <c r="R755" s="148"/>
      <c r="S755" s="155"/>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row>
    <row r="756" spans="1:62" s="638" customFormat="1" x14ac:dyDescent="0.3">
      <c r="A756" s="148"/>
      <c r="B756" s="148"/>
      <c r="C756" s="148"/>
      <c r="D756" s="492"/>
      <c r="E756" s="489"/>
      <c r="F756" s="489"/>
      <c r="G756" s="148"/>
      <c r="H756" s="150"/>
      <c r="I756" s="151"/>
      <c r="J756" s="152"/>
      <c r="K756" s="476"/>
      <c r="L756" s="149"/>
      <c r="M756" s="280"/>
      <c r="N756" s="154"/>
      <c r="O756" s="155"/>
      <c r="P756" s="153"/>
      <c r="Q756" s="148"/>
      <c r="R756" s="148"/>
      <c r="S756" s="155"/>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row>
    <row r="757" spans="1:62" s="638" customFormat="1" x14ac:dyDescent="0.3">
      <c r="A757" s="148"/>
      <c r="B757" s="148"/>
      <c r="C757" s="148"/>
      <c r="D757" s="492"/>
      <c r="E757" s="489"/>
      <c r="F757" s="489"/>
      <c r="G757" s="148"/>
      <c r="H757" s="150"/>
      <c r="I757" s="151"/>
      <c r="J757" s="152"/>
      <c r="K757" s="476"/>
      <c r="L757" s="149"/>
      <c r="M757" s="280"/>
      <c r="N757" s="154"/>
      <c r="O757" s="155"/>
      <c r="P757" s="153"/>
      <c r="Q757" s="148"/>
      <c r="R757" s="148"/>
      <c r="S757" s="155"/>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row>
    <row r="758" spans="1:62" s="638" customFormat="1" x14ac:dyDescent="0.3">
      <c r="A758" s="148"/>
      <c r="B758" s="148"/>
      <c r="C758" s="148"/>
      <c r="D758" s="492"/>
      <c r="E758" s="489"/>
      <c r="F758" s="489"/>
      <c r="G758" s="148"/>
      <c r="H758" s="150"/>
      <c r="I758" s="151"/>
      <c r="J758" s="152"/>
      <c r="K758" s="476"/>
      <c r="L758" s="149"/>
      <c r="M758" s="280"/>
      <c r="N758" s="154"/>
      <c r="O758" s="155"/>
      <c r="P758" s="153"/>
      <c r="Q758" s="148"/>
      <c r="R758" s="148"/>
      <c r="S758" s="155"/>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row>
    <row r="759" spans="1:62" s="638" customFormat="1" x14ac:dyDescent="0.3">
      <c r="A759" s="148"/>
      <c r="B759" s="148"/>
      <c r="C759" s="148"/>
      <c r="D759" s="492"/>
      <c r="E759" s="489"/>
      <c r="F759" s="489"/>
      <c r="G759" s="148"/>
      <c r="H759" s="150"/>
      <c r="I759" s="151"/>
      <c r="J759" s="152"/>
      <c r="K759" s="476"/>
      <c r="L759" s="149"/>
      <c r="M759" s="280"/>
      <c r="N759" s="154"/>
      <c r="O759" s="155"/>
      <c r="P759" s="153"/>
      <c r="Q759" s="148"/>
      <c r="R759" s="148"/>
      <c r="S759" s="155"/>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row>
    <row r="760" spans="1:62" s="638" customFormat="1" x14ac:dyDescent="0.3">
      <c r="A760" s="148"/>
      <c r="B760" s="148"/>
      <c r="C760" s="148"/>
      <c r="D760" s="492"/>
      <c r="E760" s="489"/>
      <c r="F760" s="489"/>
      <c r="G760" s="148"/>
      <c r="H760" s="150"/>
      <c r="I760" s="151"/>
      <c r="J760" s="152"/>
      <c r="K760" s="476"/>
      <c r="L760" s="149"/>
      <c r="M760" s="280"/>
      <c r="N760" s="154"/>
      <c r="O760" s="155"/>
      <c r="P760" s="153"/>
      <c r="Q760" s="148"/>
      <c r="R760" s="148"/>
      <c r="S760" s="155"/>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row>
    <row r="761" spans="1:62" s="638" customFormat="1" x14ac:dyDescent="0.3">
      <c r="A761" s="148"/>
      <c r="B761" s="148"/>
      <c r="C761" s="148"/>
      <c r="D761" s="492"/>
      <c r="E761" s="489"/>
      <c r="F761" s="489"/>
      <c r="G761" s="148"/>
      <c r="H761" s="150"/>
      <c r="I761" s="151"/>
      <c r="J761" s="152"/>
      <c r="K761" s="476"/>
      <c r="L761" s="149"/>
      <c r="M761" s="280"/>
      <c r="N761" s="154"/>
      <c r="O761" s="155"/>
      <c r="P761" s="153"/>
      <c r="Q761" s="148"/>
      <c r="R761" s="148"/>
      <c r="S761" s="155"/>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row>
    <row r="762" spans="1:62" s="638" customFormat="1" x14ac:dyDescent="0.3">
      <c r="A762" s="148"/>
      <c r="B762" s="148"/>
      <c r="C762" s="148"/>
      <c r="D762" s="492"/>
      <c r="E762" s="489"/>
      <c r="F762" s="489"/>
      <c r="G762" s="148"/>
      <c r="H762" s="150"/>
      <c r="I762" s="151"/>
      <c r="J762" s="152"/>
      <c r="K762" s="476"/>
      <c r="L762" s="149"/>
      <c r="M762" s="280"/>
      <c r="N762" s="154"/>
      <c r="O762" s="155"/>
      <c r="P762" s="153"/>
      <c r="Q762" s="148"/>
      <c r="R762" s="148"/>
      <c r="S762" s="155"/>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row>
    <row r="763" spans="1:62" s="638" customFormat="1" x14ac:dyDescent="0.3">
      <c r="A763" s="148"/>
      <c r="B763" s="148"/>
      <c r="C763" s="148"/>
      <c r="D763" s="492"/>
      <c r="E763" s="489"/>
      <c r="F763" s="489"/>
      <c r="G763" s="148"/>
      <c r="H763" s="150"/>
      <c r="I763" s="151"/>
      <c r="J763" s="152"/>
      <c r="K763" s="476"/>
      <c r="L763" s="149"/>
      <c r="M763" s="280"/>
      <c r="N763" s="154"/>
      <c r="O763" s="155"/>
      <c r="P763" s="153"/>
      <c r="Q763" s="148"/>
      <c r="R763" s="148"/>
      <c r="S763" s="155"/>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row>
    <row r="764" spans="1:62" s="638" customFormat="1" x14ac:dyDescent="0.3">
      <c r="A764" s="148"/>
      <c r="B764" s="148"/>
      <c r="C764" s="148"/>
      <c r="D764" s="492"/>
      <c r="E764" s="489"/>
      <c r="F764" s="489"/>
      <c r="G764" s="148"/>
      <c r="H764" s="150"/>
      <c r="I764" s="151"/>
      <c r="J764" s="152"/>
      <c r="K764" s="476"/>
      <c r="L764" s="149"/>
      <c r="M764" s="280"/>
      <c r="N764" s="154"/>
      <c r="O764" s="155"/>
      <c r="P764" s="153"/>
      <c r="Q764" s="148"/>
      <c r="R764" s="148"/>
      <c r="S764" s="155"/>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row>
    <row r="765" spans="1:62" s="638" customFormat="1" x14ac:dyDescent="0.3">
      <c r="A765" s="148"/>
      <c r="B765" s="148"/>
      <c r="C765" s="148"/>
      <c r="D765" s="492"/>
      <c r="E765" s="489"/>
      <c r="F765" s="489"/>
      <c r="G765" s="148"/>
      <c r="H765" s="150"/>
      <c r="I765" s="151"/>
      <c r="J765" s="152"/>
      <c r="K765" s="476"/>
      <c r="L765" s="149"/>
      <c r="M765" s="280"/>
      <c r="N765" s="154"/>
      <c r="O765" s="155"/>
      <c r="P765" s="153"/>
      <c r="Q765" s="148"/>
      <c r="R765" s="148"/>
      <c r="S765" s="155"/>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row>
    <row r="766" spans="1:62" s="638" customFormat="1" x14ac:dyDescent="0.3">
      <c r="A766" s="148"/>
      <c r="B766" s="148"/>
      <c r="C766" s="148"/>
      <c r="D766" s="492"/>
      <c r="E766" s="489"/>
      <c r="F766" s="489"/>
      <c r="G766" s="148"/>
      <c r="H766" s="150"/>
      <c r="I766" s="151"/>
      <c r="J766" s="152"/>
      <c r="K766" s="476"/>
      <c r="L766" s="149"/>
      <c r="M766" s="280"/>
      <c r="N766" s="154"/>
      <c r="O766" s="155"/>
      <c r="P766" s="153"/>
      <c r="Q766" s="148"/>
      <c r="R766" s="148"/>
      <c r="S766" s="155"/>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row>
    <row r="767" spans="1:62" s="638" customFormat="1" x14ac:dyDescent="0.3">
      <c r="A767" s="148"/>
      <c r="B767" s="148"/>
      <c r="C767" s="148"/>
      <c r="D767" s="492"/>
      <c r="E767" s="489"/>
      <c r="F767" s="489"/>
      <c r="G767" s="148"/>
      <c r="H767" s="150"/>
      <c r="I767" s="151"/>
      <c r="J767" s="152"/>
      <c r="K767" s="476"/>
      <c r="L767" s="149"/>
      <c r="M767" s="280"/>
      <c r="N767" s="154"/>
      <c r="O767" s="155"/>
      <c r="P767" s="153"/>
      <c r="Q767" s="148"/>
      <c r="R767" s="148"/>
      <c r="S767" s="155"/>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row>
    <row r="768" spans="1:62" s="638" customFormat="1" x14ac:dyDescent="0.3">
      <c r="A768" s="148"/>
      <c r="B768" s="148"/>
      <c r="C768" s="148"/>
      <c r="D768" s="492"/>
      <c r="E768" s="489"/>
      <c r="F768" s="489"/>
      <c r="G768" s="148"/>
      <c r="H768" s="150"/>
      <c r="I768" s="151"/>
      <c r="J768" s="152"/>
      <c r="K768" s="476"/>
      <c r="L768" s="149"/>
      <c r="M768" s="280"/>
      <c r="N768" s="154"/>
      <c r="O768" s="155"/>
      <c r="P768" s="153"/>
      <c r="Q768" s="148"/>
      <c r="R768" s="148"/>
      <c r="S768" s="155"/>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row>
    <row r="769" spans="1:62" s="638" customFormat="1" x14ac:dyDescent="0.3">
      <c r="A769" s="148"/>
      <c r="B769" s="148"/>
      <c r="C769" s="148"/>
      <c r="D769" s="492"/>
      <c r="E769" s="489"/>
      <c r="F769" s="489"/>
      <c r="G769" s="148"/>
      <c r="H769" s="150"/>
      <c r="I769" s="151"/>
      <c r="J769" s="152"/>
      <c r="K769" s="476"/>
      <c r="L769" s="149"/>
      <c r="M769" s="280"/>
      <c r="N769" s="154"/>
      <c r="O769" s="155"/>
      <c r="P769" s="153"/>
      <c r="Q769" s="148"/>
      <c r="R769" s="148"/>
      <c r="S769" s="155"/>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row>
    <row r="770" spans="1:62" s="638" customFormat="1" x14ac:dyDescent="0.3">
      <c r="A770" s="148"/>
      <c r="B770" s="148"/>
      <c r="C770" s="148"/>
      <c r="D770" s="492"/>
      <c r="E770" s="489"/>
      <c r="F770" s="489"/>
      <c r="G770" s="148"/>
      <c r="H770" s="150"/>
      <c r="I770" s="151"/>
      <c r="J770" s="152"/>
      <c r="K770" s="476"/>
      <c r="L770" s="149"/>
      <c r="M770" s="280"/>
      <c r="N770" s="154"/>
      <c r="O770" s="155"/>
      <c r="P770" s="153"/>
      <c r="Q770" s="148"/>
      <c r="R770" s="148"/>
      <c r="S770" s="155"/>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row>
    <row r="771" spans="1:62" s="638" customFormat="1" x14ac:dyDescent="0.3">
      <c r="A771" s="148"/>
      <c r="B771" s="148"/>
      <c r="C771" s="148"/>
      <c r="D771" s="492"/>
      <c r="E771" s="489"/>
      <c r="F771" s="489"/>
      <c r="G771" s="148"/>
      <c r="H771" s="150"/>
      <c r="I771" s="151"/>
      <c r="J771" s="152"/>
      <c r="K771" s="476"/>
      <c r="L771" s="149"/>
      <c r="M771" s="280"/>
      <c r="N771" s="154"/>
      <c r="O771" s="155"/>
      <c r="P771" s="153"/>
      <c r="Q771" s="148"/>
      <c r="R771" s="148"/>
      <c r="S771" s="155"/>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row>
    <row r="772" spans="1:62" s="638" customFormat="1" x14ac:dyDescent="0.3">
      <c r="A772" s="148"/>
      <c r="B772" s="148"/>
      <c r="C772" s="148"/>
      <c r="D772" s="492"/>
      <c r="E772" s="489"/>
      <c r="F772" s="489"/>
      <c r="G772" s="148"/>
      <c r="H772" s="150"/>
      <c r="I772" s="151"/>
      <c r="J772" s="152"/>
      <c r="K772" s="476"/>
      <c r="L772" s="149"/>
      <c r="M772" s="280"/>
      <c r="N772" s="154"/>
      <c r="O772" s="155"/>
      <c r="P772" s="153"/>
      <c r="Q772" s="148"/>
      <c r="R772" s="148"/>
      <c r="S772" s="155"/>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row>
    <row r="773" spans="1:62" s="638" customFormat="1" x14ac:dyDescent="0.3">
      <c r="A773" s="148"/>
      <c r="B773" s="148"/>
      <c r="C773" s="148"/>
      <c r="D773" s="492"/>
      <c r="E773" s="489"/>
      <c r="F773" s="489"/>
      <c r="G773" s="148"/>
      <c r="H773" s="150"/>
      <c r="I773" s="151"/>
      <c r="J773" s="152"/>
      <c r="K773" s="476"/>
      <c r="L773" s="149"/>
      <c r="M773" s="280"/>
      <c r="N773" s="154"/>
      <c r="O773" s="155"/>
      <c r="P773" s="153"/>
      <c r="Q773" s="148"/>
      <c r="R773" s="148"/>
      <c r="S773" s="155"/>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row>
    <row r="774" spans="1:62" s="638" customFormat="1" x14ac:dyDescent="0.3">
      <c r="A774" s="148"/>
      <c r="B774" s="148"/>
      <c r="C774" s="148"/>
      <c r="D774" s="492"/>
      <c r="E774" s="489"/>
      <c r="F774" s="489"/>
      <c r="G774" s="148"/>
      <c r="H774" s="150"/>
      <c r="I774" s="151"/>
      <c r="J774" s="152"/>
      <c r="K774" s="476"/>
      <c r="L774" s="149"/>
      <c r="M774" s="280"/>
      <c r="N774" s="154"/>
      <c r="O774" s="155"/>
      <c r="P774" s="153"/>
      <c r="Q774" s="148"/>
      <c r="R774" s="148"/>
      <c r="S774" s="155"/>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row>
    <row r="775" spans="1:62" s="638" customFormat="1" x14ac:dyDescent="0.3">
      <c r="A775" s="148"/>
      <c r="B775" s="148"/>
      <c r="C775" s="148"/>
      <c r="D775" s="492"/>
      <c r="E775" s="489"/>
      <c r="F775" s="489"/>
      <c r="G775" s="148"/>
      <c r="H775" s="150"/>
      <c r="I775" s="151"/>
      <c r="J775" s="152"/>
      <c r="K775" s="476"/>
      <c r="L775" s="149"/>
      <c r="M775" s="280"/>
      <c r="N775" s="154"/>
      <c r="O775" s="155"/>
      <c r="P775" s="153"/>
      <c r="Q775" s="148"/>
      <c r="R775" s="148"/>
      <c r="S775" s="155"/>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row>
    <row r="776" spans="1:62" s="638" customFormat="1" x14ac:dyDescent="0.3">
      <c r="A776" s="148"/>
      <c r="B776" s="148"/>
      <c r="C776" s="148"/>
      <c r="D776" s="492"/>
      <c r="E776" s="489"/>
      <c r="F776" s="489"/>
      <c r="G776" s="148"/>
      <c r="H776" s="150"/>
      <c r="I776" s="151"/>
      <c r="J776" s="152"/>
      <c r="K776" s="476"/>
      <c r="L776" s="149"/>
      <c r="M776" s="280"/>
      <c r="N776" s="154"/>
      <c r="O776" s="155"/>
      <c r="P776" s="153"/>
      <c r="Q776" s="148"/>
      <c r="R776" s="148"/>
      <c r="S776" s="155"/>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row>
    <row r="777" spans="1:62" s="638" customFormat="1" x14ac:dyDescent="0.3">
      <c r="A777" s="148"/>
      <c r="B777" s="148"/>
      <c r="C777" s="148"/>
      <c r="D777" s="492"/>
      <c r="E777" s="489"/>
      <c r="F777" s="489"/>
      <c r="G777" s="148"/>
      <c r="H777" s="150"/>
      <c r="I777" s="151"/>
      <c r="J777" s="152"/>
      <c r="K777" s="476"/>
      <c r="L777" s="149"/>
      <c r="M777" s="280"/>
      <c r="N777" s="154"/>
      <c r="O777" s="155"/>
      <c r="P777" s="153"/>
      <c r="Q777" s="148"/>
      <c r="R777" s="148"/>
      <c r="S777" s="155"/>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row>
    <row r="778" spans="1:62" s="638" customFormat="1" x14ac:dyDescent="0.3">
      <c r="A778" s="148"/>
      <c r="B778" s="148"/>
      <c r="C778" s="148"/>
      <c r="D778" s="492"/>
      <c r="E778" s="489"/>
      <c r="F778" s="489"/>
      <c r="G778" s="148"/>
      <c r="H778" s="150"/>
      <c r="I778" s="151"/>
      <c r="J778" s="152"/>
      <c r="K778" s="476"/>
      <c r="L778" s="149"/>
      <c r="M778" s="280"/>
      <c r="N778" s="154"/>
      <c r="O778" s="155"/>
      <c r="P778" s="153"/>
      <c r="Q778" s="148"/>
      <c r="R778" s="148"/>
      <c r="S778" s="155"/>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row>
    <row r="779" spans="1:62" s="638" customFormat="1" x14ac:dyDescent="0.3">
      <c r="A779" s="148"/>
      <c r="B779" s="148"/>
      <c r="C779" s="148"/>
      <c r="D779" s="492"/>
      <c r="E779" s="489"/>
      <c r="F779" s="489"/>
      <c r="G779" s="148"/>
      <c r="H779" s="150"/>
      <c r="I779" s="151"/>
      <c r="J779" s="152"/>
      <c r="K779" s="476"/>
      <c r="L779" s="149"/>
      <c r="M779" s="280"/>
      <c r="N779" s="154"/>
      <c r="O779" s="155"/>
      <c r="P779" s="153"/>
      <c r="Q779" s="148"/>
      <c r="R779" s="148"/>
      <c r="S779" s="155"/>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row>
    <row r="780" spans="1:62" s="638" customFormat="1" x14ac:dyDescent="0.3">
      <c r="A780" s="148"/>
      <c r="B780" s="148"/>
      <c r="C780" s="148"/>
      <c r="D780" s="492"/>
      <c r="E780" s="489"/>
      <c r="F780" s="489"/>
      <c r="G780" s="148"/>
      <c r="H780" s="150"/>
      <c r="I780" s="151"/>
      <c r="J780" s="152"/>
      <c r="K780" s="476"/>
      <c r="L780" s="149"/>
      <c r="M780" s="280"/>
      <c r="N780" s="154"/>
      <c r="O780" s="155"/>
      <c r="P780" s="153"/>
      <c r="Q780" s="148"/>
      <c r="R780" s="148"/>
      <c r="S780" s="155"/>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row>
    <row r="781" spans="1:62" s="638" customFormat="1" x14ac:dyDescent="0.3">
      <c r="A781" s="148"/>
      <c r="B781" s="148"/>
      <c r="C781" s="148"/>
      <c r="D781" s="492"/>
      <c r="E781" s="489"/>
      <c r="F781" s="489"/>
      <c r="G781" s="148"/>
      <c r="H781" s="150"/>
      <c r="I781" s="151"/>
      <c r="J781" s="152"/>
      <c r="K781" s="476"/>
      <c r="L781" s="149"/>
      <c r="M781" s="280"/>
      <c r="N781" s="154"/>
      <c r="O781" s="155"/>
      <c r="P781" s="153"/>
      <c r="Q781" s="148"/>
      <c r="R781" s="148"/>
      <c r="S781" s="155"/>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row>
    <row r="782" spans="1:62" s="638" customFormat="1" x14ac:dyDescent="0.3">
      <c r="A782" s="148"/>
      <c r="B782" s="148"/>
      <c r="C782" s="148"/>
      <c r="D782" s="492"/>
      <c r="E782" s="489"/>
      <c r="F782" s="489"/>
      <c r="G782" s="148"/>
      <c r="H782" s="150"/>
      <c r="I782" s="151"/>
      <c r="J782" s="152"/>
      <c r="K782" s="476"/>
      <c r="L782" s="149"/>
      <c r="M782" s="280"/>
      <c r="N782" s="154"/>
      <c r="O782" s="155"/>
      <c r="P782" s="153"/>
      <c r="Q782" s="148"/>
      <c r="R782" s="148"/>
      <c r="S782" s="155"/>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row>
    <row r="783" spans="1:62" s="638" customFormat="1" x14ac:dyDescent="0.3">
      <c r="A783" s="148"/>
      <c r="B783" s="148"/>
      <c r="C783" s="148"/>
      <c r="D783" s="492"/>
      <c r="E783" s="489"/>
      <c r="F783" s="489"/>
      <c r="G783" s="148"/>
      <c r="H783" s="150"/>
      <c r="I783" s="151"/>
      <c r="J783" s="152"/>
      <c r="K783" s="476"/>
      <c r="L783" s="149"/>
      <c r="M783" s="280"/>
      <c r="N783" s="154"/>
      <c r="O783" s="155"/>
      <c r="P783" s="153"/>
      <c r="Q783" s="148"/>
      <c r="R783" s="148"/>
      <c r="S783" s="155"/>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row>
    <row r="784" spans="1:62" s="638" customFormat="1" x14ac:dyDescent="0.3">
      <c r="A784" s="148"/>
      <c r="B784" s="148"/>
      <c r="C784" s="148"/>
      <c r="D784" s="492"/>
      <c r="E784" s="489"/>
      <c r="F784" s="489"/>
      <c r="G784" s="148"/>
      <c r="H784" s="150"/>
      <c r="I784" s="151"/>
      <c r="J784" s="152"/>
      <c r="K784" s="476"/>
      <c r="L784" s="149"/>
      <c r="M784" s="280"/>
      <c r="N784" s="154"/>
      <c r="O784" s="155"/>
      <c r="P784" s="153"/>
      <c r="Q784" s="148"/>
      <c r="R784" s="148"/>
      <c r="S784" s="155"/>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row>
    <row r="785" spans="1:62" s="638" customFormat="1" x14ac:dyDescent="0.3">
      <c r="A785" s="148"/>
      <c r="B785" s="148"/>
      <c r="C785" s="148"/>
      <c r="D785" s="492"/>
      <c r="E785" s="489"/>
      <c r="F785" s="489"/>
      <c r="G785" s="148"/>
      <c r="H785" s="150"/>
      <c r="I785" s="151"/>
      <c r="J785" s="152"/>
      <c r="K785" s="476"/>
      <c r="L785" s="149"/>
      <c r="M785" s="280"/>
      <c r="N785" s="154"/>
      <c r="O785" s="155"/>
      <c r="P785" s="153"/>
      <c r="Q785" s="148"/>
      <c r="R785" s="148"/>
      <c r="S785" s="155"/>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row>
    <row r="786" spans="1:62" s="638" customFormat="1" x14ac:dyDescent="0.3">
      <c r="A786" s="148"/>
      <c r="B786" s="148"/>
      <c r="C786" s="148"/>
      <c r="D786" s="492"/>
      <c r="E786" s="489"/>
      <c r="F786" s="489"/>
      <c r="G786" s="148"/>
      <c r="H786" s="150"/>
      <c r="I786" s="151"/>
      <c r="J786" s="152"/>
      <c r="K786" s="476"/>
      <c r="L786" s="149"/>
      <c r="M786" s="280"/>
      <c r="N786" s="154"/>
      <c r="O786" s="155"/>
      <c r="P786" s="153"/>
      <c r="Q786" s="148"/>
      <c r="R786" s="148"/>
      <c r="S786" s="155"/>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row>
    <row r="787" spans="1:62" s="638" customFormat="1" x14ac:dyDescent="0.3">
      <c r="A787" s="148"/>
      <c r="B787" s="148"/>
      <c r="C787" s="148"/>
      <c r="D787" s="492"/>
      <c r="E787" s="489"/>
      <c r="F787" s="489"/>
      <c r="G787" s="148"/>
      <c r="H787" s="150"/>
      <c r="I787" s="151"/>
      <c r="J787" s="152"/>
      <c r="K787" s="476"/>
      <c r="L787" s="149"/>
      <c r="M787" s="280"/>
      <c r="N787" s="154"/>
      <c r="O787" s="155"/>
      <c r="P787" s="153"/>
      <c r="Q787" s="148"/>
      <c r="R787" s="148"/>
      <c r="S787" s="155"/>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row>
    <row r="788" spans="1:62" s="638" customFormat="1" x14ac:dyDescent="0.3">
      <c r="A788" s="148"/>
      <c r="B788" s="148"/>
      <c r="C788" s="148"/>
      <c r="D788" s="492"/>
      <c r="E788" s="489"/>
      <c r="F788" s="489"/>
      <c r="G788" s="148"/>
      <c r="H788" s="150"/>
      <c r="I788" s="151"/>
      <c r="J788" s="152"/>
      <c r="K788" s="476"/>
      <c r="L788" s="149"/>
      <c r="M788" s="280"/>
      <c r="N788" s="154"/>
      <c r="O788" s="155"/>
      <c r="P788" s="153"/>
      <c r="Q788" s="148"/>
      <c r="R788" s="148"/>
      <c r="S788" s="155"/>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row>
    <row r="789" spans="1:62" s="638" customFormat="1" x14ac:dyDescent="0.3">
      <c r="A789" s="148"/>
      <c r="B789" s="148"/>
      <c r="C789" s="148"/>
      <c r="D789" s="492"/>
      <c r="E789" s="489"/>
      <c r="F789" s="489"/>
      <c r="G789" s="148"/>
      <c r="H789" s="150"/>
      <c r="I789" s="151"/>
      <c r="J789" s="152"/>
      <c r="K789" s="476"/>
      <c r="L789" s="149"/>
      <c r="M789" s="280"/>
      <c r="N789" s="154"/>
      <c r="O789" s="155"/>
      <c r="P789" s="153"/>
      <c r="Q789" s="148"/>
      <c r="R789" s="148"/>
      <c r="S789" s="155"/>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row>
    <row r="790" spans="1:62" s="638" customFormat="1" x14ac:dyDescent="0.3">
      <c r="A790" s="148"/>
      <c r="B790" s="148"/>
      <c r="C790" s="148"/>
      <c r="D790" s="492"/>
      <c r="E790" s="489"/>
      <c r="F790" s="489"/>
      <c r="G790" s="148"/>
      <c r="H790" s="150"/>
      <c r="I790" s="151"/>
      <c r="J790" s="152"/>
      <c r="K790" s="476"/>
      <c r="L790" s="149"/>
      <c r="M790" s="280"/>
      <c r="N790" s="154"/>
      <c r="O790" s="155"/>
      <c r="P790" s="153"/>
      <c r="Q790" s="148"/>
      <c r="R790" s="148"/>
      <c r="S790" s="155"/>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row>
    <row r="791" spans="1:62" s="638" customFormat="1" x14ac:dyDescent="0.3">
      <c r="A791" s="148"/>
      <c r="B791" s="148"/>
      <c r="C791" s="148"/>
      <c r="D791" s="492"/>
      <c r="E791" s="489"/>
      <c r="F791" s="489"/>
      <c r="G791" s="148"/>
      <c r="H791" s="150"/>
      <c r="I791" s="151"/>
      <c r="J791" s="152"/>
      <c r="K791" s="476"/>
      <c r="L791" s="149"/>
      <c r="M791" s="280"/>
      <c r="N791" s="154"/>
      <c r="O791" s="155"/>
      <c r="P791" s="153"/>
      <c r="Q791" s="148"/>
      <c r="R791" s="148"/>
      <c r="S791" s="155"/>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row>
    <row r="792" spans="1:62" s="638" customFormat="1" x14ac:dyDescent="0.3">
      <c r="A792" s="148"/>
      <c r="B792" s="148"/>
      <c r="C792" s="148"/>
      <c r="D792" s="492"/>
      <c r="E792" s="489"/>
      <c r="F792" s="489"/>
      <c r="G792" s="148"/>
      <c r="H792" s="150"/>
      <c r="I792" s="151"/>
      <c r="J792" s="152"/>
      <c r="K792" s="476"/>
      <c r="L792" s="149"/>
      <c r="M792" s="280"/>
      <c r="N792" s="154"/>
      <c r="O792" s="155"/>
      <c r="P792" s="153"/>
      <c r="Q792" s="148"/>
      <c r="R792" s="148"/>
      <c r="S792" s="155"/>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row>
    <row r="793" spans="1:62" s="638" customFormat="1" x14ac:dyDescent="0.3">
      <c r="A793" s="148"/>
      <c r="B793" s="148"/>
      <c r="C793" s="148"/>
      <c r="D793" s="492"/>
      <c r="E793" s="489"/>
      <c r="F793" s="489"/>
      <c r="G793" s="148"/>
      <c r="H793" s="150"/>
      <c r="I793" s="151"/>
      <c r="J793" s="152"/>
      <c r="K793" s="476"/>
      <c r="L793" s="149"/>
      <c r="M793" s="280"/>
      <c r="N793" s="154"/>
      <c r="O793" s="155"/>
      <c r="P793" s="153"/>
      <c r="Q793" s="148"/>
      <c r="R793" s="148"/>
      <c r="S793" s="155"/>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row>
    <row r="794" spans="1:62" s="638" customFormat="1" x14ac:dyDescent="0.3">
      <c r="A794" s="148"/>
      <c r="B794" s="148"/>
      <c r="C794" s="148"/>
      <c r="D794" s="492"/>
      <c r="E794" s="489"/>
      <c r="F794" s="489"/>
      <c r="G794" s="148"/>
      <c r="H794" s="150"/>
      <c r="I794" s="151"/>
      <c r="J794" s="152"/>
      <c r="K794" s="476"/>
      <c r="L794" s="149"/>
      <c r="M794" s="280"/>
      <c r="N794" s="154"/>
      <c r="O794" s="155"/>
      <c r="P794" s="153"/>
      <c r="Q794" s="148"/>
      <c r="R794" s="148"/>
      <c r="S794" s="155"/>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row>
    <row r="795" spans="1:62" s="638" customFormat="1" x14ac:dyDescent="0.3">
      <c r="A795" s="148"/>
      <c r="B795" s="148"/>
      <c r="C795" s="148"/>
      <c r="D795" s="492"/>
      <c r="E795" s="489"/>
      <c r="F795" s="489"/>
      <c r="G795" s="148"/>
      <c r="H795" s="150"/>
      <c r="I795" s="151"/>
      <c r="J795" s="152"/>
      <c r="K795" s="476"/>
      <c r="L795" s="149"/>
      <c r="M795" s="280"/>
      <c r="N795" s="154"/>
      <c r="O795" s="155"/>
      <c r="P795" s="153"/>
      <c r="Q795" s="148"/>
      <c r="R795" s="148"/>
      <c r="S795" s="155"/>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row>
    <row r="796" spans="1:62" s="638" customFormat="1" x14ac:dyDescent="0.3">
      <c r="A796" s="148"/>
      <c r="B796" s="148"/>
      <c r="C796" s="148"/>
      <c r="D796" s="492"/>
      <c r="E796" s="489"/>
      <c r="F796" s="489"/>
      <c r="G796" s="148"/>
      <c r="H796" s="150"/>
      <c r="I796" s="151"/>
      <c r="J796" s="152"/>
      <c r="K796" s="476"/>
      <c r="L796" s="149"/>
      <c r="M796" s="280"/>
      <c r="N796" s="154"/>
      <c r="O796" s="155"/>
      <c r="P796" s="153"/>
      <c r="Q796" s="148"/>
      <c r="R796" s="148"/>
      <c r="S796" s="155"/>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row>
    <row r="797" spans="1:62" s="638" customFormat="1" x14ac:dyDescent="0.3">
      <c r="A797" s="148"/>
      <c r="B797" s="148"/>
      <c r="C797" s="148"/>
      <c r="D797" s="492"/>
      <c r="E797" s="489"/>
      <c r="F797" s="489"/>
      <c r="G797" s="148"/>
      <c r="H797" s="150"/>
      <c r="I797" s="151"/>
      <c r="J797" s="152"/>
      <c r="K797" s="476"/>
      <c r="L797" s="149"/>
      <c r="M797" s="280"/>
      <c r="N797" s="154"/>
      <c r="O797" s="155"/>
      <c r="P797" s="153"/>
      <c r="Q797" s="148"/>
      <c r="R797" s="148"/>
      <c r="S797" s="155"/>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row>
    <row r="798" spans="1:62" s="638" customFormat="1" x14ac:dyDescent="0.3">
      <c r="A798" s="148"/>
      <c r="B798" s="148"/>
      <c r="C798" s="148"/>
      <c r="D798" s="492"/>
      <c r="E798" s="489"/>
      <c r="F798" s="489"/>
      <c r="G798" s="148"/>
      <c r="H798" s="150"/>
      <c r="I798" s="151"/>
      <c r="J798" s="152"/>
      <c r="K798" s="476"/>
      <c r="L798" s="149"/>
      <c r="M798" s="280"/>
      <c r="N798" s="154"/>
      <c r="O798" s="155"/>
      <c r="P798" s="153"/>
      <c r="Q798" s="148"/>
      <c r="R798" s="148"/>
      <c r="S798" s="155"/>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row>
    <row r="799" spans="1:62" s="638" customFormat="1" x14ac:dyDescent="0.3">
      <c r="A799" s="148"/>
      <c r="B799" s="148"/>
      <c r="C799" s="148"/>
      <c r="D799" s="492"/>
      <c r="E799" s="489"/>
      <c r="F799" s="489"/>
      <c r="G799" s="148"/>
      <c r="H799" s="150"/>
      <c r="I799" s="151"/>
      <c r="J799" s="152"/>
      <c r="K799" s="476"/>
      <c r="L799" s="149"/>
      <c r="M799" s="280"/>
      <c r="N799" s="154"/>
      <c r="O799" s="155"/>
      <c r="P799" s="153"/>
      <c r="Q799" s="148"/>
      <c r="R799" s="148"/>
      <c r="S799" s="155"/>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row>
    <row r="800" spans="1:62" s="638" customFormat="1" x14ac:dyDescent="0.3">
      <c r="A800" s="148"/>
      <c r="B800" s="148"/>
      <c r="C800" s="148"/>
      <c r="D800" s="492"/>
      <c r="E800" s="489"/>
      <c r="F800" s="489"/>
      <c r="G800" s="148"/>
      <c r="H800" s="150"/>
      <c r="I800" s="151"/>
      <c r="J800" s="152"/>
      <c r="K800" s="476"/>
      <c r="L800" s="149"/>
      <c r="M800" s="280"/>
      <c r="N800" s="154"/>
      <c r="O800" s="155"/>
      <c r="P800" s="153"/>
      <c r="Q800" s="148"/>
      <c r="R800" s="148"/>
      <c r="S800" s="155"/>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row>
    <row r="801" spans="1:62" s="638" customFormat="1" x14ac:dyDescent="0.3">
      <c r="A801" s="148"/>
      <c r="B801" s="148"/>
      <c r="C801" s="148"/>
      <c r="D801" s="492"/>
      <c r="E801" s="489"/>
      <c r="F801" s="489"/>
      <c r="G801" s="148"/>
      <c r="H801" s="150"/>
      <c r="I801" s="151"/>
      <c r="J801" s="152"/>
      <c r="K801" s="476"/>
      <c r="L801" s="149"/>
      <c r="M801" s="280"/>
      <c r="N801" s="154"/>
      <c r="O801" s="155"/>
      <c r="P801" s="153"/>
      <c r="Q801" s="148"/>
      <c r="R801" s="148"/>
      <c r="S801" s="155"/>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row>
    <row r="802" spans="1:62" s="638" customFormat="1" x14ac:dyDescent="0.3">
      <c r="A802" s="148"/>
      <c r="B802" s="148"/>
      <c r="C802" s="148"/>
      <c r="D802" s="492"/>
      <c r="E802" s="489"/>
      <c r="F802" s="489"/>
      <c r="G802" s="148"/>
      <c r="H802" s="150"/>
      <c r="I802" s="151"/>
      <c r="J802" s="152"/>
      <c r="K802" s="476"/>
      <c r="L802" s="149"/>
      <c r="M802" s="280"/>
      <c r="N802" s="154"/>
      <c r="O802" s="155"/>
      <c r="P802" s="153"/>
      <c r="Q802" s="148"/>
      <c r="R802" s="148"/>
      <c r="S802" s="155"/>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row>
    <row r="803" spans="1:62" s="638" customFormat="1" x14ac:dyDescent="0.3">
      <c r="A803" s="148"/>
      <c r="B803" s="148"/>
      <c r="C803" s="148"/>
      <c r="D803" s="492"/>
      <c r="E803" s="489"/>
      <c r="F803" s="489"/>
      <c r="G803" s="148"/>
      <c r="H803" s="150"/>
      <c r="I803" s="151"/>
      <c r="J803" s="152"/>
      <c r="K803" s="476"/>
      <c r="L803" s="149"/>
      <c r="M803" s="280"/>
      <c r="N803" s="154"/>
      <c r="O803" s="155"/>
      <c r="P803" s="153"/>
      <c r="Q803" s="148"/>
      <c r="R803" s="148"/>
      <c r="S803" s="155"/>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row>
    <row r="804" spans="1:62" s="638" customFormat="1" x14ac:dyDescent="0.3">
      <c r="A804" s="148"/>
      <c r="B804" s="148"/>
      <c r="C804" s="148"/>
      <c r="D804" s="492"/>
      <c r="E804" s="489"/>
      <c r="F804" s="489"/>
      <c r="G804" s="148"/>
      <c r="H804" s="150"/>
      <c r="I804" s="151"/>
      <c r="J804" s="152"/>
      <c r="K804" s="476"/>
      <c r="L804" s="149"/>
      <c r="M804" s="280"/>
      <c r="N804" s="154"/>
      <c r="O804" s="155"/>
      <c r="P804" s="153"/>
      <c r="Q804" s="148"/>
      <c r="R804" s="148"/>
      <c r="S804" s="155"/>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row>
    <row r="805" spans="1:62" s="638" customFormat="1" x14ac:dyDescent="0.3">
      <c r="A805" s="148"/>
      <c r="B805" s="148"/>
      <c r="C805" s="148"/>
      <c r="D805" s="492"/>
      <c r="E805" s="489"/>
      <c r="F805" s="489"/>
      <c r="G805" s="148"/>
      <c r="H805" s="150"/>
      <c r="I805" s="151"/>
      <c r="J805" s="152"/>
      <c r="K805" s="476"/>
      <c r="L805" s="149"/>
      <c r="M805" s="280"/>
      <c r="N805" s="154"/>
      <c r="O805" s="155"/>
      <c r="P805" s="153"/>
      <c r="Q805" s="148"/>
      <c r="R805" s="148"/>
      <c r="S805" s="155"/>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row>
    <row r="806" spans="1:62" s="638" customFormat="1" x14ac:dyDescent="0.3">
      <c r="A806" s="148"/>
      <c r="B806" s="148"/>
      <c r="C806" s="148"/>
      <c r="D806" s="492"/>
      <c r="E806" s="489"/>
      <c r="F806" s="489"/>
      <c r="G806" s="148"/>
      <c r="H806" s="150"/>
      <c r="I806" s="151"/>
      <c r="J806" s="152"/>
      <c r="K806" s="476"/>
      <c r="L806" s="149"/>
      <c r="M806" s="280"/>
      <c r="N806" s="154"/>
      <c r="O806" s="155"/>
      <c r="P806" s="153"/>
      <c r="Q806" s="148"/>
      <c r="R806" s="148"/>
      <c r="S806" s="155"/>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row>
    <row r="807" spans="1:62" s="638" customFormat="1" x14ac:dyDescent="0.3">
      <c r="A807" s="148"/>
      <c r="B807" s="148"/>
      <c r="C807" s="148"/>
      <c r="D807" s="492"/>
      <c r="E807" s="489"/>
      <c r="F807" s="489"/>
      <c r="G807" s="148"/>
      <c r="H807" s="150"/>
      <c r="I807" s="151"/>
      <c r="J807" s="152"/>
      <c r="K807" s="476"/>
      <c r="L807" s="149"/>
      <c r="M807" s="280"/>
      <c r="N807" s="154"/>
      <c r="O807" s="155"/>
      <c r="P807" s="153"/>
      <c r="Q807" s="148"/>
      <c r="R807" s="148"/>
      <c r="S807" s="155"/>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row>
    <row r="808" spans="1:62" s="638" customFormat="1" x14ac:dyDescent="0.3">
      <c r="A808" s="148"/>
      <c r="B808" s="148"/>
      <c r="C808" s="148"/>
      <c r="D808" s="492"/>
      <c r="E808" s="489"/>
      <c r="F808" s="489"/>
      <c r="G808" s="148"/>
      <c r="H808" s="150"/>
      <c r="I808" s="151"/>
      <c r="J808" s="152"/>
      <c r="K808" s="476"/>
      <c r="L808" s="149"/>
      <c r="M808" s="280"/>
      <c r="N808" s="154"/>
      <c r="O808" s="155"/>
      <c r="P808" s="153"/>
      <c r="Q808" s="148"/>
      <c r="R808" s="148"/>
      <c r="S808" s="155"/>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row>
    <row r="809" spans="1:62" s="638" customFormat="1" x14ac:dyDescent="0.3">
      <c r="A809" s="148"/>
      <c r="B809" s="148"/>
      <c r="C809" s="148"/>
      <c r="D809" s="492"/>
      <c r="E809" s="489"/>
      <c r="F809" s="489"/>
      <c r="G809" s="148"/>
      <c r="H809" s="150"/>
      <c r="I809" s="151"/>
      <c r="J809" s="152"/>
      <c r="K809" s="476"/>
      <c r="L809" s="149"/>
      <c r="M809" s="280"/>
      <c r="N809" s="154"/>
      <c r="O809" s="155"/>
      <c r="P809" s="153"/>
      <c r="Q809" s="148"/>
      <c r="R809" s="148"/>
      <c r="S809" s="155"/>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row>
    <row r="810" spans="1:62" s="638" customFormat="1" x14ac:dyDescent="0.3">
      <c r="A810" s="148"/>
      <c r="B810" s="148"/>
      <c r="C810" s="148"/>
      <c r="D810" s="492"/>
      <c r="E810" s="489"/>
      <c r="F810" s="489"/>
      <c r="G810" s="148"/>
      <c r="H810" s="150"/>
      <c r="I810" s="151"/>
      <c r="J810" s="152"/>
      <c r="K810" s="476"/>
      <c r="L810" s="149"/>
      <c r="M810" s="280"/>
      <c r="N810" s="154"/>
      <c r="O810" s="155"/>
      <c r="P810" s="153"/>
      <c r="Q810" s="148"/>
      <c r="R810" s="148"/>
      <c r="S810" s="155"/>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row>
    <row r="811" spans="1:62" s="638" customFormat="1" x14ac:dyDescent="0.3">
      <c r="A811" s="148"/>
      <c r="B811" s="148"/>
      <c r="C811" s="148"/>
      <c r="D811" s="492"/>
      <c r="E811" s="489"/>
      <c r="F811" s="489"/>
      <c r="G811" s="148"/>
      <c r="H811" s="150"/>
      <c r="I811" s="151"/>
      <c r="J811" s="152"/>
      <c r="K811" s="476"/>
      <c r="L811" s="149"/>
      <c r="M811" s="280"/>
      <c r="N811" s="154"/>
      <c r="O811" s="155"/>
      <c r="P811" s="153"/>
      <c r="Q811" s="148"/>
      <c r="R811" s="148"/>
      <c r="S811" s="155"/>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row>
    <row r="812" spans="1:62" s="638" customFormat="1" x14ac:dyDescent="0.3">
      <c r="A812" s="148"/>
      <c r="B812" s="148"/>
      <c r="C812" s="148"/>
      <c r="D812" s="492"/>
      <c r="E812" s="489"/>
      <c r="F812" s="489"/>
      <c r="G812" s="148"/>
      <c r="H812" s="150"/>
      <c r="I812" s="151"/>
      <c r="J812" s="152"/>
      <c r="K812" s="476"/>
      <c r="L812" s="149"/>
      <c r="M812" s="280"/>
      <c r="N812" s="154"/>
      <c r="O812" s="155"/>
      <c r="P812" s="153"/>
      <c r="Q812" s="148"/>
      <c r="R812" s="148"/>
      <c r="S812" s="155"/>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row>
    <row r="813" spans="1:62" s="638" customFormat="1" x14ac:dyDescent="0.3">
      <c r="A813" s="148"/>
      <c r="B813" s="148"/>
      <c r="C813" s="148"/>
      <c r="D813" s="492"/>
      <c r="E813" s="489"/>
      <c r="F813" s="489"/>
      <c r="G813" s="148"/>
      <c r="H813" s="150"/>
      <c r="I813" s="151"/>
      <c r="J813" s="152"/>
      <c r="K813" s="476"/>
      <c r="L813" s="149"/>
      <c r="M813" s="280"/>
      <c r="N813" s="154"/>
      <c r="O813" s="155"/>
      <c r="P813" s="153"/>
      <c r="Q813" s="148"/>
      <c r="R813" s="148"/>
      <c r="S813" s="155"/>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row>
    <row r="814" spans="1:62" s="638" customFormat="1" x14ac:dyDescent="0.3">
      <c r="A814" s="148"/>
      <c r="B814" s="148"/>
      <c r="C814" s="148"/>
      <c r="D814" s="492"/>
      <c r="E814" s="489"/>
      <c r="F814" s="489"/>
      <c r="G814" s="148"/>
      <c r="H814" s="150"/>
      <c r="I814" s="151"/>
      <c r="J814" s="152"/>
      <c r="K814" s="476"/>
      <c r="L814" s="149"/>
      <c r="M814" s="280"/>
      <c r="N814" s="154"/>
      <c r="O814" s="155"/>
      <c r="P814" s="153"/>
      <c r="Q814" s="148"/>
      <c r="R814" s="148"/>
      <c r="S814" s="155"/>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row>
    <row r="815" spans="1:62" s="638" customFormat="1" x14ac:dyDescent="0.3">
      <c r="A815" s="148"/>
      <c r="B815" s="148"/>
      <c r="C815" s="148"/>
      <c r="D815" s="492"/>
      <c r="E815" s="489"/>
      <c r="F815" s="489"/>
      <c r="G815" s="148"/>
      <c r="H815" s="150"/>
      <c r="I815" s="151"/>
      <c r="J815" s="152"/>
      <c r="K815" s="476"/>
      <c r="L815" s="149"/>
      <c r="M815" s="280"/>
      <c r="N815" s="154"/>
      <c r="O815" s="155"/>
      <c r="P815" s="153"/>
      <c r="Q815" s="148"/>
      <c r="R815" s="148"/>
      <c r="S815" s="155"/>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row>
    <row r="816" spans="1:62" s="638" customFormat="1" x14ac:dyDescent="0.3">
      <c r="A816" s="148"/>
      <c r="B816" s="148"/>
      <c r="C816" s="148"/>
      <c r="D816" s="492"/>
      <c r="E816" s="489"/>
      <c r="F816" s="489"/>
      <c r="G816" s="148"/>
      <c r="H816" s="150"/>
      <c r="I816" s="151"/>
      <c r="J816" s="152"/>
      <c r="K816" s="476"/>
      <c r="L816" s="149"/>
      <c r="M816" s="280"/>
      <c r="N816" s="154"/>
      <c r="O816" s="155"/>
      <c r="P816" s="153"/>
      <c r="Q816" s="148"/>
      <c r="R816" s="148"/>
      <c r="S816" s="155"/>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row>
    <row r="817" spans="1:62" s="638" customFormat="1" x14ac:dyDescent="0.3">
      <c r="A817" s="148"/>
      <c r="B817" s="148"/>
      <c r="C817" s="148"/>
      <c r="D817" s="492"/>
      <c r="E817" s="489"/>
      <c r="F817" s="489"/>
      <c r="G817" s="148"/>
      <c r="H817" s="150"/>
      <c r="I817" s="151"/>
      <c r="J817" s="152"/>
      <c r="K817" s="476"/>
      <c r="L817" s="149"/>
      <c r="M817" s="280"/>
      <c r="N817" s="154"/>
      <c r="O817" s="155"/>
      <c r="P817" s="153"/>
      <c r="Q817" s="148"/>
      <c r="R817" s="148"/>
      <c r="S817" s="155"/>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row>
    <row r="818" spans="1:62" s="638" customFormat="1" x14ac:dyDescent="0.3">
      <c r="A818" s="148"/>
      <c r="B818" s="148"/>
      <c r="C818" s="148"/>
      <c r="D818" s="492"/>
      <c r="E818" s="489"/>
      <c r="F818" s="489"/>
      <c r="G818" s="148"/>
      <c r="H818" s="150"/>
      <c r="I818" s="151"/>
      <c r="J818" s="152"/>
      <c r="K818" s="476"/>
      <c r="L818" s="149"/>
      <c r="M818" s="280"/>
      <c r="N818" s="154"/>
      <c r="O818" s="155"/>
      <c r="P818" s="153"/>
      <c r="Q818" s="148"/>
      <c r="R818" s="148"/>
      <c r="S818" s="155"/>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row>
    <row r="819" spans="1:62" s="638" customFormat="1" x14ac:dyDescent="0.3">
      <c r="A819" s="148"/>
      <c r="B819" s="148"/>
      <c r="C819" s="148"/>
      <c r="D819" s="492"/>
      <c r="E819" s="489"/>
      <c r="F819" s="489"/>
      <c r="G819" s="148"/>
      <c r="H819" s="150"/>
      <c r="I819" s="151"/>
      <c r="J819" s="152"/>
      <c r="K819" s="476"/>
      <c r="L819" s="149"/>
      <c r="M819" s="280"/>
      <c r="N819" s="154"/>
      <c r="O819" s="155"/>
      <c r="P819" s="153"/>
      <c r="Q819" s="148"/>
      <c r="R819" s="148"/>
      <c r="S819" s="155"/>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row>
    <row r="820" spans="1:62" s="638" customFormat="1" x14ac:dyDescent="0.3">
      <c r="A820" s="148"/>
      <c r="B820" s="148"/>
      <c r="C820" s="148"/>
      <c r="D820" s="492"/>
      <c r="E820" s="489"/>
      <c r="F820" s="489"/>
      <c r="G820" s="148"/>
      <c r="H820" s="150"/>
      <c r="I820" s="151"/>
      <c r="J820" s="152"/>
      <c r="K820" s="476"/>
      <c r="L820" s="149"/>
      <c r="M820" s="280"/>
      <c r="N820" s="154"/>
      <c r="O820" s="155"/>
      <c r="P820" s="153"/>
      <c r="Q820" s="148"/>
      <c r="R820" s="148"/>
      <c r="S820" s="155"/>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row>
    <row r="821" spans="1:62" s="638" customFormat="1" x14ac:dyDescent="0.3">
      <c r="A821" s="148"/>
      <c r="B821" s="148"/>
      <c r="C821" s="148"/>
      <c r="D821" s="492"/>
      <c r="E821" s="489"/>
      <c r="F821" s="489"/>
      <c r="G821" s="148"/>
      <c r="H821" s="150"/>
      <c r="I821" s="151"/>
      <c r="J821" s="152"/>
      <c r="K821" s="476"/>
      <c r="L821" s="149"/>
      <c r="M821" s="280"/>
      <c r="N821" s="154"/>
      <c r="O821" s="155"/>
      <c r="P821" s="153"/>
      <c r="Q821" s="148"/>
      <c r="R821" s="148"/>
      <c r="S821" s="155"/>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row>
    <row r="822" spans="1:62" s="638" customFormat="1" x14ac:dyDescent="0.3">
      <c r="A822" s="148"/>
      <c r="B822" s="148"/>
      <c r="C822" s="148"/>
      <c r="D822" s="492"/>
      <c r="E822" s="489"/>
      <c r="F822" s="489"/>
      <c r="G822" s="148"/>
      <c r="H822" s="150"/>
      <c r="I822" s="151"/>
      <c r="J822" s="152"/>
      <c r="K822" s="476"/>
      <c r="L822" s="149"/>
      <c r="M822" s="280"/>
      <c r="N822" s="154"/>
      <c r="O822" s="155"/>
      <c r="P822" s="153"/>
      <c r="Q822" s="148"/>
      <c r="R822" s="148"/>
      <c r="S822" s="155"/>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row>
    <row r="823" spans="1:62" s="638" customFormat="1" x14ac:dyDescent="0.3">
      <c r="A823" s="148"/>
      <c r="B823" s="148"/>
      <c r="C823" s="148"/>
      <c r="D823" s="492"/>
      <c r="E823" s="489"/>
      <c r="F823" s="489"/>
      <c r="G823" s="148"/>
      <c r="H823" s="150"/>
      <c r="I823" s="151"/>
      <c r="J823" s="152"/>
      <c r="K823" s="476"/>
      <c r="L823" s="149"/>
      <c r="M823" s="280"/>
      <c r="N823" s="154"/>
      <c r="O823" s="155"/>
      <c r="P823" s="153"/>
      <c r="Q823" s="148"/>
      <c r="R823" s="148"/>
      <c r="S823" s="155"/>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row>
    <row r="824" spans="1:62" s="638" customFormat="1" x14ac:dyDescent="0.3">
      <c r="A824" s="148"/>
      <c r="B824" s="148"/>
      <c r="C824" s="148"/>
      <c r="D824" s="492"/>
      <c r="E824" s="489"/>
      <c r="F824" s="489"/>
      <c r="G824" s="148"/>
      <c r="H824" s="150"/>
      <c r="I824" s="151"/>
      <c r="J824" s="152"/>
      <c r="K824" s="476"/>
      <c r="L824" s="149"/>
      <c r="M824" s="280"/>
      <c r="N824" s="154"/>
      <c r="O824" s="155"/>
      <c r="P824" s="153"/>
      <c r="Q824" s="148"/>
      <c r="R824" s="148"/>
      <c r="S824" s="155"/>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row>
    <row r="825" spans="1:62" s="638" customFormat="1" x14ac:dyDescent="0.3">
      <c r="A825" s="148"/>
      <c r="B825" s="148"/>
      <c r="C825" s="148"/>
      <c r="D825" s="492"/>
      <c r="E825" s="489"/>
      <c r="F825" s="489"/>
      <c r="G825" s="148"/>
      <c r="H825" s="150"/>
      <c r="I825" s="151"/>
      <c r="J825" s="152"/>
      <c r="K825" s="476"/>
      <c r="L825" s="149"/>
      <c r="M825" s="280"/>
      <c r="N825" s="154"/>
      <c r="O825" s="155"/>
      <c r="P825" s="153"/>
      <c r="Q825" s="148"/>
      <c r="R825" s="148"/>
      <c r="S825" s="155"/>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row>
    <row r="826" spans="1:62" s="638" customFormat="1" x14ac:dyDescent="0.3">
      <c r="A826" s="148"/>
      <c r="B826" s="148"/>
      <c r="C826" s="148"/>
      <c r="D826" s="492"/>
      <c r="E826" s="489"/>
      <c r="F826" s="489"/>
      <c r="G826" s="148"/>
      <c r="H826" s="150"/>
      <c r="I826" s="151"/>
      <c r="J826" s="152"/>
      <c r="K826" s="476"/>
      <c r="L826" s="149"/>
      <c r="M826" s="280"/>
      <c r="N826" s="154"/>
      <c r="O826" s="155"/>
      <c r="P826" s="153"/>
      <c r="Q826" s="148"/>
      <c r="R826" s="148"/>
      <c r="S826" s="155"/>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row>
    <row r="827" spans="1:62" s="638" customFormat="1" x14ac:dyDescent="0.3">
      <c r="A827" s="148"/>
      <c r="B827" s="148"/>
      <c r="C827" s="148"/>
      <c r="D827" s="492"/>
      <c r="E827" s="489"/>
      <c r="F827" s="489"/>
      <c r="G827" s="148"/>
      <c r="H827" s="150"/>
      <c r="I827" s="151"/>
      <c r="J827" s="152"/>
      <c r="K827" s="476"/>
      <c r="L827" s="149"/>
      <c r="M827" s="280"/>
      <c r="N827" s="154"/>
      <c r="O827" s="155"/>
      <c r="P827" s="153"/>
      <c r="Q827" s="148"/>
      <c r="R827" s="148"/>
      <c r="S827" s="155"/>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row>
    <row r="828" spans="1:62" s="638" customFormat="1" x14ac:dyDescent="0.3">
      <c r="A828" s="148"/>
      <c r="B828" s="148"/>
      <c r="C828" s="148"/>
      <c r="D828" s="492"/>
      <c r="E828" s="489"/>
      <c r="F828" s="489"/>
      <c r="G828" s="148"/>
      <c r="H828" s="150"/>
      <c r="I828" s="151"/>
      <c r="J828" s="152"/>
      <c r="K828" s="476"/>
      <c r="L828" s="149"/>
      <c r="M828" s="280"/>
      <c r="N828" s="154"/>
      <c r="O828" s="155"/>
      <c r="P828" s="153"/>
      <c r="Q828" s="148"/>
      <c r="R828" s="148"/>
      <c r="S828" s="155"/>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row>
    <row r="829" spans="1:62" s="638" customFormat="1" x14ac:dyDescent="0.3">
      <c r="A829" s="148"/>
      <c r="B829" s="148"/>
      <c r="C829" s="148"/>
      <c r="D829" s="492"/>
      <c r="E829" s="489"/>
      <c r="F829" s="489"/>
      <c r="G829" s="148"/>
      <c r="H829" s="150"/>
      <c r="I829" s="151"/>
      <c r="J829" s="152"/>
      <c r="K829" s="476"/>
      <c r="L829" s="149"/>
      <c r="M829" s="280"/>
      <c r="N829" s="154"/>
      <c r="O829" s="155"/>
      <c r="P829" s="153"/>
      <c r="Q829" s="148"/>
      <c r="R829" s="148"/>
      <c r="S829" s="155"/>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row>
    <row r="830" spans="1:62" s="638" customFormat="1" x14ac:dyDescent="0.3">
      <c r="A830" s="148"/>
      <c r="B830" s="148"/>
      <c r="C830" s="148"/>
      <c r="D830" s="492"/>
      <c r="E830" s="489"/>
      <c r="F830" s="489"/>
      <c r="G830" s="148"/>
      <c r="H830" s="150"/>
      <c r="I830" s="151"/>
      <c r="J830" s="152"/>
      <c r="K830" s="476"/>
      <c r="L830" s="149"/>
      <c r="M830" s="280"/>
      <c r="N830" s="154"/>
      <c r="O830" s="155"/>
      <c r="P830" s="153"/>
      <c r="Q830" s="148"/>
      <c r="R830" s="148"/>
      <c r="S830" s="155"/>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row>
    <row r="831" spans="1:62" s="638" customFormat="1" x14ac:dyDescent="0.3">
      <c r="A831" s="148"/>
      <c r="B831" s="148"/>
      <c r="C831" s="148"/>
      <c r="D831" s="492"/>
      <c r="E831" s="489"/>
      <c r="F831" s="489"/>
      <c r="G831" s="148"/>
      <c r="H831" s="150"/>
      <c r="I831" s="151"/>
      <c r="J831" s="152"/>
      <c r="K831" s="476"/>
      <c r="L831" s="149"/>
      <c r="M831" s="280"/>
      <c r="N831" s="154"/>
      <c r="O831" s="155"/>
      <c r="P831" s="153"/>
      <c r="Q831" s="148"/>
      <c r="R831" s="148"/>
      <c r="S831" s="155"/>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row>
    <row r="832" spans="1:62" s="638" customFormat="1" x14ac:dyDescent="0.3">
      <c r="A832" s="148"/>
      <c r="B832" s="148"/>
      <c r="C832" s="148"/>
      <c r="D832" s="492"/>
      <c r="E832" s="489"/>
      <c r="F832" s="489"/>
      <c r="G832" s="148"/>
      <c r="H832" s="150"/>
      <c r="I832" s="151"/>
      <c r="J832" s="152"/>
      <c r="K832" s="476"/>
      <c r="L832" s="149"/>
      <c r="M832" s="280"/>
      <c r="N832" s="154"/>
      <c r="O832" s="155"/>
      <c r="P832" s="153"/>
      <c r="Q832" s="148"/>
      <c r="R832" s="148"/>
      <c r="S832" s="155"/>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row>
    <row r="833" spans="1:62" s="638" customFormat="1" x14ac:dyDescent="0.3">
      <c r="A833" s="148"/>
      <c r="B833" s="148"/>
      <c r="C833" s="148"/>
      <c r="D833" s="492"/>
      <c r="E833" s="489"/>
      <c r="F833" s="489"/>
      <c r="G833" s="148"/>
      <c r="H833" s="150"/>
      <c r="I833" s="151"/>
      <c r="J833" s="152"/>
      <c r="K833" s="476"/>
      <c r="L833" s="149"/>
      <c r="M833" s="280"/>
      <c r="N833" s="154"/>
      <c r="O833" s="155"/>
      <c r="P833" s="153"/>
      <c r="Q833" s="148"/>
      <c r="R833" s="148"/>
      <c r="S833" s="155"/>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row>
    <row r="834" spans="1:62" s="638" customFormat="1" x14ac:dyDescent="0.3">
      <c r="A834" s="148"/>
      <c r="B834" s="148"/>
      <c r="C834" s="148"/>
      <c r="D834" s="492"/>
      <c r="E834" s="489"/>
      <c r="F834" s="489"/>
      <c r="G834" s="148"/>
      <c r="H834" s="150"/>
      <c r="I834" s="151"/>
      <c r="J834" s="152"/>
      <c r="K834" s="476"/>
      <c r="L834" s="149"/>
      <c r="M834" s="280"/>
      <c r="N834" s="154"/>
      <c r="O834" s="155"/>
      <c r="P834" s="153"/>
      <c r="Q834" s="148"/>
      <c r="R834" s="148"/>
      <c r="S834" s="155"/>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row>
    <row r="835" spans="1:62" s="638" customFormat="1" x14ac:dyDescent="0.3">
      <c r="A835" s="148"/>
      <c r="B835" s="148"/>
      <c r="C835" s="148"/>
      <c r="D835" s="492"/>
      <c r="E835" s="489"/>
      <c r="F835" s="489"/>
      <c r="G835" s="148"/>
      <c r="H835" s="150"/>
      <c r="I835" s="151"/>
      <c r="J835" s="152"/>
      <c r="K835" s="476"/>
      <c r="L835" s="149"/>
      <c r="M835" s="280"/>
      <c r="N835" s="154"/>
      <c r="O835" s="155"/>
      <c r="P835" s="153"/>
      <c r="Q835" s="148"/>
      <c r="R835" s="148"/>
      <c r="S835" s="155"/>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row>
    <row r="836" spans="1:62" s="638" customFormat="1" x14ac:dyDescent="0.3">
      <c r="A836" s="148"/>
      <c r="B836" s="148"/>
      <c r="C836" s="148"/>
      <c r="D836" s="492"/>
      <c r="E836" s="489"/>
      <c r="F836" s="489"/>
      <c r="G836" s="148"/>
      <c r="H836" s="150"/>
      <c r="I836" s="151"/>
      <c r="J836" s="152"/>
      <c r="K836" s="476"/>
      <c r="L836" s="149"/>
      <c r="M836" s="280"/>
      <c r="N836" s="154"/>
      <c r="O836" s="155"/>
      <c r="P836" s="153"/>
      <c r="Q836" s="148"/>
      <c r="R836" s="148"/>
      <c r="S836" s="155"/>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row>
    <row r="837" spans="1:62" s="638" customFormat="1" x14ac:dyDescent="0.3">
      <c r="A837" s="148"/>
      <c r="B837" s="148"/>
      <c r="C837" s="148"/>
      <c r="D837" s="492"/>
      <c r="E837" s="489"/>
      <c r="F837" s="489"/>
      <c r="G837" s="148"/>
      <c r="H837" s="150"/>
      <c r="I837" s="151"/>
      <c r="J837" s="152"/>
      <c r="K837" s="476"/>
      <c r="L837" s="149"/>
      <c r="M837" s="280"/>
      <c r="N837" s="154"/>
      <c r="O837" s="155"/>
      <c r="P837" s="153"/>
      <c r="Q837" s="148"/>
      <c r="R837" s="148"/>
      <c r="S837" s="155"/>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row>
    <row r="838" spans="1:62" s="638" customFormat="1" x14ac:dyDescent="0.3">
      <c r="A838" s="148"/>
      <c r="B838" s="148"/>
      <c r="C838" s="148"/>
      <c r="D838" s="492"/>
      <c r="E838" s="489"/>
      <c r="F838" s="489"/>
      <c r="G838" s="148"/>
      <c r="H838" s="150"/>
      <c r="I838" s="151"/>
      <c r="J838" s="152"/>
      <c r="K838" s="476"/>
      <c r="L838" s="149"/>
      <c r="M838" s="280"/>
      <c r="N838" s="154"/>
      <c r="O838" s="155"/>
      <c r="P838" s="153"/>
      <c r="Q838" s="148"/>
      <c r="R838" s="148"/>
      <c r="S838" s="155"/>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row>
    <row r="839" spans="1:62" s="638" customFormat="1" x14ac:dyDescent="0.3">
      <c r="A839" s="148"/>
      <c r="B839" s="148"/>
      <c r="C839" s="148"/>
      <c r="D839" s="492"/>
      <c r="E839" s="489"/>
      <c r="F839" s="489"/>
      <c r="G839" s="148"/>
      <c r="H839" s="150"/>
      <c r="I839" s="151"/>
      <c r="J839" s="152"/>
      <c r="K839" s="476"/>
      <c r="L839" s="149"/>
      <c r="M839" s="280"/>
      <c r="N839" s="154"/>
      <c r="O839" s="155"/>
      <c r="P839" s="153"/>
      <c r="Q839" s="148"/>
      <c r="R839" s="148"/>
      <c r="S839" s="155"/>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row>
    <row r="840" spans="1:62" s="638" customFormat="1" x14ac:dyDescent="0.3">
      <c r="A840" s="148"/>
      <c r="B840" s="148"/>
      <c r="C840" s="148"/>
      <c r="D840" s="492"/>
      <c r="E840" s="489"/>
      <c r="F840" s="489"/>
      <c r="G840" s="148"/>
      <c r="H840" s="150"/>
      <c r="I840" s="151"/>
      <c r="J840" s="152"/>
      <c r="K840" s="476"/>
      <c r="L840" s="149"/>
      <c r="M840" s="280"/>
      <c r="N840" s="154"/>
      <c r="O840" s="155"/>
      <c r="P840" s="153"/>
      <c r="Q840" s="148"/>
      <c r="R840" s="148"/>
      <c r="S840" s="155"/>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row>
    <row r="841" spans="1:62" s="638" customFormat="1" x14ac:dyDescent="0.3">
      <c r="A841" s="148"/>
      <c r="B841" s="148"/>
      <c r="C841" s="148"/>
      <c r="D841" s="492"/>
      <c r="E841" s="489"/>
      <c r="F841" s="489"/>
      <c r="G841" s="148"/>
      <c r="H841" s="150"/>
      <c r="I841" s="151"/>
      <c r="J841" s="152"/>
      <c r="K841" s="476"/>
      <c r="L841" s="149"/>
      <c r="M841" s="280"/>
      <c r="N841" s="154"/>
      <c r="O841" s="155"/>
      <c r="P841" s="153"/>
      <c r="Q841" s="148"/>
      <c r="R841" s="148"/>
      <c r="S841" s="155"/>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row>
    <row r="842" spans="1:62" s="638" customFormat="1" x14ac:dyDescent="0.3">
      <c r="A842" s="148"/>
      <c r="B842" s="148"/>
      <c r="C842" s="148"/>
      <c r="D842" s="492"/>
      <c r="E842" s="489"/>
      <c r="F842" s="489"/>
      <c r="G842" s="148"/>
      <c r="H842" s="150"/>
      <c r="I842" s="151"/>
      <c r="J842" s="152"/>
      <c r="K842" s="476"/>
      <c r="L842" s="149"/>
      <c r="M842" s="280"/>
      <c r="N842" s="154"/>
      <c r="O842" s="155"/>
      <c r="P842" s="153"/>
      <c r="Q842" s="148"/>
      <c r="R842" s="148"/>
      <c r="S842" s="155"/>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row>
    <row r="843" spans="1:62" s="638" customFormat="1" x14ac:dyDescent="0.3">
      <c r="A843" s="148"/>
      <c r="B843" s="148"/>
      <c r="C843" s="148"/>
      <c r="D843" s="492"/>
      <c r="E843" s="489"/>
      <c r="F843" s="489"/>
      <c r="G843" s="148"/>
      <c r="H843" s="150"/>
      <c r="I843" s="151"/>
      <c r="J843" s="152"/>
      <c r="K843" s="476"/>
      <c r="L843" s="149"/>
      <c r="M843" s="280"/>
      <c r="N843" s="154"/>
      <c r="O843" s="155"/>
      <c r="P843" s="153"/>
      <c r="Q843" s="148"/>
      <c r="R843" s="148"/>
      <c r="S843" s="155"/>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row>
    <row r="844" spans="1:62" s="638" customFormat="1" x14ac:dyDescent="0.3">
      <c r="A844" s="148"/>
      <c r="B844" s="148"/>
      <c r="C844" s="148"/>
      <c r="D844" s="492"/>
      <c r="E844" s="489"/>
      <c r="F844" s="489"/>
      <c r="G844" s="148"/>
      <c r="H844" s="150"/>
      <c r="I844" s="151"/>
      <c r="J844" s="152"/>
      <c r="K844" s="476"/>
      <c r="L844" s="149"/>
      <c r="M844" s="280"/>
      <c r="N844" s="154"/>
      <c r="O844" s="155"/>
      <c r="P844" s="153"/>
      <c r="Q844" s="148"/>
      <c r="R844" s="148"/>
      <c r="S844" s="155"/>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row>
    <row r="845" spans="1:62" s="638" customFormat="1" x14ac:dyDescent="0.3">
      <c r="A845" s="148"/>
      <c r="B845" s="148"/>
      <c r="C845" s="148"/>
      <c r="D845" s="492"/>
      <c r="E845" s="489"/>
      <c r="F845" s="489"/>
      <c r="G845" s="148"/>
      <c r="H845" s="150"/>
      <c r="I845" s="151"/>
      <c r="J845" s="152"/>
      <c r="K845" s="476"/>
      <c r="L845" s="149"/>
      <c r="M845" s="280"/>
      <c r="N845" s="154"/>
      <c r="O845" s="155"/>
      <c r="P845" s="153"/>
      <c r="Q845" s="148"/>
      <c r="R845" s="148"/>
      <c r="S845" s="155"/>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row>
  </sheetData>
  <sheetProtection algorithmName="SHA-512" hashValue="RSHDs3hlX1wmQtTj8b3z5wt8+UQFQqofFl94+PzVQe7OpxboAdsGfo/79XVgdJM2DKoFPscRqlaGFhfdlS50pQ==" saltValue="+gVQx/dISOdJ7b43caZWew==" spinCount="100000" sheet="1" objects="1" scenarios="1" autoFilter="0"/>
  <mergeCells count="2">
    <mergeCell ref="E1:F1"/>
    <mergeCell ref="E2:F2"/>
  </mergeCells>
  <phoneticPr fontId="13" type="noConversion"/>
  <conditionalFormatting sqref="L4:L481">
    <cfRule type="containsText" dxfId="235" priority="16" operator="containsText" text="F">
      <formula>NOT(ISERROR(SEARCH("F",L4)))</formula>
    </cfRule>
  </conditionalFormatting>
  <conditionalFormatting sqref="B105">
    <cfRule type="duplicateValues" dxfId="234" priority="75608"/>
  </conditionalFormatting>
  <conditionalFormatting sqref="B39">
    <cfRule type="duplicateValues" dxfId="233" priority="75609"/>
  </conditionalFormatting>
  <conditionalFormatting sqref="C4:C481 A4:A481">
    <cfRule type="duplicateValues" dxfId="232" priority="78404"/>
  </conditionalFormatting>
  <conditionalFormatting sqref="F4:F481">
    <cfRule type="duplicateValues" dxfId="231" priority="78408"/>
  </conditionalFormatting>
  <dataValidations count="4">
    <dataValidation type="list" errorStyle="information" allowBlank="1" showInputMessage="1" showErrorMessage="1" errorTitle="PASS V2." error="INGRESE DESTINACIÓN VALIDA" sqref="D173:E173 E300:E346 E348:E356 E175:E298 D165:D172 D4:D163 E4:E171 D356 D174:D354" xr:uid="{00000000-0002-0000-0700-000000000000}">
      <formula1>DESTINACIONES</formula1>
    </dataValidation>
    <dataValidation type="date" allowBlank="1" showInputMessage="1" showErrorMessage="1" sqref="B1" xr:uid="{00000000-0002-0000-0700-000001000000}">
      <formula1>44788</formula1>
      <formula2>51136</formula2>
    </dataValidation>
    <dataValidation type="list" allowBlank="1" showInputMessage="1" showErrorMessage="1" sqref="L4:L481" xr:uid="{00000000-0002-0000-0700-000002000000}">
      <formula1>TURNOS</formula1>
    </dataValidation>
    <dataValidation type="list" allowBlank="1" showInputMessage="1" showErrorMessage="1" sqref="I4:I481" xr:uid="{00000000-0002-0000-0700-000003000000}">
      <formula1>REPARTICION</formula1>
    </dataValidation>
  </dataValidations>
  <printOptions horizontalCentered="1"/>
  <pageMargins left="0.70866141732283472" right="0.70866141732283472" top="0.74803149606299213" bottom="0.74803149606299213" header="0.31496062992125984" footer="0.31496062992125984"/>
  <pageSetup paperSize="5" scale="1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76" r:id="rId4" name="Button 8732">
              <controlPr defaultSize="0" print="0" autoFill="0" autoPict="0" macro="[0]!MacroDistribucion.MacroDistribucion">
                <anchor moveWithCells="1">
                  <from>
                    <xdr:col>5</xdr:col>
                    <xdr:colOff>7620</xdr:colOff>
                    <xdr:row>0</xdr:row>
                    <xdr:rowOff>175260</xdr:rowOff>
                  </from>
                  <to>
                    <xdr:col>5</xdr:col>
                    <xdr:colOff>2217420</xdr:colOff>
                    <xdr:row>1</xdr:row>
                    <xdr:rowOff>533400</xdr:rowOff>
                  </to>
                </anchor>
              </controlPr>
            </control>
          </mc:Choice>
        </mc:AlternateContent>
        <mc:AlternateContent xmlns:mc="http://schemas.openxmlformats.org/markup-compatibility/2006">
          <mc:Choice Requires="x14">
            <control shapeId="40482" r:id="rId5" name="Button 8738">
              <controlPr defaultSize="0" print="0" autoFill="0" autoPict="0" macro="[0]!MostrarTodo">
                <anchor moveWithCells="1">
                  <from>
                    <xdr:col>5</xdr:col>
                    <xdr:colOff>2385060</xdr:colOff>
                    <xdr:row>0</xdr:row>
                    <xdr:rowOff>160020</xdr:rowOff>
                  </from>
                  <to>
                    <xdr:col>6</xdr:col>
                    <xdr:colOff>15240</xdr:colOff>
                    <xdr:row>1</xdr:row>
                    <xdr:rowOff>114300</xdr:rowOff>
                  </to>
                </anchor>
              </controlPr>
            </control>
          </mc:Choice>
        </mc:AlternateContent>
        <mc:AlternateContent xmlns:mc="http://schemas.openxmlformats.org/markup-compatibility/2006">
          <mc:Choice Requires="x14">
            <control shapeId="40483" r:id="rId6" name="Button 8739">
              <controlPr defaultSize="0" print="0" autoFill="0" autoPict="0" macro="[0]!Ocultar">
                <anchor moveWithCells="1">
                  <from>
                    <xdr:col>5</xdr:col>
                    <xdr:colOff>2392680</xdr:colOff>
                    <xdr:row>1</xdr:row>
                    <xdr:rowOff>182880</xdr:rowOff>
                  </from>
                  <to>
                    <xdr:col>6</xdr:col>
                    <xdr:colOff>22860</xdr:colOff>
                    <xdr:row>1</xdr:row>
                    <xdr:rowOff>457200</xdr:rowOff>
                  </to>
                </anchor>
              </controlPr>
            </control>
          </mc:Choice>
        </mc:AlternateContent>
        <mc:AlternateContent xmlns:mc="http://schemas.openxmlformats.org/markup-compatibility/2006">
          <mc:Choice Requires="x14">
            <control shapeId="40484" r:id="rId7" name="Button 8740">
              <controlPr defaultSize="0" print="0" autoFill="0" autoPict="0" macro="[0]!EliminarFuncionario">
                <anchor moveWithCells="1">
                  <from>
                    <xdr:col>12</xdr:col>
                    <xdr:colOff>114300</xdr:colOff>
                    <xdr:row>0</xdr:row>
                    <xdr:rowOff>152400</xdr:rowOff>
                  </from>
                  <to>
                    <xdr:col>12</xdr:col>
                    <xdr:colOff>1653540</xdr:colOff>
                    <xdr:row>1</xdr:row>
                    <xdr:rowOff>457200</xdr:rowOff>
                  </to>
                </anchor>
              </controlPr>
            </control>
          </mc:Choice>
        </mc:AlternateContent>
        <mc:AlternateContent xmlns:mc="http://schemas.openxmlformats.org/markup-compatibility/2006">
          <mc:Choice Requires="x14">
            <control shapeId="40485" r:id="rId8" name="Button 8741">
              <controlPr defaultSize="0" print="0" autoFill="0" autoPict="0" macro="[0]!AgregarFuncionarioPART1">
                <anchor moveWithCells="1">
                  <from>
                    <xdr:col>6</xdr:col>
                    <xdr:colOff>129540</xdr:colOff>
                    <xdr:row>0</xdr:row>
                    <xdr:rowOff>152400</xdr:rowOff>
                  </from>
                  <to>
                    <xdr:col>12</xdr:col>
                    <xdr:colOff>38100</xdr:colOff>
                    <xdr:row>1</xdr:row>
                    <xdr:rowOff>457200</xdr:rowOff>
                  </to>
                </anchor>
              </controlPr>
            </control>
          </mc:Choice>
        </mc:AlternateContent>
        <mc:AlternateContent xmlns:mc="http://schemas.openxmlformats.org/markup-compatibility/2006">
          <mc:Choice Requires="x14">
            <control shapeId="40506" r:id="rId9" name="Button 8762">
              <controlPr defaultSize="0" print="0" autoFill="0" autoPict="0" macro="[0]!MostrarRegistros">
                <anchor>
                  <from>
                    <xdr:col>19</xdr:col>
                    <xdr:colOff>1775460</xdr:colOff>
                    <xdr:row>0</xdr:row>
                    <xdr:rowOff>213360</xdr:rowOff>
                  </from>
                  <to>
                    <xdr:col>20</xdr:col>
                    <xdr:colOff>236220</xdr:colOff>
                    <xdr:row>1</xdr:row>
                    <xdr:rowOff>495300</xdr:rowOff>
                  </to>
                </anchor>
              </controlPr>
            </control>
          </mc:Choice>
        </mc:AlternateContent>
        <mc:AlternateContent xmlns:mc="http://schemas.openxmlformats.org/markup-compatibility/2006">
          <mc:Choice Requires="x14">
            <control shapeId="40507" r:id="rId10" name="Button 8763">
              <controlPr defaultSize="0" print="0" autoFill="0" autoPict="0" macro="[0]!OrdenarDotacion">
                <anchor moveWithCells="1" sizeWithCells="1">
                  <from>
                    <xdr:col>19</xdr:col>
                    <xdr:colOff>0</xdr:colOff>
                    <xdr:row>0</xdr:row>
                    <xdr:rowOff>99060</xdr:rowOff>
                  </from>
                  <to>
                    <xdr:col>19</xdr:col>
                    <xdr:colOff>1493520</xdr:colOff>
                    <xdr:row>1</xdr:row>
                    <xdr:rowOff>83820</xdr:rowOff>
                  </to>
                </anchor>
              </controlPr>
            </control>
          </mc:Choice>
        </mc:AlternateContent>
        <mc:AlternateContent xmlns:mc="http://schemas.openxmlformats.org/markup-compatibility/2006">
          <mc:Choice Requires="x14">
            <control shapeId="40508" r:id="rId11" name="Button 8764">
              <controlPr defaultSize="0" print="0" autoFill="0" autoPict="0" macro="[0]!MenuDistribucion.MenuDistribucion">
                <anchor moveWithCells="1" sizeWithCells="1">
                  <from>
                    <xdr:col>19</xdr:col>
                    <xdr:colOff>0</xdr:colOff>
                    <xdr:row>1</xdr:row>
                    <xdr:rowOff>198120</xdr:rowOff>
                  </from>
                  <to>
                    <xdr:col>19</xdr:col>
                    <xdr:colOff>1493520</xdr:colOff>
                    <xdr:row>1</xdr:row>
                    <xdr:rowOff>678180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Datos!$C$3:$C$17</xm:f>
          </x14:formula1>
          <xm:sqref>G4:G481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pageSetUpPr fitToPage="1"/>
  </sheetPr>
  <dimension ref="A1:B204"/>
  <sheetViews>
    <sheetView view="pageBreakPreview" topLeftCell="A49" zoomScale="80" zoomScaleNormal="90" zoomScaleSheetLayoutView="80" workbookViewId="0">
      <selection activeCell="B56" sqref="B56"/>
    </sheetView>
  </sheetViews>
  <sheetFormatPr baseColWidth="10" defaultColWidth="103.6640625" defaultRowHeight="13.8" x14ac:dyDescent="0.25"/>
  <cols>
    <col min="1" max="1" width="48" style="395" bestFit="1" customWidth="1"/>
    <col min="2" max="2" width="125.6640625" style="395" customWidth="1"/>
    <col min="3" max="41" width="103.6640625" style="395"/>
    <col min="42" max="43" width="103.6640625" style="395" customWidth="1"/>
    <col min="44" max="16384" width="103.6640625" style="395"/>
  </cols>
  <sheetData>
    <row r="1" spans="1:2" ht="26.4" customHeight="1" x14ac:dyDescent="0.25">
      <c r="A1" s="1187" t="s">
        <v>2497</v>
      </c>
      <c r="B1" s="1188"/>
    </row>
    <row r="2" spans="1:2" x14ac:dyDescent="0.25">
      <c r="A2" s="396" t="s">
        <v>1419</v>
      </c>
      <c r="B2" s="760" t="s">
        <v>2492</v>
      </c>
    </row>
    <row r="3" spans="1:2" ht="64.2" customHeight="1" x14ac:dyDescent="0.25">
      <c r="A3" s="396" t="s">
        <v>2493</v>
      </c>
      <c r="B3" s="598" t="s">
        <v>2494</v>
      </c>
    </row>
    <row r="4" spans="1:2" ht="26.4" customHeight="1" x14ac:dyDescent="0.25">
      <c r="A4" s="1187" t="s">
        <v>2498</v>
      </c>
      <c r="B4" s="1188"/>
    </row>
    <row r="5" spans="1:2" x14ac:dyDescent="0.25">
      <c r="A5" s="396" t="s">
        <v>1419</v>
      </c>
      <c r="B5" s="760" t="s">
        <v>2492</v>
      </c>
    </row>
    <row r="6" spans="1:2" ht="49.2" customHeight="1" x14ac:dyDescent="0.25">
      <c r="A6" s="396" t="s">
        <v>2493</v>
      </c>
      <c r="B6" s="598" t="s">
        <v>2496</v>
      </c>
    </row>
    <row r="7" spans="1:2" ht="29.4" customHeight="1" x14ac:dyDescent="0.25">
      <c r="A7" s="1192" t="s">
        <v>3262</v>
      </c>
      <c r="B7" s="1192"/>
    </row>
    <row r="8" spans="1:2" x14ac:dyDescent="0.25">
      <c r="A8" s="396" t="s">
        <v>1419</v>
      </c>
      <c r="B8" s="1021" t="s">
        <v>3252</v>
      </c>
    </row>
    <row r="9" spans="1:2" x14ac:dyDescent="0.25">
      <c r="A9" s="396" t="s">
        <v>1972</v>
      </c>
      <c r="B9" s="949" t="s">
        <v>3247</v>
      </c>
    </row>
    <row r="10" spans="1:2" x14ac:dyDescent="0.25">
      <c r="A10" s="1003" t="s">
        <v>2034</v>
      </c>
      <c r="B10" s="977" t="s">
        <v>3249</v>
      </c>
    </row>
    <row r="11" spans="1:2" x14ac:dyDescent="0.25">
      <c r="A11" s="396" t="s">
        <v>1420</v>
      </c>
      <c r="B11" s="849" t="s">
        <v>3248</v>
      </c>
    </row>
    <row r="12" spans="1:2" x14ac:dyDescent="0.25">
      <c r="A12" s="622" t="s">
        <v>1968</v>
      </c>
      <c r="B12" s="1025" t="s">
        <v>3250</v>
      </c>
    </row>
    <row r="13" spans="1:2" x14ac:dyDescent="0.25">
      <c r="A13" s="913" t="s">
        <v>1988</v>
      </c>
      <c r="B13" s="1022" t="s">
        <v>3251</v>
      </c>
    </row>
    <row r="14" spans="1:2" ht="33" customHeight="1" x14ac:dyDescent="0.25">
      <c r="A14" s="912" t="s">
        <v>1421</v>
      </c>
      <c r="B14" s="1026" t="s">
        <v>3473</v>
      </c>
    </row>
    <row r="15" spans="1:2" ht="29.4" customHeight="1" x14ac:dyDescent="0.25">
      <c r="A15" s="1192" t="s">
        <v>3261</v>
      </c>
      <c r="B15" s="1192"/>
    </row>
    <row r="16" spans="1:2" x14ac:dyDescent="0.25">
      <c r="A16" s="396" t="s">
        <v>1419</v>
      </c>
      <c r="B16" s="1021" t="s">
        <v>3263</v>
      </c>
    </row>
    <row r="17" spans="1:2" x14ac:dyDescent="0.25">
      <c r="A17" s="396" t="s">
        <v>1972</v>
      </c>
      <c r="B17" s="949" t="s">
        <v>3264</v>
      </c>
    </row>
    <row r="18" spans="1:2" ht="14.4" customHeight="1" x14ac:dyDescent="0.25">
      <c r="A18" s="1193" t="s">
        <v>2034</v>
      </c>
      <c r="B18" s="849" t="s">
        <v>3271</v>
      </c>
    </row>
    <row r="19" spans="1:2" x14ac:dyDescent="0.25">
      <c r="A19" s="1194"/>
      <c r="B19" s="849" t="s">
        <v>3272</v>
      </c>
    </row>
    <row r="20" spans="1:2" x14ac:dyDescent="0.25">
      <c r="A20" s="1195"/>
      <c r="B20" s="1023" t="s">
        <v>3273</v>
      </c>
    </row>
    <row r="21" spans="1:2" x14ac:dyDescent="0.25">
      <c r="A21" s="396" t="s">
        <v>1420</v>
      </c>
      <c r="B21" s="849" t="s">
        <v>3248</v>
      </c>
    </row>
    <row r="22" spans="1:2" ht="14.4" customHeight="1" x14ac:dyDescent="0.25">
      <c r="A22" s="1193" t="s">
        <v>3265</v>
      </c>
      <c r="B22" s="849" t="s">
        <v>3266</v>
      </c>
    </row>
    <row r="23" spans="1:2" x14ac:dyDescent="0.25">
      <c r="A23" s="1194"/>
      <c r="B23" s="849" t="s">
        <v>3267</v>
      </c>
    </row>
    <row r="24" spans="1:2" x14ac:dyDescent="0.25">
      <c r="A24" s="1194"/>
      <c r="B24" s="849" t="s">
        <v>3268</v>
      </c>
    </row>
    <row r="25" spans="1:2" x14ac:dyDescent="0.25">
      <c r="A25" s="1195"/>
      <c r="B25" s="1024" t="s">
        <v>3269</v>
      </c>
    </row>
    <row r="26" spans="1:2" x14ac:dyDescent="0.25">
      <c r="A26" s="913" t="s">
        <v>1988</v>
      </c>
      <c r="B26" s="1022" t="s">
        <v>3270</v>
      </c>
    </row>
    <row r="27" spans="1:2" ht="14.4" customHeight="1" x14ac:dyDescent="0.25">
      <c r="A27" s="912" t="s">
        <v>1421</v>
      </c>
      <c r="B27" s="1005" t="s">
        <v>3274</v>
      </c>
    </row>
    <row r="28" spans="1:2" ht="29.4" customHeight="1" x14ac:dyDescent="0.25">
      <c r="A28" s="1187" t="s">
        <v>3477</v>
      </c>
      <c r="B28" s="1188"/>
    </row>
    <row r="29" spans="1:2" x14ac:dyDescent="0.25">
      <c r="A29" s="396" t="s">
        <v>1419</v>
      </c>
      <c r="B29" s="760" t="s">
        <v>2946</v>
      </c>
    </row>
    <row r="30" spans="1:2" x14ac:dyDescent="0.25">
      <c r="A30" s="396" t="s">
        <v>1972</v>
      </c>
      <c r="B30" s="949" t="s">
        <v>2948</v>
      </c>
    </row>
    <row r="31" spans="1:2" x14ac:dyDescent="0.25">
      <c r="A31" s="1193" t="s">
        <v>2034</v>
      </c>
      <c r="B31" s="961" t="s">
        <v>2950</v>
      </c>
    </row>
    <row r="32" spans="1:2" x14ac:dyDescent="0.25">
      <c r="A32" s="1195"/>
      <c r="B32" s="961" t="s">
        <v>2951</v>
      </c>
    </row>
    <row r="33" spans="1:2" x14ac:dyDescent="0.25">
      <c r="A33" s="396" t="s">
        <v>1420</v>
      </c>
      <c r="B33" s="849" t="s">
        <v>2953</v>
      </c>
    </row>
    <row r="34" spans="1:2" x14ac:dyDescent="0.25">
      <c r="A34" s="622" t="s">
        <v>1968</v>
      </c>
      <c r="B34" s="847" t="s">
        <v>2949</v>
      </c>
    </row>
    <row r="35" spans="1:2" x14ac:dyDescent="0.25">
      <c r="A35" s="396" t="s">
        <v>2050</v>
      </c>
      <c r="B35" s="956" t="s">
        <v>2765</v>
      </c>
    </row>
    <row r="36" spans="1:2" x14ac:dyDescent="0.25">
      <c r="A36" s="913" t="s">
        <v>1988</v>
      </c>
      <c r="B36" s="793" t="s">
        <v>2952</v>
      </c>
    </row>
    <row r="37" spans="1:2" ht="14.4" customHeight="1" x14ac:dyDescent="0.25">
      <c r="A37" s="912" t="s">
        <v>1421</v>
      </c>
      <c r="B37" s="848" t="s">
        <v>2947</v>
      </c>
    </row>
    <row r="38" spans="1:2" ht="29.4" customHeight="1" x14ac:dyDescent="0.25">
      <c r="A38" s="1187" t="s">
        <v>3479</v>
      </c>
      <c r="B38" s="1188"/>
    </row>
    <row r="39" spans="1:2" x14ac:dyDescent="0.25">
      <c r="A39" s="396" t="s">
        <v>1419</v>
      </c>
      <c r="B39" s="760" t="s">
        <v>3099</v>
      </c>
    </row>
    <row r="40" spans="1:2" x14ac:dyDescent="0.25">
      <c r="A40" s="396" t="s">
        <v>1972</v>
      </c>
      <c r="B40" s="949" t="s">
        <v>3100</v>
      </c>
    </row>
    <row r="41" spans="1:2" ht="14.4" customHeight="1" x14ac:dyDescent="0.25">
      <c r="A41" s="1193" t="s">
        <v>2034</v>
      </c>
      <c r="B41" s="849" t="s">
        <v>3105</v>
      </c>
    </row>
    <row r="42" spans="1:2" x14ac:dyDescent="0.25">
      <c r="A42" s="1194"/>
      <c r="B42" s="849" t="s">
        <v>3106</v>
      </c>
    </row>
    <row r="43" spans="1:2" x14ac:dyDescent="0.25">
      <c r="A43" s="1194"/>
      <c r="B43" s="849" t="s">
        <v>3107</v>
      </c>
    </row>
    <row r="44" spans="1:2" x14ac:dyDescent="0.25">
      <c r="A44" s="1194"/>
      <c r="B44" s="849" t="s">
        <v>3108</v>
      </c>
    </row>
    <row r="45" spans="1:2" x14ac:dyDescent="0.25">
      <c r="A45" s="1194"/>
      <c r="B45" s="1023" t="s">
        <v>3109</v>
      </c>
    </row>
    <row r="46" spans="1:2" x14ac:dyDescent="0.25">
      <c r="A46" s="1195"/>
      <c r="B46" s="1327" t="s">
        <v>3122</v>
      </c>
    </row>
    <row r="47" spans="1:2" ht="14.4" customHeight="1" x14ac:dyDescent="0.25">
      <c r="A47" s="622" t="s">
        <v>1420</v>
      </c>
      <c r="B47" s="1033" t="s">
        <v>3579</v>
      </c>
    </row>
    <row r="48" spans="1:2" x14ac:dyDescent="0.25">
      <c r="A48" s="622" t="s">
        <v>1968</v>
      </c>
      <c r="B48" s="847" t="s">
        <v>3101</v>
      </c>
    </row>
    <row r="49" spans="1:2" x14ac:dyDescent="0.25">
      <c r="A49" s="622" t="s">
        <v>3103</v>
      </c>
      <c r="B49" s="847" t="s">
        <v>3104</v>
      </c>
    </row>
    <row r="50" spans="1:2" x14ac:dyDescent="0.25">
      <c r="A50" s="913" t="s">
        <v>1988</v>
      </c>
      <c r="B50" s="793" t="s">
        <v>3102</v>
      </c>
    </row>
    <row r="51" spans="1:2" ht="14.4" customHeight="1" x14ac:dyDescent="0.25">
      <c r="A51" s="1006" t="s">
        <v>1421</v>
      </c>
      <c r="B51" s="1005" t="s">
        <v>3595</v>
      </c>
    </row>
    <row r="52" spans="1:2" ht="29.4" customHeight="1" x14ac:dyDescent="0.25">
      <c r="A52" s="1187" t="s">
        <v>3617</v>
      </c>
      <c r="B52" s="1188"/>
    </row>
    <row r="53" spans="1:2" x14ac:dyDescent="0.25">
      <c r="A53" s="396" t="s">
        <v>1419</v>
      </c>
      <c r="B53" s="760" t="s">
        <v>3478</v>
      </c>
    </row>
    <row r="54" spans="1:2" x14ac:dyDescent="0.25">
      <c r="A54" s="396" t="s">
        <v>1972</v>
      </c>
      <c r="B54" s="949" t="s">
        <v>3609</v>
      </c>
    </row>
    <row r="55" spans="1:2" x14ac:dyDescent="0.25">
      <c r="A55" s="622" t="s">
        <v>2034</v>
      </c>
      <c r="B55" s="1058" t="s">
        <v>3610</v>
      </c>
    </row>
    <row r="56" spans="1:2" x14ac:dyDescent="0.25">
      <c r="A56" s="396" t="s">
        <v>1420</v>
      </c>
      <c r="B56" s="1046">
        <v>45388</v>
      </c>
    </row>
    <row r="57" spans="1:2" x14ac:dyDescent="0.25">
      <c r="A57" s="622" t="s">
        <v>1968</v>
      </c>
      <c r="B57" s="847" t="s">
        <v>3611</v>
      </c>
    </row>
    <row r="58" spans="1:2" x14ac:dyDescent="0.25">
      <c r="A58" s="396" t="s">
        <v>3613</v>
      </c>
      <c r="B58" s="956" t="s">
        <v>3612</v>
      </c>
    </row>
    <row r="59" spans="1:2" x14ac:dyDescent="0.25">
      <c r="A59" s="913" t="s">
        <v>1988</v>
      </c>
      <c r="B59" s="793" t="s">
        <v>3614</v>
      </c>
    </row>
    <row r="60" spans="1:2" ht="14.4" customHeight="1" x14ac:dyDescent="0.25">
      <c r="A60" s="1377" t="s">
        <v>1421</v>
      </c>
      <c r="B60" s="848" t="s">
        <v>3615</v>
      </c>
    </row>
    <row r="61" spans="1:2" ht="29.4" customHeight="1" x14ac:dyDescent="0.25">
      <c r="A61" s="1187" t="s">
        <v>3616</v>
      </c>
      <c r="B61" s="1188"/>
    </row>
    <row r="62" spans="1:2" x14ac:dyDescent="0.25">
      <c r="A62" s="396" t="s">
        <v>1419</v>
      </c>
      <c r="B62" s="760" t="s">
        <v>3478</v>
      </c>
    </row>
    <row r="63" spans="1:2" x14ac:dyDescent="0.25">
      <c r="A63" s="396" t="s">
        <v>1972</v>
      </c>
      <c r="B63" s="949" t="s">
        <v>3516</v>
      </c>
    </row>
    <row r="64" spans="1:2" x14ac:dyDescent="0.25">
      <c r="A64" s="622" t="s">
        <v>2034</v>
      </c>
      <c r="B64" s="1058" t="s">
        <v>3581</v>
      </c>
    </row>
    <row r="65" spans="1:2" x14ac:dyDescent="0.25">
      <c r="A65" s="396" t="s">
        <v>1420</v>
      </c>
      <c r="B65" s="849" t="s">
        <v>3480</v>
      </c>
    </row>
    <row r="66" spans="1:2" x14ac:dyDescent="0.25">
      <c r="A66" s="622" t="s">
        <v>1968</v>
      </c>
      <c r="B66" s="847" t="s">
        <v>3580</v>
      </c>
    </row>
    <row r="67" spans="1:2" x14ac:dyDescent="0.25">
      <c r="A67" s="396" t="s">
        <v>2050</v>
      </c>
      <c r="B67" s="956" t="s">
        <v>3517</v>
      </c>
    </row>
    <row r="68" spans="1:2" x14ac:dyDescent="0.25">
      <c r="A68" s="913" t="s">
        <v>1988</v>
      </c>
      <c r="B68" s="793" t="s">
        <v>2952</v>
      </c>
    </row>
    <row r="69" spans="1:2" ht="14.4" customHeight="1" x14ac:dyDescent="0.25">
      <c r="A69" s="1189" t="s">
        <v>1421</v>
      </c>
      <c r="B69" s="848" t="s">
        <v>3518</v>
      </c>
    </row>
    <row r="70" spans="1:2" x14ac:dyDescent="0.25">
      <c r="A70" s="1190"/>
      <c r="B70" s="848" t="s">
        <v>3519</v>
      </c>
    </row>
    <row r="71" spans="1:2" ht="14.4" customHeight="1" x14ac:dyDescent="0.25">
      <c r="A71" s="1191"/>
      <c r="B71" s="848" t="s">
        <v>3520</v>
      </c>
    </row>
    <row r="72" spans="1:2" ht="29.4" customHeight="1" x14ac:dyDescent="0.25">
      <c r="A72" s="1192" t="s">
        <v>3601</v>
      </c>
      <c r="B72" s="1192"/>
    </row>
    <row r="73" spans="1:2" x14ac:dyDescent="0.25">
      <c r="A73" s="396" t="s">
        <v>1419</v>
      </c>
      <c r="B73" s="760" t="s">
        <v>2048</v>
      </c>
    </row>
    <row r="74" spans="1:2" x14ac:dyDescent="0.25">
      <c r="A74" s="396" t="s">
        <v>1972</v>
      </c>
      <c r="B74" s="949" t="s">
        <v>3584</v>
      </c>
    </row>
    <row r="75" spans="1:2" x14ac:dyDescent="0.25">
      <c r="A75" s="1003" t="s">
        <v>2034</v>
      </c>
      <c r="B75" s="1040" t="s">
        <v>3585</v>
      </c>
    </row>
    <row r="76" spans="1:2" x14ac:dyDescent="0.25">
      <c r="A76" s="396" t="s">
        <v>1420</v>
      </c>
      <c r="B76" s="849" t="s">
        <v>3586</v>
      </c>
    </row>
    <row r="77" spans="1:2" x14ac:dyDescent="0.25">
      <c r="A77" s="396" t="s">
        <v>1968</v>
      </c>
      <c r="B77" s="847" t="s">
        <v>3587</v>
      </c>
    </row>
    <row r="78" spans="1:2" x14ac:dyDescent="0.25">
      <c r="A78" s="913" t="s">
        <v>1988</v>
      </c>
      <c r="B78" s="793" t="s">
        <v>3588</v>
      </c>
    </row>
    <row r="79" spans="1:2" ht="14.4" customHeight="1" x14ac:dyDescent="0.25">
      <c r="A79" s="849" t="s">
        <v>1421</v>
      </c>
      <c r="B79" s="848" t="s">
        <v>3512</v>
      </c>
    </row>
    <row r="80" spans="1:2" ht="29.4" customHeight="1" x14ac:dyDescent="0.25">
      <c r="A80" s="1192" t="s">
        <v>3602</v>
      </c>
      <c r="B80" s="1192"/>
    </row>
    <row r="81" spans="1:2" x14ac:dyDescent="0.25">
      <c r="A81" s="396" t="s">
        <v>1419</v>
      </c>
      <c r="B81" s="760" t="s">
        <v>2048</v>
      </c>
    </row>
    <row r="82" spans="1:2" x14ac:dyDescent="0.25">
      <c r="A82" s="396" t="s">
        <v>1972</v>
      </c>
      <c r="B82" s="949" t="s">
        <v>3596</v>
      </c>
    </row>
    <row r="83" spans="1:2" x14ac:dyDescent="0.25">
      <c r="A83" s="1003" t="s">
        <v>2034</v>
      </c>
      <c r="B83" s="1040" t="s">
        <v>3597</v>
      </c>
    </row>
    <row r="84" spans="1:2" x14ac:dyDescent="0.25">
      <c r="A84" s="396" t="s">
        <v>1420</v>
      </c>
      <c r="B84" s="849" t="s">
        <v>3598</v>
      </c>
    </row>
    <row r="85" spans="1:2" x14ac:dyDescent="0.25">
      <c r="A85" s="396" t="s">
        <v>1968</v>
      </c>
      <c r="B85" s="847" t="s">
        <v>3599</v>
      </c>
    </row>
    <row r="86" spans="1:2" x14ac:dyDescent="0.25">
      <c r="A86" s="913" t="s">
        <v>1988</v>
      </c>
      <c r="B86" s="793" t="s">
        <v>3600</v>
      </c>
    </row>
    <row r="87" spans="1:2" ht="14.4" customHeight="1" x14ac:dyDescent="0.25">
      <c r="A87" s="849" t="s">
        <v>1421</v>
      </c>
      <c r="B87" s="848" t="s">
        <v>3512</v>
      </c>
    </row>
    <row r="88" spans="1:2" ht="29.4" customHeight="1" x14ac:dyDescent="0.25">
      <c r="A88" s="1192" t="s">
        <v>3603</v>
      </c>
      <c r="B88" s="1192"/>
    </row>
    <row r="89" spans="1:2" x14ac:dyDescent="0.25">
      <c r="A89" s="396" t="s">
        <v>1419</v>
      </c>
      <c r="B89" s="760" t="s">
        <v>2048</v>
      </c>
    </row>
    <row r="90" spans="1:2" x14ac:dyDescent="0.25">
      <c r="A90" s="396" t="s">
        <v>1972</v>
      </c>
      <c r="B90" s="949" t="s">
        <v>3468</v>
      </c>
    </row>
    <row r="91" spans="1:2" x14ac:dyDescent="0.25">
      <c r="A91" s="1003" t="s">
        <v>2034</v>
      </c>
      <c r="B91" s="1040" t="s">
        <v>3469</v>
      </c>
    </row>
    <row r="92" spans="1:2" x14ac:dyDescent="0.25">
      <c r="A92" s="396" t="s">
        <v>1420</v>
      </c>
      <c r="B92" s="849" t="s">
        <v>3439</v>
      </c>
    </row>
    <row r="93" spans="1:2" x14ac:dyDescent="0.25">
      <c r="A93" s="396" t="s">
        <v>1968</v>
      </c>
      <c r="B93" s="847" t="s">
        <v>3470</v>
      </c>
    </row>
    <row r="94" spans="1:2" x14ac:dyDescent="0.25">
      <c r="A94" s="913" t="s">
        <v>1988</v>
      </c>
      <c r="B94" s="793" t="s">
        <v>3471</v>
      </c>
    </row>
    <row r="95" spans="1:2" ht="14.4" customHeight="1" x14ac:dyDescent="0.25">
      <c r="A95" s="849" t="s">
        <v>1421</v>
      </c>
      <c r="B95" s="848" t="s">
        <v>3472</v>
      </c>
    </row>
    <row r="96" spans="1:2" ht="29.4" customHeight="1" x14ac:dyDescent="0.25">
      <c r="A96" s="1187" t="s">
        <v>3604</v>
      </c>
      <c r="B96" s="1188"/>
    </row>
    <row r="97" spans="1:2" x14ac:dyDescent="0.25">
      <c r="A97" s="396" t="s">
        <v>1419</v>
      </c>
      <c r="B97" s="760" t="s">
        <v>3478</v>
      </c>
    </row>
    <row r="98" spans="1:2" x14ac:dyDescent="0.25">
      <c r="A98" s="396" t="s">
        <v>1972</v>
      </c>
      <c r="B98" s="949" t="s">
        <v>3436</v>
      </c>
    </row>
    <row r="99" spans="1:2" x14ac:dyDescent="0.25">
      <c r="A99" s="396" t="s">
        <v>2034</v>
      </c>
      <c r="B99" s="961" t="s">
        <v>3490</v>
      </c>
    </row>
    <row r="100" spans="1:2" x14ac:dyDescent="0.25">
      <c r="A100" s="396" t="s">
        <v>3434</v>
      </c>
      <c r="B100" s="961" t="s">
        <v>3494</v>
      </c>
    </row>
    <row r="101" spans="1:2" x14ac:dyDescent="0.25">
      <c r="A101" s="396" t="s">
        <v>1420</v>
      </c>
      <c r="B101" s="849" t="s">
        <v>3439</v>
      </c>
    </row>
    <row r="102" spans="1:2" x14ac:dyDescent="0.25">
      <c r="A102" s="396" t="s">
        <v>3489</v>
      </c>
      <c r="B102" s="961" t="s">
        <v>3441</v>
      </c>
    </row>
    <row r="103" spans="1:2" x14ac:dyDescent="0.25">
      <c r="A103" s="396" t="s">
        <v>1968</v>
      </c>
      <c r="B103" s="1042" t="s">
        <v>3438</v>
      </c>
    </row>
    <row r="104" spans="1:2" x14ac:dyDescent="0.25">
      <c r="A104" s="396" t="s">
        <v>2050</v>
      </c>
      <c r="B104" s="956" t="s">
        <v>3440</v>
      </c>
    </row>
    <row r="105" spans="1:2" x14ac:dyDescent="0.25">
      <c r="A105" s="913" t="s">
        <v>1988</v>
      </c>
      <c r="B105" s="793" t="s">
        <v>3437</v>
      </c>
    </row>
    <row r="106" spans="1:2" ht="14.4" customHeight="1" x14ac:dyDescent="0.25">
      <c r="A106" s="1196" t="s">
        <v>1421</v>
      </c>
      <c r="B106" s="1043" t="s">
        <v>3495</v>
      </c>
    </row>
    <row r="107" spans="1:2" x14ac:dyDescent="0.25">
      <c r="A107" s="1196"/>
      <c r="B107" s="1045" t="s">
        <v>3496</v>
      </c>
    </row>
    <row r="108" spans="1:2" x14ac:dyDescent="0.25">
      <c r="A108" s="1196"/>
      <c r="B108" s="1045" t="s">
        <v>3497</v>
      </c>
    </row>
    <row r="109" spans="1:2" x14ac:dyDescent="0.25">
      <c r="A109" s="1196"/>
      <c r="B109" s="1045" t="s">
        <v>3498</v>
      </c>
    </row>
    <row r="110" spans="1:2" x14ac:dyDescent="0.25">
      <c r="A110" s="1196"/>
      <c r="B110" s="1045" t="s">
        <v>3499</v>
      </c>
    </row>
    <row r="111" spans="1:2" x14ac:dyDescent="0.25">
      <c r="A111" s="1196"/>
      <c r="B111" s="1045" t="s">
        <v>3500</v>
      </c>
    </row>
    <row r="112" spans="1:2" ht="29.4" customHeight="1" x14ac:dyDescent="0.25">
      <c r="A112" s="1192" t="s">
        <v>3568</v>
      </c>
      <c r="B112" s="1192"/>
    </row>
    <row r="113" spans="1:2" x14ac:dyDescent="0.25">
      <c r="A113" s="396" t="s">
        <v>1419</v>
      </c>
      <c r="B113" s="760" t="s">
        <v>2048</v>
      </c>
    </row>
    <row r="114" spans="1:2" x14ac:dyDescent="0.25">
      <c r="A114" s="396" t="s">
        <v>1972</v>
      </c>
      <c r="B114" s="949" t="s">
        <v>3561</v>
      </c>
    </row>
    <row r="115" spans="1:2" x14ac:dyDescent="0.25">
      <c r="A115" s="1003" t="s">
        <v>2034</v>
      </c>
      <c r="B115" s="1048" t="s">
        <v>3562</v>
      </c>
    </row>
    <row r="116" spans="1:2" x14ac:dyDescent="0.25">
      <c r="A116" s="396" t="s">
        <v>1420</v>
      </c>
      <c r="B116" s="1046" t="s">
        <v>3565</v>
      </c>
    </row>
    <row r="117" spans="1:2" x14ac:dyDescent="0.25">
      <c r="A117" s="396" t="s">
        <v>1968</v>
      </c>
      <c r="B117" s="1047" t="s">
        <v>3566</v>
      </c>
    </row>
    <row r="118" spans="1:2" x14ac:dyDescent="0.25">
      <c r="A118" s="396" t="s">
        <v>3362</v>
      </c>
      <c r="B118" s="949" t="s">
        <v>3563</v>
      </c>
    </row>
    <row r="119" spans="1:2" x14ac:dyDescent="0.25">
      <c r="A119" s="913" t="s">
        <v>1988</v>
      </c>
      <c r="B119" s="793" t="s">
        <v>3564</v>
      </c>
    </row>
    <row r="120" spans="1:2" ht="14.4" customHeight="1" x14ac:dyDescent="0.25">
      <c r="A120" s="1017" t="s">
        <v>1421</v>
      </c>
      <c r="B120" s="848" t="s">
        <v>3567</v>
      </c>
    </row>
    <row r="121" spans="1:2" ht="29.4" customHeight="1" x14ac:dyDescent="0.25">
      <c r="A121" s="1192" t="s">
        <v>3493</v>
      </c>
      <c r="B121" s="1192"/>
    </row>
    <row r="122" spans="1:2" x14ac:dyDescent="0.25">
      <c r="A122" s="396" t="s">
        <v>1419</v>
      </c>
      <c r="B122" s="760" t="s">
        <v>3478</v>
      </c>
    </row>
    <row r="123" spans="1:2" x14ac:dyDescent="0.25">
      <c r="A123" s="396" t="s">
        <v>1972</v>
      </c>
      <c r="B123" s="949" t="s">
        <v>3482</v>
      </c>
    </row>
    <row r="124" spans="1:2" x14ac:dyDescent="0.25">
      <c r="A124" s="396" t="s">
        <v>2034</v>
      </c>
      <c r="B124" s="961" t="s">
        <v>3483</v>
      </c>
    </row>
    <row r="125" spans="1:2" x14ac:dyDescent="0.25">
      <c r="A125" s="396" t="s">
        <v>3434</v>
      </c>
      <c r="B125" s="961" t="s">
        <v>3488</v>
      </c>
    </row>
    <row r="126" spans="1:2" x14ac:dyDescent="0.25">
      <c r="A126" s="396" t="s">
        <v>1420</v>
      </c>
      <c r="B126" s="849" t="s">
        <v>3484</v>
      </c>
    </row>
    <row r="127" spans="1:2" x14ac:dyDescent="0.25">
      <c r="A127" s="396" t="s">
        <v>3489</v>
      </c>
      <c r="B127" s="961" t="s">
        <v>3490</v>
      </c>
    </row>
    <row r="128" spans="1:2" x14ac:dyDescent="0.25">
      <c r="A128" s="396" t="s">
        <v>1968</v>
      </c>
      <c r="B128" s="1042" t="s">
        <v>3438</v>
      </c>
    </row>
    <row r="129" spans="1:2" x14ac:dyDescent="0.25">
      <c r="A129" s="396" t="s">
        <v>2050</v>
      </c>
      <c r="B129" s="956" t="s">
        <v>3485</v>
      </c>
    </row>
    <row r="130" spans="1:2" x14ac:dyDescent="0.25">
      <c r="A130" s="913" t="s">
        <v>1988</v>
      </c>
      <c r="B130" s="793" t="s">
        <v>3486</v>
      </c>
    </row>
    <row r="131" spans="1:2" ht="14.4" customHeight="1" x14ac:dyDescent="0.25">
      <c r="A131" s="1196" t="s">
        <v>1421</v>
      </c>
      <c r="B131" s="848" t="s">
        <v>3487</v>
      </c>
    </row>
    <row r="132" spans="1:2" x14ac:dyDescent="0.25">
      <c r="A132" s="1196"/>
      <c r="B132" s="1044" t="s">
        <v>3491</v>
      </c>
    </row>
    <row r="133" spans="1:2" x14ac:dyDescent="0.25">
      <c r="A133" s="1196"/>
      <c r="B133" s="1044" t="s">
        <v>3492</v>
      </c>
    </row>
    <row r="134" spans="1:2" ht="29.4" customHeight="1" x14ac:dyDescent="0.25">
      <c r="A134" s="1192" t="s">
        <v>3513</v>
      </c>
      <c r="B134" s="1192"/>
    </row>
    <row r="135" spans="1:2" x14ac:dyDescent="0.25">
      <c r="A135" s="396" t="s">
        <v>1419</v>
      </c>
      <c r="B135" s="760" t="s">
        <v>3478</v>
      </c>
    </row>
    <row r="136" spans="1:2" x14ac:dyDescent="0.25">
      <c r="A136" s="396" t="s">
        <v>1972</v>
      </c>
      <c r="B136" s="949" t="s">
        <v>3505</v>
      </c>
    </row>
    <row r="137" spans="1:2" x14ac:dyDescent="0.25">
      <c r="A137" s="396" t="s">
        <v>2034</v>
      </c>
      <c r="B137" s="961" t="s">
        <v>3506</v>
      </c>
    </row>
    <row r="138" spans="1:2" x14ac:dyDescent="0.25">
      <c r="A138" s="396" t="s">
        <v>3434</v>
      </c>
      <c r="B138" s="961" t="s">
        <v>3507</v>
      </c>
    </row>
    <row r="139" spans="1:2" x14ac:dyDescent="0.25">
      <c r="A139" s="396" t="s">
        <v>1420</v>
      </c>
      <c r="B139" s="849" t="s">
        <v>3508</v>
      </c>
    </row>
    <row r="140" spans="1:2" x14ac:dyDescent="0.25">
      <c r="A140" s="396" t="s">
        <v>3489</v>
      </c>
      <c r="B140" s="961" t="s">
        <v>3509</v>
      </c>
    </row>
    <row r="141" spans="1:2" x14ac:dyDescent="0.25">
      <c r="A141" s="396" t="s">
        <v>1968</v>
      </c>
      <c r="B141" s="1042" t="s">
        <v>3510</v>
      </c>
    </row>
    <row r="142" spans="1:2" x14ac:dyDescent="0.25">
      <c r="A142" s="396" t="s">
        <v>2050</v>
      </c>
      <c r="B142" s="956" t="s">
        <v>3507</v>
      </c>
    </row>
    <row r="143" spans="1:2" x14ac:dyDescent="0.25">
      <c r="A143" s="913" t="s">
        <v>1988</v>
      </c>
      <c r="B143" s="793" t="s">
        <v>3511</v>
      </c>
    </row>
    <row r="144" spans="1:2" ht="14.4" customHeight="1" x14ac:dyDescent="0.25">
      <c r="A144" s="1017" t="s">
        <v>1421</v>
      </c>
      <c r="B144" s="1049" t="s">
        <v>3512</v>
      </c>
    </row>
    <row r="145" spans="1:2" ht="29.4" customHeight="1" x14ac:dyDescent="0.25">
      <c r="A145" s="1192" t="s">
        <v>3461</v>
      </c>
      <c r="B145" s="1192"/>
    </row>
    <row r="146" spans="1:2" x14ac:dyDescent="0.25">
      <c r="A146" s="396" t="s">
        <v>1419</v>
      </c>
      <c r="B146" s="760" t="s">
        <v>2048</v>
      </c>
    </row>
    <row r="147" spans="1:2" x14ac:dyDescent="0.25">
      <c r="A147" s="396" t="s">
        <v>1972</v>
      </c>
      <c r="B147" s="949" t="s">
        <v>3502</v>
      </c>
    </row>
    <row r="148" spans="1:2" x14ac:dyDescent="0.25">
      <c r="A148" s="1003" t="s">
        <v>2034</v>
      </c>
      <c r="B148" s="1048" t="s">
        <v>3503</v>
      </c>
    </row>
    <row r="149" spans="1:2" x14ac:dyDescent="0.25">
      <c r="A149" s="396" t="s">
        <v>1420</v>
      </c>
      <c r="B149" s="1046">
        <v>45389</v>
      </c>
    </row>
    <row r="150" spans="1:2" ht="26.4" x14ac:dyDescent="0.25">
      <c r="A150" s="396" t="s">
        <v>1968</v>
      </c>
      <c r="B150" s="1047" t="s">
        <v>3501</v>
      </c>
    </row>
    <row r="151" spans="1:2" x14ac:dyDescent="0.25">
      <c r="A151" s="396" t="s">
        <v>3362</v>
      </c>
      <c r="B151" s="949" t="s">
        <v>2765</v>
      </c>
    </row>
    <row r="152" spans="1:2" x14ac:dyDescent="0.25">
      <c r="A152" s="913" t="s">
        <v>1988</v>
      </c>
      <c r="B152" s="793" t="s">
        <v>2952</v>
      </c>
    </row>
    <row r="153" spans="1:2" ht="14.4" customHeight="1" x14ac:dyDescent="0.25">
      <c r="A153" s="1017" t="s">
        <v>1421</v>
      </c>
      <c r="B153" s="848"/>
    </row>
    <row r="155" spans="1:2" ht="29.4" customHeight="1" x14ac:dyDescent="0.25">
      <c r="A155" s="1187" t="s">
        <v>3538</v>
      </c>
      <c r="B155" s="1188"/>
    </row>
    <row r="156" spans="1:2" x14ac:dyDescent="0.25">
      <c r="A156" s="396" t="s">
        <v>1419</v>
      </c>
      <c r="B156" s="760" t="s">
        <v>3478</v>
      </c>
    </row>
    <row r="157" spans="1:2" x14ac:dyDescent="0.25">
      <c r="A157" s="396" t="s">
        <v>1972</v>
      </c>
      <c r="B157" s="949" t="s">
        <v>3528</v>
      </c>
    </row>
    <row r="158" spans="1:2" x14ac:dyDescent="0.25">
      <c r="A158" s="396" t="s">
        <v>2034</v>
      </c>
      <c r="B158" s="961" t="s">
        <v>3530</v>
      </c>
    </row>
    <row r="159" spans="1:2" x14ac:dyDescent="0.25">
      <c r="A159" s="396" t="s">
        <v>1420</v>
      </c>
      <c r="B159" s="849" t="s">
        <v>3529</v>
      </c>
    </row>
    <row r="160" spans="1:2" x14ac:dyDescent="0.25">
      <c r="A160" s="396" t="s">
        <v>3434</v>
      </c>
      <c r="B160" s="961" t="s">
        <v>3531</v>
      </c>
    </row>
    <row r="161" spans="1:2" x14ac:dyDescent="0.25">
      <c r="A161" s="396" t="s">
        <v>3514</v>
      </c>
      <c r="B161" s="849" t="s">
        <v>3532</v>
      </c>
    </row>
    <row r="162" spans="1:2" x14ac:dyDescent="0.25">
      <c r="A162" s="396" t="s">
        <v>3489</v>
      </c>
      <c r="B162" s="961" t="s">
        <v>3533</v>
      </c>
    </row>
    <row r="163" spans="1:2" x14ac:dyDescent="0.25">
      <c r="A163" s="396" t="s">
        <v>1968</v>
      </c>
      <c r="B163" s="1042" t="s">
        <v>3534</v>
      </c>
    </row>
    <row r="164" spans="1:2" x14ac:dyDescent="0.25">
      <c r="A164" s="913" t="s">
        <v>1988</v>
      </c>
      <c r="B164" s="793" t="s">
        <v>3535</v>
      </c>
    </row>
    <row r="165" spans="1:2" ht="14.4" customHeight="1" x14ac:dyDescent="0.25">
      <c r="A165" s="1189" t="s">
        <v>1421</v>
      </c>
      <c r="B165" s="1043" t="s">
        <v>3536</v>
      </c>
    </row>
    <row r="166" spans="1:2" x14ac:dyDescent="0.25">
      <c r="A166" s="1190"/>
      <c r="B166" s="1045" t="s">
        <v>3443</v>
      </c>
    </row>
    <row r="167" spans="1:2" x14ac:dyDescent="0.25">
      <c r="A167" s="1190"/>
      <c r="B167" s="1045" t="s">
        <v>3443</v>
      </c>
    </row>
    <row r="168" spans="1:2" x14ac:dyDescent="0.25">
      <c r="A168" s="1190"/>
      <c r="B168" s="1045" t="s">
        <v>3443</v>
      </c>
    </row>
    <row r="169" spans="1:2" x14ac:dyDescent="0.25">
      <c r="A169" s="1190"/>
      <c r="B169" s="1045" t="s">
        <v>3443</v>
      </c>
    </row>
    <row r="170" spans="1:2" x14ac:dyDescent="0.25">
      <c r="A170" s="1190"/>
      <c r="B170" s="1045" t="s">
        <v>3537</v>
      </c>
    </row>
    <row r="171" spans="1:2" x14ac:dyDescent="0.25">
      <c r="A171" s="1190"/>
      <c r="B171" s="1045" t="s">
        <v>3499</v>
      </c>
    </row>
    <row r="172" spans="1:2" x14ac:dyDescent="0.25">
      <c r="A172" s="1191"/>
      <c r="B172" s="1045" t="s">
        <v>3500</v>
      </c>
    </row>
    <row r="173" spans="1:2" ht="29.4" customHeight="1" x14ac:dyDescent="0.25">
      <c r="A173" s="1192" t="s">
        <v>3461</v>
      </c>
      <c r="B173" s="1192"/>
    </row>
    <row r="174" spans="1:2" x14ac:dyDescent="0.25">
      <c r="A174" s="396" t="s">
        <v>1419</v>
      </c>
      <c r="B174" s="760" t="s">
        <v>2048</v>
      </c>
    </row>
    <row r="175" spans="1:2" x14ac:dyDescent="0.25">
      <c r="A175" s="396" t="s">
        <v>1972</v>
      </c>
      <c r="B175" s="949" t="s">
        <v>3426</v>
      </c>
    </row>
    <row r="176" spans="1:2" x14ac:dyDescent="0.25">
      <c r="A176" s="1003" t="s">
        <v>2034</v>
      </c>
      <c r="B176" s="961" t="s">
        <v>3427</v>
      </c>
    </row>
    <row r="177" spans="1:2" x14ac:dyDescent="0.25">
      <c r="A177" s="396" t="s">
        <v>1420</v>
      </c>
      <c r="B177" s="849" t="s">
        <v>3428</v>
      </c>
    </row>
    <row r="178" spans="1:2" x14ac:dyDescent="0.25">
      <c r="A178" s="396" t="s">
        <v>3430</v>
      </c>
      <c r="B178" s="1004" t="s">
        <v>3431</v>
      </c>
    </row>
    <row r="179" spans="1:2" x14ac:dyDescent="0.25">
      <c r="A179" s="396" t="s">
        <v>1968</v>
      </c>
      <c r="B179" s="847" t="s">
        <v>3432</v>
      </c>
    </row>
    <row r="180" spans="1:2" x14ac:dyDescent="0.25">
      <c r="A180" s="396" t="s">
        <v>3362</v>
      </c>
      <c r="B180" s="949" t="s">
        <v>3433</v>
      </c>
    </row>
    <row r="181" spans="1:2" x14ac:dyDescent="0.25">
      <c r="A181" s="913" t="s">
        <v>1988</v>
      </c>
      <c r="B181" s="793" t="s">
        <v>3429</v>
      </c>
    </row>
    <row r="182" spans="1:2" ht="14.4" customHeight="1" x14ac:dyDescent="0.25">
      <c r="A182" s="1017" t="s">
        <v>1421</v>
      </c>
      <c r="B182" s="848" t="s">
        <v>2564</v>
      </c>
    </row>
    <row r="183" spans="1:2" ht="29.4" customHeight="1" x14ac:dyDescent="0.25">
      <c r="A183" s="1192" t="s">
        <v>3461</v>
      </c>
      <c r="B183" s="1192"/>
    </row>
    <row r="184" spans="1:2" x14ac:dyDescent="0.25">
      <c r="A184" s="396" t="s">
        <v>1419</v>
      </c>
      <c r="B184" s="760" t="s">
        <v>2048</v>
      </c>
    </row>
    <row r="185" spans="1:2" x14ac:dyDescent="0.25">
      <c r="A185" s="396" t="s">
        <v>1972</v>
      </c>
      <c r="B185" s="949" t="s">
        <v>3426</v>
      </c>
    </row>
    <row r="186" spans="1:2" x14ac:dyDescent="0.25">
      <c r="A186" s="1003" t="s">
        <v>2034</v>
      </c>
      <c r="B186" s="961" t="s">
        <v>3427</v>
      </c>
    </row>
    <row r="187" spans="1:2" x14ac:dyDescent="0.25">
      <c r="A187" s="396" t="s">
        <v>1420</v>
      </c>
      <c r="B187" s="849" t="s">
        <v>3428</v>
      </c>
    </row>
    <row r="188" spans="1:2" x14ac:dyDescent="0.25">
      <c r="A188" s="396" t="s">
        <v>3430</v>
      </c>
      <c r="B188" s="1004" t="s">
        <v>3431</v>
      </c>
    </row>
    <row r="189" spans="1:2" x14ac:dyDescent="0.25">
      <c r="A189" s="396" t="s">
        <v>1968</v>
      </c>
      <c r="B189" s="847" t="s">
        <v>3432</v>
      </c>
    </row>
    <row r="190" spans="1:2" x14ac:dyDescent="0.25">
      <c r="A190" s="396" t="s">
        <v>3362</v>
      </c>
      <c r="B190" s="949" t="s">
        <v>3433</v>
      </c>
    </row>
    <row r="191" spans="1:2" x14ac:dyDescent="0.25">
      <c r="A191" s="913" t="s">
        <v>1988</v>
      </c>
      <c r="B191" s="793" t="s">
        <v>3429</v>
      </c>
    </row>
    <row r="192" spans="1:2" ht="14.4" customHeight="1" x14ac:dyDescent="0.25">
      <c r="A192" s="1017" t="s">
        <v>1421</v>
      </c>
      <c r="B192" s="848" t="s">
        <v>2564</v>
      </c>
    </row>
    <row r="193" spans="1:2" ht="29.4" customHeight="1" x14ac:dyDescent="0.25">
      <c r="A193" s="1187" t="s">
        <v>3318</v>
      </c>
      <c r="B193" s="1188"/>
    </row>
    <row r="194" spans="1:2" x14ac:dyDescent="0.25">
      <c r="A194" s="396" t="s">
        <v>1419</v>
      </c>
      <c r="B194" s="760" t="s">
        <v>2048</v>
      </c>
    </row>
    <row r="195" spans="1:2" x14ac:dyDescent="0.25">
      <c r="A195" s="396" t="s">
        <v>1972</v>
      </c>
      <c r="B195" s="949" t="s">
        <v>2859</v>
      </c>
    </row>
    <row r="196" spans="1:2" x14ac:dyDescent="0.25">
      <c r="A196" s="396" t="s">
        <v>2034</v>
      </c>
      <c r="B196" s="977" t="s">
        <v>3042</v>
      </c>
    </row>
    <row r="197" spans="1:2" x14ac:dyDescent="0.25">
      <c r="A197" s="396" t="s">
        <v>1420</v>
      </c>
      <c r="B197" s="849" t="s">
        <v>3389</v>
      </c>
    </row>
    <row r="198" spans="1:2" x14ac:dyDescent="0.25">
      <c r="A198" s="396" t="s">
        <v>1968</v>
      </c>
      <c r="B198" s="847" t="s">
        <v>2860</v>
      </c>
    </row>
    <row r="199" spans="1:2" x14ac:dyDescent="0.25">
      <c r="A199" s="396" t="s">
        <v>2050</v>
      </c>
      <c r="B199" s="962" t="s">
        <v>2765</v>
      </c>
    </row>
    <row r="200" spans="1:2" x14ac:dyDescent="0.25">
      <c r="A200" s="913" t="s">
        <v>1988</v>
      </c>
      <c r="B200" s="793" t="s">
        <v>2012</v>
      </c>
    </row>
    <row r="201" spans="1:2" x14ac:dyDescent="0.25">
      <c r="A201" s="1189"/>
      <c r="B201" s="957" t="s">
        <v>2963</v>
      </c>
    </row>
    <row r="202" spans="1:2" x14ac:dyDescent="0.25">
      <c r="A202" s="1190"/>
      <c r="B202" s="957" t="s">
        <v>2964</v>
      </c>
    </row>
    <row r="203" spans="1:2" x14ac:dyDescent="0.25">
      <c r="A203" s="1190"/>
      <c r="B203" s="957" t="s">
        <v>3013</v>
      </c>
    </row>
    <row r="204" spans="1:2" ht="14.4" customHeight="1" x14ac:dyDescent="0.25">
      <c r="A204" s="1191"/>
      <c r="B204" s="957" t="s">
        <v>2965</v>
      </c>
    </row>
  </sheetData>
  <mergeCells count="29">
    <mergeCell ref="A165:A172"/>
    <mergeCell ref="A173:B173"/>
    <mergeCell ref="A1:B1"/>
    <mergeCell ref="A4:B4"/>
    <mergeCell ref="A145:B145"/>
    <mergeCell ref="A134:B134"/>
    <mergeCell ref="A112:B112"/>
    <mergeCell ref="A72:B72"/>
    <mergeCell ref="A155:B155"/>
    <mergeCell ref="A61:B61"/>
    <mergeCell ref="A69:A71"/>
    <mergeCell ref="A80:B80"/>
    <mergeCell ref="A52:B52"/>
    <mergeCell ref="A193:B193"/>
    <mergeCell ref="A201:A204"/>
    <mergeCell ref="A28:B28"/>
    <mergeCell ref="A7:B7"/>
    <mergeCell ref="A15:B15"/>
    <mergeCell ref="A22:A25"/>
    <mergeCell ref="A18:A20"/>
    <mergeCell ref="A88:B88"/>
    <mergeCell ref="A121:B121"/>
    <mergeCell ref="A183:B183"/>
    <mergeCell ref="A41:A46"/>
    <mergeCell ref="A31:A32"/>
    <mergeCell ref="A38:B38"/>
    <mergeCell ref="A131:A133"/>
    <mergeCell ref="A96:B96"/>
    <mergeCell ref="A106:A111"/>
  </mergeCells>
  <phoneticPr fontId="13" type="noConversion"/>
  <printOptions horizontalCentered="1"/>
  <pageMargins left="0.23622047244094491" right="0.23622047244094491" top="0.74803149606299213" bottom="0.74803149606299213" header="0.31496062992125984" footer="0.31496062992125984"/>
  <pageSetup paperSize="5" scale="48"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dimension ref="A1:FZ150"/>
  <sheetViews>
    <sheetView zoomScale="80" zoomScaleNormal="80" workbookViewId="0">
      <pane xSplit="2" ySplit="10" topLeftCell="BT59" activePane="bottomRight" state="frozen"/>
      <selection activeCell="F4" sqref="F4"/>
      <selection pane="topRight" activeCell="F4" sqref="F4"/>
      <selection pane="bottomLeft" activeCell="F4" sqref="F4"/>
      <selection pane="bottomRight"/>
    </sheetView>
  </sheetViews>
  <sheetFormatPr baseColWidth="10" defaultColWidth="30.88671875" defaultRowHeight="14.4" x14ac:dyDescent="0.3"/>
  <cols>
    <col min="1" max="1" width="22.33203125" style="506" hidden="1" customWidth="1"/>
    <col min="2" max="2" width="45.6640625" style="521" customWidth="1"/>
    <col min="3" max="3" width="10.6640625" style="504" customWidth="1"/>
    <col min="4" max="4" width="40.6640625" style="504" customWidth="1"/>
    <col min="5" max="5" width="10.6640625" style="504" customWidth="1"/>
    <col min="6" max="6" width="40.6640625" style="504" customWidth="1"/>
    <col min="7" max="7" width="10.6640625" style="504" customWidth="1"/>
    <col min="8" max="8" width="40.6640625" style="504" customWidth="1"/>
    <col min="9" max="9" width="10.6640625" style="504" customWidth="1"/>
    <col min="10" max="10" width="40.6640625" style="504" customWidth="1"/>
    <col min="11" max="11" width="10.6640625" style="504" customWidth="1"/>
    <col min="12" max="12" width="40.6640625" style="504" customWidth="1"/>
    <col min="13" max="13" width="10.6640625" style="504" customWidth="1"/>
    <col min="14" max="14" width="40.6640625" style="504" customWidth="1"/>
    <col min="15" max="15" width="10.6640625" style="504" customWidth="1"/>
    <col min="16" max="16" width="40.6640625" style="504" customWidth="1"/>
    <col min="17" max="17" width="10.6640625" style="504" customWidth="1"/>
    <col min="18" max="18" width="40.6640625" style="504" customWidth="1"/>
    <col min="19" max="19" width="10.6640625" style="504" customWidth="1"/>
    <col min="20" max="20" width="40.6640625" style="504" customWidth="1"/>
    <col min="21" max="21" width="10.6640625" style="504" customWidth="1"/>
    <col min="22" max="22" width="40.6640625" style="504" customWidth="1"/>
    <col min="23" max="23" width="10.6640625" style="504" customWidth="1"/>
    <col min="24" max="24" width="40.6640625" style="504" customWidth="1"/>
    <col min="25" max="25" width="10.6640625" style="504" customWidth="1"/>
    <col min="26" max="26" width="40.6640625" style="504" customWidth="1"/>
    <col min="27" max="27" width="10.6640625" style="504" customWidth="1"/>
    <col min="28" max="28" width="40.6640625" style="504" customWidth="1"/>
    <col min="29" max="29" width="10.6640625" style="504" customWidth="1"/>
    <col min="30" max="30" width="40.6640625" style="504" customWidth="1"/>
    <col min="31" max="31" width="10.6640625" style="504" customWidth="1"/>
    <col min="32" max="32" width="40.6640625" style="504" customWidth="1"/>
    <col min="33" max="33" width="10.6640625" style="504" customWidth="1"/>
    <col min="34" max="34" width="40.6640625" style="504" customWidth="1"/>
    <col min="35" max="35" width="10.6640625" style="504" customWidth="1"/>
    <col min="36" max="36" width="40.6640625" style="504" customWidth="1"/>
    <col min="37" max="37" width="10.6640625" style="504" customWidth="1"/>
    <col min="38" max="38" width="40.6640625" style="504" customWidth="1"/>
    <col min="39" max="39" width="10.6640625" style="504" customWidth="1"/>
    <col min="40" max="40" width="40.6640625" style="504" customWidth="1"/>
    <col min="41" max="41" width="10.6640625" style="504" customWidth="1"/>
    <col min="42" max="42" width="40.6640625" style="504" customWidth="1"/>
    <col min="43" max="43" width="10.6640625" style="504" customWidth="1"/>
    <col min="44" max="44" width="40.6640625" style="504" customWidth="1"/>
    <col min="45" max="45" width="10.6640625" style="504" customWidth="1"/>
    <col min="46" max="46" width="40.6640625" style="504" customWidth="1"/>
    <col min="47" max="47" width="10.6640625" style="504" customWidth="1"/>
    <col min="48" max="48" width="40.6640625" style="504" customWidth="1"/>
    <col min="49" max="49" width="10.6640625" style="504" customWidth="1"/>
    <col min="50" max="50" width="40.6640625" style="504" customWidth="1"/>
    <col min="51" max="51" width="10.6640625" style="504" customWidth="1"/>
    <col min="52" max="52" width="40.6640625" style="504" customWidth="1"/>
    <col min="53" max="53" width="10.6640625" style="504" customWidth="1"/>
    <col min="54" max="54" width="40.6640625" style="504" customWidth="1"/>
    <col min="55" max="55" width="10.6640625" style="504" customWidth="1"/>
    <col min="56" max="56" width="40.6640625" style="504" customWidth="1"/>
    <col min="57" max="57" width="10.6640625" style="504" customWidth="1"/>
    <col min="58" max="58" width="40.6640625" style="504" customWidth="1"/>
    <col min="59" max="59" width="10.6640625" style="504" customWidth="1"/>
    <col min="60" max="60" width="40.6640625" style="504" customWidth="1"/>
    <col min="61" max="61" width="10.6640625" style="504" customWidth="1"/>
    <col min="62" max="62" width="40.6640625" style="504" customWidth="1"/>
    <col min="63" max="63" width="10.6640625" style="504" customWidth="1"/>
    <col min="64" max="64" width="40.6640625" style="504" customWidth="1"/>
    <col min="65" max="65" width="10.6640625" style="504" customWidth="1"/>
    <col min="66" max="66" width="40.6640625" style="522" customWidth="1"/>
    <col min="67" max="67" width="10.6640625" style="522" customWidth="1"/>
    <col min="68" max="68" width="40.6640625" style="522" customWidth="1"/>
    <col min="69" max="69" width="10.6640625" style="504" customWidth="1"/>
    <col min="70" max="70" width="40.6640625" style="504" customWidth="1"/>
    <col min="71" max="71" width="10.6640625" style="504" customWidth="1"/>
    <col min="72" max="72" width="40.6640625" style="504" customWidth="1"/>
    <col min="73" max="73" width="10.6640625" style="504" customWidth="1"/>
    <col min="74" max="74" width="40.6640625" style="504" customWidth="1"/>
    <col min="75" max="75" width="10.6640625" style="504" customWidth="1"/>
    <col min="76" max="76" width="40.6640625" style="504" customWidth="1"/>
    <col min="77" max="77" width="10.6640625" style="504" customWidth="1"/>
    <col min="78" max="78" width="40.6640625" style="504" customWidth="1"/>
    <col min="79" max="79" width="10.6640625" style="504" customWidth="1"/>
    <col min="80" max="80" width="40.6640625" style="504" customWidth="1"/>
    <col min="81" max="81" width="10.6640625" style="504" customWidth="1"/>
    <col min="82" max="82" width="40.6640625" style="504" customWidth="1"/>
    <col min="83" max="83" width="10.6640625" style="504" customWidth="1"/>
    <col min="84" max="84" width="40.6640625" style="504" customWidth="1"/>
    <col min="85" max="85" width="10.6640625" style="504" customWidth="1"/>
    <col min="86" max="86" width="40.6640625" style="504" customWidth="1"/>
    <col min="87" max="87" width="10.6640625" style="504" customWidth="1"/>
    <col min="88" max="88" width="40.6640625" style="504" customWidth="1"/>
    <col min="89" max="89" width="10.6640625" style="504" customWidth="1"/>
    <col min="90" max="90" width="40.6640625" style="504" customWidth="1"/>
    <col min="91" max="91" width="10.6640625" style="504" customWidth="1"/>
    <col min="92" max="92" width="40.6640625" style="504" customWidth="1"/>
    <col min="93" max="93" width="10.6640625" style="504" customWidth="1"/>
    <col min="94" max="94" width="40.6640625" style="504" customWidth="1"/>
    <col min="95" max="95" width="10.6640625" style="504" customWidth="1"/>
    <col min="96" max="96" width="40.6640625" style="504" customWidth="1"/>
    <col min="97" max="97" width="10.6640625" style="504" customWidth="1"/>
    <col min="98" max="98" width="40.6640625" style="504" customWidth="1"/>
    <col min="99" max="99" width="10.6640625" style="504" customWidth="1"/>
    <col min="100" max="100" width="40.6640625" style="504" customWidth="1"/>
    <col min="101" max="101" width="10.6640625" style="504" customWidth="1"/>
    <col min="102" max="102" width="40.6640625" style="504" customWidth="1"/>
    <col min="103" max="103" width="10.6640625" style="504" customWidth="1"/>
    <col min="104" max="104" width="40.6640625" style="504" customWidth="1"/>
    <col min="105" max="105" width="10.6640625" style="504" customWidth="1"/>
    <col min="106" max="106" width="40.6640625" style="504" customWidth="1"/>
    <col min="107" max="107" width="10.6640625" style="504" customWidth="1"/>
    <col min="108" max="108" width="40.6640625" style="504" customWidth="1"/>
    <col min="109" max="109" width="10.6640625" style="504" customWidth="1"/>
    <col min="110" max="110" width="40.6640625" style="504" customWidth="1"/>
    <col min="111" max="111" width="10.6640625" style="504" customWidth="1"/>
    <col min="112" max="112" width="40.6640625" style="504" customWidth="1"/>
    <col min="113" max="113" width="10.6640625" style="504" customWidth="1"/>
    <col min="114" max="114" width="40.6640625" style="504" customWidth="1"/>
    <col min="115" max="115" width="10.6640625" style="504" customWidth="1"/>
    <col min="116" max="116" width="40.6640625" style="504" customWidth="1"/>
    <col min="117" max="117" width="10.6640625" style="504" customWidth="1"/>
    <col min="118" max="118" width="40.6640625" style="504" customWidth="1"/>
    <col min="119" max="119" width="10.6640625" style="504" customWidth="1"/>
    <col min="120" max="120" width="40.6640625" style="504" customWidth="1"/>
    <col min="121" max="121" width="10.6640625" style="179" customWidth="1"/>
    <col min="122" max="122" width="40.6640625" style="179" customWidth="1"/>
    <col min="123" max="123" width="10.6640625" style="179" customWidth="1"/>
    <col min="124" max="124" width="40.6640625" style="179" customWidth="1"/>
    <col min="125" max="128" width="10.6640625" style="179" customWidth="1"/>
    <col min="129" max="130" width="10.6640625" style="505" customWidth="1"/>
    <col min="131" max="648" width="10.6640625" style="506" customWidth="1"/>
    <col min="649" max="16384" width="30.88671875" style="506"/>
  </cols>
  <sheetData>
    <row r="1" spans="1:182" x14ac:dyDescent="0.3">
      <c r="A1" s="42"/>
      <c r="B1" s="160"/>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179"/>
      <c r="BN1" s="180"/>
      <c r="BO1" s="180"/>
      <c r="BP1" s="180"/>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Y1" s="179"/>
      <c r="DZ1" s="179"/>
    </row>
    <row r="2" spans="1:182" ht="15.6" x14ac:dyDescent="0.3">
      <c r="A2" s="42"/>
      <c r="B2" s="161">
        <v>45388</v>
      </c>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179"/>
      <c r="BN2" s="180"/>
      <c r="BO2" s="180"/>
      <c r="BP2" s="180"/>
      <c r="BQ2" s="179"/>
      <c r="BR2" s="179"/>
      <c r="BS2" s="179"/>
      <c r="BT2" s="179"/>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79"/>
      <c r="CZ2" s="179"/>
      <c r="DA2" s="179"/>
      <c r="DB2" s="179"/>
      <c r="DC2" s="179"/>
      <c r="DD2" s="179"/>
      <c r="DE2" s="179"/>
      <c r="DF2" s="179"/>
      <c r="DG2" s="179"/>
      <c r="DH2" s="179"/>
      <c r="DI2" s="179"/>
      <c r="DJ2" s="179"/>
      <c r="DK2" s="179"/>
      <c r="DL2" s="179"/>
      <c r="DM2" s="179"/>
      <c r="DN2" s="179"/>
      <c r="DO2" s="179"/>
      <c r="DP2" s="179"/>
      <c r="DY2" s="179"/>
      <c r="DZ2" s="179"/>
    </row>
    <row r="3" spans="1:182" x14ac:dyDescent="0.3">
      <c r="A3" s="42"/>
      <c r="B3" s="160"/>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80"/>
      <c r="BO3" s="180"/>
      <c r="BP3" s="180"/>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Y3" s="179"/>
      <c r="DZ3" s="179"/>
    </row>
    <row r="4" spans="1:182" x14ac:dyDescent="0.3">
      <c r="A4" s="42"/>
      <c r="B4" s="160"/>
      <c r="C4" s="179"/>
      <c r="D4" s="179"/>
      <c r="E4" s="179"/>
      <c r="F4" s="179"/>
      <c r="G4" s="179"/>
      <c r="H4" s="179"/>
      <c r="I4" s="179"/>
      <c r="J4" s="179"/>
      <c r="K4" s="179"/>
      <c r="L4" s="179"/>
      <c r="M4" s="179"/>
      <c r="N4" s="179"/>
      <c r="O4" s="179"/>
      <c r="P4" s="179"/>
      <c r="Q4" s="179"/>
      <c r="R4" s="179"/>
      <c r="S4" s="179"/>
      <c r="T4" s="179"/>
      <c r="U4" s="179"/>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80"/>
      <c r="BO4" s="180"/>
      <c r="BP4" s="180"/>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c r="CX4" s="179"/>
      <c r="CY4" s="179"/>
      <c r="CZ4" s="179"/>
      <c r="DA4" s="179"/>
      <c r="DB4" s="179"/>
      <c r="DC4" s="179"/>
      <c r="DD4" s="179"/>
      <c r="DE4" s="179"/>
      <c r="DF4" s="179"/>
      <c r="DG4" s="179"/>
      <c r="DH4" s="179"/>
      <c r="DI4" s="179"/>
      <c r="DJ4" s="179"/>
      <c r="DK4" s="179"/>
      <c r="DL4" s="179"/>
      <c r="DM4" s="179"/>
      <c r="DN4" s="179"/>
      <c r="DO4" s="179"/>
      <c r="DP4" s="179"/>
      <c r="DY4" s="179"/>
      <c r="DZ4" s="179"/>
    </row>
    <row r="5" spans="1:182" x14ac:dyDescent="0.3">
      <c r="A5" s="42"/>
      <c r="B5" s="160"/>
      <c r="C5" s="179"/>
      <c r="D5" s="179"/>
      <c r="E5" s="179"/>
      <c r="F5" s="179"/>
      <c r="G5" s="179"/>
      <c r="H5" s="179"/>
      <c r="I5" s="179"/>
      <c r="J5" s="179"/>
      <c r="K5" s="179"/>
      <c r="L5" s="179"/>
      <c r="M5" s="179"/>
      <c r="N5" s="179"/>
      <c r="O5" s="179"/>
      <c r="P5" s="179"/>
      <c r="Q5" s="179"/>
      <c r="R5" s="179"/>
      <c r="S5" s="179"/>
      <c r="T5" s="179"/>
      <c r="U5" s="179"/>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80"/>
      <c r="BO5" s="180"/>
      <c r="BP5" s="180"/>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c r="CX5" s="179"/>
      <c r="CY5" s="179"/>
      <c r="CZ5" s="179"/>
      <c r="DA5" s="179"/>
      <c r="DB5" s="179"/>
      <c r="DC5" s="179"/>
      <c r="DD5" s="179"/>
      <c r="DE5" s="179"/>
      <c r="DF5" s="179"/>
      <c r="DG5" s="179"/>
      <c r="DH5" s="179"/>
      <c r="DI5" s="179"/>
      <c r="DJ5" s="179"/>
      <c r="DK5" s="179"/>
      <c r="DL5" s="179"/>
      <c r="DM5" s="179"/>
      <c r="DN5" s="179"/>
      <c r="DO5" s="179"/>
      <c r="DP5" s="179"/>
      <c r="DY5" s="179"/>
      <c r="DZ5" s="179"/>
    </row>
    <row r="6" spans="1:182" ht="19.95" customHeight="1" x14ac:dyDescent="0.3">
      <c r="A6" s="42"/>
      <c r="B6" s="160"/>
      <c r="C6" s="179"/>
      <c r="D6" s="179"/>
      <c r="E6" s="179"/>
      <c r="F6" s="179"/>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80"/>
      <c r="BO6" s="180"/>
      <c r="BP6" s="180"/>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c r="CX6" s="179"/>
      <c r="CY6" s="179"/>
      <c r="CZ6" s="179"/>
      <c r="DA6" s="179"/>
      <c r="DB6" s="179"/>
      <c r="DC6" s="179"/>
      <c r="DD6" s="179"/>
      <c r="DE6" s="179"/>
      <c r="DF6" s="179"/>
      <c r="DG6" s="179"/>
      <c r="DH6" s="179"/>
      <c r="DI6" s="179"/>
      <c r="DJ6" s="179"/>
      <c r="DK6" s="179"/>
      <c r="DL6" s="179"/>
      <c r="DM6" s="179"/>
      <c r="DN6" s="179"/>
      <c r="DO6" s="179"/>
      <c r="DP6" s="179"/>
      <c r="DY6" s="179"/>
      <c r="DZ6" s="179"/>
    </row>
    <row r="7" spans="1:182" ht="31.2" x14ac:dyDescent="0.3">
      <c r="A7" s="1203" t="s">
        <v>1213</v>
      </c>
      <c r="B7" s="1204" t="s">
        <v>1213</v>
      </c>
      <c r="C7" s="1201" t="s">
        <v>2941</v>
      </c>
      <c r="D7" s="1202"/>
      <c r="E7" s="1202"/>
      <c r="F7" s="1202"/>
      <c r="G7" s="1202"/>
      <c r="H7" s="1202"/>
      <c r="I7" s="1202"/>
      <c r="J7" s="1202"/>
      <c r="K7" s="1202"/>
      <c r="L7" s="1202"/>
      <c r="M7" s="1202"/>
      <c r="N7" s="1202"/>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2"/>
      <c r="AM7" s="1202"/>
      <c r="AN7" s="1202"/>
      <c r="AO7" s="1202"/>
      <c r="AP7" s="1202"/>
      <c r="AQ7" s="1202"/>
      <c r="AR7" s="1202"/>
      <c r="AS7" s="1202"/>
      <c r="AT7" s="1202"/>
      <c r="AU7" s="1202"/>
      <c r="AV7" s="1202"/>
      <c r="AW7" s="1202"/>
      <c r="AX7" s="1202"/>
      <c r="AY7" s="1202"/>
      <c r="AZ7" s="1202"/>
      <c r="BA7" s="1202"/>
      <c r="BB7" s="1202"/>
      <c r="BC7" s="1202"/>
      <c r="BD7" s="1202"/>
      <c r="BE7" s="1202"/>
      <c r="BF7" s="1202"/>
      <c r="BG7" s="1202"/>
      <c r="BH7" s="1202"/>
      <c r="BI7" s="1202"/>
      <c r="BJ7" s="1202"/>
      <c r="BK7" s="1202"/>
      <c r="BL7" s="1202"/>
      <c r="BM7" s="1200">
        <v>45323</v>
      </c>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c r="CL7" s="1200"/>
      <c r="CM7" s="1200"/>
      <c r="CN7" s="1200"/>
      <c r="CO7" s="1200"/>
      <c r="CP7" s="1200"/>
      <c r="CQ7" s="1200"/>
      <c r="CR7" s="1200"/>
      <c r="CS7" s="1200"/>
      <c r="CT7" s="1200"/>
      <c r="CU7" s="1200"/>
      <c r="CV7" s="1200"/>
      <c r="CW7" s="1200"/>
      <c r="CX7" s="1200"/>
      <c r="CY7" s="1200"/>
      <c r="CZ7" s="1200"/>
      <c r="DA7" s="1200"/>
      <c r="DB7" s="1200"/>
      <c r="DC7" s="1200"/>
      <c r="DD7" s="1200"/>
      <c r="DE7" s="1200"/>
      <c r="DF7" s="1200"/>
      <c r="DG7" s="1200"/>
      <c r="DH7" s="1200"/>
      <c r="DI7" s="1200"/>
      <c r="DJ7" s="1200"/>
      <c r="DK7" s="1200"/>
      <c r="DL7" s="1200"/>
      <c r="DM7" s="1200"/>
      <c r="DN7" s="1200"/>
      <c r="DO7" s="1200"/>
      <c r="DP7" s="1200"/>
      <c r="DQ7" s="1200"/>
      <c r="DR7" s="1200"/>
      <c r="DS7" s="1200">
        <v>45323</v>
      </c>
      <c r="DT7" s="1200"/>
      <c r="DU7" s="1200"/>
      <c r="DV7" s="1200"/>
      <c r="DW7" s="1200"/>
      <c r="DX7" s="1200"/>
      <c r="DY7" s="1200"/>
      <c r="DZ7" s="1200"/>
      <c r="EA7" s="1200"/>
      <c r="EB7" s="1200"/>
      <c r="EC7" s="1200"/>
      <c r="ED7" s="1200"/>
      <c r="EE7" s="1200"/>
      <c r="EF7" s="1200"/>
      <c r="EG7" s="1200"/>
      <c r="EH7" s="1200"/>
      <c r="EI7" s="1200"/>
      <c r="EJ7" s="1200"/>
      <c r="EK7" s="1200"/>
      <c r="EL7" s="1200"/>
      <c r="EM7" s="1200"/>
      <c r="EN7" s="1200"/>
      <c r="EO7" s="1200"/>
      <c r="EP7" s="1200"/>
      <c r="EQ7" s="1200"/>
      <c r="ER7" s="1200"/>
      <c r="ES7" s="1200"/>
      <c r="ET7" s="1200"/>
      <c r="EU7" s="1200"/>
      <c r="EV7" s="1200"/>
      <c r="EW7" s="1200"/>
      <c r="EX7" s="1200"/>
      <c r="EY7" s="1200"/>
      <c r="EZ7" s="1200"/>
      <c r="FA7" s="1200"/>
      <c r="FB7" s="1200"/>
      <c r="FC7" s="1200"/>
      <c r="FD7" s="1200"/>
      <c r="FE7" s="1200"/>
      <c r="FF7" s="1200"/>
      <c r="FG7" s="1200"/>
      <c r="FH7" s="1200"/>
      <c r="FI7" s="1200"/>
      <c r="FJ7" s="1200"/>
      <c r="FK7" s="1200"/>
      <c r="FL7" s="1200"/>
      <c r="FM7" s="1200"/>
      <c r="FN7" s="1200"/>
      <c r="FO7" s="1200"/>
      <c r="FP7" s="1200"/>
      <c r="FQ7" s="1200"/>
      <c r="FR7" s="1200"/>
      <c r="FS7" s="1200"/>
      <c r="FT7" s="1200"/>
      <c r="FU7" s="1200"/>
      <c r="FV7" s="1200"/>
      <c r="FW7" s="1200"/>
      <c r="FX7" s="1200"/>
      <c r="FY7" s="1200"/>
      <c r="FZ7" s="1200"/>
    </row>
    <row r="8" spans="1:182" s="507" customFormat="1" x14ac:dyDescent="0.3">
      <c r="A8" s="1203"/>
      <c r="B8" s="1204"/>
      <c r="C8" s="52">
        <v>45352</v>
      </c>
      <c r="D8" s="52"/>
      <c r="E8" s="52">
        <f>C8+1</f>
        <v>45353</v>
      </c>
      <c r="F8" s="52"/>
      <c r="G8" s="52">
        <f>E8+1</f>
        <v>45354</v>
      </c>
      <c r="H8" s="52"/>
      <c r="I8" s="52">
        <f>G8+1</f>
        <v>45355</v>
      </c>
      <c r="J8" s="52"/>
      <c r="K8" s="52">
        <f>I8+1</f>
        <v>45356</v>
      </c>
      <c r="L8" s="52"/>
      <c r="M8" s="52">
        <f>K8+1</f>
        <v>45357</v>
      </c>
      <c r="N8" s="52"/>
      <c r="O8" s="52">
        <f>M8+1</f>
        <v>45358</v>
      </c>
      <c r="P8" s="52"/>
      <c r="Q8" s="52">
        <f>O8+1</f>
        <v>45359</v>
      </c>
      <c r="R8" s="52"/>
      <c r="S8" s="52">
        <f>Q8+1</f>
        <v>45360</v>
      </c>
      <c r="T8" s="52"/>
      <c r="U8" s="52">
        <f>S8+1</f>
        <v>45361</v>
      </c>
      <c r="V8" s="52"/>
      <c r="W8" s="52">
        <f>U8+1</f>
        <v>45362</v>
      </c>
      <c r="X8" s="52"/>
      <c r="Y8" s="52">
        <f>W8+1</f>
        <v>45363</v>
      </c>
      <c r="Z8" s="52"/>
      <c r="AA8" s="52">
        <f>Y8+1</f>
        <v>45364</v>
      </c>
      <c r="AB8" s="52"/>
      <c r="AC8" s="52">
        <f>AA8+1</f>
        <v>45365</v>
      </c>
      <c r="AD8" s="52"/>
      <c r="AE8" s="52">
        <f>AC8+1</f>
        <v>45366</v>
      </c>
      <c r="AF8" s="52"/>
      <c r="AG8" s="52">
        <f>AE8+1</f>
        <v>45367</v>
      </c>
      <c r="AH8" s="52"/>
      <c r="AI8" s="52">
        <f>AG8+1</f>
        <v>45368</v>
      </c>
      <c r="AJ8" s="52"/>
      <c r="AK8" s="52">
        <f>AI8+1</f>
        <v>45369</v>
      </c>
      <c r="AL8" s="52"/>
      <c r="AM8" s="52">
        <f>AK8+1</f>
        <v>45370</v>
      </c>
      <c r="AN8" s="52"/>
      <c r="AO8" s="52">
        <f>AM8+1</f>
        <v>45371</v>
      </c>
      <c r="AP8" s="52"/>
      <c r="AQ8" s="52">
        <f>AO8+1</f>
        <v>45372</v>
      </c>
      <c r="AR8" s="52"/>
      <c r="AS8" s="52">
        <f>AQ8+1</f>
        <v>45373</v>
      </c>
      <c r="AT8" s="52"/>
      <c r="AU8" s="52">
        <f>AS8+1</f>
        <v>45374</v>
      </c>
      <c r="AV8" s="52"/>
      <c r="AW8" s="52">
        <f>AU8+1</f>
        <v>45375</v>
      </c>
      <c r="AX8" s="52"/>
      <c r="AY8" s="52">
        <f>AW8+1</f>
        <v>45376</v>
      </c>
      <c r="AZ8" s="52"/>
      <c r="BA8" s="52">
        <f>AY8+1</f>
        <v>45377</v>
      </c>
      <c r="BB8" s="52"/>
      <c r="BC8" s="52">
        <f>BA8+1</f>
        <v>45378</v>
      </c>
      <c r="BD8" s="52"/>
      <c r="BE8" s="52">
        <f>BC8+1</f>
        <v>45379</v>
      </c>
      <c r="BF8" s="52"/>
      <c r="BG8" s="52">
        <f>BE8+1</f>
        <v>45380</v>
      </c>
      <c r="BH8" s="52"/>
      <c r="BI8" s="52">
        <f>BG8+1</f>
        <v>45381</v>
      </c>
      <c r="BJ8" s="52"/>
      <c r="BK8" s="52">
        <f>BI8+1</f>
        <v>45382</v>
      </c>
      <c r="BL8" s="52"/>
      <c r="BM8" s="52">
        <f>BK8+1</f>
        <v>45383</v>
      </c>
      <c r="BN8" s="52"/>
      <c r="BO8" s="52">
        <f>BM8+1</f>
        <v>45384</v>
      </c>
      <c r="BP8" s="52"/>
      <c r="BQ8" s="52">
        <f>BO8+1</f>
        <v>45385</v>
      </c>
      <c r="BR8" s="52"/>
      <c r="BS8" s="52">
        <f>BQ8+1</f>
        <v>45386</v>
      </c>
      <c r="BT8" s="52"/>
      <c r="BU8" s="52">
        <f>BS8+1</f>
        <v>45387</v>
      </c>
      <c r="BV8" s="52"/>
      <c r="BW8" s="52">
        <f>BU8+1</f>
        <v>45388</v>
      </c>
      <c r="BX8" s="52"/>
      <c r="BY8" s="52">
        <f>BW8+1</f>
        <v>45389</v>
      </c>
      <c r="BZ8" s="52"/>
      <c r="CA8" s="52">
        <f>BY8+1</f>
        <v>45390</v>
      </c>
      <c r="CB8" s="52"/>
      <c r="CC8" s="52">
        <f>CA8+1</f>
        <v>45391</v>
      </c>
      <c r="CD8" s="52"/>
      <c r="CE8" s="52">
        <f>CC8+1</f>
        <v>45392</v>
      </c>
      <c r="CF8" s="52"/>
      <c r="CG8" s="52">
        <f>CE8+1</f>
        <v>45393</v>
      </c>
      <c r="CH8" s="52"/>
      <c r="CI8" s="52">
        <f>CG8+1</f>
        <v>45394</v>
      </c>
      <c r="CJ8" s="52"/>
      <c r="CK8" s="52">
        <f>CI8+1</f>
        <v>45395</v>
      </c>
      <c r="CL8" s="52"/>
      <c r="CM8" s="52">
        <f>CK8+1</f>
        <v>45396</v>
      </c>
      <c r="CN8" s="52"/>
      <c r="CO8" s="52">
        <f>CM8+1</f>
        <v>45397</v>
      </c>
      <c r="CP8" s="52"/>
      <c r="CQ8" s="52">
        <f>CO8+1</f>
        <v>45398</v>
      </c>
      <c r="CR8" s="52"/>
      <c r="CS8" s="52">
        <f>CQ8+1</f>
        <v>45399</v>
      </c>
      <c r="CT8" s="52"/>
      <c r="CU8" s="52">
        <f>CS8+1</f>
        <v>45400</v>
      </c>
      <c r="CV8" s="52"/>
      <c r="CW8" s="52">
        <f>CU8+1</f>
        <v>45401</v>
      </c>
      <c r="CX8" s="52"/>
      <c r="CY8" s="52">
        <f>CW8+1</f>
        <v>45402</v>
      </c>
      <c r="CZ8" s="52"/>
      <c r="DA8" s="52">
        <f>CY8+1</f>
        <v>45403</v>
      </c>
      <c r="DB8" s="52"/>
      <c r="DC8" s="52">
        <f>DA8+1</f>
        <v>45404</v>
      </c>
      <c r="DD8" s="52"/>
      <c r="DE8" s="52">
        <f>DC8+1</f>
        <v>45405</v>
      </c>
      <c r="DF8" s="52"/>
      <c r="DG8" s="52">
        <f>DE8+1</f>
        <v>45406</v>
      </c>
      <c r="DH8" s="52"/>
      <c r="DI8" s="52">
        <f>DG8+1</f>
        <v>45407</v>
      </c>
      <c r="DJ8" s="52"/>
      <c r="DK8" s="52">
        <f>DI8+1</f>
        <v>45408</v>
      </c>
      <c r="DL8" s="52"/>
      <c r="DM8" s="52">
        <f>DK8+1</f>
        <v>45409</v>
      </c>
      <c r="DN8" s="52"/>
      <c r="DO8" s="52">
        <f>DM8+1</f>
        <v>45410</v>
      </c>
      <c r="DP8" s="52"/>
      <c r="DQ8" s="627">
        <f>DO8+1</f>
        <v>45411</v>
      </c>
      <c r="DR8" s="627"/>
      <c r="DS8" s="627">
        <f>DQ8+1</f>
        <v>45412</v>
      </c>
      <c r="DT8" s="627"/>
      <c r="DU8" s="627">
        <f>DS8+1</f>
        <v>45413</v>
      </c>
      <c r="DV8" s="627"/>
      <c r="DW8" s="920"/>
      <c r="DX8" s="915"/>
      <c r="DY8" s="916"/>
      <c r="DZ8" s="916"/>
    </row>
    <row r="9" spans="1:182" ht="15" thickBot="1" x14ac:dyDescent="0.35">
      <c r="A9" s="1203"/>
      <c r="B9" s="1204"/>
      <c r="C9" s="1199" t="str">
        <f t="shared" ref="C9:BK9" si="0">UPPER(TEXT(C8,"DDDD"))</f>
        <v>VIERNES</v>
      </c>
      <c r="D9" s="1199"/>
      <c r="E9" s="1199" t="str">
        <f t="shared" si="0"/>
        <v>SÁBADO</v>
      </c>
      <c r="F9" s="1199"/>
      <c r="G9" s="1199" t="str">
        <f t="shared" si="0"/>
        <v>DOMINGO</v>
      </c>
      <c r="H9" s="1199"/>
      <c r="I9" s="1199" t="str">
        <f t="shared" si="0"/>
        <v>LUNES</v>
      </c>
      <c r="J9" s="1199"/>
      <c r="K9" s="1199" t="str">
        <f t="shared" si="0"/>
        <v>MARTES</v>
      </c>
      <c r="L9" s="1199"/>
      <c r="M9" s="1199" t="str">
        <f t="shared" si="0"/>
        <v>MIÉRCOLES</v>
      </c>
      <c r="N9" s="1199"/>
      <c r="O9" s="1199" t="str">
        <f t="shared" si="0"/>
        <v>JUEVES</v>
      </c>
      <c r="P9" s="1199"/>
      <c r="Q9" s="1199" t="str">
        <f t="shared" si="0"/>
        <v>VIERNES</v>
      </c>
      <c r="R9" s="1199"/>
      <c r="S9" s="1199" t="str">
        <f t="shared" si="0"/>
        <v>SÁBADO</v>
      </c>
      <c r="T9" s="1199"/>
      <c r="U9" s="1199" t="str">
        <f t="shared" si="0"/>
        <v>DOMINGO</v>
      </c>
      <c r="V9" s="1199"/>
      <c r="W9" s="1199" t="str">
        <f t="shared" si="0"/>
        <v>LUNES</v>
      </c>
      <c r="X9" s="1199"/>
      <c r="Y9" s="1199" t="str">
        <f t="shared" si="0"/>
        <v>MARTES</v>
      </c>
      <c r="Z9" s="1199"/>
      <c r="AA9" s="1199" t="str">
        <f t="shared" si="0"/>
        <v>MIÉRCOLES</v>
      </c>
      <c r="AB9" s="1199"/>
      <c r="AC9" s="1199" t="str">
        <f t="shared" si="0"/>
        <v>JUEVES</v>
      </c>
      <c r="AD9" s="1199"/>
      <c r="AE9" s="1199" t="str">
        <f t="shared" si="0"/>
        <v>VIERNES</v>
      </c>
      <c r="AF9" s="1199"/>
      <c r="AG9" s="1199" t="str">
        <f t="shared" si="0"/>
        <v>SÁBADO</v>
      </c>
      <c r="AH9" s="1199"/>
      <c r="AI9" s="1199" t="str">
        <f t="shared" si="0"/>
        <v>DOMINGO</v>
      </c>
      <c r="AJ9" s="1199"/>
      <c r="AK9" s="1199" t="str">
        <f t="shared" si="0"/>
        <v>LUNES</v>
      </c>
      <c r="AL9" s="1199"/>
      <c r="AM9" s="1199" t="str">
        <f t="shared" si="0"/>
        <v>MARTES</v>
      </c>
      <c r="AN9" s="1199"/>
      <c r="AO9" s="1199" t="str">
        <f t="shared" si="0"/>
        <v>MIÉRCOLES</v>
      </c>
      <c r="AP9" s="1199"/>
      <c r="AQ9" s="1199" t="str">
        <f t="shared" si="0"/>
        <v>JUEVES</v>
      </c>
      <c r="AR9" s="1199"/>
      <c r="AS9" s="1199" t="str">
        <f t="shared" si="0"/>
        <v>VIERNES</v>
      </c>
      <c r="AT9" s="1199"/>
      <c r="AU9" s="1199" t="str">
        <f t="shared" si="0"/>
        <v>SÁBADO</v>
      </c>
      <c r="AV9" s="1199"/>
      <c r="AW9" s="1197" t="str">
        <f t="shared" si="0"/>
        <v>DOMINGO</v>
      </c>
      <c r="AX9" s="1197"/>
      <c r="AY9" s="1197" t="str">
        <f t="shared" si="0"/>
        <v>LUNES</v>
      </c>
      <c r="AZ9" s="1197"/>
      <c r="BA9" s="1197" t="str">
        <f t="shared" si="0"/>
        <v>MARTES</v>
      </c>
      <c r="BB9" s="1197"/>
      <c r="BC9" s="1197" t="str">
        <f t="shared" si="0"/>
        <v>MIÉRCOLES</v>
      </c>
      <c r="BD9" s="1197"/>
      <c r="BE9" s="1197" t="str">
        <f t="shared" si="0"/>
        <v>JUEVES</v>
      </c>
      <c r="BF9" s="1197"/>
      <c r="BG9" s="1197" t="str">
        <f t="shared" si="0"/>
        <v>VIERNES</v>
      </c>
      <c r="BH9" s="1197"/>
      <c r="BI9" s="1197" t="str">
        <f t="shared" si="0"/>
        <v>SÁBADO</v>
      </c>
      <c r="BJ9" s="1197"/>
      <c r="BK9" s="1197" t="str">
        <f t="shared" si="0"/>
        <v>DOMINGO</v>
      </c>
      <c r="BL9" s="1197"/>
      <c r="BM9" s="1197" t="str">
        <f>UPPER(TEXT(BM8,"DDDD"))</f>
        <v>LUNES</v>
      </c>
      <c r="BN9" s="1197"/>
      <c r="BO9" s="1197" t="str">
        <f>UPPER(TEXT(BO8,"DDDD"))</f>
        <v>MARTES</v>
      </c>
      <c r="BP9" s="1197"/>
      <c r="BQ9" s="1197" t="str">
        <f>UPPER(TEXT(BQ8,"DDDD"))</f>
        <v>MIÉRCOLES</v>
      </c>
      <c r="BR9" s="1197"/>
      <c r="BS9" s="1197" t="str">
        <f>UPPER(TEXT(BS8,"DDDD"))</f>
        <v>JUEVES</v>
      </c>
      <c r="BT9" s="1197"/>
      <c r="BU9" s="1197" t="str">
        <f>UPPER(TEXT(BU8,"DDDD"))</f>
        <v>VIERNES</v>
      </c>
      <c r="BV9" s="1197"/>
      <c r="BW9" s="1197" t="str">
        <f>UPPER(TEXT(BW8,"DDDD"))</f>
        <v>SÁBADO</v>
      </c>
      <c r="BX9" s="1197"/>
      <c r="BY9" s="1197" t="str">
        <f>UPPER(TEXT(BY8,"DDDD"))</f>
        <v>DOMINGO</v>
      </c>
      <c r="BZ9" s="1197"/>
      <c r="CA9" s="1197" t="str">
        <f>UPPER(TEXT(CA8,"DDDD"))</f>
        <v>LUNES</v>
      </c>
      <c r="CB9" s="1197"/>
      <c r="CC9" s="1197" t="str">
        <f>UPPER(TEXT(CC8,"DDDD"))</f>
        <v>MARTES</v>
      </c>
      <c r="CD9" s="1197"/>
      <c r="CE9" s="1197" t="str">
        <f>UPPER(TEXT(CE8,"DDDD"))</f>
        <v>MIÉRCOLES</v>
      </c>
      <c r="CF9" s="1197"/>
      <c r="CG9" s="1197" t="str">
        <f>UPPER(TEXT(CG8,"DDDD"))</f>
        <v>JUEVES</v>
      </c>
      <c r="CH9" s="1197"/>
      <c r="CI9" s="1197" t="str">
        <f>UPPER(TEXT(CI8,"DDDD"))</f>
        <v>VIERNES</v>
      </c>
      <c r="CJ9" s="1197"/>
      <c r="CK9" s="1197" t="str">
        <f>UPPER(TEXT(CK8,"DDDD"))</f>
        <v>SÁBADO</v>
      </c>
      <c r="CL9" s="1197"/>
      <c r="CM9" s="1197" t="str">
        <f>UPPER(TEXT(CM8,"DDDD"))</f>
        <v>DOMINGO</v>
      </c>
      <c r="CN9" s="1197"/>
      <c r="CO9" s="1197" t="str">
        <f>UPPER(TEXT(CO8,"DDDD"))</f>
        <v>LUNES</v>
      </c>
      <c r="CP9" s="1197"/>
      <c r="CQ9" s="1197" t="str">
        <f>UPPER(TEXT(CQ8,"DDDD"))</f>
        <v>MARTES</v>
      </c>
      <c r="CR9" s="1197"/>
      <c r="CS9" s="1197" t="str">
        <f>UPPER(TEXT(CS8,"DDDD"))</f>
        <v>MIÉRCOLES</v>
      </c>
      <c r="CT9" s="1197"/>
      <c r="CU9" s="1197" t="str">
        <f>UPPER(TEXT(CU8,"DDDD"))</f>
        <v>JUEVES</v>
      </c>
      <c r="CV9" s="1197"/>
      <c r="CW9" s="1197" t="str">
        <f>UPPER(TEXT(CW8,"DDDD"))</f>
        <v>VIERNES</v>
      </c>
      <c r="CX9" s="1197"/>
      <c r="CY9" s="1197" t="str">
        <f>UPPER(TEXT(CY8,"DDDD"))</f>
        <v>SÁBADO</v>
      </c>
      <c r="CZ9" s="1197"/>
      <c r="DA9" s="1197" t="str">
        <f>UPPER(TEXT(DA8,"DDDD"))</f>
        <v>DOMINGO</v>
      </c>
      <c r="DB9" s="1197"/>
      <c r="DC9" s="1197" t="str">
        <f>UPPER(TEXT(DC8,"DDDD"))</f>
        <v>LUNES</v>
      </c>
      <c r="DD9" s="1197"/>
      <c r="DE9" s="1197" t="str">
        <f>UPPER(TEXT(DE8,"DDDD"))</f>
        <v>MARTES</v>
      </c>
      <c r="DF9" s="1197"/>
      <c r="DG9" s="1197" t="str">
        <f>UPPER(TEXT(DG8,"DDDD"))</f>
        <v>MIÉRCOLES</v>
      </c>
      <c r="DH9" s="1197"/>
      <c r="DI9" s="1197" t="str">
        <f>UPPER(TEXT(DI8,"DDDD"))</f>
        <v>JUEVES</v>
      </c>
      <c r="DJ9" s="1197"/>
      <c r="DK9" s="1197" t="str">
        <f>UPPER(TEXT(DK8,"DDDD"))</f>
        <v>VIERNES</v>
      </c>
      <c r="DL9" s="1197"/>
      <c r="DM9" s="1197" t="str">
        <f>UPPER(TEXT(DM8,"DDDD"))</f>
        <v>SÁBADO</v>
      </c>
      <c r="DN9" s="1197"/>
      <c r="DO9" s="1197" t="str">
        <f>UPPER(TEXT(DO8,"DDDD"))</f>
        <v>DOMINGO</v>
      </c>
      <c r="DP9" s="1197"/>
      <c r="DQ9" s="1197" t="str">
        <f>UPPER(TEXT(DQ8,"DDDD"))</f>
        <v>LUNES</v>
      </c>
      <c r="DR9" s="1197"/>
      <c r="DS9" s="1197" t="str">
        <f>UPPER(TEXT(DS8,"DDDD"))</f>
        <v>MARTES</v>
      </c>
      <c r="DT9" s="1197"/>
      <c r="DU9" s="1197" t="str">
        <f>UPPER(TEXT(DU8,"DDDD"))</f>
        <v>MIÉRCOLES</v>
      </c>
      <c r="DV9" s="1197"/>
      <c r="DW9" s="921"/>
      <c r="DX9" s="918"/>
      <c r="DY9" s="918"/>
      <c r="DZ9" s="919"/>
    </row>
    <row r="10" spans="1:182" ht="15" thickBot="1" x14ac:dyDescent="0.35">
      <c r="A10" s="1203"/>
      <c r="B10" s="1204"/>
      <c r="C10" s="1198" t="str">
        <f>TEXT(C8,"D")</f>
        <v>1</v>
      </c>
      <c r="D10" s="1198"/>
      <c r="E10" s="1198" t="str">
        <f t="shared" ref="E10:BK10" si="1">TEXT(E8,"D")</f>
        <v>2</v>
      </c>
      <c r="F10" s="1198"/>
      <c r="G10" s="1198" t="str">
        <f t="shared" si="1"/>
        <v>3</v>
      </c>
      <c r="H10" s="1198"/>
      <c r="I10" s="1198" t="str">
        <f t="shared" si="1"/>
        <v>4</v>
      </c>
      <c r="J10" s="1198"/>
      <c r="K10" s="1198" t="str">
        <f t="shared" si="1"/>
        <v>5</v>
      </c>
      <c r="L10" s="1198"/>
      <c r="M10" s="1198" t="str">
        <f t="shared" si="1"/>
        <v>6</v>
      </c>
      <c r="N10" s="1198"/>
      <c r="O10" s="1198" t="str">
        <f t="shared" si="1"/>
        <v>7</v>
      </c>
      <c r="P10" s="1198"/>
      <c r="Q10" s="1198" t="str">
        <f t="shared" si="1"/>
        <v>8</v>
      </c>
      <c r="R10" s="1198"/>
      <c r="S10" s="1198" t="str">
        <f t="shared" si="1"/>
        <v>9</v>
      </c>
      <c r="T10" s="1198"/>
      <c r="U10" s="1198" t="str">
        <f t="shared" si="1"/>
        <v>10</v>
      </c>
      <c r="V10" s="1198"/>
      <c r="W10" s="1198" t="str">
        <f t="shared" si="1"/>
        <v>11</v>
      </c>
      <c r="X10" s="1198"/>
      <c r="Y10" s="1198" t="str">
        <f t="shared" si="1"/>
        <v>12</v>
      </c>
      <c r="Z10" s="1198"/>
      <c r="AA10" s="1198" t="str">
        <f t="shared" si="1"/>
        <v>13</v>
      </c>
      <c r="AB10" s="1198"/>
      <c r="AC10" s="1198" t="str">
        <f t="shared" si="1"/>
        <v>14</v>
      </c>
      <c r="AD10" s="1198"/>
      <c r="AE10" s="1198" t="str">
        <f t="shared" si="1"/>
        <v>15</v>
      </c>
      <c r="AF10" s="1198"/>
      <c r="AG10" s="1198" t="str">
        <f t="shared" si="1"/>
        <v>16</v>
      </c>
      <c r="AH10" s="1198"/>
      <c r="AI10" s="1198" t="str">
        <f t="shared" si="1"/>
        <v>17</v>
      </c>
      <c r="AJ10" s="1198"/>
      <c r="AK10" s="1198" t="str">
        <f t="shared" si="1"/>
        <v>18</v>
      </c>
      <c r="AL10" s="1198"/>
      <c r="AM10" s="1198" t="str">
        <f t="shared" si="1"/>
        <v>19</v>
      </c>
      <c r="AN10" s="1198"/>
      <c r="AO10" s="1198" t="str">
        <f t="shared" si="1"/>
        <v>20</v>
      </c>
      <c r="AP10" s="1198"/>
      <c r="AQ10" s="1198" t="str">
        <f t="shared" si="1"/>
        <v>21</v>
      </c>
      <c r="AR10" s="1198"/>
      <c r="AS10" s="1198" t="str">
        <f t="shared" si="1"/>
        <v>22</v>
      </c>
      <c r="AT10" s="1198"/>
      <c r="AU10" s="1198" t="str">
        <f t="shared" si="1"/>
        <v>23</v>
      </c>
      <c r="AV10" s="1198"/>
      <c r="AW10" s="1198" t="str">
        <f t="shared" si="1"/>
        <v>24</v>
      </c>
      <c r="AX10" s="1198"/>
      <c r="AY10" s="1198" t="str">
        <f t="shared" si="1"/>
        <v>25</v>
      </c>
      <c r="AZ10" s="1198"/>
      <c r="BA10" s="1198" t="str">
        <f t="shared" si="1"/>
        <v>26</v>
      </c>
      <c r="BB10" s="1198"/>
      <c r="BC10" s="1198" t="str">
        <f t="shared" si="1"/>
        <v>27</v>
      </c>
      <c r="BD10" s="1198"/>
      <c r="BE10" s="1198" t="str">
        <f t="shared" si="1"/>
        <v>28</v>
      </c>
      <c r="BF10" s="1198"/>
      <c r="BG10" s="1198" t="str">
        <f t="shared" si="1"/>
        <v>29</v>
      </c>
      <c r="BH10" s="1198"/>
      <c r="BI10" s="1198" t="str">
        <f t="shared" si="1"/>
        <v>30</v>
      </c>
      <c r="BJ10" s="1198"/>
      <c r="BK10" s="1198" t="str">
        <f t="shared" si="1"/>
        <v>31</v>
      </c>
      <c r="BL10" s="1198"/>
      <c r="BM10" s="1198" t="str">
        <f>TEXT(BM8,"D")</f>
        <v>1</v>
      </c>
      <c r="BN10" s="1198"/>
      <c r="BO10" s="1198" t="str">
        <f>TEXT(BO8,"D")</f>
        <v>2</v>
      </c>
      <c r="BP10" s="1198"/>
      <c r="BQ10" s="1198" t="str">
        <f>TEXT(BQ8,"D")</f>
        <v>3</v>
      </c>
      <c r="BR10" s="1198"/>
      <c r="BS10" s="1198" t="str">
        <f>TEXT(BS8,"D")</f>
        <v>4</v>
      </c>
      <c r="BT10" s="1198"/>
      <c r="BU10" s="1198" t="str">
        <f>TEXT(BU8,"D")</f>
        <v>5</v>
      </c>
      <c r="BV10" s="1198"/>
      <c r="BW10" s="1198" t="str">
        <f>TEXT(BW8,"D")</f>
        <v>6</v>
      </c>
      <c r="BX10" s="1198"/>
      <c r="BY10" s="1198" t="str">
        <f>TEXT(BY8,"D")</f>
        <v>7</v>
      </c>
      <c r="BZ10" s="1198"/>
      <c r="CA10" s="1198" t="str">
        <f>TEXT(CA8,"D")</f>
        <v>8</v>
      </c>
      <c r="CB10" s="1198"/>
      <c r="CC10" s="1198" t="str">
        <f>TEXT(CC8,"D")</f>
        <v>9</v>
      </c>
      <c r="CD10" s="1198"/>
      <c r="CE10" s="1198" t="str">
        <f>TEXT(CE8,"D")</f>
        <v>10</v>
      </c>
      <c r="CF10" s="1198"/>
      <c r="CG10" s="1198" t="str">
        <f>TEXT(CG8,"D")</f>
        <v>11</v>
      </c>
      <c r="CH10" s="1198"/>
      <c r="CI10" s="1198" t="str">
        <f>TEXT(CI8,"D")</f>
        <v>12</v>
      </c>
      <c r="CJ10" s="1198"/>
      <c r="CK10" s="1198" t="str">
        <f>TEXT(CK8,"D")</f>
        <v>13</v>
      </c>
      <c r="CL10" s="1198"/>
      <c r="CM10" s="1198" t="str">
        <f>TEXT(CM8,"D")</f>
        <v>14</v>
      </c>
      <c r="CN10" s="1198"/>
      <c r="CO10" s="1198" t="str">
        <f>TEXT(CO8,"D")</f>
        <v>15</v>
      </c>
      <c r="CP10" s="1198"/>
      <c r="CQ10" s="1198" t="str">
        <f>TEXT(CQ8,"D")</f>
        <v>16</v>
      </c>
      <c r="CR10" s="1198"/>
      <c r="CS10" s="1198" t="str">
        <f>TEXT(CS8,"D")</f>
        <v>17</v>
      </c>
      <c r="CT10" s="1198"/>
      <c r="CU10" s="1198" t="str">
        <f>TEXT(CU8,"D")</f>
        <v>18</v>
      </c>
      <c r="CV10" s="1198"/>
      <c r="CW10" s="1198" t="str">
        <f>TEXT(CW8,"D")</f>
        <v>19</v>
      </c>
      <c r="CX10" s="1198"/>
      <c r="CY10" s="1198" t="str">
        <f>TEXT(CY8,"D")</f>
        <v>20</v>
      </c>
      <c r="CZ10" s="1198"/>
      <c r="DA10" s="1198" t="str">
        <f>TEXT(DA8,"D")</f>
        <v>21</v>
      </c>
      <c r="DB10" s="1198"/>
      <c r="DC10" s="1198" t="str">
        <f>TEXT(DC8,"D")</f>
        <v>22</v>
      </c>
      <c r="DD10" s="1198"/>
      <c r="DE10" s="1198" t="str">
        <f>TEXT(DE8,"D")</f>
        <v>23</v>
      </c>
      <c r="DF10" s="1198"/>
      <c r="DG10" s="1198" t="str">
        <f>TEXT(DG8,"D")</f>
        <v>24</v>
      </c>
      <c r="DH10" s="1198"/>
      <c r="DI10" s="1198" t="str">
        <f>TEXT(DI8,"D")</f>
        <v>25</v>
      </c>
      <c r="DJ10" s="1198"/>
      <c r="DK10" s="1198" t="str">
        <f>TEXT(DK8,"D")</f>
        <v>26</v>
      </c>
      <c r="DL10" s="1198"/>
      <c r="DM10" s="1198" t="str">
        <f>TEXT(DM8,"D")</f>
        <v>27</v>
      </c>
      <c r="DN10" s="1198"/>
      <c r="DO10" s="1198" t="str">
        <f>TEXT(DO8,"D")</f>
        <v>28</v>
      </c>
      <c r="DP10" s="1198"/>
      <c r="DQ10" s="1198" t="str">
        <f>TEXT(DQ8,"D")</f>
        <v>29</v>
      </c>
      <c r="DR10" s="1198"/>
      <c r="DS10" s="1198" t="str">
        <f>TEXT(DS8,"D")</f>
        <v>30</v>
      </c>
      <c r="DT10" s="1198"/>
      <c r="DU10" s="1198" t="str">
        <f>TEXT(DU8,"D")</f>
        <v>1</v>
      </c>
      <c r="DV10" s="1198"/>
      <c r="DW10" s="922"/>
      <c r="DX10" s="918" t="s">
        <v>886</v>
      </c>
      <c r="DY10" s="927">
        <v>1</v>
      </c>
      <c r="DZ10" s="919"/>
    </row>
    <row r="11" spans="1:182" ht="28.8" x14ac:dyDescent="0.3">
      <c r="A11" s="287" t="s">
        <v>819</v>
      </c>
      <c r="B11" s="208" t="str">
        <f>A11&amp;" / "&amp;VLOOKUP(A11,PANELDETRABAJO,2,FALSE)</f>
        <v>G1-E / CORONEL BASCUR VILLAGRAN GERARDO ANTONIO</v>
      </c>
      <c r="C11" s="43" t="s">
        <v>853</v>
      </c>
      <c r="D11" s="43" t="s">
        <v>1163</v>
      </c>
      <c r="E11" s="43" t="s">
        <v>855</v>
      </c>
      <c r="F11" s="43" t="s">
        <v>1163</v>
      </c>
      <c r="G11" s="43" t="s">
        <v>855</v>
      </c>
      <c r="H11" s="43" t="s">
        <v>1163</v>
      </c>
      <c r="I11" s="43" t="s">
        <v>853</v>
      </c>
      <c r="J11" s="43" t="s">
        <v>1163</v>
      </c>
      <c r="K11" s="43" t="s">
        <v>853</v>
      </c>
      <c r="L11" s="43" t="s">
        <v>1163</v>
      </c>
      <c r="M11" s="43" t="s">
        <v>853</v>
      </c>
      <c r="N11" s="43" t="s">
        <v>1163</v>
      </c>
      <c r="O11" s="43" t="s">
        <v>853</v>
      </c>
      <c r="P11" s="43" t="s">
        <v>1163</v>
      </c>
      <c r="Q11" s="43" t="s">
        <v>853</v>
      </c>
      <c r="R11" s="43" t="s">
        <v>1163</v>
      </c>
      <c r="S11" s="43" t="s">
        <v>855</v>
      </c>
      <c r="T11" s="43" t="s">
        <v>1163</v>
      </c>
      <c r="U11" s="43" t="s">
        <v>855</v>
      </c>
      <c r="V11" s="43" t="s">
        <v>1163</v>
      </c>
      <c r="W11" s="43" t="s">
        <v>853</v>
      </c>
      <c r="X11" s="43" t="s">
        <v>1163</v>
      </c>
      <c r="Y11" s="43" t="s">
        <v>853</v>
      </c>
      <c r="Z11" s="43" t="s">
        <v>1163</v>
      </c>
      <c r="AA11" s="43" t="s">
        <v>853</v>
      </c>
      <c r="AB11" s="43" t="s">
        <v>1163</v>
      </c>
      <c r="AC11" s="43" t="s">
        <v>853</v>
      </c>
      <c r="AD11" s="43" t="s">
        <v>1163</v>
      </c>
      <c r="AE11" s="43" t="s">
        <v>853</v>
      </c>
      <c r="AF11" s="43" t="s">
        <v>1163</v>
      </c>
      <c r="AG11" s="43" t="s">
        <v>855</v>
      </c>
      <c r="AH11" s="43" t="s">
        <v>1163</v>
      </c>
      <c r="AI11" s="43" t="s">
        <v>855</v>
      </c>
      <c r="AJ11" s="43" t="s">
        <v>1163</v>
      </c>
      <c r="AK11" s="43" t="s">
        <v>853</v>
      </c>
      <c r="AL11" s="43" t="s">
        <v>1163</v>
      </c>
      <c r="AM11" s="43" t="s">
        <v>853</v>
      </c>
      <c r="AN11" s="43" t="s">
        <v>1163</v>
      </c>
      <c r="AO11" s="43" t="s">
        <v>853</v>
      </c>
      <c r="AP11" s="43" t="s">
        <v>1163</v>
      </c>
      <c r="AQ11" s="43" t="s">
        <v>853</v>
      </c>
      <c r="AR11" s="43" t="s">
        <v>1163</v>
      </c>
      <c r="AS11" s="43" t="s">
        <v>853</v>
      </c>
      <c r="AT11" s="43" t="s">
        <v>1163</v>
      </c>
      <c r="AU11" s="43" t="s">
        <v>853</v>
      </c>
      <c r="AV11" s="43" t="s">
        <v>1163</v>
      </c>
      <c r="AW11" s="43" t="s">
        <v>853</v>
      </c>
      <c r="AX11" s="43" t="s">
        <v>1163</v>
      </c>
      <c r="AY11" s="43" t="s">
        <v>853</v>
      </c>
      <c r="AZ11" s="43" t="s">
        <v>1163</v>
      </c>
      <c r="BA11" s="43" t="s">
        <v>853</v>
      </c>
      <c r="BB11" s="43" t="s">
        <v>1163</v>
      </c>
      <c r="BC11" s="43" t="s">
        <v>853</v>
      </c>
      <c r="BD11" s="43" t="s">
        <v>1163</v>
      </c>
      <c r="BE11" s="43" t="s">
        <v>853</v>
      </c>
      <c r="BF11" s="43" t="s">
        <v>3363</v>
      </c>
      <c r="BG11" s="43" t="s">
        <v>853</v>
      </c>
      <c r="BH11" s="43" t="s">
        <v>3363</v>
      </c>
      <c r="BI11" s="43" t="s">
        <v>855</v>
      </c>
      <c r="BJ11" s="43" t="s">
        <v>1163</v>
      </c>
      <c r="BK11" s="43" t="s">
        <v>855</v>
      </c>
      <c r="BL11" s="43" t="s">
        <v>1163</v>
      </c>
      <c r="BM11" s="43" t="s">
        <v>853</v>
      </c>
      <c r="BN11" s="43" t="s">
        <v>1163</v>
      </c>
      <c r="BO11" s="43" t="s">
        <v>853</v>
      </c>
      <c r="BP11" s="43" t="s">
        <v>1163</v>
      </c>
      <c r="BQ11" s="43" t="s">
        <v>853</v>
      </c>
      <c r="BR11" s="43" t="s">
        <v>1163</v>
      </c>
      <c r="BS11" s="43" t="s">
        <v>853</v>
      </c>
      <c r="BT11" s="43" t="s">
        <v>1163</v>
      </c>
      <c r="BU11" s="43" t="s">
        <v>853</v>
      </c>
      <c r="BV11" s="43" t="s">
        <v>1163</v>
      </c>
      <c r="BW11" s="43" t="s">
        <v>855</v>
      </c>
      <c r="BX11" s="43" t="s">
        <v>1163</v>
      </c>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t="s">
        <v>1163</v>
      </c>
      <c r="DU11" s="43"/>
      <c r="DV11" s="43"/>
      <c r="DW11" s="923"/>
      <c r="DX11" s="508" t="str">
        <f>A11</f>
        <v>G1-E</v>
      </c>
      <c r="DY11" s="509" t="str">
        <f>UPPER(IF(VLOOKUP(A11,TabladeServicio,MATCH($B$2,$A$8:$DT$8,0),0)=0,"",VLOOKUP(A11,TabladeServicio,MATCH($B$2,$A$8:$DT$8,0),0)))</f>
        <v>F</v>
      </c>
      <c r="DZ11" s="509" t="str">
        <f>UPPER(IF(VLOOKUP(A11,TabladeServicio,MATCH($B$2,$A$8:$DT$8,0)+1,0)=0,"",VLOOKUP(A11,TabladeServicio,MATCH($B$2,$A$8:$DT$8,0)+1,0)))</f>
        <v>PREFECTO</v>
      </c>
    </row>
    <row r="12" spans="1:182" ht="28.8" x14ac:dyDescent="0.3">
      <c r="A12" s="287" t="s">
        <v>694</v>
      </c>
      <c r="B12" s="208" t="str">
        <f>A12&amp;" / "&amp;VLOOKUP(A12,PANELDETRABAJO,2,FALSE)</f>
        <v>G2-E / TTE. CRL. MATUS TORRES CRISTIAN GABRIEL GASTON</v>
      </c>
      <c r="C12" s="43" t="s">
        <v>853</v>
      </c>
      <c r="D12" s="43" t="s">
        <v>2662</v>
      </c>
      <c r="E12" s="43" t="s">
        <v>855</v>
      </c>
      <c r="F12" s="43" t="s">
        <v>2662</v>
      </c>
      <c r="G12" s="43" t="s">
        <v>855</v>
      </c>
      <c r="H12" s="43" t="s">
        <v>2662</v>
      </c>
      <c r="I12" s="43" t="s">
        <v>853</v>
      </c>
      <c r="J12" s="43" t="s">
        <v>2662</v>
      </c>
      <c r="K12" s="43" t="s">
        <v>853</v>
      </c>
      <c r="L12" s="43" t="s">
        <v>2662</v>
      </c>
      <c r="M12" s="43" t="s">
        <v>853</v>
      </c>
      <c r="N12" s="43" t="s">
        <v>2662</v>
      </c>
      <c r="O12" s="43" t="s">
        <v>853</v>
      </c>
      <c r="P12" s="43" t="s">
        <v>2662</v>
      </c>
      <c r="Q12" s="43" t="s">
        <v>853</v>
      </c>
      <c r="R12" s="43" t="s">
        <v>2662</v>
      </c>
      <c r="S12" s="43" t="s">
        <v>855</v>
      </c>
      <c r="T12" s="43" t="s">
        <v>2662</v>
      </c>
      <c r="U12" s="43" t="s">
        <v>855</v>
      </c>
      <c r="V12" s="43" t="s">
        <v>2662</v>
      </c>
      <c r="W12" s="43" t="s">
        <v>853</v>
      </c>
      <c r="X12" s="43" t="s">
        <v>2662</v>
      </c>
      <c r="Y12" s="43" t="s">
        <v>853</v>
      </c>
      <c r="Z12" s="43" t="s">
        <v>2662</v>
      </c>
      <c r="AA12" s="43" t="s">
        <v>853</v>
      </c>
      <c r="AB12" s="43" t="s">
        <v>2662</v>
      </c>
      <c r="AC12" s="43" t="s">
        <v>853</v>
      </c>
      <c r="AD12" s="43" t="s">
        <v>2662</v>
      </c>
      <c r="AE12" s="43" t="s">
        <v>853</v>
      </c>
      <c r="AF12" s="43" t="s">
        <v>2662</v>
      </c>
      <c r="AG12" s="43" t="s">
        <v>853</v>
      </c>
      <c r="AH12" s="43" t="s">
        <v>2662</v>
      </c>
      <c r="AI12" s="43" t="s">
        <v>853</v>
      </c>
      <c r="AJ12" s="43" t="s">
        <v>2662</v>
      </c>
      <c r="AK12" s="43" t="s">
        <v>853</v>
      </c>
      <c r="AL12" s="43" t="s">
        <v>2662</v>
      </c>
      <c r="AM12" s="43" t="s">
        <v>853</v>
      </c>
      <c r="AN12" s="43" t="s">
        <v>2662</v>
      </c>
      <c r="AO12" s="43" t="s">
        <v>853</v>
      </c>
      <c r="AP12" s="43" t="s">
        <v>2662</v>
      </c>
      <c r="AQ12" s="43" t="s">
        <v>853</v>
      </c>
      <c r="AR12" s="43" t="s">
        <v>2662</v>
      </c>
      <c r="AS12" s="43" t="s">
        <v>853</v>
      </c>
      <c r="AT12" s="43" t="s">
        <v>2662</v>
      </c>
      <c r="AU12" s="43" t="s">
        <v>855</v>
      </c>
      <c r="AV12" s="43" t="s">
        <v>2662</v>
      </c>
      <c r="AW12" s="43" t="s">
        <v>855</v>
      </c>
      <c r="AX12" s="43" t="s">
        <v>2662</v>
      </c>
      <c r="AY12" s="43" t="s">
        <v>853</v>
      </c>
      <c r="AZ12" s="43" t="s">
        <v>2662</v>
      </c>
      <c r="BA12" s="43" t="s">
        <v>853</v>
      </c>
      <c r="BB12" s="43" t="s">
        <v>2662</v>
      </c>
      <c r="BC12" s="43" t="s">
        <v>853</v>
      </c>
      <c r="BD12" s="43" t="s">
        <v>2662</v>
      </c>
      <c r="BE12" s="43" t="s">
        <v>853</v>
      </c>
      <c r="BF12" s="43" t="s">
        <v>3364</v>
      </c>
      <c r="BG12" s="43" t="s">
        <v>853</v>
      </c>
      <c r="BH12" s="43" t="s">
        <v>3364</v>
      </c>
      <c r="BI12" s="43" t="s">
        <v>855</v>
      </c>
      <c r="BJ12" s="43" t="s">
        <v>2662</v>
      </c>
      <c r="BK12" s="43" t="s">
        <v>855</v>
      </c>
      <c r="BL12" s="43" t="s">
        <v>2662</v>
      </c>
      <c r="BM12" s="43" t="s">
        <v>853</v>
      </c>
      <c r="BN12" s="43" t="s">
        <v>2662</v>
      </c>
      <c r="BO12" s="43" t="s">
        <v>853</v>
      </c>
      <c r="BP12" s="43" t="s">
        <v>2662</v>
      </c>
      <c r="BQ12" s="43" t="s">
        <v>853</v>
      </c>
      <c r="BR12" s="43" t="s">
        <v>2662</v>
      </c>
      <c r="BS12" s="43" t="s">
        <v>853</v>
      </c>
      <c r="BT12" s="43" t="s">
        <v>2662</v>
      </c>
      <c r="BU12" s="43" t="s">
        <v>853</v>
      </c>
      <c r="BV12" s="43" t="s">
        <v>2662</v>
      </c>
      <c r="BW12" s="43" t="s">
        <v>855</v>
      </c>
      <c r="BX12" s="43" t="s">
        <v>2662</v>
      </c>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t="s">
        <v>2662</v>
      </c>
      <c r="DU12" s="43"/>
      <c r="DV12" s="43"/>
      <c r="DW12" s="923"/>
      <c r="DX12" s="510" t="str">
        <f t="shared" ref="DX12:DX15" si="2">A12</f>
        <v>G2-E</v>
      </c>
      <c r="DY12" s="511" t="str">
        <f t="shared" ref="DY12:DY15" si="3">UPPER(IF(VLOOKUP(A12,TabladeServicio,MATCH($B$2,$A$8:$DT$8,0),0)=0,"",VLOOKUP(A12,TabladeServicio,MATCH($B$2,$A$8:$DT$8,0),0)))</f>
        <v>F</v>
      </c>
      <c r="DZ12" s="511" t="str">
        <f>UPPER(IF(VLOOKUP(A12,TabladeServicio,MATCH($B$2,$A$8:$DT$8,0)+1,0)=0,"",VLOOKUP(A12,TabladeServicio,MATCH($B$2,$A$8:$DT$8,0)+1,0)))</f>
        <v>SUBPREF. SERV. 1</v>
      </c>
    </row>
    <row r="13" spans="1:182" ht="28.8" x14ac:dyDescent="0.3">
      <c r="A13" s="287" t="s">
        <v>695</v>
      </c>
      <c r="B13" s="208" t="str">
        <f>A13&amp;" / "&amp;VLOOKUP(A13,PANELDETRABAJO,2,FALSE)</f>
        <v>G3-E / TTE. CRL. NORAMBUENA CONEJEROS CRISTIAN HERNAN</v>
      </c>
      <c r="C13" s="43" t="s">
        <v>853</v>
      </c>
      <c r="D13" s="43" t="s">
        <v>2661</v>
      </c>
      <c r="E13" s="43" t="s">
        <v>853</v>
      </c>
      <c r="F13" s="43" t="s">
        <v>2661</v>
      </c>
      <c r="G13" s="43" t="s">
        <v>853</v>
      </c>
      <c r="H13" s="43" t="s">
        <v>2661</v>
      </c>
      <c r="I13" s="43" t="s">
        <v>853</v>
      </c>
      <c r="J13" s="43" t="s">
        <v>2661</v>
      </c>
      <c r="K13" s="43" t="s">
        <v>853</v>
      </c>
      <c r="L13" s="43" t="s">
        <v>2661</v>
      </c>
      <c r="M13" s="43" t="s">
        <v>853</v>
      </c>
      <c r="N13" s="43" t="s">
        <v>2661</v>
      </c>
      <c r="O13" s="43" t="s">
        <v>853</v>
      </c>
      <c r="P13" s="43" t="s">
        <v>2661</v>
      </c>
      <c r="Q13" s="43" t="s">
        <v>853</v>
      </c>
      <c r="R13" s="43" t="s">
        <v>2661</v>
      </c>
      <c r="S13" s="43" t="s">
        <v>855</v>
      </c>
      <c r="T13" s="43" t="s">
        <v>2661</v>
      </c>
      <c r="U13" s="43" t="s">
        <v>855</v>
      </c>
      <c r="V13" s="43" t="s">
        <v>2661</v>
      </c>
      <c r="W13" s="43" t="s">
        <v>853</v>
      </c>
      <c r="X13" s="43" t="s">
        <v>2661</v>
      </c>
      <c r="Y13" s="43" t="s">
        <v>853</v>
      </c>
      <c r="Z13" s="43" t="s">
        <v>2661</v>
      </c>
      <c r="AA13" s="43" t="s">
        <v>853</v>
      </c>
      <c r="AB13" s="43" t="s">
        <v>2661</v>
      </c>
      <c r="AC13" s="43" t="s">
        <v>853</v>
      </c>
      <c r="AD13" s="43" t="s">
        <v>2661</v>
      </c>
      <c r="AE13" s="43" t="s">
        <v>853</v>
      </c>
      <c r="AF13" s="43" t="s">
        <v>2661</v>
      </c>
      <c r="AG13" s="43" t="s">
        <v>855</v>
      </c>
      <c r="AH13" s="43" t="s">
        <v>2661</v>
      </c>
      <c r="AI13" s="43" t="s">
        <v>855</v>
      </c>
      <c r="AJ13" s="43" t="s">
        <v>2661</v>
      </c>
      <c r="AK13" s="43" t="s">
        <v>853</v>
      </c>
      <c r="AL13" s="43" t="s">
        <v>2661</v>
      </c>
      <c r="AM13" s="43" t="s">
        <v>853</v>
      </c>
      <c r="AN13" s="43" t="s">
        <v>3138</v>
      </c>
      <c r="AO13" s="43" t="s">
        <v>853</v>
      </c>
      <c r="AP13" s="43" t="s">
        <v>2661</v>
      </c>
      <c r="AQ13" s="43" t="s">
        <v>853</v>
      </c>
      <c r="AR13" s="43" t="s">
        <v>2661</v>
      </c>
      <c r="AS13" s="43" t="s">
        <v>853</v>
      </c>
      <c r="AT13" s="43" t="s">
        <v>2661</v>
      </c>
      <c r="AU13" s="43" t="s">
        <v>855</v>
      </c>
      <c r="AV13" s="43" t="s">
        <v>2661</v>
      </c>
      <c r="AW13" s="43" t="s">
        <v>855</v>
      </c>
      <c r="AX13" s="43" t="s">
        <v>2661</v>
      </c>
      <c r="AY13" s="43" t="s">
        <v>853</v>
      </c>
      <c r="AZ13" s="43" t="s">
        <v>2661</v>
      </c>
      <c r="BA13" s="43" t="s">
        <v>853</v>
      </c>
      <c r="BB13" s="43" t="s">
        <v>2661</v>
      </c>
      <c r="BC13" s="43" t="s">
        <v>853</v>
      </c>
      <c r="BD13" s="43" t="s">
        <v>2661</v>
      </c>
      <c r="BE13" s="43" t="s">
        <v>853</v>
      </c>
      <c r="BF13" s="43" t="s">
        <v>3365</v>
      </c>
      <c r="BG13" s="43" t="s">
        <v>853</v>
      </c>
      <c r="BH13" s="43" t="s">
        <v>3365</v>
      </c>
      <c r="BI13" s="43" t="s">
        <v>853</v>
      </c>
      <c r="BJ13" s="43" t="s">
        <v>2661</v>
      </c>
      <c r="BK13" s="43" t="s">
        <v>853</v>
      </c>
      <c r="BL13" s="43" t="s">
        <v>2661</v>
      </c>
      <c r="BM13" s="43" t="s">
        <v>853</v>
      </c>
      <c r="BN13" s="43" t="s">
        <v>2661</v>
      </c>
      <c r="BO13" s="43" t="s">
        <v>853</v>
      </c>
      <c r="BP13" s="43" t="s">
        <v>2661</v>
      </c>
      <c r="BQ13" s="43" t="s">
        <v>853</v>
      </c>
      <c r="BR13" s="43" t="s">
        <v>2661</v>
      </c>
      <c r="BS13" s="43" t="s">
        <v>853</v>
      </c>
      <c r="BT13" s="43" t="s">
        <v>2661</v>
      </c>
      <c r="BU13" s="43" t="s">
        <v>853</v>
      </c>
      <c r="BV13" s="43" t="s">
        <v>2661</v>
      </c>
      <c r="BW13" s="43" t="s">
        <v>855</v>
      </c>
      <c r="BX13" s="43" t="s">
        <v>2661</v>
      </c>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t="s">
        <v>2661</v>
      </c>
      <c r="DU13" s="43"/>
      <c r="DV13" s="43"/>
      <c r="DW13" s="923"/>
      <c r="DX13" s="510" t="str">
        <f t="shared" si="2"/>
        <v>G3-E</v>
      </c>
      <c r="DY13" s="511" t="str">
        <f t="shared" si="3"/>
        <v>F</v>
      </c>
      <c r="DZ13" s="511" t="str">
        <f>UPPER(IF(VLOOKUP(A13,TabladeServicio,MATCH($B$2,$A$8:$DT$8,0)+1,0)=0,"",VLOOKUP(A13,TabladeServicio,MATCH($B$2,$A$8:$DT$8,0)+1,0)))</f>
        <v>SUBPREF. SERV. 2</v>
      </c>
    </row>
    <row r="14" spans="1:182" x14ac:dyDescent="0.3">
      <c r="A14" s="287" t="s">
        <v>696</v>
      </c>
      <c r="B14" s="208" t="str">
        <f>A14&amp;" / "&amp;VLOOKUP(A14,PANELDETRABAJO,2,FALSE)</f>
        <v>G4-E / TTE. CRL. FEBRE SANTIS FRANCISCO JAVIER</v>
      </c>
      <c r="C14" s="43" t="s">
        <v>853</v>
      </c>
      <c r="D14" s="43" t="s">
        <v>1406</v>
      </c>
      <c r="E14" s="43" t="s">
        <v>855</v>
      </c>
      <c r="F14" s="43" t="s">
        <v>1406</v>
      </c>
      <c r="G14" s="43" t="s">
        <v>855</v>
      </c>
      <c r="H14" s="43" t="s">
        <v>1406</v>
      </c>
      <c r="I14" s="43" t="s">
        <v>853</v>
      </c>
      <c r="J14" s="43" t="s">
        <v>1406</v>
      </c>
      <c r="K14" s="43" t="s">
        <v>853</v>
      </c>
      <c r="L14" s="43" t="s">
        <v>1406</v>
      </c>
      <c r="M14" s="43" t="s">
        <v>853</v>
      </c>
      <c r="N14" s="43" t="s">
        <v>1406</v>
      </c>
      <c r="O14" s="43" t="s">
        <v>853</v>
      </c>
      <c r="P14" s="43" t="s">
        <v>1406</v>
      </c>
      <c r="Q14" s="43" t="s">
        <v>853</v>
      </c>
      <c r="R14" s="43" t="s">
        <v>1406</v>
      </c>
      <c r="S14" s="43" t="s">
        <v>853</v>
      </c>
      <c r="T14" s="43" t="s">
        <v>1406</v>
      </c>
      <c r="U14" s="43" t="s">
        <v>853</v>
      </c>
      <c r="V14" s="43" t="s">
        <v>1406</v>
      </c>
      <c r="W14" s="43" t="s">
        <v>853</v>
      </c>
      <c r="X14" s="43" t="s">
        <v>1406</v>
      </c>
      <c r="Y14" s="43" t="s">
        <v>853</v>
      </c>
      <c r="Z14" s="43" t="s">
        <v>1406</v>
      </c>
      <c r="AA14" s="43" t="s">
        <v>853</v>
      </c>
      <c r="AB14" s="43" t="s">
        <v>1406</v>
      </c>
      <c r="AC14" s="43" t="s">
        <v>853</v>
      </c>
      <c r="AD14" s="43" t="s">
        <v>1406</v>
      </c>
      <c r="AE14" s="43" t="s">
        <v>853</v>
      </c>
      <c r="AF14" s="43" t="s">
        <v>1406</v>
      </c>
      <c r="AG14" s="43" t="s">
        <v>855</v>
      </c>
      <c r="AH14" s="43" t="s">
        <v>1406</v>
      </c>
      <c r="AI14" s="43" t="s">
        <v>855</v>
      </c>
      <c r="AJ14" s="43" t="s">
        <v>1406</v>
      </c>
      <c r="AK14" s="43" t="s">
        <v>853</v>
      </c>
      <c r="AL14" s="43" t="s">
        <v>1406</v>
      </c>
      <c r="AM14" s="43" t="s">
        <v>853</v>
      </c>
      <c r="AN14" s="43" t="s">
        <v>1406</v>
      </c>
      <c r="AO14" s="43" t="s">
        <v>853</v>
      </c>
      <c r="AP14" s="43" t="s">
        <v>1406</v>
      </c>
      <c r="AQ14" s="43" t="s">
        <v>853</v>
      </c>
      <c r="AR14" s="43" t="s">
        <v>1406</v>
      </c>
      <c r="AS14" s="43" t="s">
        <v>853</v>
      </c>
      <c r="AT14" s="43" t="s">
        <v>1406</v>
      </c>
      <c r="AU14" s="43" t="s">
        <v>855</v>
      </c>
      <c r="AV14" s="43" t="s">
        <v>1406</v>
      </c>
      <c r="AW14" s="43" t="s">
        <v>855</v>
      </c>
      <c r="AX14" s="43" t="s">
        <v>1406</v>
      </c>
      <c r="AY14" s="43" t="s">
        <v>853</v>
      </c>
      <c r="AZ14" s="43" t="s">
        <v>1406</v>
      </c>
      <c r="BA14" s="43" t="s">
        <v>853</v>
      </c>
      <c r="BB14" s="43" t="s">
        <v>1406</v>
      </c>
      <c r="BC14" s="43" t="s">
        <v>853</v>
      </c>
      <c r="BD14" s="43" t="s">
        <v>1406</v>
      </c>
      <c r="BE14" s="43" t="s">
        <v>853</v>
      </c>
      <c r="BF14" s="43" t="s">
        <v>3366</v>
      </c>
      <c r="BG14" s="43" t="s">
        <v>853</v>
      </c>
      <c r="BH14" s="43" t="s">
        <v>3366</v>
      </c>
      <c r="BI14" s="43" t="s">
        <v>855</v>
      </c>
      <c r="BJ14" s="43" t="s">
        <v>1406</v>
      </c>
      <c r="BK14" s="43" t="s">
        <v>855</v>
      </c>
      <c r="BL14" s="43" t="s">
        <v>1406</v>
      </c>
      <c r="BM14" s="43" t="s">
        <v>853</v>
      </c>
      <c r="BN14" s="43" t="s">
        <v>1406</v>
      </c>
      <c r="BO14" s="43" t="s">
        <v>853</v>
      </c>
      <c r="BP14" s="43" t="s">
        <v>1406</v>
      </c>
      <c r="BQ14" s="43" t="s">
        <v>853</v>
      </c>
      <c r="BR14" s="43" t="s">
        <v>1406</v>
      </c>
      <c r="BS14" s="43" t="s">
        <v>853</v>
      </c>
      <c r="BT14" s="43" t="s">
        <v>1406</v>
      </c>
      <c r="BU14" s="43" t="s">
        <v>853</v>
      </c>
      <c r="BV14" s="43" t="s">
        <v>1406</v>
      </c>
      <c r="BW14" s="43" t="s">
        <v>853</v>
      </c>
      <c r="BX14" s="43" t="s">
        <v>1406</v>
      </c>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923"/>
      <c r="DX14" s="510" t="str">
        <f t="shared" si="2"/>
        <v>G4-E</v>
      </c>
      <c r="DY14" s="511" t="str">
        <f t="shared" si="3"/>
        <v>1P</v>
      </c>
      <c r="DZ14" s="511" t="str">
        <f>UPPER(IF(VLOOKUP(A14,TabladeServicio,MATCH($B$2,$A$8:$DT$8,0)+1,0)=0,"",VLOOKUP(A14,TabladeServicio,MATCH($B$2,$A$8:$DT$8,0)+1,0)))</f>
        <v>SUBPREF. ADM.</v>
      </c>
    </row>
    <row r="15" spans="1:182" ht="15" thickBot="1" x14ac:dyDescent="0.35">
      <c r="A15" s="287" t="s">
        <v>697</v>
      </c>
      <c r="B15" s="208" t="str">
        <f>A15&amp;" / "&amp;VLOOKUP(A15,PANELDETRABAJO,2,FALSE)</f>
        <v>A/J / -</v>
      </c>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923"/>
      <c r="DX15" s="512" t="str">
        <f t="shared" si="2"/>
        <v>A/J</v>
      </c>
      <c r="DY15" s="513" t="str">
        <f t="shared" si="3"/>
        <v/>
      </c>
      <c r="DZ15" s="513" t="str">
        <f>UPPER(IF(VLOOKUP(A15,TabladeServicio,MATCH($B$2,$A$8:$DT$8,0)+1,0)=0,"",VLOOKUP(A15,TabladeServicio,MATCH($B$2,$A$8:$DT$8,0)+1,0)))</f>
        <v/>
      </c>
    </row>
    <row r="16" spans="1:182" s="694" customFormat="1" ht="15" thickBot="1" x14ac:dyDescent="0.35">
      <c r="A16" s="689"/>
      <c r="B16" s="690"/>
      <c r="C16" s="691"/>
      <c r="D16" s="691"/>
      <c r="E16" s="691"/>
      <c r="F16" s="691"/>
      <c r="G16" s="691"/>
      <c r="H16" s="691"/>
      <c r="I16" s="691"/>
      <c r="J16" s="691"/>
      <c r="K16" s="691"/>
      <c r="L16" s="691"/>
      <c r="M16" s="691"/>
      <c r="N16" s="691"/>
      <c r="O16" s="691"/>
      <c r="P16" s="691"/>
      <c r="Q16" s="691"/>
      <c r="R16" s="691"/>
      <c r="S16" s="691"/>
      <c r="T16" s="691"/>
      <c r="U16" s="691"/>
      <c r="V16" s="691"/>
      <c r="W16" s="691"/>
      <c r="X16" s="691"/>
      <c r="Y16" s="691"/>
      <c r="Z16" s="691"/>
      <c r="AA16" s="691"/>
      <c r="AB16" s="691"/>
      <c r="AC16" s="691"/>
      <c r="AD16" s="691"/>
      <c r="AE16" s="691"/>
      <c r="AF16" s="691"/>
      <c r="AG16" s="691"/>
      <c r="AH16" s="691"/>
      <c r="AI16" s="691"/>
      <c r="AJ16" s="691"/>
      <c r="AK16" s="691"/>
      <c r="AL16" s="691"/>
      <c r="AM16" s="691"/>
      <c r="AN16" s="691"/>
      <c r="AO16" s="691"/>
      <c r="AP16" s="691"/>
      <c r="AQ16" s="691"/>
      <c r="AR16" s="691"/>
      <c r="AS16" s="691"/>
      <c r="AT16" s="691"/>
      <c r="AU16" s="691"/>
      <c r="AV16" s="691"/>
      <c r="AW16" s="691"/>
      <c r="AX16" s="691"/>
      <c r="AY16" s="691"/>
      <c r="AZ16" s="691"/>
      <c r="BA16" s="691"/>
      <c r="BB16" s="691"/>
      <c r="BC16" s="691"/>
      <c r="BD16" s="691"/>
      <c r="BE16" s="691"/>
      <c r="BF16" s="691"/>
      <c r="BG16" s="691"/>
      <c r="BH16" s="691"/>
      <c r="BI16" s="691"/>
      <c r="BJ16" s="691"/>
      <c r="BK16" s="691"/>
      <c r="BL16" s="691"/>
      <c r="BM16" s="691"/>
      <c r="BN16" s="691"/>
      <c r="BO16" s="691"/>
      <c r="BP16" s="691"/>
      <c r="BQ16" s="691"/>
      <c r="BR16" s="691"/>
      <c r="BS16" s="691"/>
      <c r="BT16" s="691"/>
      <c r="BU16" s="691"/>
      <c r="BV16" s="691"/>
      <c r="BW16" s="691"/>
      <c r="BX16" s="691"/>
      <c r="BY16" s="691"/>
      <c r="BZ16" s="691"/>
      <c r="CA16" s="691"/>
      <c r="CB16" s="691"/>
      <c r="CC16" s="691"/>
      <c r="CD16" s="691"/>
      <c r="CE16" s="691"/>
      <c r="CF16" s="691"/>
      <c r="CG16" s="691"/>
      <c r="CH16" s="691"/>
      <c r="CI16" s="691"/>
      <c r="CJ16" s="691"/>
      <c r="CK16" s="691"/>
      <c r="CL16" s="691"/>
      <c r="CM16" s="691"/>
      <c r="CN16" s="691"/>
      <c r="CO16" s="691"/>
      <c r="CP16" s="691"/>
      <c r="CQ16" s="691"/>
      <c r="CR16" s="691"/>
      <c r="CS16" s="691"/>
      <c r="CT16" s="691"/>
      <c r="CU16" s="691"/>
      <c r="CV16" s="691"/>
      <c r="CW16" s="691"/>
      <c r="CX16" s="691"/>
      <c r="CY16" s="691"/>
      <c r="CZ16" s="691"/>
      <c r="DA16" s="691"/>
      <c r="DB16" s="691"/>
      <c r="DC16" s="691"/>
      <c r="DD16" s="691"/>
      <c r="DE16" s="691"/>
      <c r="DF16" s="691"/>
      <c r="DG16" s="691"/>
      <c r="DH16" s="691"/>
      <c r="DI16" s="691"/>
      <c r="DJ16" s="691"/>
      <c r="DK16" s="691"/>
      <c r="DL16" s="691"/>
      <c r="DM16" s="691"/>
      <c r="DN16" s="691"/>
      <c r="DO16" s="691"/>
      <c r="DP16" s="691"/>
      <c r="DQ16" s="691"/>
      <c r="DR16" s="691"/>
      <c r="DS16" s="691"/>
      <c r="DT16" s="691"/>
      <c r="DU16" s="691"/>
      <c r="DV16" s="691"/>
      <c r="DW16" s="924"/>
      <c r="DX16" s="692"/>
      <c r="DY16" s="693"/>
      <c r="DZ16" s="693"/>
    </row>
    <row r="17" spans="1:147" x14ac:dyDescent="0.3">
      <c r="A17" s="287" t="s">
        <v>781</v>
      </c>
      <c r="B17" s="208" t="str">
        <f>A17&amp;" / "&amp;VLOOKUP(A17,PANELDETRABAJO,2,FALSE)</f>
        <v>C40 / MAYOR NAZAR OSSA JOAQUIN PAULO</v>
      </c>
      <c r="C17" s="43" t="s">
        <v>885</v>
      </c>
      <c r="D17" s="43" t="s">
        <v>2668</v>
      </c>
      <c r="E17" s="43" t="s">
        <v>885</v>
      </c>
      <c r="F17" s="43" t="s">
        <v>2668</v>
      </c>
      <c r="G17" s="43" t="s">
        <v>885</v>
      </c>
      <c r="H17" s="43" t="s">
        <v>2668</v>
      </c>
      <c r="I17" s="43" t="s">
        <v>885</v>
      </c>
      <c r="J17" s="43" t="s">
        <v>2668</v>
      </c>
      <c r="K17" s="43" t="s">
        <v>853</v>
      </c>
      <c r="L17" s="43" t="s">
        <v>2668</v>
      </c>
      <c r="M17" s="43" t="s">
        <v>853</v>
      </c>
      <c r="N17" s="43" t="s">
        <v>2668</v>
      </c>
      <c r="O17" s="43" t="s">
        <v>853</v>
      </c>
      <c r="P17" s="43" t="s">
        <v>2668</v>
      </c>
      <c r="Q17" s="43" t="s">
        <v>853</v>
      </c>
      <c r="R17" s="43" t="s">
        <v>2668</v>
      </c>
      <c r="S17" s="43" t="s">
        <v>853</v>
      </c>
      <c r="T17" s="43" t="s">
        <v>2668</v>
      </c>
      <c r="U17" s="43" t="s">
        <v>853</v>
      </c>
      <c r="V17" s="43" t="s">
        <v>2668</v>
      </c>
      <c r="W17" s="43" t="s">
        <v>853</v>
      </c>
      <c r="X17" s="43" t="s">
        <v>2668</v>
      </c>
      <c r="Y17" s="43" t="s">
        <v>853</v>
      </c>
      <c r="Z17" s="43" t="s">
        <v>2668</v>
      </c>
      <c r="AA17" s="43" t="s">
        <v>853</v>
      </c>
      <c r="AB17" s="43" t="s">
        <v>2668</v>
      </c>
      <c r="AC17" s="43" t="s">
        <v>853</v>
      </c>
      <c r="AD17" s="43" t="s">
        <v>2668</v>
      </c>
      <c r="AE17" s="43" t="s">
        <v>853</v>
      </c>
      <c r="AF17" s="43" t="s">
        <v>2668</v>
      </c>
      <c r="AG17" s="43" t="s">
        <v>855</v>
      </c>
      <c r="AH17" s="43" t="s">
        <v>2668</v>
      </c>
      <c r="AI17" s="43" t="s">
        <v>855</v>
      </c>
      <c r="AJ17" s="43" t="s">
        <v>2668</v>
      </c>
      <c r="AK17" s="43" t="s">
        <v>853</v>
      </c>
      <c r="AL17" s="43" t="s">
        <v>2668</v>
      </c>
      <c r="AM17" s="43" t="s">
        <v>853</v>
      </c>
      <c r="AN17" s="43" t="s">
        <v>2668</v>
      </c>
      <c r="AO17" s="43" t="s">
        <v>853</v>
      </c>
      <c r="AP17" s="43" t="s">
        <v>2668</v>
      </c>
      <c r="AQ17" s="43" t="s">
        <v>853</v>
      </c>
      <c r="AR17" s="43" t="s">
        <v>2668</v>
      </c>
      <c r="AS17" s="43" t="s">
        <v>853</v>
      </c>
      <c r="AT17" s="43" t="s">
        <v>2668</v>
      </c>
      <c r="AU17" s="43" t="s">
        <v>855</v>
      </c>
      <c r="AV17" s="43" t="s">
        <v>2668</v>
      </c>
      <c r="AW17" s="43" t="s">
        <v>855</v>
      </c>
      <c r="AX17" s="43" t="s">
        <v>2668</v>
      </c>
      <c r="AY17" s="43" t="s">
        <v>853</v>
      </c>
      <c r="AZ17" s="43" t="s">
        <v>2668</v>
      </c>
      <c r="BA17" s="43" t="s">
        <v>853</v>
      </c>
      <c r="BB17" s="43" t="s">
        <v>2668</v>
      </c>
      <c r="BC17" s="43" t="s">
        <v>853</v>
      </c>
      <c r="BD17" s="43" t="s">
        <v>2668</v>
      </c>
      <c r="BE17" s="43" t="s">
        <v>853</v>
      </c>
      <c r="BF17" s="43" t="s">
        <v>3387</v>
      </c>
      <c r="BG17" s="43" t="s">
        <v>853</v>
      </c>
      <c r="BH17" s="43" t="s">
        <v>3387</v>
      </c>
      <c r="BI17" s="43" t="s">
        <v>855</v>
      </c>
      <c r="BJ17" s="43" t="s">
        <v>2668</v>
      </c>
      <c r="BK17" s="43" t="s">
        <v>855</v>
      </c>
      <c r="BL17" s="43" t="s">
        <v>2668</v>
      </c>
      <c r="BM17" s="43" t="s">
        <v>853</v>
      </c>
      <c r="BN17" s="43" t="s">
        <v>2668</v>
      </c>
      <c r="BO17" s="43" t="s">
        <v>853</v>
      </c>
      <c r="BP17" s="43" t="s">
        <v>2668</v>
      </c>
      <c r="BQ17" s="43" t="s">
        <v>853</v>
      </c>
      <c r="BR17" s="43" t="s">
        <v>2668</v>
      </c>
      <c r="BS17" s="43" t="s">
        <v>853</v>
      </c>
      <c r="BT17" s="43" t="s">
        <v>2668</v>
      </c>
      <c r="BU17" s="43" t="s">
        <v>853</v>
      </c>
      <c r="BV17" s="43" t="s">
        <v>2668</v>
      </c>
      <c r="BW17" s="43" t="s">
        <v>853</v>
      </c>
      <c r="BX17" s="43" t="s">
        <v>2668</v>
      </c>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923"/>
      <c r="DX17" s="508" t="str">
        <f>A17</f>
        <v>C40</v>
      </c>
      <c r="DY17" s="509" t="str">
        <f>UPPER(IF(VLOOKUP(A17,TabladeServicio,MATCH($B$2,$A$8:$DT$8,0),0)=0,"",VLOOKUP(A17,TabladeServicio,MATCH($B$2,$A$8:$DT$8,0),0)))</f>
        <v>1P</v>
      </c>
      <c r="DZ17" s="509" t="str">
        <f>UPPER(IF(VLOOKUP(A17,TabladeServicio,MATCH($B$2,$A$8:$DT$8,0)+1,0)=0,"",VLOOKUP(A17,TabladeServicio,MATCH($B$2,$A$8:$DT$8,0)+1,0)))</f>
        <v>COMISARIO</v>
      </c>
    </row>
    <row r="18" spans="1:147" x14ac:dyDescent="0.3">
      <c r="A18" s="287" t="s">
        <v>709</v>
      </c>
      <c r="B18" s="208" t="str">
        <f>A18&amp;" / "&amp;VLOOKUP(A18,PANELDETRABAJO,2,FALSE)</f>
        <v>JO-40 / -</v>
      </c>
      <c r="C18" s="43" t="s">
        <v>909</v>
      </c>
      <c r="D18" s="43" t="s">
        <v>2889</v>
      </c>
      <c r="E18" s="43" t="s">
        <v>909</v>
      </c>
      <c r="F18" s="43" t="s">
        <v>2889</v>
      </c>
      <c r="G18" s="43" t="s">
        <v>909</v>
      </c>
      <c r="H18" s="43" t="s">
        <v>2889</v>
      </c>
      <c r="I18" s="43" t="s">
        <v>909</v>
      </c>
      <c r="J18" s="43" t="s">
        <v>2889</v>
      </c>
      <c r="K18" s="43" t="s">
        <v>909</v>
      </c>
      <c r="L18" s="43" t="s">
        <v>2889</v>
      </c>
      <c r="M18" s="43" t="s">
        <v>909</v>
      </c>
      <c r="N18" s="43" t="s">
        <v>2889</v>
      </c>
      <c r="O18" s="43" t="s">
        <v>909</v>
      </c>
      <c r="P18" s="43" t="s">
        <v>2889</v>
      </c>
      <c r="Q18" s="43" t="s">
        <v>909</v>
      </c>
      <c r="R18" s="43" t="s">
        <v>2889</v>
      </c>
      <c r="S18" s="43" t="s">
        <v>909</v>
      </c>
      <c r="T18" s="43" t="s">
        <v>2889</v>
      </c>
      <c r="U18" s="43" t="s">
        <v>909</v>
      </c>
      <c r="V18" s="43" t="s">
        <v>2889</v>
      </c>
      <c r="W18" s="43" t="s">
        <v>909</v>
      </c>
      <c r="X18" s="43" t="s">
        <v>2889</v>
      </c>
      <c r="Y18" s="43" t="s">
        <v>909</v>
      </c>
      <c r="Z18" s="43" t="s">
        <v>2889</v>
      </c>
      <c r="AA18" s="43" t="s">
        <v>909</v>
      </c>
      <c r="AB18" s="43" t="s">
        <v>2889</v>
      </c>
      <c r="AC18" s="43" t="s">
        <v>853</v>
      </c>
      <c r="AD18" s="43" t="s">
        <v>2889</v>
      </c>
      <c r="AE18" s="43" t="s">
        <v>853</v>
      </c>
      <c r="AF18" s="43" t="s">
        <v>2889</v>
      </c>
      <c r="AG18" s="43" t="s">
        <v>853</v>
      </c>
      <c r="AH18" s="43" t="s">
        <v>2889</v>
      </c>
      <c r="AI18" s="43" t="s">
        <v>853</v>
      </c>
      <c r="AJ18" s="43" t="s">
        <v>2889</v>
      </c>
      <c r="AK18" s="43" t="s">
        <v>853</v>
      </c>
      <c r="AL18" s="43" t="s">
        <v>2889</v>
      </c>
      <c r="AM18" s="43" t="s">
        <v>853</v>
      </c>
      <c r="AN18" s="43" t="s">
        <v>2889</v>
      </c>
      <c r="AO18" s="43" t="s">
        <v>853</v>
      </c>
      <c r="AP18" s="43" t="s">
        <v>2889</v>
      </c>
      <c r="AQ18" s="43" t="s">
        <v>853</v>
      </c>
      <c r="AR18" s="43" t="s">
        <v>2889</v>
      </c>
      <c r="AS18" s="43" t="s">
        <v>853</v>
      </c>
      <c r="AT18" s="43" t="s">
        <v>2889</v>
      </c>
      <c r="AU18" s="43" t="s">
        <v>855</v>
      </c>
      <c r="AV18" s="43" t="s">
        <v>2889</v>
      </c>
      <c r="AW18" s="43" t="s">
        <v>855</v>
      </c>
      <c r="AX18" s="43" t="s">
        <v>2889</v>
      </c>
      <c r="AY18" s="43" t="s">
        <v>853</v>
      </c>
      <c r="AZ18" s="43" t="s">
        <v>2889</v>
      </c>
      <c r="BA18" s="43" t="s">
        <v>853</v>
      </c>
      <c r="BB18" s="43" t="s">
        <v>2889</v>
      </c>
      <c r="BC18" s="43" t="s">
        <v>853</v>
      </c>
      <c r="BD18" s="43" t="s">
        <v>2889</v>
      </c>
      <c r="BE18" s="43" t="s">
        <v>853</v>
      </c>
      <c r="BF18" s="43" t="s">
        <v>3367</v>
      </c>
      <c r="BG18" s="43" t="s">
        <v>853</v>
      </c>
      <c r="BH18" s="43" t="s">
        <v>3367</v>
      </c>
      <c r="BI18" s="43" t="s">
        <v>855</v>
      </c>
      <c r="BJ18" s="43" t="s">
        <v>2648</v>
      </c>
      <c r="BK18" s="43" t="s">
        <v>855</v>
      </c>
      <c r="BL18" s="43" t="s">
        <v>2648</v>
      </c>
      <c r="BM18" s="43" t="s">
        <v>853</v>
      </c>
      <c r="BN18" s="43" t="s">
        <v>2648</v>
      </c>
      <c r="BO18" s="43" t="s">
        <v>853</v>
      </c>
      <c r="BP18" s="43" t="s">
        <v>2648</v>
      </c>
      <c r="BQ18" s="43" t="s">
        <v>853</v>
      </c>
      <c r="BR18" s="43" t="s">
        <v>2648</v>
      </c>
      <c r="BS18" s="43" t="s">
        <v>853</v>
      </c>
      <c r="BT18" s="43" t="s">
        <v>2648</v>
      </c>
      <c r="BU18" s="43" t="s">
        <v>853</v>
      </c>
      <c r="BV18" s="43" t="s">
        <v>2648</v>
      </c>
      <c r="BW18" s="43" t="s">
        <v>855</v>
      </c>
      <c r="BX18" s="43" t="s">
        <v>2648</v>
      </c>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923"/>
      <c r="DX18" s="510" t="str">
        <f t="shared" ref="DX18:DX21" si="4">A18</f>
        <v>JO-40</v>
      </c>
      <c r="DY18" s="511" t="str">
        <f>UPPER(IF(VLOOKUP(A18,TabladeServicio,MATCH($B$2,$A$8:$DT$8,0),0)=0,"",VLOOKUP(A18,TabladeServicio,MATCH($B$2,$A$8:$DT$8,0),0)))</f>
        <v>F</v>
      </c>
      <c r="DZ18" s="511" t="str">
        <f>UPPER(IF(VLOOKUP(A18,TabladeServicio,MATCH($B$2,$A$8:$DT$8,0)+1,0)=0,"",VLOOKUP(A18,TabladeServicio,MATCH($B$2,$A$8:$DT$8,0)+1,0)))</f>
        <v xml:space="preserve">JEFE OPERATIVO </v>
      </c>
    </row>
    <row r="19" spans="1:147" ht="28.8" x14ac:dyDescent="0.3">
      <c r="A19" s="287" t="s">
        <v>710</v>
      </c>
      <c r="B19" s="208" t="str">
        <f>A19&amp;" / "&amp;VLOOKUP(A19,PANELDETRABAJO,2,FALSE)</f>
        <v>C40-A / CAPITÁN ANDERS CONTRERAS LEONARDO IGNACIO</v>
      </c>
      <c r="C19" s="43" t="s">
        <v>853</v>
      </c>
      <c r="D19" s="43" t="s">
        <v>2890</v>
      </c>
      <c r="E19" s="43" t="s">
        <v>853</v>
      </c>
      <c r="F19" s="43" t="s">
        <v>2890</v>
      </c>
      <c r="G19" s="43" t="s">
        <v>853</v>
      </c>
      <c r="H19" s="43" t="s">
        <v>2890</v>
      </c>
      <c r="I19" s="43" t="s">
        <v>853</v>
      </c>
      <c r="J19" s="43" t="s">
        <v>2890</v>
      </c>
      <c r="K19" s="43" t="s">
        <v>853</v>
      </c>
      <c r="L19" s="43" t="s">
        <v>2890</v>
      </c>
      <c r="M19" s="43" t="s">
        <v>853</v>
      </c>
      <c r="N19" s="43" t="s">
        <v>2890</v>
      </c>
      <c r="O19" s="43" t="s">
        <v>853</v>
      </c>
      <c r="P19" s="43" t="s">
        <v>2890</v>
      </c>
      <c r="Q19" s="43" t="s">
        <v>853</v>
      </c>
      <c r="R19" s="43" t="s">
        <v>2890</v>
      </c>
      <c r="S19" s="43" t="s">
        <v>855</v>
      </c>
      <c r="T19" s="43" t="s">
        <v>2890</v>
      </c>
      <c r="U19" s="43" t="s">
        <v>855</v>
      </c>
      <c r="V19" s="43" t="s">
        <v>2890</v>
      </c>
      <c r="W19" s="43" t="s">
        <v>853</v>
      </c>
      <c r="X19" s="43" t="s">
        <v>2890</v>
      </c>
      <c r="Y19" s="43" t="s">
        <v>853</v>
      </c>
      <c r="Z19" s="43" t="s">
        <v>2890</v>
      </c>
      <c r="AA19" s="43" t="s">
        <v>853</v>
      </c>
      <c r="AB19" s="43" t="s">
        <v>2890</v>
      </c>
      <c r="AC19" s="43" t="s">
        <v>853</v>
      </c>
      <c r="AD19" s="43" t="s">
        <v>2890</v>
      </c>
      <c r="AE19" s="43" t="s">
        <v>853</v>
      </c>
      <c r="AF19" s="43" t="s">
        <v>2890</v>
      </c>
      <c r="AG19" s="43" t="s">
        <v>855</v>
      </c>
      <c r="AH19" s="43" t="s">
        <v>2890</v>
      </c>
      <c r="AI19" s="43" t="s">
        <v>855</v>
      </c>
      <c r="AJ19" s="43" t="s">
        <v>2890</v>
      </c>
      <c r="AK19" s="43" t="s">
        <v>853</v>
      </c>
      <c r="AL19" s="43" t="s">
        <v>3128</v>
      </c>
      <c r="AM19" s="43" t="s">
        <v>853</v>
      </c>
      <c r="AN19" s="43" t="s">
        <v>2890</v>
      </c>
      <c r="AO19" s="43" t="s">
        <v>853</v>
      </c>
      <c r="AP19" s="43" t="s">
        <v>2890</v>
      </c>
      <c r="AQ19" s="43" t="s">
        <v>853</v>
      </c>
      <c r="AR19" s="43" t="s">
        <v>2890</v>
      </c>
      <c r="AS19" s="43" t="s">
        <v>853</v>
      </c>
      <c r="AT19" s="43" t="s">
        <v>2890</v>
      </c>
      <c r="AU19" s="43" t="s">
        <v>853</v>
      </c>
      <c r="AV19" s="43" t="s">
        <v>2890</v>
      </c>
      <c r="AW19" s="43" t="s">
        <v>853</v>
      </c>
      <c r="AX19" s="43" t="s">
        <v>2890</v>
      </c>
      <c r="AY19" s="43" t="s">
        <v>853</v>
      </c>
      <c r="AZ19" s="43" t="s">
        <v>2890</v>
      </c>
      <c r="BA19" s="43" t="s">
        <v>853</v>
      </c>
      <c r="BB19" s="43" t="s">
        <v>2890</v>
      </c>
      <c r="BC19" s="43" t="s">
        <v>853</v>
      </c>
      <c r="BD19" s="43" t="s">
        <v>2890</v>
      </c>
      <c r="BE19" s="43" t="s">
        <v>853</v>
      </c>
      <c r="BF19" s="43" t="s">
        <v>3368</v>
      </c>
      <c r="BG19" s="43" t="s">
        <v>853</v>
      </c>
      <c r="BH19" s="43" t="s">
        <v>3368</v>
      </c>
      <c r="BI19" s="43" t="s">
        <v>855</v>
      </c>
      <c r="BJ19" s="43" t="s">
        <v>2890</v>
      </c>
      <c r="BK19" s="43" t="s">
        <v>855</v>
      </c>
      <c r="BL19" s="43" t="s">
        <v>2890</v>
      </c>
      <c r="BM19" s="43" t="s">
        <v>853</v>
      </c>
      <c r="BN19" s="43" t="s">
        <v>2890</v>
      </c>
      <c r="BO19" s="43" t="s">
        <v>853</v>
      </c>
      <c r="BP19" s="43" t="s">
        <v>2890</v>
      </c>
      <c r="BQ19" s="43" t="s">
        <v>853</v>
      </c>
      <c r="BR19" s="43" t="s">
        <v>2890</v>
      </c>
      <c r="BS19" s="43" t="s">
        <v>853</v>
      </c>
      <c r="BT19" s="43" t="s">
        <v>2890</v>
      </c>
      <c r="BU19" s="43" t="s">
        <v>853</v>
      </c>
      <c r="BV19" s="43" t="s">
        <v>2890</v>
      </c>
      <c r="BW19" s="43" t="s">
        <v>855</v>
      </c>
      <c r="BX19" s="43" t="s">
        <v>2890</v>
      </c>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923"/>
      <c r="DX19" s="510" t="str">
        <f t="shared" si="4"/>
        <v>C40-A</v>
      </c>
      <c r="DY19" s="511" t="str">
        <f>UPPER(IF(VLOOKUP(A19,TabladeServicio,MATCH($B$2,$A$8:$DT$8,0),0)=0,"",VLOOKUP(A19,TabladeServicio,MATCH($B$2,$A$8:$DT$8,0),0)))</f>
        <v>F</v>
      </c>
      <c r="DZ19" s="511" t="str">
        <f>UPPER(IF(VLOOKUP(A19,TabladeServicio,MATCH($B$2,$A$8:$DT$8,0)+1,0)=0,"",VLOOKUP(A19,TabladeServicio,MATCH($B$2,$A$8:$DT$8,0)+1,0)))</f>
        <v xml:space="preserve">SUBCOM. SERV </v>
      </c>
    </row>
    <row r="20" spans="1:147" ht="28.8" x14ac:dyDescent="0.3">
      <c r="A20" s="287" t="s">
        <v>698</v>
      </c>
      <c r="B20" s="208" t="str">
        <f>A20&amp;" / "&amp;VLOOKUP(A20,PANELDETRABAJO,2,FALSE)</f>
        <v>C40-B / CAPITÁN ACEVEDO MORALES ANGELO FELIPE</v>
      </c>
      <c r="C20" s="43" t="s">
        <v>853</v>
      </c>
      <c r="D20" s="43" t="s">
        <v>2055</v>
      </c>
      <c r="E20" s="43" t="s">
        <v>855</v>
      </c>
      <c r="F20" s="43" t="s">
        <v>2055</v>
      </c>
      <c r="G20" s="43" t="s">
        <v>855</v>
      </c>
      <c r="H20" s="43" t="s">
        <v>2055</v>
      </c>
      <c r="I20" s="43" t="s">
        <v>853</v>
      </c>
      <c r="J20" s="43" t="s">
        <v>2055</v>
      </c>
      <c r="K20" s="43" t="s">
        <v>853</v>
      </c>
      <c r="L20" s="43" t="s">
        <v>2055</v>
      </c>
      <c r="M20" s="43" t="s">
        <v>853</v>
      </c>
      <c r="N20" s="43" t="s">
        <v>2055</v>
      </c>
      <c r="O20" s="43" t="s">
        <v>885</v>
      </c>
      <c r="P20" s="43" t="s">
        <v>2055</v>
      </c>
      <c r="Q20" s="43" t="s">
        <v>885</v>
      </c>
      <c r="R20" s="43" t="s">
        <v>2055</v>
      </c>
      <c r="S20" s="43" t="s">
        <v>885</v>
      </c>
      <c r="T20" s="43" t="s">
        <v>2055</v>
      </c>
      <c r="U20" s="43" t="s">
        <v>885</v>
      </c>
      <c r="V20" s="43" t="s">
        <v>2055</v>
      </c>
      <c r="W20" s="43" t="s">
        <v>885</v>
      </c>
      <c r="X20" s="43" t="s">
        <v>2055</v>
      </c>
      <c r="Y20" s="43" t="s">
        <v>885</v>
      </c>
      <c r="Z20" s="43" t="s">
        <v>2055</v>
      </c>
      <c r="AA20" s="43" t="s">
        <v>885</v>
      </c>
      <c r="AB20" s="43" t="s">
        <v>2055</v>
      </c>
      <c r="AC20" s="43" t="s">
        <v>885</v>
      </c>
      <c r="AD20" s="43" t="s">
        <v>2055</v>
      </c>
      <c r="AE20" s="43" t="s">
        <v>885</v>
      </c>
      <c r="AF20" s="43" t="s">
        <v>2055</v>
      </c>
      <c r="AG20" s="43" t="s">
        <v>885</v>
      </c>
      <c r="AH20" s="43" t="s">
        <v>2055</v>
      </c>
      <c r="AI20" s="43" t="s">
        <v>885</v>
      </c>
      <c r="AJ20" s="43" t="s">
        <v>2055</v>
      </c>
      <c r="AK20" s="43" t="s">
        <v>885</v>
      </c>
      <c r="AL20" s="43" t="s">
        <v>2055</v>
      </c>
      <c r="AM20" s="43" t="s">
        <v>885</v>
      </c>
      <c r="AN20" s="43" t="s">
        <v>2055</v>
      </c>
      <c r="AO20" s="43" t="s">
        <v>885</v>
      </c>
      <c r="AP20" s="43" t="s">
        <v>2055</v>
      </c>
      <c r="AQ20" s="43" t="s">
        <v>885</v>
      </c>
      <c r="AR20" s="43" t="s">
        <v>2055</v>
      </c>
      <c r="AS20" s="43" t="s">
        <v>885</v>
      </c>
      <c r="AT20" s="43" t="s">
        <v>2055</v>
      </c>
      <c r="AU20" s="43" t="s">
        <v>885</v>
      </c>
      <c r="AV20" s="43" t="s">
        <v>2055</v>
      </c>
      <c r="AW20" s="43" t="s">
        <v>885</v>
      </c>
      <c r="AX20" s="43" t="s">
        <v>2055</v>
      </c>
      <c r="AY20" s="43" t="s">
        <v>885</v>
      </c>
      <c r="AZ20" s="43" t="s">
        <v>2055</v>
      </c>
      <c r="BA20" s="43" t="s">
        <v>853</v>
      </c>
      <c r="BB20" s="43" t="s">
        <v>2055</v>
      </c>
      <c r="BC20" s="43" t="s">
        <v>853</v>
      </c>
      <c r="BD20" s="43" t="s">
        <v>3341</v>
      </c>
      <c r="BE20" s="43" t="s">
        <v>853</v>
      </c>
      <c r="BF20" s="43" t="s">
        <v>3348</v>
      </c>
      <c r="BG20" s="43" t="s">
        <v>853</v>
      </c>
      <c r="BH20" s="43" t="s">
        <v>3348</v>
      </c>
      <c r="BI20" s="43" t="s">
        <v>853</v>
      </c>
      <c r="BJ20" s="43" t="s">
        <v>2055</v>
      </c>
      <c r="BK20" s="43" t="s">
        <v>853</v>
      </c>
      <c r="BL20" s="43" t="s">
        <v>2055</v>
      </c>
      <c r="BM20" s="43" t="s">
        <v>853</v>
      </c>
      <c r="BN20" s="43" t="s">
        <v>2055</v>
      </c>
      <c r="BO20" s="43" t="s">
        <v>853</v>
      </c>
      <c r="BP20" s="43" t="s">
        <v>2055</v>
      </c>
      <c r="BQ20" s="43" t="s">
        <v>853</v>
      </c>
      <c r="BR20" s="43" t="s">
        <v>2055</v>
      </c>
      <c r="BS20" s="43" t="s">
        <v>853</v>
      </c>
      <c r="BT20" s="43" t="s">
        <v>2055</v>
      </c>
      <c r="BU20" s="43" t="s">
        <v>853</v>
      </c>
      <c r="BV20" s="43" t="s">
        <v>2055</v>
      </c>
      <c r="BW20" s="43" t="s">
        <v>855</v>
      </c>
      <c r="BX20" s="43" t="s">
        <v>2055</v>
      </c>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923"/>
      <c r="DX20" s="510" t="str">
        <f t="shared" si="4"/>
        <v>C40-B</v>
      </c>
      <c r="DY20" s="511" t="str">
        <f>UPPER(IF(VLOOKUP(A20,TabladeServicio,MATCH($B$2,$A$8:$DT$8,0),0)=0,"",VLOOKUP(A20,TabladeServicio,MATCH($B$2,$A$8:$DT$8,0),0)))</f>
        <v>F</v>
      </c>
      <c r="DZ20" s="511" t="str">
        <f>UPPER(IF(VLOOKUP(A20,TabladeServicio,MATCH($B$2,$A$8:$DT$8,0)+1,0)=0,"",VLOOKUP(A20,TabladeServicio,MATCH($B$2,$A$8:$DT$8,0)+1,0)))</f>
        <v>SUBCOM.  ADM.</v>
      </c>
    </row>
    <row r="21" spans="1:147" ht="15" thickBot="1" x14ac:dyDescent="0.35">
      <c r="A21" s="287" t="s">
        <v>699</v>
      </c>
      <c r="B21" s="208" t="str">
        <f>A21&amp;" / "&amp;VLOOKUP(A21,PANELDETRABAJO,2,FALSE)</f>
        <v>C40-C / -</v>
      </c>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923"/>
      <c r="DX21" s="512" t="str">
        <f t="shared" si="4"/>
        <v>C40-C</v>
      </c>
      <c r="DY21" s="513" t="str">
        <f>UPPER(IF(VLOOKUP(A21,TabladeServicio,MATCH($B$2,$A$8:$DT$8,0),0)=0,"",VLOOKUP(A21,TabladeServicio,MATCH($B$2,$A$8:$DT$8,0),0)))</f>
        <v/>
      </c>
      <c r="DZ21" s="513" t="str">
        <f>UPPER(IF(VLOOKUP(A21,TabladeServicio,MATCH($B$2,$A$8:$DT$8,0)+1,0)=0,"",VLOOKUP(A21,TabladeServicio,MATCH($B$2,$A$8:$DT$8,0)+1,0)))</f>
        <v/>
      </c>
    </row>
    <row r="22" spans="1:147" s="694" customFormat="1" ht="15" thickBot="1" x14ac:dyDescent="0.35">
      <c r="A22" s="689"/>
      <c r="B22" s="690"/>
      <c r="C22" s="691"/>
      <c r="D22" s="691"/>
      <c r="E22" s="691"/>
      <c r="F22" s="691"/>
      <c r="G22" s="691"/>
      <c r="H22" s="691"/>
      <c r="I22" s="691"/>
      <c r="J22" s="691"/>
      <c r="K22" s="691"/>
      <c r="L22" s="691"/>
      <c r="M22" s="691"/>
      <c r="N22" s="691"/>
      <c r="O22" s="691"/>
      <c r="P22" s="691"/>
      <c r="Q22" s="691"/>
      <c r="R22" s="691"/>
      <c r="S22" s="691"/>
      <c r="T22" s="691"/>
      <c r="U22" s="691"/>
      <c r="V22" s="691"/>
      <c r="W22" s="691"/>
      <c r="X22" s="691"/>
      <c r="Y22" s="691"/>
      <c r="Z22" s="691"/>
      <c r="AA22" s="691"/>
      <c r="AB22" s="691"/>
      <c r="AC22" s="691"/>
      <c r="AD22" s="691"/>
      <c r="AE22" s="691"/>
      <c r="AF22" s="691"/>
      <c r="AG22" s="691"/>
      <c r="AH22" s="691"/>
      <c r="AI22" s="691"/>
      <c r="AJ22" s="691"/>
      <c r="AK22" s="691"/>
      <c r="AL22" s="691"/>
      <c r="AM22" s="691"/>
      <c r="AN22" s="691"/>
      <c r="AO22" s="691"/>
      <c r="AP22" s="691"/>
      <c r="AQ22" s="691"/>
      <c r="AR22" s="691"/>
      <c r="AS22" s="691"/>
      <c r="AT22" s="691"/>
      <c r="AU22" s="691"/>
      <c r="AV22" s="691"/>
      <c r="AW22" s="691"/>
      <c r="AX22" s="691"/>
      <c r="AY22" s="691"/>
      <c r="AZ22" s="691"/>
      <c r="BA22" s="691"/>
      <c r="BB22" s="691"/>
      <c r="BC22" s="691"/>
      <c r="BD22" s="691"/>
      <c r="BE22" s="691"/>
      <c r="BF22" s="691"/>
      <c r="BG22" s="691"/>
      <c r="BH22" s="691"/>
      <c r="BI22" s="691"/>
      <c r="BJ22" s="691"/>
      <c r="BK22" s="691"/>
      <c r="BL22" s="691"/>
      <c r="BM22" s="691"/>
      <c r="BN22" s="691"/>
      <c r="BO22" s="691"/>
      <c r="BP22" s="691"/>
      <c r="BQ22" s="691"/>
      <c r="BR22" s="691"/>
      <c r="BS22" s="691"/>
      <c r="BT22" s="691"/>
      <c r="BU22" s="691"/>
      <c r="BV22" s="691"/>
      <c r="BW22" s="691"/>
      <c r="BX22" s="691"/>
      <c r="BY22" s="691"/>
      <c r="BZ22" s="691"/>
      <c r="CA22" s="691"/>
      <c r="CB22" s="691"/>
      <c r="CC22" s="691"/>
      <c r="CD22" s="691"/>
      <c r="CE22" s="691"/>
      <c r="CF22" s="691"/>
      <c r="CG22" s="691"/>
      <c r="CH22" s="691"/>
      <c r="CI22" s="691"/>
      <c r="CJ22" s="691"/>
      <c r="CK22" s="691"/>
      <c r="CL22" s="691"/>
      <c r="CM22" s="691"/>
      <c r="CN22" s="691"/>
      <c r="CO22" s="691"/>
      <c r="CP22" s="691"/>
      <c r="CQ22" s="691"/>
      <c r="CR22" s="691"/>
      <c r="CS22" s="691"/>
      <c r="CT22" s="691"/>
      <c r="CU22" s="691"/>
      <c r="CV22" s="691"/>
      <c r="CW22" s="691"/>
      <c r="CX22" s="691"/>
      <c r="CY22" s="691"/>
      <c r="CZ22" s="691"/>
      <c r="DA22" s="691"/>
      <c r="DB22" s="691"/>
      <c r="DC22" s="691"/>
      <c r="DD22" s="691"/>
      <c r="DE22" s="691"/>
      <c r="DF22" s="691"/>
      <c r="DG22" s="691"/>
      <c r="DH22" s="691"/>
      <c r="DI22" s="691"/>
      <c r="DJ22" s="691"/>
      <c r="DK22" s="691"/>
      <c r="DL22" s="691"/>
      <c r="DM22" s="691"/>
      <c r="DN22" s="691"/>
      <c r="DO22" s="691"/>
      <c r="DP22" s="691"/>
      <c r="DQ22" s="691"/>
      <c r="DR22" s="691"/>
      <c r="DS22" s="691"/>
      <c r="DT22" s="691"/>
      <c r="DU22" s="691"/>
      <c r="DV22" s="691"/>
      <c r="DW22" s="924"/>
      <c r="DX22" s="692"/>
      <c r="DY22" s="693"/>
      <c r="DZ22" s="693"/>
    </row>
    <row r="23" spans="1:147" ht="28.8" x14ac:dyDescent="0.3">
      <c r="A23" s="287" t="s">
        <v>224</v>
      </c>
      <c r="B23" s="208" t="str">
        <f t="shared" ref="B23:B33" si="5">A23&amp;" / "&amp;VLOOKUP(A23,PANELDETRABAJO,2,FALSE)</f>
        <v>GRIFO 11 / CAPITÁN ELGUETA ARAVENA BORIS WALTER</v>
      </c>
      <c r="C23" s="43" t="s">
        <v>2</v>
      </c>
      <c r="D23" s="43" t="s">
        <v>2289</v>
      </c>
      <c r="E23" s="43" t="s">
        <v>855</v>
      </c>
      <c r="F23" s="43" t="s">
        <v>1220</v>
      </c>
      <c r="G23" s="43" t="s">
        <v>855</v>
      </c>
      <c r="H23" s="43" t="s">
        <v>1220</v>
      </c>
      <c r="I23" s="43" t="s">
        <v>1</v>
      </c>
      <c r="J23" s="43" t="s">
        <v>2973</v>
      </c>
      <c r="K23" s="43" t="s">
        <v>853</v>
      </c>
      <c r="L23" s="43" t="s">
        <v>2999</v>
      </c>
      <c r="M23" s="43" t="s">
        <v>853</v>
      </c>
      <c r="N23" s="43" t="s">
        <v>825</v>
      </c>
      <c r="O23" s="43" t="s">
        <v>853</v>
      </c>
      <c r="P23" s="43" t="s">
        <v>3010</v>
      </c>
      <c r="Q23" s="43" t="s">
        <v>853</v>
      </c>
      <c r="R23" s="43" t="s">
        <v>3023</v>
      </c>
      <c r="S23" s="43" t="s">
        <v>2</v>
      </c>
      <c r="T23" s="43" t="s">
        <v>3046</v>
      </c>
      <c r="U23" s="43" t="s">
        <v>853</v>
      </c>
      <c r="V23" s="43" t="s">
        <v>2932</v>
      </c>
      <c r="W23" s="43" t="s">
        <v>853</v>
      </c>
      <c r="X23" s="43" t="s">
        <v>3049</v>
      </c>
      <c r="Y23" s="43" t="s">
        <v>853</v>
      </c>
      <c r="Z23" s="43" t="s">
        <v>2999</v>
      </c>
      <c r="AA23" s="43" t="s">
        <v>2</v>
      </c>
      <c r="AB23" s="43" t="s">
        <v>2289</v>
      </c>
      <c r="AC23" s="43" t="s">
        <v>853</v>
      </c>
      <c r="AD23" s="43" t="s">
        <v>3078</v>
      </c>
      <c r="AE23" s="43" t="s">
        <v>853</v>
      </c>
      <c r="AF23" s="43" t="s">
        <v>3093</v>
      </c>
      <c r="AG23" s="43" t="s">
        <v>855</v>
      </c>
      <c r="AH23" s="43" t="s">
        <v>1220</v>
      </c>
      <c r="AI23" s="43" t="s">
        <v>855</v>
      </c>
      <c r="AJ23" s="43" t="s">
        <v>1220</v>
      </c>
      <c r="AK23" s="43" t="s">
        <v>855</v>
      </c>
      <c r="AL23" s="43" t="s">
        <v>1220</v>
      </c>
      <c r="AM23" s="43" t="s">
        <v>853</v>
      </c>
      <c r="AN23" s="43" t="s">
        <v>3093</v>
      </c>
      <c r="AO23" s="43" t="s">
        <v>853</v>
      </c>
      <c r="AP23" s="43" t="s">
        <v>3010</v>
      </c>
      <c r="AQ23" s="43" t="s">
        <v>853</v>
      </c>
      <c r="AR23" s="43" t="s">
        <v>3246</v>
      </c>
      <c r="AS23" s="43" t="s">
        <v>853</v>
      </c>
      <c r="AT23" s="43" t="s">
        <v>3255</v>
      </c>
      <c r="AU23" s="43" t="s">
        <v>853</v>
      </c>
      <c r="AV23" s="43" t="s">
        <v>3046</v>
      </c>
      <c r="AW23" s="43" t="s">
        <v>1</v>
      </c>
      <c r="AX23" s="43" t="s">
        <v>3304</v>
      </c>
      <c r="AY23" s="43" t="s">
        <v>853</v>
      </c>
      <c r="AZ23" s="43" t="s">
        <v>3310</v>
      </c>
      <c r="BA23" s="43" t="s">
        <v>853</v>
      </c>
      <c r="BB23" s="43" t="s">
        <v>3328</v>
      </c>
      <c r="BC23" s="43" t="s">
        <v>853</v>
      </c>
      <c r="BD23" s="43" t="s">
        <v>2999</v>
      </c>
      <c r="BE23" s="43" t="s">
        <v>853</v>
      </c>
      <c r="BF23" s="43" t="s">
        <v>3388</v>
      </c>
      <c r="BG23" s="43" t="s">
        <v>853</v>
      </c>
      <c r="BH23" s="43" t="s">
        <v>3390</v>
      </c>
      <c r="BI23" s="43" t="s">
        <v>855</v>
      </c>
      <c r="BJ23" s="43" t="s">
        <v>1220</v>
      </c>
      <c r="BK23" s="43" t="s">
        <v>855</v>
      </c>
      <c r="BL23" s="43" t="s">
        <v>1220</v>
      </c>
      <c r="BM23" s="43" t="s">
        <v>855</v>
      </c>
      <c r="BN23" s="43" t="s">
        <v>1220</v>
      </c>
      <c r="BO23" s="43" t="s">
        <v>853</v>
      </c>
      <c r="BP23" s="43" t="s">
        <v>3246</v>
      </c>
      <c r="BQ23" s="43" t="s">
        <v>853</v>
      </c>
      <c r="BR23" s="43" t="s">
        <v>3010</v>
      </c>
      <c r="BS23" s="43" t="s">
        <v>853</v>
      </c>
      <c r="BT23" s="43" t="s">
        <v>3093</v>
      </c>
      <c r="BU23" s="43" t="s">
        <v>853</v>
      </c>
      <c r="BV23" s="43" t="s">
        <v>3010</v>
      </c>
      <c r="BW23" s="43" t="s">
        <v>853</v>
      </c>
      <c r="BX23" s="43" t="s">
        <v>2984</v>
      </c>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t="s">
        <v>853</v>
      </c>
      <c r="DT23" s="43" t="s">
        <v>224</v>
      </c>
      <c r="DU23" s="43"/>
      <c r="DV23" s="43"/>
      <c r="DW23" s="923"/>
      <c r="DX23" s="514" t="str">
        <f>A23</f>
        <v>GRIFO 11</v>
      </c>
      <c r="DY23" s="515" t="str">
        <f t="shared" ref="DY23:DY33" si="6">UPPER(IF(VLOOKUP(A23,TabladeServicio,MATCH($B$2,$A$8:$DT$8,0),0)=0,"",VLOOKUP(A23,TabladeServicio,MATCH($B$2,$A$8:$DT$8,0),0)))</f>
        <v>1P</v>
      </c>
      <c r="DZ23" s="515" t="str">
        <f t="shared" ref="DZ23:DZ33" si="7">UPPER(IF(VLOOKUP(A23,TabladeServicio,MATCH($B$2,$A$8:$DT$8,0)+1,0)=0,"",VLOOKUP(A23,TabladeServicio,MATCH($B$2,$A$8:$DT$8,0)+1,0)))</f>
        <v>JEFE APS</v>
      </c>
      <c r="EA23" s="516"/>
      <c r="EB23" s="516"/>
      <c r="EC23" s="516"/>
      <c r="ED23" s="516"/>
      <c r="EE23" s="516"/>
      <c r="EF23" s="516"/>
      <c r="EG23" s="516"/>
      <c r="EH23" s="516"/>
      <c r="EI23" s="516"/>
      <c r="EJ23" s="516"/>
      <c r="EK23" s="516"/>
      <c r="EL23" s="516"/>
      <c r="EM23" s="516"/>
      <c r="EN23" s="516"/>
      <c r="EO23" s="516"/>
      <c r="EP23" s="516"/>
      <c r="EQ23" s="516"/>
    </row>
    <row r="24" spans="1:147" ht="28.8" x14ac:dyDescent="0.3">
      <c r="A24" s="287" t="s">
        <v>241</v>
      </c>
      <c r="B24" s="208" t="str">
        <f t="shared" si="5"/>
        <v>GRIFO 12 / CAPITÁN SANCHEZ CASTRO VICTOR MANUEL</v>
      </c>
      <c r="C24" s="44" t="s">
        <v>1</v>
      </c>
      <c r="D24" s="44" t="s">
        <v>2971</v>
      </c>
      <c r="E24" s="43" t="s">
        <v>1</v>
      </c>
      <c r="F24" s="43" t="s">
        <v>2971</v>
      </c>
      <c r="G24" s="43" t="s">
        <v>853</v>
      </c>
      <c r="H24" s="43" t="s">
        <v>2976</v>
      </c>
      <c r="I24" s="43" t="s">
        <v>853</v>
      </c>
      <c r="J24" s="43" t="s">
        <v>2980</v>
      </c>
      <c r="K24" s="43" t="s">
        <v>2</v>
      </c>
      <c r="L24" s="43" t="s">
        <v>2973</v>
      </c>
      <c r="M24" s="43" t="s">
        <v>853</v>
      </c>
      <c r="N24" s="43" t="s">
        <v>3004</v>
      </c>
      <c r="O24" s="43" t="s">
        <v>853</v>
      </c>
      <c r="P24" s="43" t="s">
        <v>3004</v>
      </c>
      <c r="Q24" s="43" t="s">
        <v>853</v>
      </c>
      <c r="R24" s="43" t="s">
        <v>3024</v>
      </c>
      <c r="S24" s="43" t="s">
        <v>855</v>
      </c>
      <c r="T24" s="43" t="s">
        <v>1220</v>
      </c>
      <c r="U24" s="43" t="s">
        <v>853</v>
      </c>
      <c r="V24" s="43" t="s">
        <v>2975</v>
      </c>
      <c r="W24" s="43" t="s">
        <v>855</v>
      </c>
      <c r="X24" s="43" t="s">
        <v>1220</v>
      </c>
      <c r="Y24" s="43" t="s">
        <v>853</v>
      </c>
      <c r="Z24" s="43" t="s">
        <v>3058</v>
      </c>
      <c r="AA24" s="43" t="s">
        <v>853</v>
      </c>
      <c r="AB24" s="43" t="s">
        <v>3068</v>
      </c>
      <c r="AC24" s="43" t="s">
        <v>1</v>
      </c>
      <c r="AD24" s="43" t="s">
        <v>3079</v>
      </c>
      <c r="AE24" s="43" t="s">
        <v>853</v>
      </c>
      <c r="AF24" s="43" t="s">
        <v>3094</v>
      </c>
      <c r="AG24" s="43" t="s">
        <v>853</v>
      </c>
      <c r="AH24" s="43" t="s">
        <v>3126</v>
      </c>
      <c r="AI24" s="43" t="s">
        <v>853</v>
      </c>
      <c r="AJ24" s="43" t="s">
        <v>3127</v>
      </c>
      <c r="AK24" s="43" t="s">
        <v>853</v>
      </c>
      <c r="AL24" s="43" t="s">
        <v>3004</v>
      </c>
      <c r="AM24" s="43" t="s">
        <v>853</v>
      </c>
      <c r="AN24" s="43" t="s">
        <v>3094</v>
      </c>
      <c r="AO24" s="43" t="s">
        <v>853</v>
      </c>
      <c r="AP24" s="43" t="s">
        <v>3004</v>
      </c>
      <c r="AQ24" s="43" t="s">
        <v>855</v>
      </c>
      <c r="AR24" s="43" t="s">
        <v>3242</v>
      </c>
      <c r="AS24" s="43" t="s">
        <v>853</v>
      </c>
      <c r="AT24" s="43" t="s">
        <v>3254</v>
      </c>
      <c r="AU24" s="43" t="s">
        <v>855</v>
      </c>
      <c r="AV24" s="43" t="s">
        <v>1220</v>
      </c>
      <c r="AW24" s="43" t="s">
        <v>855</v>
      </c>
      <c r="AX24" s="43" t="s">
        <v>1220</v>
      </c>
      <c r="AY24" s="43"/>
      <c r="AZ24" s="43"/>
      <c r="BA24" s="43"/>
      <c r="BB24" s="43"/>
      <c r="BC24" s="43" t="s">
        <v>853</v>
      </c>
      <c r="BD24" s="43" t="s">
        <v>880</v>
      </c>
      <c r="BE24" s="43" t="s">
        <v>853</v>
      </c>
      <c r="BF24" s="43" t="s">
        <v>3369</v>
      </c>
      <c r="BG24" s="43" t="s">
        <v>853</v>
      </c>
      <c r="BH24" s="43" t="s">
        <v>3399</v>
      </c>
      <c r="BI24" s="43" t="s">
        <v>1</v>
      </c>
      <c r="BJ24" s="43" t="s">
        <v>3435</v>
      </c>
      <c r="BK24" s="43" t="s">
        <v>2</v>
      </c>
      <c r="BL24" s="43" t="s">
        <v>2289</v>
      </c>
      <c r="BM24" s="43" t="s">
        <v>853</v>
      </c>
      <c r="BN24" s="43" t="s">
        <v>3445</v>
      </c>
      <c r="BO24" s="43" t="s">
        <v>853</v>
      </c>
      <c r="BP24" s="43" t="s">
        <v>3094</v>
      </c>
      <c r="BQ24" s="43" t="s">
        <v>853</v>
      </c>
      <c r="BR24" s="43" t="s">
        <v>3004</v>
      </c>
      <c r="BS24" s="43" t="s">
        <v>853</v>
      </c>
      <c r="BT24" s="43" t="s">
        <v>3094</v>
      </c>
      <c r="BU24" s="43" t="s">
        <v>853</v>
      </c>
      <c r="BV24" s="43" t="s">
        <v>3554</v>
      </c>
      <c r="BW24" s="43" t="s">
        <v>855</v>
      </c>
      <c r="BX24" s="43" t="s">
        <v>1220</v>
      </c>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t="s">
        <v>1</v>
      </c>
      <c r="DT24" s="43" t="s">
        <v>1472</v>
      </c>
      <c r="DU24" s="43"/>
      <c r="DV24" s="43"/>
      <c r="DW24" s="923"/>
      <c r="DX24" s="517" t="str">
        <f t="shared" ref="DX24:DX52" si="8">A24</f>
        <v>GRIFO 12</v>
      </c>
      <c r="DY24" s="518" t="str">
        <f t="shared" si="6"/>
        <v>F</v>
      </c>
      <c r="DZ24" s="518" t="str">
        <f t="shared" si="7"/>
        <v>FRANCO</v>
      </c>
      <c r="EA24" s="516"/>
      <c r="EB24" s="516"/>
      <c r="EC24" s="516"/>
      <c r="ED24" s="516"/>
      <c r="EM24" s="516"/>
      <c r="EN24" s="516"/>
      <c r="EO24" s="516"/>
      <c r="EP24" s="516"/>
      <c r="EQ24" s="516"/>
    </row>
    <row r="25" spans="1:147" ht="28.8" x14ac:dyDescent="0.3">
      <c r="A25" s="287" t="s">
        <v>251</v>
      </c>
      <c r="B25" s="208" t="str">
        <f t="shared" si="5"/>
        <v>GRIFO 13 / TENIENTE NAVARRO VELASQUEZ RODOLFO</v>
      </c>
      <c r="C25" s="43" t="s">
        <v>885</v>
      </c>
      <c r="D25" s="43" t="s">
        <v>13</v>
      </c>
      <c r="E25" s="43" t="s">
        <v>885</v>
      </c>
      <c r="F25" s="43" t="s">
        <v>13</v>
      </c>
      <c r="G25" s="209" t="s">
        <v>885</v>
      </c>
      <c r="H25" s="209" t="s">
        <v>13</v>
      </c>
      <c r="I25" s="43" t="s">
        <v>885</v>
      </c>
      <c r="J25" s="43" t="s">
        <v>13</v>
      </c>
      <c r="K25" s="43" t="s">
        <v>885</v>
      </c>
      <c r="L25" s="43" t="s">
        <v>13</v>
      </c>
      <c r="M25" s="43" t="s">
        <v>885</v>
      </c>
      <c r="N25" s="43" t="s">
        <v>13</v>
      </c>
      <c r="O25" s="43" t="s">
        <v>885</v>
      </c>
      <c r="P25" s="43" t="s">
        <v>13</v>
      </c>
      <c r="Q25" s="43" t="s">
        <v>885</v>
      </c>
      <c r="R25" s="43" t="s">
        <v>13</v>
      </c>
      <c r="S25" s="43" t="s">
        <v>885</v>
      </c>
      <c r="T25" s="43" t="s">
        <v>13</v>
      </c>
      <c r="U25" s="43" t="s">
        <v>885</v>
      </c>
      <c r="V25" s="43" t="s">
        <v>13</v>
      </c>
      <c r="W25" s="43" t="s">
        <v>885</v>
      </c>
      <c r="X25" s="43" t="s">
        <v>13</v>
      </c>
      <c r="Y25" s="43" t="s">
        <v>885</v>
      </c>
      <c r="Z25" s="43" t="s">
        <v>13</v>
      </c>
      <c r="AA25" s="43" t="s">
        <v>885</v>
      </c>
      <c r="AB25" s="43" t="s">
        <v>13</v>
      </c>
      <c r="AC25" s="43" t="s">
        <v>885</v>
      </c>
      <c r="AD25" s="43" t="s">
        <v>13</v>
      </c>
      <c r="AE25" s="43" t="s">
        <v>885</v>
      </c>
      <c r="AF25" s="43" t="s">
        <v>13</v>
      </c>
      <c r="AG25" s="43" t="s">
        <v>885</v>
      </c>
      <c r="AH25" s="43" t="s">
        <v>13</v>
      </c>
      <c r="AI25" s="43" t="s">
        <v>885</v>
      </c>
      <c r="AJ25" s="43" t="s">
        <v>13</v>
      </c>
      <c r="AK25" s="43" t="s">
        <v>885</v>
      </c>
      <c r="AL25" s="43" t="s">
        <v>13</v>
      </c>
      <c r="AM25" s="43" t="s">
        <v>853</v>
      </c>
      <c r="AN25" s="43" t="s">
        <v>2047</v>
      </c>
      <c r="AO25" s="43" t="s">
        <v>2</v>
      </c>
      <c r="AP25" s="43" t="s">
        <v>1472</v>
      </c>
      <c r="AQ25" s="43" t="s">
        <v>853</v>
      </c>
      <c r="AR25" s="43" t="s">
        <v>3160</v>
      </c>
      <c r="AS25" s="43" t="s">
        <v>854</v>
      </c>
      <c r="AT25" s="43" t="s">
        <v>882</v>
      </c>
      <c r="AU25" s="43" t="s">
        <v>2125</v>
      </c>
      <c r="AV25" s="43" t="s">
        <v>2760</v>
      </c>
      <c r="AW25" s="43" t="s">
        <v>853</v>
      </c>
      <c r="AX25" s="43" t="s">
        <v>3302</v>
      </c>
      <c r="AY25" s="43"/>
      <c r="AZ25" s="43"/>
      <c r="BA25" s="43"/>
      <c r="BB25" s="43"/>
      <c r="BC25" s="43" t="s">
        <v>853</v>
      </c>
      <c r="BD25" s="43" t="s">
        <v>3160</v>
      </c>
      <c r="BE25" s="43" t="s">
        <v>854</v>
      </c>
      <c r="BF25" s="43" t="s">
        <v>2650</v>
      </c>
      <c r="BG25" s="43" t="s">
        <v>2125</v>
      </c>
      <c r="BH25" s="43" t="s">
        <v>2632</v>
      </c>
      <c r="BI25" s="43" t="s">
        <v>853</v>
      </c>
      <c r="BJ25" s="43" t="s">
        <v>1472</v>
      </c>
      <c r="BK25" s="209" t="s">
        <v>855</v>
      </c>
      <c r="BL25" s="209" t="s">
        <v>1220</v>
      </c>
      <c r="BM25" s="43" t="s">
        <v>2</v>
      </c>
      <c r="BN25" s="43" t="s">
        <v>1472</v>
      </c>
      <c r="BO25" s="43" t="s">
        <v>853</v>
      </c>
      <c r="BP25" s="43" t="s">
        <v>3160</v>
      </c>
      <c r="BQ25" s="209" t="s">
        <v>854</v>
      </c>
      <c r="BR25" s="209" t="s">
        <v>882</v>
      </c>
      <c r="BS25" s="43" t="s">
        <v>2125</v>
      </c>
      <c r="BT25" s="43" t="s">
        <v>882</v>
      </c>
      <c r="BU25" s="43" t="s">
        <v>1</v>
      </c>
      <c r="BV25" s="43" t="s">
        <v>3555</v>
      </c>
      <c r="BW25" s="43" t="s">
        <v>853</v>
      </c>
      <c r="BX25" s="43" t="s">
        <v>1472</v>
      </c>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t="s">
        <v>885</v>
      </c>
      <c r="DT25" s="43" t="s">
        <v>13</v>
      </c>
      <c r="DU25" s="43"/>
      <c r="DV25" s="43"/>
      <c r="DW25" s="923"/>
      <c r="DX25" s="517" t="str">
        <f t="shared" si="8"/>
        <v>GRIFO 13</v>
      </c>
      <c r="DY25" s="518" t="str">
        <f t="shared" si="6"/>
        <v>1P</v>
      </c>
      <c r="DZ25" s="518" t="str">
        <f t="shared" si="7"/>
        <v>BAQUEDANO</v>
      </c>
      <c r="EA25" s="516"/>
      <c r="EB25" s="516"/>
      <c r="EC25" s="516"/>
      <c r="ED25" s="516"/>
      <c r="EM25" s="516"/>
      <c r="EN25" s="516"/>
      <c r="EO25" s="516"/>
      <c r="EP25" s="516"/>
      <c r="EQ25" s="516"/>
    </row>
    <row r="26" spans="1:147" ht="28.8" x14ac:dyDescent="0.3">
      <c r="A26" s="287" t="s">
        <v>252</v>
      </c>
      <c r="B26" s="208" t="str">
        <f t="shared" si="5"/>
        <v>GRIFO 14 / TENIENTE ZULOAGA MUÑOZ SEBASTIAN ALEJANDRO</v>
      </c>
      <c r="C26" s="43" t="s">
        <v>6</v>
      </c>
      <c r="D26" s="43" t="s">
        <v>2289</v>
      </c>
      <c r="E26" s="43" t="s">
        <v>2125</v>
      </c>
      <c r="F26" s="43" t="s">
        <v>2955</v>
      </c>
      <c r="G26" s="43" t="s">
        <v>853</v>
      </c>
      <c r="H26" s="43" t="s">
        <v>2905</v>
      </c>
      <c r="I26" s="43" t="s">
        <v>853</v>
      </c>
      <c r="J26" s="43" t="s">
        <v>2047</v>
      </c>
      <c r="K26" s="43" t="s">
        <v>853</v>
      </c>
      <c r="L26" s="43" t="s">
        <v>2983</v>
      </c>
      <c r="M26" s="43" t="s">
        <v>854</v>
      </c>
      <c r="N26" s="43" t="s">
        <v>882</v>
      </c>
      <c r="O26" s="43" t="s">
        <v>2125</v>
      </c>
      <c r="P26" s="43" t="s">
        <v>2632</v>
      </c>
      <c r="Q26" s="43" t="s">
        <v>1</v>
      </c>
      <c r="R26" s="43" t="s">
        <v>3025</v>
      </c>
      <c r="S26" s="43" t="s">
        <v>855</v>
      </c>
      <c r="T26" s="43" t="s">
        <v>1220</v>
      </c>
      <c r="U26" s="43" t="s">
        <v>853</v>
      </c>
      <c r="V26" s="43" t="s">
        <v>2905</v>
      </c>
      <c r="W26" s="43" t="s">
        <v>6</v>
      </c>
      <c r="X26" s="43" t="s">
        <v>3050</v>
      </c>
      <c r="Y26" s="43" t="s">
        <v>2125</v>
      </c>
      <c r="Z26" s="43" t="s">
        <v>3050</v>
      </c>
      <c r="AA26" s="43" t="s">
        <v>853</v>
      </c>
      <c r="AB26" s="43" t="s">
        <v>3077</v>
      </c>
      <c r="AC26" s="43" t="s">
        <v>853</v>
      </c>
      <c r="AD26" s="43" t="s">
        <v>3087</v>
      </c>
      <c r="AE26" s="43" t="s">
        <v>853</v>
      </c>
      <c r="AF26" s="43" t="s">
        <v>3095</v>
      </c>
      <c r="AG26" s="43" t="s">
        <v>855</v>
      </c>
      <c r="AH26" s="43" t="s">
        <v>1220</v>
      </c>
      <c r="AI26" s="43" t="s">
        <v>855</v>
      </c>
      <c r="AJ26" s="43" t="s">
        <v>1220</v>
      </c>
      <c r="AK26" s="43" t="s">
        <v>2</v>
      </c>
      <c r="AL26" s="43" t="s">
        <v>1472</v>
      </c>
      <c r="AM26" s="43" t="s">
        <v>853</v>
      </c>
      <c r="AN26" s="43" t="s">
        <v>3095</v>
      </c>
      <c r="AO26" s="43" t="s">
        <v>854</v>
      </c>
      <c r="AP26" s="43" t="s">
        <v>882</v>
      </c>
      <c r="AQ26" s="43" t="s">
        <v>2125</v>
      </c>
      <c r="AR26" s="43" t="s">
        <v>882</v>
      </c>
      <c r="AS26" s="43" t="s">
        <v>1</v>
      </c>
      <c r="AT26" s="43" t="s">
        <v>3025</v>
      </c>
      <c r="AU26" s="43" t="s">
        <v>853</v>
      </c>
      <c r="AV26" s="43" t="s">
        <v>3295</v>
      </c>
      <c r="AW26" s="43" t="s">
        <v>853</v>
      </c>
      <c r="AX26" s="43" t="s">
        <v>1472</v>
      </c>
      <c r="AY26" s="43" t="s">
        <v>853</v>
      </c>
      <c r="AZ26" s="43" t="s">
        <v>3307</v>
      </c>
      <c r="BA26" s="43" t="s">
        <v>854</v>
      </c>
      <c r="BB26" s="43" t="s">
        <v>882</v>
      </c>
      <c r="BC26" s="43" t="s">
        <v>2125</v>
      </c>
      <c r="BD26" s="43" t="s">
        <v>882</v>
      </c>
      <c r="BE26" s="43" t="s">
        <v>853</v>
      </c>
      <c r="BF26" s="43" t="s">
        <v>3370</v>
      </c>
      <c r="BG26" s="43" t="s">
        <v>853</v>
      </c>
      <c r="BH26" s="43" t="s">
        <v>3370</v>
      </c>
      <c r="BI26" s="43" t="s">
        <v>855</v>
      </c>
      <c r="BJ26" s="43" t="s">
        <v>936</v>
      </c>
      <c r="BK26" s="43" t="s">
        <v>854</v>
      </c>
      <c r="BL26" s="43" t="s">
        <v>882</v>
      </c>
      <c r="BM26" s="43" t="s">
        <v>2125</v>
      </c>
      <c r="BN26" s="43" t="s">
        <v>2870</v>
      </c>
      <c r="BO26" s="43" t="s">
        <v>1</v>
      </c>
      <c r="BP26" s="43" t="s">
        <v>1472</v>
      </c>
      <c r="BQ26" s="43" t="s">
        <v>2</v>
      </c>
      <c r="BR26" s="43" t="s">
        <v>2047</v>
      </c>
      <c r="BS26" s="43" t="s">
        <v>2</v>
      </c>
      <c r="BT26" s="43" t="s">
        <v>1472</v>
      </c>
      <c r="BU26" s="43" t="s">
        <v>1</v>
      </c>
      <c r="BV26" s="43" t="s">
        <v>3060</v>
      </c>
      <c r="BW26" s="43" t="s">
        <v>854</v>
      </c>
      <c r="BX26" s="43" t="s">
        <v>882</v>
      </c>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t="s">
        <v>6</v>
      </c>
      <c r="DT26" s="43" t="s">
        <v>2289</v>
      </c>
      <c r="DU26" s="43"/>
      <c r="DV26" s="43"/>
      <c r="DW26" s="923"/>
      <c r="DX26" s="517" t="str">
        <f t="shared" si="8"/>
        <v>GRIFO 14</v>
      </c>
      <c r="DY26" s="518" t="str">
        <f t="shared" si="6"/>
        <v>2P</v>
      </c>
      <c r="DZ26" s="518" t="str">
        <f t="shared" si="7"/>
        <v>ARIETE NOCTURNO</v>
      </c>
      <c r="EA26" s="516"/>
      <c r="EB26" s="516"/>
      <c r="EC26" s="516"/>
      <c r="ED26" s="516"/>
      <c r="EM26" s="516"/>
      <c r="EN26" s="516"/>
      <c r="EO26" s="516"/>
      <c r="EP26" s="516"/>
      <c r="EQ26" s="516"/>
    </row>
    <row r="27" spans="1:147" ht="28.8" x14ac:dyDescent="0.3">
      <c r="A27" s="287" t="s">
        <v>242</v>
      </c>
      <c r="B27" s="208" t="str">
        <f t="shared" si="5"/>
        <v>GRIFO 15 / TENIENTE PALAVECINO LLANOS CAROLINA VIVIANA</v>
      </c>
      <c r="C27" s="43" t="s">
        <v>853</v>
      </c>
      <c r="D27" s="43" t="s">
        <v>2047</v>
      </c>
      <c r="E27" s="43" t="s">
        <v>854</v>
      </c>
      <c r="F27" s="43" t="s">
        <v>882</v>
      </c>
      <c r="G27" s="43" t="s">
        <v>2125</v>
      </c>
      <c r="H27" s="43" t="s">
        <v>882</v>
      </c>
      <c r="I27" s="43" t="s">
        <v>853</v>
      </c>
      <c r="J27" s="43" t="s">
        <v>2933</v>
      </c>
      <c r="K27" s="43" t="s">
        <v>853</v>
      </c>
      <c r="L27" s="43" t="s">
        <v>1472</v>
      </c>
      <c r="M27" s="43" t="s">
        <v>853</v>
      </c>
      <c r="N27" s="43" t="s">
        <v>2047</v>
      </c>
      <c r="O27" s="43" t="s">
        <v>6</v>
      </c>
      <c r="P27" s="43" t="s">
        <v>2289</v>
      </c>
      <c r="Q27" s="43" t="s">
        <v>2125</v>
      </c>
      <c r="R27" s="43" t="s">
        <v>3026</v>
      </c>
      <c r="S27" s="43" t="s">
        <v>853</v>
      </c>
      <c r="T27" s="43" t="s">
        <v>2635</v>
      </c>
      <c r="U27" s="43" t="s">
        <v>853</v>
      </c>
      <c r="V27" s="43" t="s">
        <v>1472</v>
      </c>
      <c r="W27" s="43" t="s">
        <v>854</v>
      </c>
      <c r="X27" s="43" t="s">
        <v>2650</v>
      </c>
      <c r="Y27" s="43" t="s">
        <v>2125</v>
      </c>
      <c r="Z27" s="43" t="s">
        <v>2650</v>
      </c>
      <c r="AA27" s="43" t="s">
        <v>853</v>
      </c>
      <c r="AB27" s="43" t="s">
        <v>3075</v>
      </c>
      <c r="AC27" s="43" t="s">
        <v>853</v>
      </c>
      <c r="AD27" s="43" t="s">
        <v>3087</v>
      </c>
      <c r="AE27" s="43" t="s">
        <v>2</v>
      </c>
      <c r="AF27" s="43" t="s">
        <v>1472</v>
      </c>
      <c r="AG27" s="43" t="s">
        <v>853</v>
      </c>
      <c r="AH27" s="43" t="s">
        <v>2517</v>
      </c>
      <c r="AI27" s="43" t="s">
        <v>854</v>
      </c>
      <c r="AJ27" s="43" t="s">
        <v>882</v>
      </c>
      <c r="AK27" s="43" t="s">
        <v>2125</v>
      </c>
      <c r="AL27" s="43" t="s">
        <v>2838</v>
      </c>
      <c r="AM27" s="43" t="s">
        <v>2</v>
      </c>
      <c r="AN27" s="43" t="s">
        <v>3136</v>
      </c>
      <c r="AO27" s="43" t="s">
        <v>1</v>
      </c>
      <c r="AP27" s="43" t="s">
        <v>1472</v>
      </c>
      <c r="AQ27" s="43" t="s">
        <v>2</v>
      </c>
      <c r="AR27" s="43" t="s">
        <v>1472</v>
      </c>
      <c r="AS27" s="43" t="s">
        <v>853</v>
      </c>
      <c r="AT27" s="43" t="s">
        <v>3256</v>
      </c>
      <c r="AU27" s="43" t="s">
        <v>855</v>
      </c>
      <c r="AV27" s="43" t="s">
        <v>1220</v>
      </c>
      <c r="AW27" s="43" t="s">
        <v>855</v>
      </c>
      <c r="AX27" s="43" t="s">
        <v>1220</v>
      </c>
      <c r="AY27" s="43" t="s">
        <v>6</v>
      </c>
      <c r="AZ27" s="43" t="s">
        <v>2486</v>
      </c>
      <c r="BA27" s="43" t="s">
        <v>2125</v>
      </c>
      <c r="BB27" s="43" t="s">
        <v>2486</v>
      </c>
      <c r="BC27" s="43" t="s">
        <v>2</v>
      </c>
      <c r="BD27" s="43" t="s">
        <v>3060</v>
      </c>
      <c r="BE27" s="43" t="s">
        <v>1</v>
      </c>
      <c r="BF27" s="43" t="s">
        <v>3359</v>
      </c>
      <c r="BG27" s="43" t="s">
        <v>1</v>
      </c>
      <c r="BH27" s="43" t="s">
        <v>3359</v>
      </c>
      <c r="BI27" s="43" t="s">
        <v>854</v>
      </c>
      <c r="BJ27" s="43" t="s">
        <v>882</v>
      </c>
      <c r="BK27" s="43" t="s">
        <v>2125</v>
      </c>
      <c r="BL27" s="43" t="s">
        <v>2870</v>
      </c>
      <c r="BM27" s="43" t="s">
        <v>1</v>
      </c>
      <c r="BN27" s="43" t="s">
        <v>2289</v>
      </c>
      <c r="BO27" s="43" t="s">
        <v>2</v>
      </c>
      <c r="BP27" s="43" t="s">
        <v>2047</v>
      </c>
      <c r="BQ27" s="43" t="s">
        <v>2</v>
      </c>
      <c r="BR27" s="43" t="s">
        <v>1472</v>
      </c>
      <c r="BS27" s="43" t="s">
        <v>853</v>
      </c>
      <c r="BT27" s="43" t="s">
        <v>3526</v>
      </c>
      <c r="BU27" s="43" t="s">
        <v>854</v>
      </c>
      <c r="BV27" s="43" t="s">
        <v>882</v>
      </c>
      <c r="BW27" s="43" t="s">
        <v>2125</v>
      </c>
      <c r="BX27" s="43" t="s">
        <v>2760</v>
      </c>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t="s">
        <v>853</v>
      </c>
      <c r="DT27" s="43" t="s">
        <v>2047</v>
      </c>
      <c r="DU27" s="43"/>
      <c r="DV27" s="43"/>
      <c r="DW27" s="923"/>
      <c r="DX27" s="517" t="str">
        <f t="shared" si="8"/>
        <v>GRIFO 15</v>
      </c>
      <c r="DY27" s="518" t="str">
        <f t="shared" si="6"/>
        <v>SN</v>
      </c>
      <c r="DZ27" s="518" t="str">
        <f t="shared" si="7"/>
        <v>SALIENTE DE SERVICIO</v>
      </c>
      <c r="EA27" s="516"/>
      <c r="EB27" s="516"/>
      <c r="EC27" s="516"/>
      <c r="ED27" s="516"/>
      <c r="EM27" s="516"/>
      <c r="EN27" s="516"/>
      <c r="EO27" s="516"/>
      <c r="EP27" s="516"/>
      <c r="EQ27" s="516"/>
    </row>
    <row r="28" spans="1:147" ht="15" thickBot="1" x14ac:dyDescent="0.35">
      <c r="A28" s="287" t="s">
        <v>199</v>
      </c>
      <c r="B28" s="208" t="str">
        <f t="shared" si="5"/>
        <v>GRIFO 16 / -</v>
      </c>
      <c r="C28" s="209"/>
      <c r="D28" s="209"/>
      <c r="E28" s="209"/>
      <c r="F28" s="209"/>
      <c r="G28" s="209"/>
      <c r="H28" s="209"/>
      <c r="I28" s="209"/>
      <c r="J28" s="209"/>
      <c r="K28" s="209"/>
      <c r="L28" s="209"/>
      <c r="M28" s="209"/>
      <c r="N28" s="209"/>
      <c r="O28" s="209"/>
      <c r="P28" s="209"/>
      <c r="Q28" s="209"/>
      <c r="R28" s="209"/>
      <c r="S28" s="209"/>
      <c r="T28" s="209"/>
      <c r="U28" s="209"/>
      <c r="V28" s="209"/>
      <c r="W28" s="209"/>
      <c r="X28" s="209"/>
      <c r="Y28" s="209"/>
      <c r="Z28" s="209"/>
      <c r="AA28" s="209"/>
      <c r="AB28" s="209"/>
      <c r="AC28" s="209"/>
      <c r="AD28" s="209"/>
      <c r="AE28" s="209"/>
      <c r="AF28" s="209"/>
      <c r="AG28" s="209"/>
      <c r="AH28" s="209"/>
      <c r="AI28" s="209"/>
      <c r="AJ28" s="209"/>
      <c r="AK28" s="209"/>
      <c r="AL28" s="209"/>
      <c r="AM28" s="209"/>
      <c r="AN28" s="209"/>
      <c r="AO28" s="209"/>
      <c r="AP28" s="43"/>
      <c r="AQ28" s="209"/>
      <c r="AR28" s="209"/>
      <c r="AS28" s="209"/>
      <c r="AT28" s="209"/>
      <c r="AU28" s="209"/>
      <c r="AV28" s="209"/>
      <c r="AW28" s="209"/>
      <c r="AX28" s="209"/>
      <c r="AY28" s="209"/>
      <c r="AZ28" s="209"/>
      <c r="BA28" s="209"/>
      <c r="BB28" s="209"/>
      <c r="BC28" s="209"/>
      <c r="BD28" s="209"/>
      <c r="BE28" s="209"/>
      <c r="BF28" s="209"/>
      <c r="BG28" s="209"/>
      <c r="BH28" s="209"/>
      <c r="BI28" s="209"/>
      <c r="BJ28" s="209"/>
      <c r="BK28" s="209"/>
      <c r="BL28" s="209"/>
      <c r="BM28" s="209"/>
      <c r="BN28" s="209"/>
      <c r="BO28" s="209"/>
      <c r="BP28" s="209"/>
      <c r="BQ28" s="209"/>
      <c r="BR28" s="209"/>
      <c r="BS28" s="209"/>
      <c r="BT28" s="209"/>
      <c r="BU28" s="209"/>
      <c r="BV28" s="209"/>
      <c r="BW28" s="209"/>
      <c r="BX28" s="209"/>
      <c r="BY28" s="209"/>
      <c r="BZ28" s="209"/>
      <c r="CA28" s="209"/>
      <c r="CB28" s="209"/>
      <c r="CC28" s="209"/>
      <c r="CD28" s="209"/>
      <c r="CE28" s="209"/>
      <c r="CF28" s="209"/>
      <c r="CG28" s="209"/>
      <c r="CH28" s="209"/>
      <c r="CI28" s="209"/>
      <c r="CJ28" s="209"/>
      <c r="CK28" s="209"/>
      <c r="CL28" s="209"/>
      <c r="CM28" s="209"/>
      <c r="CN28" s="209"/>
      <c r="CO28" s="209"/>
      <c r="CP28" s="209"/>
      <c r="CQ28" s="209"/>
      <c r="CR28" s="209"/>
      <c r="CS28" s="209"/>
      <c r="CT28" s="209"/>
      <c r="CU28" s="209"/>
      <c r="CV28" s="209"/>
      <c r="CW28" s="209"/>
      <c r="CX28" s="209"/>
      <c r="CY28" s="209"/>
      <c r="CZ28" s="43"/>
      <c r="DA28" s="209"/>
      <c r="DB28" s="209"/>
      <c r="DC28" s="209"/>
      <c r="DD28" s="209"/>
      <c r="DE28" s="209"/>
      <c r="DF28" s="209"/>
      <c r="DG28" s="209"/>
      <c r="DH28" s="209"/>
      <c r="DI28" s="209"/>
      <c r="DJ28" s="209"/>
      <c r="DK28" s="209"/>
      <c r="DL28" s="209"/>
      <c r="DM28" s="209"/>
      <c r="DN28" s="209"/>
      <c r="DO28" s="209"/>
      <c r="DP28" s="209"/>
      <c r="DQ28" s="209"/>
      <c r="DR28" s="209"/>
      <c r="DS28" s="209" t="s">
        <v>853</v>
      </c>
      <c r="DT28" s="209" t="s">
        <v>2630</v>
      </c>
      <c r="DU28" s="209"/>
      <c r="DV28" s="209"/>
      <c r="DW28" s="375"/>
      <c r="DX28" s="517" t="str">
        <f t="shared" si="8"/>
        <v>GRIFO 16</v>
      </c>
      <c r="DY28" s="518" t="str">
        <f t="shared" si="6"/>
        <v/>
      </c>
      <c r="DZ28" s="518" t="str">
        <f t="shared" si="7"/>
        <v/>
      </c>
      <c r="EA28" s="516"/>
      <c r="EB28" s="516"/>
      <c r="EC28" s="516"/>
      <c r="ED28" s="516"/>
      <c r="EM28" s="516"/>
      <c r="EN28" s="516"/>
      <c r="EO28" s="516"/>
      <c r="EP28" s="516"/>
      <c r="EQ28" s="516"/>
    </row>
    <row r="29" spans="1:147" x14ac:dyDescent="0.3">
      <c r="A29" s="287" t="s">
        <v>667</v>
      </c>
      <c r="B29" s="208" t="str">
        <f t="shared" si="5"/>
        <v>GRIFO 17 / TENIENTE ESCOBAR PEREZ MATIAS</v>
      </c>
      <c r="C29" s="43" t="s">
        <v>853</v>
      </c>
      <c r="D29" s="43" t="s">
        <v>1472</v>
      </c>
      <c r="E29" s="43" t="s">
        <v>1</v>
      </c>
      <c r="F29" s="43" t="s">
        <v>2956</v>
      </c>
      <c r="G29" s="209" t="s">
        <v>6</v>
      </c>
      <c r="H29" s="209" t="s">
        <v>2486</v>
      </c>
      <c r="I29" s="209" t="s">
        <v>2125</v>
      </c>
      <c r="J29" s="209" t="s">
        <v>2871</v>
      </c>
      <c r="K29" s="209"/>
      <c r="L29" s="209"/>
      <c r="M29" s="209" t="s">
        <v>1</v>
      </c>
      <c r="N29" s="209" t="s">
        <v>2289</v>
      </c>
      <c r="O29" s="209" t="s">
        <v>853</v>
      </c>
      <c r="P29" s="209" t="s">
        <v>3007</v>
      </c>
      <c r="Q29" s="209" t="s">
        <v>854</v>
      </c>
      <c r="R29" s="209" t="s">
        <v>2650</v>
      </c>
      <c r="S29" s="209" t="s">
        <v>2125</v>
      </c>
      <c r="T29" s="209" t="s">
        <v>2650</v>
      </c>
      <c r="U29" s="209" t="s">
        <v>855</v>
      </c>
      <c r="V29" s="209" t="s">
        <v>1220</v>
      </c>
      <c r="W29" s="209" t="s">
        <v>884</v>
      </c>
      <c r="X29" s="209" t="s">
        <v>216</v>
      </c>
      <c r="Y29" s="209" t="s">
        <v>853</v>
      </c>
      <c r="Z29" s="209" t="s">
        <v>3059</v>
      </c>
      <c r="AA29" s="209" t="s">
        <v>854</v>
      </c>
      <c r="AB29" s="209" t="s">
        <v>882</v>
      </c>
      <c r="AC29" s="209" t="s">
        <v>962</v>
      </c>
      <c r="AD29" s="209" t="s">
        <v>2845</v>
      </c>
      <c r="AE29" s="209" t="s">
        <v>853</v>
      </c>
      <c r="AF29" s="209" t="s">
        <v>2047</v>
      </c>
      <c r="AG29" s="43" t="s">
        <v>853</v>
      </c>
      <c r="AH29" s="43" t="s">
        <v>1472</v>
      </c>
      <c r="AI29" s="43" t="s">
        <v>853</v>
      </c>
      <c r="AJ29" s="43" t="s">
        <v>3110</v>
      </c>
      <c r="AK29" s="209" t="s">
        <v>1</v>
      </c>
      <c r="AL29" s="209" t="s">
        <v>1472</v>
      </c>
      <c r="AM29" s="209" t="s">
        <v>854</v>
      </c>
      <c r="AN29" s="209" t="s">
        <v>882</v>
      </c>
      <c r="AO29" s="209" t="s">
        <v>2125</v>
      </c>
      <c r="AP29" s="43" t="s">
        <v>2122</v>
      </c>
      <c r="AQ29" s="209" t="s">
        <v>2</v>
      </c>
      <c r="AR29" s="209" t="s">
        <v>2918</v>
      </c>
      <c r="AS29" s="209" t="s">
        <v>853</v>
      </c>
      <c r="AT29" s="209" t="s">
        <v>2047</v>
      </c>
      <c r="AU29" s="209" t="s">
        <v>853</v>
      </c>
      <c r="AV29" s="209" t="s">
        <v>3294</v>
      </c>
      <c r="AW29" s="209" t="s">
        <v>854</v>
      </c>
      <c r="AX29" s="209" t="s">
        <v>882</v>
      </c>
      <c r="AY29" s="209" t="s">
        <v>2125</v>
      </c>
      <c r="AZ29" s="209" t="s">
        <v>882</v>
      </c>
      <c r="BA29" s="209" t="s">
        <v>1</v>
      </c>
      <c r="BB29" s="209" t="s">
        <v>3325</v>
      </c>
      <c r="BC29" s="209" t="s">
        <v>853</v>
      </c>
      <c r="BD29" s="209" t="s">
        <v>2047</v>
      </c>
      <c r="BE29" s="209" t="s">
        <v>853</v>
      </c>
      <c r="BF29" s="209" t="s">
        <v>1472</v>
      </c>
      <c r="BG29" s="209" t="s">
        <v>854</v>
      </c>
      <c r="BH29" s="209" t="s">
        <v>2650</v>
      </c>
      <c r="BI29" s="209" t="s">
        <v>2125</v>
      </c>
      <c r="BJ29" s="209" t="s">
        <v>2632</v>
      </c>
      <c r="BK29" s="209" t="s">
        <v>855</v>
      </c>
      <c r="BL29" s="209" t="s">
        <v>1220</v>
      </c>
      <c r="BM29" s="209" t="s">
        <v>853</v>
      </c>
      <c r="BN29" s="209" t="s">
        <v>3007</v>
      </c>
      <c r="BO29" s="209" t="s">
        <v>2</v>
      </c>
      <c r="BP29" s="209" t="s">
        <v>3060</v>
      </c>
      <c r="BQ29" s="209" t="s">
        <v>853</v>
      </c>
      <c r="BR29" s="209" t="s">
        <v>3475</v>
      </c>
      <c r="BS29" s="209" t="s">
        <v>854</v>
      </c>
      <c r="BT29" s="209" t="s">
        <v>882</v>
      </c>
      <c r="BU29" s="209" t="s">
        <v>2125</v>
      </c>
      <c r="BV29" s="209" t="s">
        <v>2760</v>
      </c>
      <c r="BW29" s="209" t="s">
        <v>2</v>
      </c>
      <c r="BX29" s="209" t="s">
        <v>880</v>
      </c>
      <c r="BY29" s="209"/>
      <c r="BZ29" s="209"/>
      <c r="CA29" s="209"/>
      <c r="CB29" s="209"/>
      <c r="CC29" s="209"/>
      <c r="CD29" s="209"/>
      <c r="CE29" s="209"/>
      <c r="CF29" s="209"/>
      <c r="CG29" s="209"/>
      <c r="CH29" s="209"/>
      <c r="CI29" s="209"/>
      <c r="CJ29" s="209"/>
      <c r="CK29" s="209"/>
      <c r="CL29" s="209"/>
      <c r="CM29" s="209"/>
      <c r="CN29" s="209"/>
      <c r="CO29" s="209"/>
      <c r="CP29" s="209"/>
      <c r="CQ29" s="43"/>
      <c r="CR29" s="43"/>
      <c r="CS29" s="43"/>
      <c r="CT29" s="43"/>
      <c r="CU29" s="209"/>
      <c r="CV29" s="209"/>
      <c r="CW29" s="209"/>
      <c r="CX29" s="209"/>
      <c r="CY29" s="209"/>
      <c r="CZ29" s="43"/>
      <c r="DA29" s="209"/>
      <c r="DB29" s="209"/>
      <c r="DC29" s="209"/>
      <c r="DD29" s="209"/>
      <c r="DE29" s="209"/>
      <c r="DF29" s="209"/>
      <c r="DG29" s="209"/>
      <c r="DH29" s="209"/>
      <c r="DI29" s="209"/>
      <c r="DJ29" s="209"/>
      <c r="DK29" s="209"/>
      <c r="DL29" s="209"/>
      <c r="DM29" s="209"/>
      <c r="DN29" s="209"/>
      <c r="DO29" s="209"/>
      <c r="DP29" s="209"/>
      <c r="DQ29" s="209"/>
      <c r="DR29" s="209"/>
      <c r="DS29" s="209" t="s">
        <v>2</v>
      </c>
      <c r="DT29" s="209" t="s">
        <v>1472</v>
      </c>
      <c r="DU29" s="209"/>
      <c r="DV29" s="209"/>
      <c r="DW29" s="375"/>
      <c r="DX29" s="514" t="str">
        <f t="shared" si="8"/>
        <v>GRIFO 17</v>
      </c>
      <c r="DY29" s="515" t="str">
        <f t="shared" si="6"/>
        <v>1T</v>
      </c>
      <c r="DZ29" s="515" t="str">
        <f t="shared" si="7"/>
        <v>APRESTO</v>
      </c>
      <c r="EA29" s="516"/>
      <c r="EB29" s="516"/>
      <c r="EC29" s="516"/>
      <c r="ED29" s="516"/>
      <c r="EM29" s="516"/>
      <c r="EN29" s="516"/>
      <c r="EO29" s="516"/>
      <c r="EP29" s="516"/>
      <c r="EQ29" s="516"/>
    </row>
    <row r="30" spans="1:147" ht="28.8" x14ac:dyDescent="0.3">
      <c r="A30" s="287" t="s">
        <v>668</v>
      </c>
      <c r="B30" s="208" t="str">
        <f t="shared" si="5"/>
        <v>GRIFO 18 / TENIENTE SAENS SUAREZ GASPAR ALONSO</v>
      </c>
      <c r="C30" s="43" t="s">
        <v>962</v>
      </c>
      <c r="D30" s="43" t="s">
        <v>2846</v>
      </c>
      <c r="E30" s="43" t="s">
        <v>962</v>
      </c>
      <c r="F30" s="43" t="s">
        <v>2846</v>
      </c>
      <c r="G30" s="43" t="s">
        <v>962</v>
      </c>
      <c r="H30" s="43" t="s">
        <v>2846</v>
      </c>
      <c r="I30" s="43" t="s">
        <v>855</v>
      </c>
      <c r="J30" s="43" t="s">
        <v>2846</v>
      </c>
      <c r="K30" s="43" t="s">
        <v>854</v>
      </c>
      <c r="L30" s="43" t="s">
        <v>882</v>
      </c>
      <c r="M30" s="43" t="s">
        <v>2125</v>
      </c>
      <c r="N30" s="43" t="s">
        <v>2632</v>
      </c>
      <c r="O30" s="43" t="s">
        <v>2</v>
      </c>
      <c r="P30" s="43" t="s">
        <v>2289</v>
      </c>
      <c r="Q30" s="43" t="s">
        <v>853</v>
      </c>
      <c r="R30" s="650" t="s">
        <v>3027</v>
      </c>
      <c r="S30" s="43" t="s">
        <v>855</v>
      </c>
      <c r="T30" s="43" t="s">
        <v>1220</v>
      </c>
      <c r="U30" s="43" t="s">
        <v>854</v>
      </c>
      <c r="V30" s="43" t="s">
        <v>2650</v>
      </c>
      <c r="W30" s="43" t="s">
        <v>2125</v>
      </c>
      <c r="X30" s="43" t="s">
        <v>2650</v>
      </c>
      <c r="Y30" s="43" t="s">
        <v>1</v>
      </c>
      <c r="Z30" s="43" t="s">
        <v>3060</v>
      </c>
      <c r="AA30" s="43" t="s">
        <v>853</v>
      </c>
      <c r="AB30" s="43" t="s">
        <v>1472</v>
      </c>
      <c r="AC30" s="43" t="s">
        <v>853</v>
      </c>
      <c r="AD30" s="43" t="s">
        <v>2047</v>
      </c>
      <c r="AE30" s="43" t="s">
        <v>854</v>
      </c>
      <c r="AF30" s="43" t="s">
        <v>882</v>
      </c>
      <c r="AG30" s="43" t="s">
        <v>2125</v>
      </c>
      <c r="AH30" s="43" t="s">
        <v>882</v>
      </c>
      <c r="AI30" s="43" t="s">
        <v>853</v>
      </c>
      <c r="AJ30" s="43" t="s">
        <v>1472</v>
      </c>
      <c r="AK30" s="43" t="s">
        <v>853</v>
      </c>
      <c r="AL30" s="43" t="s">
        <v>2047</v>
      </c>
      <c r="AM30" s="43" t="s">
        <v>2</v>
      </c>
      <c r="AN30" s="209" t="s">
        <v>1472</v>
      </c>
      <c r="AO30" s="43" t="s">
        <v>853</v>
      </c>
      <c r="AP30" s="43" t="s">
        <v>3150</v>
      </c>
      <c r="AQ30" s="43" t="s">
        <v>854</v>
      </c>
      <c r="AR30" s="43" t="s">
        <v>882</v>
      </c>
      <c r="AS30" s="43" t="s">
        <v>2125</v>
      </c>
      <c r="AT30" s="43" t="s">
        <v>882</v>
      </c>
      <c r="AU30" s="43" t="s">
        <v>853</v>
      </c>
      <c r="AV30" s="43" t="s">
        <v>3296</v>
      </c>
      <c r="AW30" s="43" t="s">
        <v>853</v>
      </c>
      <c r="AX30" s="43" t="s">
        <v>3296</v>
      </c>
      <c r="AY30" s="43" t="s">
        <v>2</v>
      </c>
      <c r="AZ30" s="43" t="s">
        <v>1472</v>
      </c>
      <c r="BA30" s="43" t="s">
        <v>853</v>
      </c>
      <c r="BB30" s="43" t="s">
        <v>3326</v>
      </c>
      <c r="BC30" s="43" t="s">
        <v>6</v>
      </c>
      <c r="BD30" s="43" t="s">
        <v>2289</v>
      </c>
      <c r="BE30" s="43" t="s">
        <v>2125</v>
      </c>
      <c r="BF30" s="43" t="s">
        <v>2838</v>
      </c>
      <c r="BG30" s="43" t="s">
        <v>853</v>
      </c>
      <c r="BH30" s="43" t="s">
        <v>2631</v>
      </c>
      <c r="BI30" s="43" t="s">
        <v>853</v>
      </c>
      <c r="BJ30" s="43" t="s">
        <v>3296</v>
      </c>
      <c r="BK30" s="209" t="s">
        <v>853</v>
      </c>
      <c r="BL30" s="209" t="s">
        <v>1472</v>
      </c>
      <c r="BM30" s="209" t="s">
        <v>853</v>
      </c>
      <c r="BN30" s="209" t="s">
        <v>3448</v>
      </c>
      <c r="BO30" s="209" t="s">
        <v>909</v>
      </c>
      <c r="BP30" s="209" t="s">
        <v>3457</v>
      </c>
      <c r="BQ30" s="43" t="s">
        <v>1</v>
      </c>
      <c r="BR30" s="43" t="s">
        <v>3060</v>
      </c>
      <c r="BS30" s="43" t="s">
        <v>2</v>
      </c>
      <c r="BT30" s="43" t="s">
        <v>2047</v>
      </c>
      <c r="BU30" s="43" t="s">
        <v>853</v>
      </c>
      <c r="BV30" s="43" t="s">
        <v>3150</v>
      </c>
      <c r="BW30" s="43" t="s">
        <v>855</v>
      </c>
      <c r="BX30" s="43" t="s">
        <v>1220</v>
      </c>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t="s">
        <v>962</v>
      </c>
      <c r="DT30" s="43" t="s">
        <v>2846</v>
      </c>
      <c r="DU30" s="43"/>
      <c r="DV30" s="43"/>
      <c r="DW30" s="923"/>
      <c r="DX30" s="517" t="str">
        <f t="shared" si="8"/>
        <v>GRIFO 18</v>
      </c>
      <c r="DY30" s="518" t="str">
        <f t="shared" si="6"/>
        <v>F</v>
      </c>
      <c r="DZ30" s="518" t="str">
        <f t="shared" si="7"/>
        <v>FRANCO</v>
      </c>
      <c r="EA30" s="516"/>
      <c r="EB30" s="516"/>
      <c r="EC30" s="516"/>
      <c r="ED30" s="516"/>
      <c r="EM30" s="516"/>
      <c r="EN30" s="516"/>
      <c r="EO30" s="516"/>
      <c r="EP30" s="516"/>
      <c r="EQ30" s="516"/>
    </row>
    <row r="31" spans="1:147" x14ac:dyDescent="0.3">
      <c r="A31" s="287" t="s">
        <v>669</v>
      </c>
      <c r="B31" s="208" t="str">
        <f t="shared" si="5"/>
        <v>GRIFO 19 / -</v>
      </c>
      <c r="C31" s="209" t="s">
        <v>962</v>
      </c>
      <c r="D31" s="209"/>
      <c r="E31" s="209"/>
      <c r="F31" s="209"/>
      <c r="G31" s="209"/>
      <c r="H31" s="209"/>
      <c r="I31" s="209"/>
      <c r="J31" s="209"/>
      <c r="K31" s="209"/>
      <c r="L31" s="209"/>
      <c r="M31" s="209"/>
      <c r="N31" s="209"/>
      <c r="O31" s="209" t="s">
        <v>853</v>
      </c>
      <c r="P31" s="209" t="s">
        <v>3008</v>
      </c>
      <c r="Q31" s="209" t="s">
        <v>853</v>
      </c>
      <c r="R31" s="209" t="s">
        <v>3028</v>
      </c>
      <c r="S31" s="209" t="s">
        <v>854</v>
      </c>
      <c r="T31" s="209" t="s">
        <v>2650</v>
      </c>
      <c r="U31" s="209" t="s">
        <v>2125</v>
      </c>
      <c r="V31" s="209" t="s">
        <v>2650</v>
      </c>
      <c r="W31" s="209" t="s">
        <v>853</v>
      </c>
      <c r="X31" s="209" t="s">
        <v>1472</v>
      </c>
      <c r="Y31" s="209" t="s">
        <v>853</v>
      </c>
      <c r="Z31" s="209" t="s">
        <v>3061</v>
      </c>
      <c r="AA31" s="209" t="s">
        <v>6</v>
      </c>
      <c r="AB31" s="209" t="s">
        <v>2289</v>
      </c>
      <c r="AC31" s="209" t="s">
        <v>2125</v>
      </c>
      <c r="AD31" s="209" t="s">
        <v>2486</v>
      </c>
      <c r="AE31" s="209"/>
      <c r="AF31" s="209"/>
      <c r="AG31" s="209" t="s">
        <v>854</v>
      </c>
      <c r="AH31" s="209" t="s">
        <v>882</v>
      </c>
      <c r="AI31" s="209" t="s">
        <v>2125</v>
      </c>
      <c r="AJ31" s="209" t="s">
        <v>2838</v>
      </c>
      <c r="AK31" s="209" t="s">
        <v>1</v>
      </c>
      <c r="AL31" s="209" t="s">
        <v>2918</v>
      </c>
      <c r="AM31" s="209" t="s">
        <v>853</v>
      </c>
      <c r="AN31" s="209" t="s">
        <v>3137</v>
      </c>
      <c r="AO31" s="209"/>
      <c r="AP31" s="43"/>
      <c r="AQ31" s="209" t="s">
        <v>853</v>
      </c>
      <c r="AR31" s="209" t="s">
        <v>3158</v>
      </c>
      <c r="AS31" s="209" t="s">
        <v>853</v>
      </c>
      <c r="AT31" s="209" t="s">
        <v>3158</v>
      </c>
      <c r="AU31" s="209" t="s">
        <v>855</v>
      </c>
      <c r="AV31" s="209" t="s">
        <v>1220</v>
      </c>
      <c r="AW31" s="209"/>
      <c r="AX31" s="209"/>
      <c r="AY31" s="209" t="s">
        <v>854</v>
      </c>
      <c r="AZ31" s="209" t="s">
        <v>882</v>
      </c>
      <c r="BA31" s="209" t="s">
        <v>2125</v>
      </c>
      <c r="BB31" s="209" t="s">
        <v>882</v>
      </c>
      <c r="BC31" s="209" t="s">
        <v>853</v>
      </c>
      <c r="BD31" s="209" t="s">
        <v>3158</v>
      </c>
      <c r="BE31" s="209" t="s">
        <v>853</v>
      </c>
      <c r="BF31" s="209" t="s">
        <v>880</v>
      </c>
      <c r="BG31" s="209" t="s">
        <v>853</v>
      </c>
      <c r="BH31" s="209" t="s">
        <v>1472</v>
      </c>
      <c r="BI31" s="209" t="s">
        <v>853</v>
      </c>
      <c r="BJ31" s="209" t="s">
        <v>3422</v>
      </c>
      <c r="BK31" s="43" t="s">
        <v>855</v>
      </c>
      <c r="BL31" s="43" t="s">
        <v>1220</v>
      </c>
      <c r="BM31" s="209" t="s">
        <v>2</v>
      </c>
      <c r="BN31" s="209" t="s">
        <v>2047</v>
      </c>
      <c r="BO31" s="209" t="s">
        <v>853</v>
      </c>
      <c r="BP31" s="209" t="s">
        <v>3158</v>
      </c>
      <c r="BQ31" s="209"/>
      <c r="BR31" s="209"/>
      <c r="BS31" s="209" t="s">
        <v>853</v>
      </c>
      <c r="BT31" s="209" t="s">
        <v>880</v>
      </c>
      <c r="BU31" s="209" t="s">
        <v>853</v>
      </c>
      <c r="BV31" s="209" t="s">
        <v>925</v>
      </c>
      <c r="BW31" s="209"/>
      <c r="BX31" s="209"/>
      <c r="BY31" s="43"/>
      <c r="BZ31" s="43"/>
      <c r="CA31" s="43"/>
      <c r="CB31" s="209"/>
      <c r="CC31" s="209"/>
      <c r="CD31" s="209"/>
      <c r="CE31" s="209"/>
      <c r="CF31" s="209"/>
      <c r="CG31" s="209"/>
      <c r="CH31" s="209"/>
      <c r="CI31" s="209"/>
      <c r="CJ31" s="209"/>
      <c r="CK31" s="209"/>
      <c r="CL31" s="209"/>
      <c r="CM31" s="209"/>
      <c r="CN31" s="209"/>
      <c r="CO31" s="209"/>
      <c r="CP31" s="209"/>
      <c r="CQ31" s="209"/>
      <c r="CR31" s="209"/>
      <c r="CS31" s="209"/>
      <c r="CT31" s="209"/>
      <c r="CU31" s="209"/>
      <c r="CV31" s="209"/>
      <c r="CW31" s="209"/>
      <c r="CX31" s="209"/>
      <c r="CY31" s="209"/>
      <c r="CZ31" s="43"/>
      <c r="DA31" s="209"/>
      <c r="DB31" s="209"/>
      <c r="DC31" s="209"/>
      <c r="DD31" s="209"/>
      <c r="DE31" s="209"/>
      <c r="DF31" s="209"/>
      <c r="DG31" s="209"/>
      <c r="DH31" s="209"/>
      <c r="DI31" s="209"/>
      <c r="DJ31" s="209"/>
      <c r="DK31" s="209"/>
      <c r="DL31" s="209"/>
      <c r="DM31" s="209"/>
      <c r="DN31" s="209"/>
      <c r="DO31" s="209"/>
      <c r="DP31" s="209"/>
      <c r="DQ31" s="209"/>
      <c r="DR31" s="209"/>
      <c r="DS31" s="209" t="s">
        <v>962</v>
      </c>
      <c r="DT31" s="209" t="s">
        <v>2891</v>
      </c>
      <c r="DU31" s="209"/>
      <c r="DV31" s="209"/>
      <c r="DW31" s="375"/>
      <c r="DX31" s="517" t="str">
        <f t="shared" si="8"/>
        <v>GRIFO 19</v>
      </c>
      <c r="DY31" s="518" t="str">
        <f t="shared" si="6"/>
        <v/>
      </c>
      <c r="DZ31" s="518" t="str">
        <f t="shared" si="7"/>
        <v/>
      </c>
      <c r="EA31" s="516"/>
      <c r="EB31" s="516"/>
      <c r="EC31" s="516"/>
      <c r="ED31" s="516"/>
      <c r="EE31" s="516"/>
      <c r="EF31" s="516"/>
      <c r="EG31" s="516"/>
      <c r="EH31" s="516"/>
      <c r="EI31" s="516"/>
      <c r="EJ31" s="516"/>
      <c r="EK31" s="516"/>
      <c r="EL31" s="516"/>
      <c r="EM31" s="516"/>
      <c r="EN31" s="516"/>
      <c r="EO31" s="516"/>
      <c r="EP31" s="516"/>
      <c r="EQ31" s="516"/>
    </row>
    <row r="32" spans="1:147" ht="28.8" x14ac:dyDescent="0.3">
      <c r="A32" s="287" t="s">
        <v>670</v>
      </c>
      <c r="B32" s="208" t="str">
        <f t="shared" si="5"/>
        <v>GRIFO 20 / TENIENTE MORAGA RUIZ MARIO IGNACIO</v>
      </c>
      <c r="C32" s="43" t="s">
        <v>853</v>
      </c>
      <c r="D32" s="43" t="s">
        <v>2630</v>
      </c>
      <c r="E32" s="43" t="s">
        <v>853</v>
      </c>
      <c r="F32" s="43" t="s">
        <v>1472</v>
      </c>
      <c r="G32" s="43" t="s">
        <v>853</v>
      </c>
      <c r="H32" s="43" t="s">
        <v>2560</v>
      </c>
      <c r="I32" s="43" t="s">
        <v>854</v>
      </c>
      <c r="J32" s="43" t="s">
        <v>882</v>
      </c>
      <c r="K32" s="43" t="s">
        <v>2125</v>
      </c>
      <c r="L32" s="43" t="s">
        <v>882</v>
      </c>
      <c r="M32" s="43" t="s">
        <v>853</v>
      </c>
      <c r="N32" s="43" t="s">
        <v>3000</v>
      </c>
      <c r="O32" s="43" t="s">
        <v>853</v>
      </c>
      <c r="P32" s="43" t="s">
        <v>3017</v>
      </c>
      <c r="Q32" s="43" t="s">
        <v>853</v>
      </c>
      <c r="R32" s="43" t="s">
        <v>3029</v>
      </c>
      <c r="S32" s="43" t="s">
        <v>853</v>
      </c>
      <c r="T32" s="43" t="s">
        <v>1472</v>
      </c>
      <c r="U32" s="43" t="s">
        <v>855</v>
      </c>
      <c r="V32" s="43" t="s">
        <v>1220</v>
      </c>
      <c r="W32" s="43" t="s">
        <v>853</v>
      </c>
      <c r="X32" s="43" t="s">
        <v>3051</v>
      </c>
      <c r="Y32" s="43" t="s">
        <v>853</v>
      </c>
      <c r="Z32" s="43" t="s">
        <v>1472</v>
      </c>
      <c r="AA32" s="43" t="s">
        <v>853</v>
      </c>
      <c r="AB32" s="43" t="s">
        <v>3069</v>
      </c>
      <c r="AC32" s="43"/>
      <c r="AD32" s="43"/>
      <c r="AE32" s="43" t="s">
        <v>853</v>
      </c>
      <c r="AF32" s="43" t="s">
        <v>3000</v>
      </c>
      <c r="AG32" s="43" t="s">
        <v>855</v>
      </c>
      <c r="AH32" s="43" t="s">
        <v>1220</v>
      </c>
      <c r="AI32" s="43" t="s">
        <v>855</v>
      </c>
      <c r="AJ32" s="43" t="s">
        <v>1220</v>
      </c>
      <c r="AK32" s="43" t="s">
        <v>853</v>
      </c>
      <c r="AL32" s="43" t="s">
        <v>3135</v>
      </c>
      <c r="AM32" s="43"/>
      <c r="AN32" s="209"/>
      <c r="AO32" s="43"/>
      <c r="AP32" s="43"/>
      <c r="AQ32" s="43"/>
      <c r="AR32" s="43"/>
      <c r="AS32" s="43"/>
      <c r="AT32" s="43"/>
      <c r="AU32" s="43" t="s">
        <v>853</v>
      </c>
      <c r="AV32" s="43" t="s">
        <v>3297</v>
      </c>
      <c r="AW32" s="43"/>
      <c r="AX32" s="43"/>
      <c r="AY32" s="43" t="s">
        <v>853</v>
      </c>
      <c r="AZ32" s="43" t="s">
        <v>3314</v>
      </c>
      <c r="BA32" s="43"/>
      <c r="BB32" s="43"/>
      <c r="BC32" s="43"/>
      <c r="BD32" s="43"/>
      <c r="BE32" s="43"/>
      <c r="BF32" s="43"/>
      <c r="BG32" s="43"/>
      <c r="BH32" s="43"/>
      <c r="BI32" s="43"/>
      <c r="BJ32" s="43"/>
      <c r="BK32" s="43" t="s">
        <v>6</v>
      </c>
      <c r="BL32" s="43" t="s">
        <v>2289</v>
      </c>
      <c r="BM32" s="43" t="s">
        <v>2125</v>
      </c>
      <c r="BN32" s="43" t="s">
        <v>2289</v>
      </c>
      <c r="BO32" s="43" t="s">
        <v>1</v>
      </c>
      <c r="BP32" s="43" t="s">
        <v>2047</v>
      </c>
      <c r="BQ32" s="43"/>
      <c r="BR32" s="43"/>
      <c r="BS32" s="43" t="s">
        <v>2</v>
      </c>
      <c r="BT32" s="43" t="s">
        <v>2289</v>
      </c>
      <c r="BU32" s="43" t="s">
        <v>2</v>
      </c>
      <c r="BV32" s="43" t="s">
        <v>2047</v>
      </c>
      <c r="BW32" s="43" t="s">
        <v>6</v>
      </c>
      <c r="BX32" s="43" t="s">
        <v>2289</v>
      </c>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t="s">
        <v>885</v>
      </c>
      <c r="DT32" s="43" t="s">
        <v>13</v>
      </c>
      <c r="DU32" s="43"/>
      <c r="DV32" s="43"/>
      <c r="DW32" s="923"/>
      <c r="DX32" s="517" t="str">
        <f t="shared" si="8"/>
        <v>GRIFO 20</v>
      </c>
      <c r="DY32" s="518" t="str">
        <f t="shared" si="6"/>
        <v>3T</v>
      </c>
      <c r="DZ32" s="518" t="str">
        <f t="shared" si="7"/>
        <v>APS</v>
      </c>
      <c r="EA32" s="516"/>
      <c r="EB32" s="516"/>
      <c r="EC32" s="516"/>
      <c r="ED32" s="516"/>
      <c r="EE32" s="516"/>
      <c r="EF32" s="516"/>
      <c r="EG32" s="516"/>
      <c r="EH32" s="516"/>
      <c r="EI32" s="516"/>
      <c r="EJ32" s="516"/>
      <c r="EK32" s="516"/>
      <c r="EL32" s="516"/>
      <c r="EM32" s="516"/>
      <c r="EN32" s="516"/>
      <c r="EO32" s="516"/>
      <c r="EP32" s="516"/>
      <c r="EQ32" s="516"/>
    </row>
    <row r="33" spans="1:147" ht="28.8" x14ac:dyDescent="0.3">
      <c r="A33" s="287" t="s">
        <v>827</v>
      </c>
      <c r="B33" s="208" t="str">
        <f t="shared" si="5"/>
        <v>GRIFO 21 / TENIENTE HUERTA BOHUS PATRICIO ALEJANDRO</v>
      </c>
      <c r="C33" s="43" t="s">
        <v>2125</v>
      </c>
      <c r="D33" s="43" t="s">
        <v>2926</v>
      </c>
      <c r="E33" s="43" t="s">
        <v>853</v>
      </c>
      <c r="F33" s="43" t="s">
        <v>2961</v>
      </c>
      <c r="G33" s="209" t="s">
        <v>853</v>
      </c>
      <c r="H33" s="209" t="s">
        <v>2961</v>
      </c>
      <c r="I33" s="43" t="s">
        <v>853</v>
      </c>
      <c r="J33" s="43" t="s">
        <v>2981</v>
      </c>
      <c r="K33" s="43" t="s">
        <v>6</v>
      </c>
      <c r="L33" s="43" t="s">
        <v>2984</v>
      </c>
      <c r="M33" s="43" t="s">
        <v>2125</v>
      </c>
      <c r="N33" s="43" t="s">
        <v>3001</v>
      </c>
      <c r="O33" s="43" t="s">
        <v>853</v>
      </c>
      <c r="P33" s="43" t="s">
        <v>2047</v>
      </c>
      <c r="Q33" s="43" t="s">
        <v>853</v>
      </c>
      <c r="R33" s="43" t="s">
        <v>3030</v>
      </c>
      <c r="S33" s="43" t="s">
        <v>853</v>
      </c>
      <c r="T33" s="43" t="s">
        <v>2699</v>
      </c>
      <c r="U33" s="43" t="s">
        <v>855</v>
      </c>
      <c r="V33" s="43" t="s">
        <v>1220</v>
      </c>
      <c r="W33" s="43" t="s">
        <v>2</v>
      </c>
      <c r="X33" s="43" t="s">
        <v>2918</v>
      </c>
      <c r="Y33" s="43" t="s">
        <v>854</v>
      </c>
      <c r="Z33" s="43" t="s">
        <v>2650</v>
      </c>
      <c r="AA33" s="43" t="s">
        <v>2125</v>
      </c>
      <c r="AB33" s="43" t="s">
        <v>2632</v>
      </c>
      <c r="AC33" s="43" t="s">
        <v>853</v>
      </c>
      <c r="AD33" s="43" t="s">
        <v>1472</v>
      </c>
      <c r="AE33" s="43" t="s">
        <v>1</v>
      </c>
      <c r="AF33" s="43" t="s">
        <v>1472</v>
      </c>
      <c r="AG33" s="43" t="s">
        <v>853</v>
      </c>
      <c r="AH33" s="43" t="s">
        <v>2961</v>
      </c>
      <c r="AI33" s="43" t="s">
        <v>6</v>
      </c>
      <c r="AJ33" s="43" t="s">
        <v>2486</v>
      </c>
      <c r="AK33" s="43" t="s">
        <v>2125</v>
      </c>
      <c r="AL33" s="43" t="s">
        <v>2838</v>
      </c>
      <c r="AM33" s="43"/>
      <c r="AN33" s="209"/>
      <c r="AO33" s="43" t="s">
        <v>853</v>
      </c>
      <c r="AP33" s="43" t="s">
        <v>2047</v>
      </c>
      <c r="AQ33" s="43" t="s">
        <v>1</v>
      </c>
      <c r="AR33" s="43" t="s">
        <v>1472</v>
      </c>
      <c r="AS33" s="43" t="s">
        <v>885</v>
      </c>
      <c r="AT33" s="43" t="s">
        <v>13</v>
      </c>
      <c r="AU33" s="43" t="s">
        <v>885</v>
      </c>
      <c r="AV33" s="43" t="s">
        <v>13</v>
      </c>
      <c r="AW33" s="43" t="s">
        <v>885</v>
      </c>
      <c r="AX33" s="43" t="s">
        <v>13</v>
      </c>
      <c r="AY33" s="43" t="s">
        <v>885</v>
      </c>
      <c r="AZ33" s="43" t="s">
        <v>13</v>
      </c>
      <c r="BA33" s="43" t="s">
        <v>2</v>
      </c>
      <c r="BB33" s="43" t="s">
        <v>1472</v>
      </c>
      <c r="BC33" s="43" t="s">
        <v>1</v>
      </c>
      <c r="BD33" s="43" t="s">
        <v>1472</v>
      </c>
      <c r="BE33" s="43" t="s">
        <v>853</v>
      </c>
      <c r="BF33" s="43" t="s">
        <v>3371</v>
      </c>
      <c r="BG33" s="43" t="s">
        <v>853</v>
      </c>
      <c r="BH33" s="43" t="s">
        <v>3400</v>
      </c>
      <c r="BI33" s="43"/>
      <c r="BJ33" s="43"/>
      <c r="BK33" s="43"/>
      <c r="BL33" s="43"/>
      <c r="BM33" s="43" t="s">
        <v>1</v>
      </c>
      <c r="BN33" s="43" t="s">
        <v>1472</v>
      </c>
      <c r="BO33" s="43" t="s">
        <v>2</v>
      </c>
      <c r="BP33" s="43" t="s">
        <v>1472</v>
      </c>
      <c r="BQ33" s="209" t="s">
        <v>1</v>
      </c>
      <c r="BR33" s="209" t="s">
        <v>2047</v>
      </c>
      <c r="BS33" s="43" t="s">
        <v>853</v>
      </c>
      <c r="BT33" s="43" t="s">
        <v>3527</v>
      </c>
      <c r="BU33" s="43" t="s">
        <v>853</v>
      </c>
      <c r="BV33" s="43" t="s">
        <v>3570</v>
      </c>
      <c r="BW33" s="43" t="s">
        <v>855</v>
      </c>
      <c r="BX33" s="43" t="s">
        <v>1220</v>
      </c>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t="s">
        <v>854</v>
      </c>
      <c r="DT33" s="43" t="s">
        <v>882</v>
      </c>
      <c r="DU33" s="43"/>
      <c r="DV33" s="43"/>
      <c r="DW33" s="923"/>
      <c r="DX33" s="517" t="str">
        <f t="shared" si="8"/>
        <v>GRIFO 21</v>
      </c>
      <c r="DY33" s="518" t="str">
        <f t="shared" si="6"/>
        <v>F</v>
      </c>
      <c r="DZ33" s="518" t="str">
        <f t="shared" si="7"/>
        <v>FRANCO</v>
      </c>
      <c r="EA33" s="516"/>
      <c r="EB33" s="516"/>
      <c r="EC33" s="516"/>
      <c r="ED33" s="516"/>
      <c r="EE33" s="516"/>
      <c r="EF33" s="516"/>
      <c r="EG33" s="516"/>
      <c r="EH33" s="516"/>
      <c r="EI33" s="516"/>
      <c r="EJ33" s="516"/>
      <c r="EK33" s="516"/>
      <c r="EL33" s="516"/>
      <c r="EM33" s="516"/>
      <c r="EN33" s="516"/>
      <c r="EO33" s="516"/>
      <c r="EP33" s="516"/>
      <c r="EQ33" s="516"/>
    </row>
    <row r="34" spans="1:147" ht="28.8" x14ac:dyDescent="0.3">
      <c r="A34" s="287" t="s">
        <v>829</v>
      </c>
      <c r="B34" s="208" t="str">
        <f>A34&amp;" / "&amp;VLOOKUP(A34,PANELDETRABAJO,2,FALSE)</f>
        <v>GRIFO 22 / TENIENTE LEPIN SOLAR MAXIMILIANO ARTURO</v>
      </c>
      <c r="C34" s="43" t="s">
        <v>855</v>
      </c>
      <c r="D34" s="43" t="s">
        <v>1220</v>
      </c>
      <c r="E34" s="43" t="s">
        <v>855</v>
      </c>
      <c r="F34" s="43" t="s">
        <v>1220</v>
      </c>
      <c r="G34" s="43" t="s">
        <v>855</v>
      </c>
      <c r="H34" s="43" t="s">
        <v>1220</v>
      </c>
      <c r="I34" s="43" t="s">
        <v>962</v>
      </c>
      <c r="J34" s="43" t="s">
        <v>2110</v>
      </c>
      <c r="K34" s="43" t="s">
        <v>962</v>
      </c>
      <c r="L34" s="43" t="s">
        <v>2110</v>
      </c>
      <c r="M34" s="43" t="s">
        <v>853</v>
      </c>
      <c r="N34" s="43" t="s">
        <v>3002</v>
      </c>
      <c r="O34" s="43"/>
      <c r="P34" s="43"/>
      <c r="Q34" s="43"/>
      <c r="R34" s="43"/>
      <c r="S34" s="43" t="s">
        <v>6</v>
      </c>
      <c r="T34" s="43" t="s">
        <v>3047</v>
      </c>
      <c r="U34" s="43" t="s">
        <v>2125</v>
      </c>
      <c r="V34" s="43" t="s">
        <v>3047</v>
      </c>
      <c r="W34" s="43" t="s">
        <v>885</v>
      </c>
      <c r="X34" s="43" t="s">
        <v>13</v>
      </c>
      <c r="Y34" s="43" t="s">
        <v>885</v>
      </c>
      <c r="Z34" s="43" t="s">
        <v>13</v>
      </c>
      <c r="AA34" s="43" t="s">
        <v>885</v>
      </c>
      <c r="AB34" s="43" t="s">
        <v>13</v>
      </c>
      <c r="AC34" s="43" t="s">
        <v>854</v>
      </c>
      <c r="AD34" s="43" t="s">
        <v>882</v>
      </c>
      <c r="AE34" s="43" t="s">
        <v>2125</v>
      </c>
      <c r="AF34" s="43" t="s">
        <v>2632</v>
      </c>
      <c r="AG34" s="43" t="s">
        <v>853</v>
      </c>
      <c r="AH34" s="43" t="s">
        <v>3111</v>
      </c>
      <c r="AI34" s="43" t="s">
        <v>853</v>
      </c>
      <c r="AJ34" s="43" t="s">
        <v>3111</v>
      </c>
      <c r="AK34" s="43" t="s">
        <v>854</v>
      </c>
      <c r="AL34" s="43" t="s">
        <v>882</v>
      </c>
      <c r="AM34" s="43" t="s">
        <v>2125</v>
      </c>
      <c r="AN34" s="43" t="s">
        <v>2838</v>
      </c>
      <c r="AO34" s="43" t="s">
        <v>1</v>
      </c>
      <c r="AP34" s="43" t="s">
        <v>3060</v>
      </c>
      <c r="AQ34" s="43" t="s">
        <v>853</v>
      </c>
      <c r="AR34" s="43" t="s">
        <v>2047</v>
      </c>
      <c r="AS34" s="43" t="s">
        <v>2</v>
      </c>
      <c r="AT34" s="43" t="s">
        <v>1472</v>
      </c>
      <c r="AU34" s="43" t="s">
        <v>854</v>
      </c>
      <c r="AV34" s="43" t="s">
        <v>882</v>
      </c>
      <c r="AW34" s="43" t="s">
        <v>2125</v>
      </c>
      <c r="AX34" s="43" t="s">
        <v>882</v>
      </c>
      <c r="AY34" s="43"/>
      <c r="AZ34" s="43"/>
      <c r="BA34" s="43"/>
      <c r="BB34" s="43"/>
      <c r="BC34" s="43" t="s">
        <v>2</v>
      </c>
      <c r="BD34" s="43" t="s">
        <v>1472</v>
      </c>
      <c r="BE34" s="43" t="s">
        <v>853</v>
      </c>
      <c r="BF34" s="43" t="s">
        <v>3372</v>
      </c>
      <c r="BG34" s="43"/>
      <c r="BH34" s="43"/>
      <c r="BI34" s="43"/>
      <c r="BJ34" s="43"/>
      <c r="BK34" s="43" t="s">
        <v>855</v>
      </c>
      <c r="BL34" s="43" t="s">
        <v>1220</v>
      </c>
      <c r="BM34" s="43" t="s">
        <v>854</v>
      </c>
      <c r="BN34" s="43" t="s">
        <v>882</v>
      </c>
      <c r="BO34" s="43" t="s">
        <v>2125</v>
      </c>
      <c r="BP34" s="43" t="s">
        <v>2870</v>
      </c>
      <c r="BQ34" s="43" t="s">
        <v>1</v>
      </c>
      <c r="BR34" s="43" t="s">
        <v>3521</v>
      </c>
      <c r="BS34" s="43" t="s">
        <v>1</v>
      </c>
      <c r="BT34" s="43" t="s">
        <v>2047</v>
      </c>
      <c r="BU34" s="43" t="s">
        <v>1</v>
      </c>
      <c r="BV34" s="43" t="s">
        <v>2047</v>
      </c>
      <c r="BW34" s="43" t="s">
        <v>853</v>
      </c>
      <c r="BX34" s="43" t="s">
        <v>3590</v>
      </c>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923"/>
      <c r="DX34" s="517" t="str">
        <f t="shared" si="8"/>
        <v>GRIFO 22</v>
      </c>
      <c r="DY34" s="518" t="str">
        <f>UPPER(IF(VLOOKUP(A34,TabladeServicio,MATCH($B$2,$A$8:$DT$8,0),0)=0,"",VLOOKUP(A34,TabladeServicio,MATCH($B$2,$A$8:$DT$8,0),0)))</f>
        <v>1P</v>
      </c>
      <c r="DZ34" s="518" t="str">
        <f>UPPER(IF(VLOOKUP(A34,TabladeServicio,MATCH($B$2,$A$8:$DT$8,0)+1,0)=0,"",VLOOKUP(A34,TabladeServicio,MATCH($B$2,$A$8:$DT$8,0)+1,0)))</f>
        <v>ARIETE 22</v>
      </c>
      <c r="EA34" s="516"/>
      <c r="EB34" s="516"/>
      <c r="EC34" s="516"/>
      <c r="ED34" s="516"/>
      <c r="EE34" s="516"/>
      <c r="EF34" s="516"/>
      <c r="EG34" s="516"/>
      <c r="EH34" s="516"/>
      <c r="EI34" s="516"/>
      <c r="EJ34" s="516"/>
      <c r="EK34" s="516"/>
      <c r="EL34" s="516"/>
      <c r="EM34" s="516"/>
      <c r="EN34" s="516"/>
      <c r="EO34" s="516"/>
      <c r="EP34" s="516"/>
      <c r="EQ34" s="516"/>
    </row>
    <row r="35" spans="1:147" ht="15" thickBot="1" x14ac:dyDescent="0.35">
      <c r="A35" s="287" t="s">
        <v>2051</v>
      </c>
      <c r="B35" s="208" t="str">
        <f t="shared" ref="B35" si="9">A35&amp;" / "&amp;VLOOKUP(A35,PANELDETRABAJO,2,FALSE)</f>
        <v>GRIFO 23 / TENIENTE SALAZAR CARVAJAL CARLOS</v>
      </c>
      <c r="C35" s="43" t="s">
        <v>885</v>
      </c>
      <c r="D35" s="43" t="s">
        <v>13</v>
      </c>
      <c r="E35" s="43" t="s">
        <v>885</v>
      </c>
      <c r="F35" s="43" t="s">
        <v>13</v>
      </c>
      <c r="G35" s="43" t="s">
        <v>885</v>
      </c>
      <c r="H35" s="43" t="s">
        <v>13</v>
      </c>
      <c r="I35" s="43" t="s">
        <v>885</v>
      </c>
      <c r="J35" s="43" t="s">
        <v>13</v>
      </c>
      <c r="K35" s="43" t="s">
        <v>885</v>
      </c>
      <c r="L35" s="43" t="s">
        <v>13</v>
      </c>
      <c r="M35" s="43" t="s">
        <v>885</v>
      </c>
      <c r="N35" s="43" t="s">
        <v>13</v>
      </c>
      <c r="O35" s="43" t="s">
        <v>885</v>
      </c>
      <c r="P35" s="43" t="s">
        <v>13</v>
      </c>
      <c r="Q35" s="43" t="s">
        <v>885</v>
      </c>
      <c r="R35" s="43" t="s">
        <v>13</v>
      </c>
      <c r="S35" s="43" t="s">
        <v>885</v>
      </c>
      <c r="T35" s="43" t="s">
        <v>13</v>
      </c>
      <c r="U35" s="43" t="s">
        <v>885</v>
      </c>
      <c r="V35" s="43" t="s">
        <v>13</v>
      </c>
      <c r="W35" s="43" t="s">
        <v>885</v>
      </c>
      <c r="X35" s="43" t="s">
        <v>13</v>
      </c>
      <c r="Y35" s="43" t="s">
        <v>885</v>
      </c>
      <c r="Z35" s="43" t="s">
        <v>13</v>
      </c>
      <c r="AA35" s="43" t="s">
        <v>885</v>
      </c>
      <c r="AB35" s="43" t="s">
        <v>13</v>
      </c>
      <c r="AC35" s="43" t="s">
        <v>885</v>
      </c>
      <c r="AD35" s="43" t="s">
        <v>13</v>
      </c>
      <c r="AE35" s="43" t="s">
        <v>885</v>
      </c>
      <c r="AF35" s="43" t="s">
        <v>13</v>
      </c>
      <c r="AG35" s="43" t="s">
        <v>885</v>
      </c>
      <c r="AH35" s="43" t="s">
        <v>13</v>
      </c>
      <c r="AI35" s="43" t="s">
        <v>885</v>
      </c>
      <c r="AJ35" s="43" t="s">
        <v>13</v>
      </c>
      <c r="AK35" s="43" t="s">
        <v>885</v>
      </c>
      <c r="AL35" s="43" t="s">
        <v>13</v>
      </c>
      <c r="AM35" s="43" t="s">
        <v>6</v>
      </c>
      <c r="AN35" s="209" t="s">
        <v>2289</v>
      </c>
      <c r="AO35" s="43" t="s">
        <v>2125</v>
      </c>
      <c r="AP35" s="43" t="s">
        <v>2122</v>
      </c>
      <c r="AQ35" s="43"/>
      <c r="AR35" s="43"/>
      <c r="AS35" s="43" t="s">
        <v>1</v>
      </c>
      <c r="AT35" s="43" t="s">
        <v>1472</v>
      </c>
      <c r="AU35" s="43"/>
      <c r="AV35" s="43"/>
      <c r="AW35" s="43"/>
      <c r="AX35" s="43"/>
      <c r="AY35" s="43" t="s">
        <v>2</v>
      </c>
      <c r="AZ35" s="43" t="s">
        <v>3324</v>
      </c>
      <c r="BA35" s="43" t="s">
        <v>1</v>
      </c>
      <c r="BB35" s="43" t="s">
        <v>1472</v>
      </c>
      <c r="BC35" s="43"/>
      <c r="BD35" s="43"/>
      <c r="BE35" s="43"/>
      <c r="BF35" s="43"/>
      <c r="BG35" s="43" t="s">
        <v>853</v>
      </c>
      <c r="BH35" s="43" t="s">
        <v>3391</v>
      </c>
      <c r="BI35" s="43"/>
      <c r="BJ35" s="43"/>
      <c r="BK35" s="43"/>
      <c r="BL35" s="43"/>
      <c r="BM35" s="43" t="s">
        <v>1</v>
      </c>
      <c r="BN35" s="43" t="s">
        <v>2047</v>
      </c>
      <c r="BO35" s="43"/>
      <c r="BP35" s="43" t="s">
        <v>3459</v>
      </c>
      <c r="BQ35" s="43" t="s">
        <v>853</v>
      </c>
      <c r="BR35" s="43" t="s">
        <v>3476</v>
      </c>
      <c r="BS35" s="43" t="s">
        <v>6</v>
      </c>
      <c r="BT35" s="43" t="s">
        <v>2289</v>
      </c>
      <c r="BU35" s="43" t="s">
        <v>2125</v>
      </c>
      <c r="BV35" s="43" t="s">
        <v>2760</v>
      </c>
      <c r="BW35" s="43" t="s">
        <v>853</v>
      </c>
      <c r="BX35" s="43" t="s">
        <v>3591</v>
      </c>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t="s">
        <v>885</v>
      </c>
      <c r="DT35" s="43" t="s">
        <v>13</v>
      </c>
      <c r="DU35" s="43"/>
      <c r="DV35" s="43"/>
      <c r="DW35" s="923"/>
      <c r="DX35" s="517" t="str">
        <f t="shared" si="8"/>
        <v>GRIFO 23</v>
      </c>
      <c r="DY35" s="518" t="str">
        <f t="shared" ref="DY35" si="10">UPPER(IF(VLOOKUP(A35,TabladeServicio,MATCH($B$2,$A$8:$DT$8,0),0)=0,"",VLOOKUP(A35,TabladeServicio,MATCH($B$2,$A$8:$DT$8,0),0)))</f>
        <v>1P</v>
      </c>
      <c r="DZ35" s="518" t="str">
        <f t="shared" ref="DZ35" si="11">UPPER(IF(VLOOKUP(A35,TabladeServicio,MATCH($B$2,$A$8:$DT$8,0)+1,0)=0,"",VLOOKUP(A35,TabladeServicio,MATCH($B$2,$A$8:$DT$8,0)+1,0)))</f>
        <v>ARIETE 23</v>
      </c>
      <c r="EA35" s="516"/>
      <c r="EB35" s="516"/>
      <c r="EC35" s="516"/>
      <c r="ED35" s="516"/>
      <c r="EE35" s="516"/>
      <c r="EF35" s="516"/>
      <c r="EG35" s="516"/>
      <c r="EH35" s="516"/>
      <c r="EI35" s="516"/>
      <c r="EJ35" s="516"/>
      <c r="EK35" s="516"/>
      <c r="EL35" s="516"/>
      <c r="EM35" s="516"/>
      <c r="EN35" s="516"/>
      <c r="EO35" s="516"/>
      <c r="EP35" s="516"/>
      <c r="EQ35" s="516"/>
    </row>
    <row r="36" spans="1:147" ht="28.8" x14ac:dyDescent="0.3">
      <c r="A36" s="287" t="s">
        <v>2052</v>
      </c>
      <c r="B36" s="208" t="str">
        <f t="shared" ref="B36:B51" si="12">A36&amp;" / "&amp;VLOOKUP(A36,PANELDETRABAJO,2,FALSE)</f>
        <v>GRIFO 24 / TENIENTE SEPULVEDA BUSTOS ALVARO SEBASTIAN</v>
      </c>
      <c r="C36" s="43" t="s">
        <v>1</v>
      </c>
      <c r="D36" s="43" t="s">
        <v>2944</v>
      </c>
      <c r="E36" s="43" t="s">
        <v>1</v>
      </c>
      <c r="F36" s="43" t="s">
        <v>2957</v>
      </c>
      <c r="G36" s="209" t="s">
        <v>854</v>
      </c>
      <c r="H36" s="209" t="s">
        <v>882</v>
      </c>
      <c r="I36" s="209" t="s">
        <v>2125</v>
      </c>
      <c r="J36" s="209" t="s">
        <v>882</v>
      </c>
      <c r="K36" s="209" t="s">
        <v>853</v>
      </c>
      <c r="L36" s="209" t="s">
        <v>2047</v>
      </c>
      <c r="M36" s="209" t="s">
        <v>853</v>
      </c>
      <c r="N36" s="209" t="s">
        <v>1472</v>
      </c>
      <c r="O36" s="209" t="s">
        <v>854</v>
      </c>
      <c r="P36" s="209" t="s">
        <v>882</v>
      </c>
      <c r="Q36" s="209" t="s">
        <v>2125</v>
      </c>
      <c r="R36" s="209" t="s">
        <v>882</v>
      </c>
      <c r="S36" s="209" t="s">
        <v>855</v>
      </c>
      <c r="T36" s="209" t="s">
        <v>1220</v>
      </c>
      <c r="U36" s="209" t="s">
        <v>855</v>
      </c>
      <c r="V36" s="209" t="s">
        <v>1220</v>
      </c>
      <c r="W36" s="209" t="s">
        <v>853</v>
      </c>
      <c r="X36" s="209" t="s">
        <v>3052</v>
      </c>
      <c r="Y36" s="209" t="s">
        <v>853</v>
      </c>
      <c r="Z36" s="209" t="s">
        <v>2047</v>
      </c>
      <c r="AA36" s="209"/>
      <c r="AB36" s="209"/>
      <c r="AC36" s="209" t="s">
        <v>853</v>
      </c>
      <c r="AD36" s="209" t="s">
        <v>3081</v>
      </c>
      <c r="AE36" s="209" t="s">
        <v>2</v>
      </c>
      <c r="AF36" s="209" t="s">
        <v>3060</v>
      </c>
      <c r="AG36" s="43" t="s">
        <v>855</v>
      </c>
      <c r="AH36" s="43" t="s">
        <v>1220</v>
      </c>
      <c r="AI36" s="43" t="s">
        <v>855</v>
      </c>
      <c r="AJ36" s="43" t="s">
        <v>1220</v>
      </c>
      <c r="AK36" s="209"/>
      <c r="AL36" s="209"/>
      <c r="AM36" s="209"/>
      <c r="AN36" s="209"/>
      <c r="AO36" s="209"/>
      <c r="AP36" s="43"/>
      <c r="AQ36" s="209"/>
      <c r="AR36" s="209"/>
      <c r="AS36" s="209"/>
      <c r="AT36" s="209"/>
      <c r="AU36" s="209" t="s">
        <v>6</v>
      </c>
      <c r="AV36" s="209" t="s">
        <v>2289</v>
      </c>
      <c r="AW36" s="209" t="s">
        <v>2125</v>
      </c>
      <c r="AX36" s="209" t="s">
        <v>2289</v>
      </c>
      <c r="AY36" s="209" t="s">
        <v>853</v>
      </c>
      <c r="AZ36" s="209" t="s">
        <v>2047</v>
      </c>
      <c r="BA36" s="209" t="s">
        <v>853</v>
      </c>
      <c r="BB36" s="209" t="s">
        <v>2047</v>
      </c>
      <c r="BC36" s="209"/>
      <c r="BD36" s="209"/>
      <c r="BE36" s="209" t="s">
        <v>853</v>
      </c>
      <c r="BF36" s="209" t="s">
        <v>2814</v>
      </c>
      <c r="BG36" s="209"/>
      <c r="BH36" s="209"/>
      <c r="BI36" s="209"/>
      <c r="BJ36" s="209"/>
      <c r="BK36" s="209" t="s">
        <v>853</v>
      </c>
      <c r="BL36" s="209" t="s">
        <v>2814</v>
      </c>
      <c r="BM36" s="43"/>
      <c r="BN36" s="43"/>
      <c r="BO36" s="43" t="s">
        <v>6</v>
      </c>
      <c r="BP36" s="43" t="s">
        <v>2289</v>
      </c>
      <c r="BQ36" s="209" t="s">
        <v>2125</v>
      </c>
      <c r="BR36" s="209" t="s">
        <v>2838</v>
      </c>
      <c r="BS36" s="209"/>
      <c r="BT36" s="209"/>
      <c r="BU36" s="209" t="s">
        <v>2</v>
      </c>
      <c r="BV36" s="209" t="s">
        <v>3557</v>
      </c>
      <c r="BW36" s="209" t="s">
        <v>855</v>
      </c>
      <c r="BX36" s="209" t="s">
        <v>1220</v>
      </c>
      <c r="BY36" s="209"/>
      <c r="BZ36" s="209"/>
      <c r="CA36" s="209"/>
      <c r="CB36" s="209"/>
      <c r="CC36" s="209"/>
      <c r="CD36" s="209"/>
      <c r="CE36" s="209"/>
      <c r="CF36" s="209"/>
      <c r="CG36" s="209"/>
      <c r="CH36" s="209"/>
      <c r="CI36" s="209"/>
      <c r="CJ36" s="209"/>
      <c r="CK36" s="209"/>
      <c r="CL36" s="209"/>
      <c r="CM36" s="209"/>
      <c r="CN36" s="209"/>
      <c r="CO36" s="209"/>
      <c r="CP36" s="209"/>
      <c r="CQ36" s="43"/>
      <c r="CR36" s="43"/>
      <c r="CS36" s="43"/>
      <c r="CT36" s="43"/>
      <c r="CU36" s="209"/>
      <c r="CV36" s="209"/>
      <c r="CW36" s="209"/>
      <c r="CX36" s="209"/>
      <c r="CY36" s="209"/>
      <c r="CZ36" s="43"/>
      <c r="DA36" s="209"/>
      <c r="DB36" s="209"/>
      <c r="DC36" s="209"/>
      <c r="DD36" s="209"/>
      <c r="DE36" s="209"/>
      <c r="DF36" s="209"/>
      <c r="DG36" s="209"/>
      <c r="DH36" s="209"/>
      <c r="DI36" s="209"/>
      <c r="DJ36" s="209"/>
      <c r="DK36" s="209"/>
      <c r="DL36" s="209"/>
      <c r="DM36" s="209"/>
      <c r="DN36" s="209"/>
      <c r="DO36" s="209"/>
      <c r="DP36" s="209"/>
      <c r="DQ36" s="209"/>
      <c r="DR36" s="209"/>
      <c r="DS36" s="209" t="s">
        <v>2125</v>
      </c>
      <c r="DT36" s="209" t="s">
        <v>2926</v>
      </c>
      <c r="DU36" s="209"/>
      <c r="DV36" s="209"/>
      <c r="DW36" s="375"/>
      <c r="DX36" s="514" t="str">
        <f t="shared" si="8"/>
        <v>GRIFO 24</v>
      </c>
      <c r="DY36" s="515" t="str">
        <f t="shared" ref="DY36:DY52" si="13">UPPER(IF(VLOOKUP(A36,TabladeServicio,MATCH($B$2,$A$8:$DT$8,0),0)=0,"",VLOOKUP(A36,TabladeServicio,MATCH($B$2,$A$8:$DT$8,0),0)))</f>
        <v>F</v>
      </c>
      <c r="DZ36" s="515" t="str">
        <f t="shared" ref="DZ36:DZ52" si="14">UPPER(IF(VLOOKUP(A36,TabladeServicio,MATCH($B$2,$A$8:$DT$8,0)+1,0)=0,"",VLOOKUP(A36,TabladeServicio,MATCH($B$2,$A$8:$DT$8,0)+1,0)))</f>
        <v>FRANCO</v>
      </c>
      <c r="EA36" s="516"/>
      <c r="EB36" s="516"/>
      <c r="EC36" s="516"/>
      <c r="ED36" s="516"/>
      <c r="EM36" s="516"/>
      <c r="EN36" s="516"/>
      <c r="EO36" s="516"/>
      <c r="EP36" s="516"/>
      <c r="EQ36" s="516"/>
    </row>
    <row r="37" spans="1:147" x14ac:dyDescent="0.3">
      <c r="A37" s="287" t="s">
        <v>2053</v>
      </c>
      <c r="B37" s="208" t="str">
        <f t="shared" si="12"/>
        <v>GRIFO 25 / -</v>
      </c>
      <c r="C37" s="43"/>
      <c r="D37" s="43"/>
      <c r="E37" s="43" t="s">
        <v>2125</v>
      </c>
      <c r="F37" s="43" t="s">
        <v>882</v>
      </c>
      <c r="G37" s="43" t="s">
        <v>853</v>
      </c>
      <c r="H37" s="43" t="s">
        <v>2850</v>
      </c>
      <c r="I37" s="43" t="s">
        <v>853</v>
      </c>
      <c r="J37" s="43" t="s">
        <v>2850</v>
      </c>
      <c r="K37" s="43" t="s">
        <v>853</v>
      </c>
      <c r="L37" s="43" t="s">
        <v>2989</v>
      </c>
      <c r="M37" s="43"/>
      <c r="N37" s="43"/>
      <c r="O37" s="43"/>
      <c r="P37" s="43"/>
      <c r="Q37" s="43" t="s">
        <v>853</v>
      </c>
      <c r="R37" s="650" t="s">
        <v>3031</v>
      </c>
      <c r="S37" s="43" t="s">
        <v>855</v>
      </c>
      <c r="T37" s="43" t="s">
        <v>1220</v>
      </c>
      <c r="U37" s="43" t="s">
        <v>855</v>
      </c>
      <c r="V37" s="43" t="s">
        <v>1220</v>
      </c>
      <c r="W37" s="43" t="s">
        <v>853</v>
      </c>
      <c r="X37" s="43" t="s">
        <v>2047</v>
      </c>
      <c r="Y37" s="43"/>
      <c r="Z37" s="43"/>
      <c r="AA37" s="43"/>
      <c r="AB37" s="43"/>
      <c r="AC37" s="43" t="s">
        <v>853</v>
      </c>
      <c r="AD37" s="43" t="s">
        <v>2989</v>
      </c>
      <c r="AE37" s="43" t="s">
        <v>6</v>
      </c>
      <c r="AF37" s="43" t="s">
        <v>2289</v>
      </c>
      <c r="AG37" s="43" t="s">
        <v>2125</v>
      </c>
      <c r="AH37" s="43" t="s">
        <v>2289</v>
      </c>
      <c r="AI37" s="43" t="s">
        <v>853</v>
      </c>
      <c r="AJ37" s="43" t="s">
        <v>3112</v>
      </c>
      <c r="AK37" s="43" t="s">
        <v>853</v>
      </c>
      <c r="AL37" s="43" t="s">
        <v>3129</v>
      </c>
      <c r="AM37" s="43" t="s">
        <v>1</v>
      </c>
      <c r="AN37" s="209" t="s">
        <v>1472</v>
      </c>
      <c r="AO37" s="43" t="s">
        <v>853</v>
      </c>
      <c r="AP37" s="43" t="s">
        <v>3156</v>
      </c>
      <c r="AQ37" s="43" t="s">
        <v>6</v>
      </c>
      <c r="AR37" s="43" t="s">
        <v>2289</v>
      </c>
      <c r="AS37" s="43" t="s">
        <v>2125</v>
      </c>
      <c r="AT37" s="43" t="s">
        <v>2892</v>
      </c>
      <c r="AU37" s="43"/>
      <c r="AV37" s="43"/>
      <c r="AW37" s="43" t="s">
        <v>853</v>
      </c>
      <c r="AX37" s="43" t="s">
        <v>3112</v>
      </c>
      <c r="AY37" s="43" t="s">
        <v>1</v>
      </c>
      <c r="AZ37" s="43" t="s">
        <v>1472</v>
      </c>
      <c r="BA37" s="43" t="s">
        <v>853</v>
      </c>
      <c r="BB37" s="43" t="s">
        <v>3327</v>
      </c>
      <c r="BC37" s="43" t="s">
        <v>854</v>
      </c>
      <c r="BD37" s="43" t="s">
        <v>882</v>
      </c>
      <c r="BE37" s="43" t="s">
        <v>2125</v>
      </c>
      <c r="BF37" s="43" t="s">
        <v>2838</v>
      </c>
      <c r="BG37" s="43"/>
      <c r="BH37" s="43"/>
      <c r="BI37" s="43" t="s">
        <v>853</v>
      </c>
      <c r="BJ37" s="43" t="s">
        <v>3423</v>
      </c>
      <c r="BK37" s="209" t="s">
        <v>855</v>
      </c>
      <c r="BL37" s="209" t="s">
        <v>1220</v>
      </c>
      <c r="BM37" s="43"/>
      <c r="BN37" s="43"/>
      <c r="BO37" s="43" t="s">
        <v>854</v>
      </c>
      <c r="BP37" s="43" t="s">
        <v>882</v>
      </c>
      <c r="BQ37" s="43" t="s">
        <v>2125</v>
      </c>
      <c r="BR37" s="43" t="s">
        <v>882</v>
      </c>
      <c r="BS37" s="43" t="s">
        <v>1</v>
      </c>
      <c r="BT37" s="43" t="s">
        <v>1472</v>
      </c>
      <c r="BU37" s="43"/>
      <c r="BV37" s="43"/>
      <c r="BW37" s="43"/>
      <c r="BX37" s="43"/>
      <c r="BY37" s="43"/>
      <c r="BZ37" s="43"/>
      <c r="CA37" s="43"/>
      <c r="CB37" s="650"/>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923"/>
      <c r="DX37" s="517" t="str">
        <f t="shared" si="8"/>
        <v>GRIFO 25</v>
      </c>
      <c r="DY37" s="518" t="str">
        <f t="shared" si="13"/>
        <v/>
      </c>
      <c r="DZ37" s="518" t="str">
        <f t="shared" si="14"/>
        <v/>
      </c>
      <c r="EA37" s="516"/>
      <c r="EB37" s="516"/>
      <c r="EC37" s="516"/>
      <c r="ED37" s="516"/>
      <c r="EM37" s="516"/>
      <c r="EN37" s="516"/>
      <c r="EO37" s="516"/>
      <c r="EP37" s="516"/>
      <c r="EQ37" s="516"/>
    </row>
    <row r="38" spans="1:147" x14ac:dyDescent="0.3">
      <c r="A38" s="287" t="s">
        <v>2054</v>
      </c>
      <c r="B38" s="208" t="str">
        <f t="shared" si="12"/>
        <v>GRIFO 26 / -</v>
      </c>
      <c r="C38" s="209"/>
      <c r="D38" s="209"/>
      <c r="E38" s="209"/>
      <c r="F38" s="209"/>
      <c r="G38" s="209"/>
      <c r="H38" s="209"/>
      <c r="I38" s="209"/>
      <c r="J38" s="209"/>
      <c r="K38" s="209"/>
      <c r="L38" s="209"/>
      <c r="M38" s="209"/>
      <c r="N38" s="209"/>
      <c r="O38" s="209"/>
      <c r="P38" s="209"/>
      <c r="Q38" s="209"/>
      <c r="R38" s="209"/>
      <c r="S38" s="209"/>
      <c r="T38" s="209"/>
      <c r="U38" s="209"/>
      <c r="V38" s="209"/>
      <c r="W38" s="209"/>
      <c r="X38" s="209"/>
      <c r="Y38" s="209"/>
      <c r="Z38" s="209"/>
      <c r="AA38" s="209"/>
      <c r="AB38" s="209"/>
      <c r="AC38" s="209"/>
      <c r="AD38" s="209"/>
      <c r="AE38" s="209"/>
      <c r="AF38" s="209"/>
      <c r="AG38" s="209"/>
      <c r="AH38" s="209"/>
      <c r="AI38" s="209"/>
      <c r="AJ38" s="209"/>
      <c r="AK38" s="209"/>
      <c r="AL38" s="209"/>
      <c r="AM38" s="209"/>
      <c r="AN38" s="209"/>
      <c r="AO38" s="209"/>
      <c r="AP38" s="43"/>
      <c r="AQ38" s="209"/>
      <c r="AR38" s="209"/>
      <c r="AS38" s="209"/>
      <c r="AT38" s="209"/>
      <c r="AU38" s="209"/>
      <c r="AV38" s="209"/>
      <c r="AW38" s="209"/>
      <c r="AX38" s="209"/>
      <c r="AY38" s="209"/>
      <c r="AZ38" s="209"/>
      <c r="BA38" s="209"/>
      <c r="BB38" s="209"/>
      <c r="BC38" s="209"/>
      <c r="BD38" s="209"/>
      <c r="BE38" s="209"/>
      <c r="BF38" s="209"/>
      <c r="BG38" s="209"/>
      <c r="BH38" s="209"/>
      <c r="BI38" s="209"/>
      <c r="BJ38" s="209"/>
      <c r="BK38" s="209"/>
      <c r="BL38" s="209"/>
      <c r="BM38" s="209"/>
      <c r="BN38" s="209"/>
      <c r="BO38" s="209"/>
      <c r="BP38" s="209"/>
      <c r="BQ38" s="209"/>
      <c r="BR38" s="209"/>
      <c r="BS38" s="209"/>
      <c r="BT38" s="209"/>
      <c r="BU38" s="209"/>
      <c r="BV38" s="209"/>
      <c r="BW38" s="209"/>
      <c r="BX38" s="209"/>
      <c r="BY38" s="209"/>
      <c r="BZ38" s="209"/>
      <c r="CA38" s="209"/>
      <c r="CB38" s="209"/>
      <c r="CC38" s="209"/>
      <c r="CD38" s="209"/>
      <c r="CE38" s="209"/>
      <c r="CF38" s="209"/>
      <c r="CG38" s="209"/>
      <c r="CH38" s="209"/>
      <c r="CI38" s="209"/>
      <c r="CJ38" s="209"/>
      <c r="CK38" s="209"/>
      <c r="CL38" s="209"/>
      <c r="CM38" s="209"/>
      <c r="CN38" s="209"/>
      <c r="CO38" s="209"/>
      <c r="CP38" s="209"/>
      <c r="CQ38" s="209"/>
      <c r="CR38" s="209"/>
      <c r="CS38" s="209"/>
      <c r="CT38" s="209"/>
      <c r="CU38" s="209"/>
      <c r="CV38" s="209"/>
      <c r="CW38" s="209"/>
      <c r="CX38" s="209"/>
      <c r="CY38" s="209"/>
      <c r="CZ38" s="43"/>
      <c r="DA38" s="209"/>
      <c r="DB38" s="209"/>
      <c r="DC38" s="209"/>
      <c r="DD38" s="209"/>
      <c r="DE38" s="209"/>
      <c r="DF38" s="209"/>
      <c r="DG38" s="209"/>
      <c r="DH38" s="209"/>
      <c r="DI38" s="209"/>
      <c r="DJ38" s="209"/>
      <c r="DK38" s="209"/>
      <c r="DL38" s="209"/>
      <c r="DM38" s="209"/>
      <c r="DN38" s="209"/>
      <c r="DO38" s="209"/>
      <c r="DP38" s="209"/>
      <c r="DQ38" s="209"/>
      <c r="DR38" s="209"/>
      <c r="DS38" s="209"/>
      <c r="DT38" s="209"/>
      <c r="DU38" s="209"/>
      <c r="DV38" s="209"/>
      <c r="DW38" s="375"/>
      <c r="DX38" s="517" t="str">
        <f t="shared" si="8"/>
        <v>GRIFO 26</v>
      </c>
      <c r="DY38" s="518" t="str">
        <f t="shared" si="13"/>
        <v/>
      </c>
      <c r="DZ38" s="518" t="str">
        <f t="shared" si="14"/>
        <v/>
      </c>
      <c r="EA38" s="516"/>
      <c r="EB38" s="516"/>
      <c r="EC38" s="516"/>
      <c r="ED38" s="516"/>
      <c r="EE38" s="516"/>
      <c r="EF38" s="516"/>
      <c r="EG38" s="516"/>
      <c r="EH38" s="516"/>
      <c r="EI38" s="516"/>
      <c r="EJ38" s="516"/>
      <c r="EK38" s="516"/>
      <c r="EL38" s="516"/>
      <c r="EM38" s="516"/>
      <c r="EN38" s="516"/>
      <c r="EO38" s="516"/>
      <c r="EP38" s="516"/>
      <c r="EQ38" s="516"/>
    </row>
    <row r="39" spans="1:147" x14ac:dyDescent="0.3">
      <c r="A39" s="287" t="s">
        <v>2598</v>
      </c>
      <c r="B39" s="208" t="str">
        <f t="shared" si="12"/>
        <v>GRIFO 27 / -</v>
      </c>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923"/>
      <c r="DX39" s="517" t="str">
        <f t="shared" si="8"/>
        <v>GRIFO 27</v>
      </c>
      <c r="DY39" s="518" t="str">
        <f t="shared" si="13"/>
        <v/>
      </c>
      <c r="DZ39" s="518" t="str">
        <f t="shared" si="14"/>
        <v/>
      </c>
      <c r="EA39" s="516"/>
      <c r="EB39" s="516"/>
      <c r="EC39" s="516"/>
      <c r="ED39" s="516"/>
      <c r="EE39" s="516"/>
      <c r="EF39" s="516"/>
      <c r="EG39" s="516"/>
      <c r="EH39" s="516"/>
      <c r="EI39" s="516"/>
      <c r="EJ39" s="516"/>
      <c r="EK39" s="516"/>
      <c r="EL39" s="516"/>
      <c r="EM39" s="516"/>
      <c r="EN39" s="516"/>
      <c r="EO39" s="516"/>
      <c r="EP39" s="516"/>
      <c r="EQ39" s="516"/>
    </row>
    <row r="40" spans="1:147" x14ac:dyDescent="0.3">
      <c r="A40" s="287" t="s">
        <v>2599</v>
      </c>
      <c r="B40" s="208" t="str">
        <f t="shared" si="12"/>
        <v>GRIFO 28 / -</v>
      </c>
      <c r="C40" s="43"/>
      <c r="D40" s="43"/>
      <c r="E40" s="43"/>
      <c r="F40" s="43"/>
      <c r="G40" s="209"/>
      <c r="H40" s="209"/>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209"/>
      <c r="BR40" s="209"/>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923"/>
      <c r="DX40" s="517" t="str">
        <f t="shared" si="8"/>
        <v>GRIFO 28</v>
      </c>
      <c r="DY40" s="518" t="str">
        <f t="shared" si="13"/>
        <v/>
      </c>
      <c r="DZ40" s="518" t="str">
        <f t="shared" si="14"/>
        <v/>
      </c>
      <c r="EA40" s="516"/>
      <c r="EB40" s="516"/>
      <c r="EC40" s="516"/>
      <c r="ED40" s="516"/>
      <c r="EE40" s="516"/>
      <c r="EF40" s="516"/>
      <c r="EG40" s="516"/>
      <c r="EH40" s="516"/>
      <c r="EI40" s="516"/>
      <c r="EJ40" s="516"/>
      <c r="EK40" s="516"/>
      <c r="EL40" s="516"/>
      <c r="EM40" s="516"/>
      <c r="EN40" s="516"/>
      <c r="EO40" s="516"/>
      <c r="EP40" s="516"/>
      <c r="EQ40" s="516"/>
    </row>
    <row r="41" spans="1:147" x14ac:dyDescent="0.3">
      <c r="A41" s="287" t="s">
        <v>2600</v>
      </c>
      <c r="B41" s="208" t="str">
        <f>A41&amp;" / "&amp;VLOOKUP(A41,PANELDETRABAJO,2,FALSE)</f>
        <v>GRIFO 29 / -</v>
      </c>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923"/>
      <c r="DX41" s="517" t="str">
        <f t="shared" si="8"/>
        <v>GRIFO 29</v>
      </c>
      <c r="DY41" s="518" t="str">
        <f>UPPER(IF(VLOOKUP(A41,TabladeServicio,MATCH($B$2,$A$8:$DT$8,0),0)=0,"",VLOOKUP(A41,TabladeServicio,MATCH($B$2,$A$8:$DT$8,0),0)))</f>
        <v/>
      </c>
      <c r="DZ41" s="518" t="str">
        <f>UPPER(IF(VLOOKUP(A41,TabladeServicio,MATCH($B$2,$A$8:$DT$8,0)+1,0)=0,"",VLOOKUP(A41,TabladeServicio,MATCH($B$2,$A$8:$DT$8,0)+1,0)))</f>
        <v/>
      </c>
      <c r="EA41" s="516"/>
      <c r="EB41" s="516"/>
      <c r="EC41" s="516"/>
      <c r="ED41" s="516"/>
      <c r="EE41" s="516"/>
      <c r="EF41" s="516"/>
      <c r="EG41" s="516"/>
      <c r="EH41" s="516"/>
      <c r="EI41" s="516"/>
      <c r="EJ41" s="516"/>
      <c r="EK41" s="516"/>
      <c r="EL41" s="516"/>
      <c r="EM41" s="516"/>
      <c r="EN41" s="516"/>
      <c r="EO41" s="516"/>
      <c r="EP41" s="516"/>
      <c r="EQ41" s="516"/>
    </row>
    <row r="42" spans="1:147" x14ac:dyDescent="0.3">
      <c r="A42" s="287" t="s">
        <v>2601</v>
      </c>
      <c r="B42" s="208" t="str">
        <f t="shared" si="12"/>
        <v>GRIFO 30 / -</v>
      </c>
      <c r="C42" s="43"/>
      <c r="D42" s="43"/>
      <c r="E42" s="43"/>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923"/>
      <c r="DX42" s="517" t="str">
        <f t="shared" si="8"/>
        <v>GRIFO 30</v>
      </c>
      <c r="DY42" s="518" t="str">
        <f t="shared" si="13"/>
        <v/>
      </c>
      <c r="DZ42" s="518" t="str">
        <f t="shared" si="14"/>
        <v/>
      </c>
      <c r="EA42" s="516"/>
      <c r="EB42" s="516"/>
      <c r="EC42" s="516"/>
      <c r="ED42" s="516"/>
      <c r="EE42" s="516"/>
      <c r="EF42" s="516"/>
      <c r="EG42" s="516"/>
      <c r="EH42" s="516"/>
      <c r="EI42" s="516"/>
      <c r="EJ42" s="516"/>
      <c r="EK42" s="516"/>
      <c r="EL42" s="516"/>
      <c r="EM42" s="516"/>
      <c r="EN42" s="516"/>
      <c r="EO42" s="516"/>
      <c r="EP42" s="516"/>
      <c r="EQ42" s="516"/>
    </row>
    <row r="43" spans="1:147" x14ac:dyDescent="0.3">
      <c r="A43" s="287" t="s">
        <v>1510</v>
      </c>
      <c r="B43" s="208" t="str">
        <f t="shared" ref="B43:B45" si="15">A43&amp;" / "&amp;VLOOKUP(A43,PANELDETRABAJO,2,FALSE)</f>
        <v>SSOO 1 / -</v>
      </c>
      <c r="C43" s="43"/>
      <c r="D43" s="44"/>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4"/>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923"/>
      <c r="DX43" s="517" t="str">
        <f t="shared" si="8"/>
        <v>SSOO 1</v>
      </c>
      <c r="DY43" s="518" t="str">
        <f t="shared" ref="DY43:DY48" si="16">UPPER(IF(VLOOKUP(A43,TabladeServicio,MATCH($B$2,$A$8:$DT$8,0),0)=0,"",VLOOKUP(A43,TabladeServicio,MATCH($B$2,$A$8:$DT$8,0),0)))</f>
        <v/>
      </c>
      <c r="DZ43" s="518" t="str">
        <f t="shared" ref="DZ43:DZ48" si="17">UPPER(IF(VLOOKUP(A43,TabladeServicio,MATCH($B$2,$A$8:$DT$8,0)+1,0)=0,"",VLOOKUP(A43,TabladeServicio,MATCH($B$2,$A$8:$DT$8,0)+1,0)))</f>
        <v/>
      </c>
      <c r="EA43" s="516"/>
      <c r="EB43" s="516"/>
      <c r="EC43" s="516"/>
      <c r="ED43" s="516"/>
      <c r="EE43" s="516"/>
      <c r="EF43" s="516"/>
      <c r="EG43" s="516"/>
      <c r="EH43" s="516"/>
      <c r="EI43" s="516"/>
      <c r="EJ43" s="516"/>
      <c r="EK43" s="516"/>
      <c r="EL43" s="516"/>
      <c r="EM43" s="516"/>
      <c r="EN43" s="516"/>
      <c r="EO43" s="516"/>
      <c r="EP43" s="516"/>
      <c r="EQ43" s="516"/>
    </row>
    <row r="44" spans="1:147" x14ac:dyDescent="0.3">
      <c r="A44" s="287" t="s">
        <v>1511</v>
      </c>
      <c r="B44" s="208" t="str">
        <f t="shared" si="15"/>
        <v>SSOO 2 / -</v>
      </c>
      <c r="C44" s="43"/>
      <c r="D44" s="43"/>
      <c r="E44" s="43"/>
      <c r="F44" s="43"/>
      <c r="G44" s="43"/>
      <c r="H44" s="43"/>
      <c r="I44" s="43"/>
      <c r="J44" s="43"/>
      <c r="K44" s="43"/>
      <c r="L44" s="43"/>
      <c r="M44" s="43"/>
      <c r="N44" s="43"/>
      <c r="O44" s="43"/>
      <c r="P44" s="43"/>
      <c r="Q44" s="209"/>
      <c r="R44" s="209"/>
      <c r="S44" s="209"/>
      <c r="T44" s="209"/>
      <c r="U44" s="209"/>
      <c r="V44" s="209"/>
      <c r="W44" s="209"/>
      <c r="X44" s="209"/>
      <c r="Y44" s="209"/>
      <c r="Z44" s="209"/>
      <c r="AA44" s="209"/>
      <c r="AB44" s="209"/>
      <c r="AC44" s="209"/>
      <c r="AD44" s="209"/>
      <c r="AE44" s="209"/>
      <c r="AF44" s="209"/>
      <c r="AG44" s="209"/>
      <c r="AH44" s="209"/>
      <c r="AI44" s="209"/>
      <c r="AJ44" s="209"/>
      <c r="AK44" s="209"/>
      <c r="AL44" s="209"/>
      <c r="AM44" s="209"/>
      <c r="AN44" s="209"/>
      <c r="AO44" s="209"/>
      <c r="AP44" s="209"/>
      <c r="AQ44" s="209"/>
      <c r="AR44" s="209"/>
      <c r="AS44" s="209"/>
      <c r="AT44" s="209"/>
      <c r="AU44" s="209"/>
      <c r="AV44" s="209"/>
      <c r="AW44" s="209"/>
      <c r="AX44" s="209"/>
      <c r="AY44" s="209"/>
      <c r="AZ44" s="209"/>
      <c r="BA44" s="209"/>
      <c r="BB44" s="209"/>
      <c r="BC44" s="209"/>
      <c r="BD44" s="209"/>
      <c r="BE44" s="209"/>
      <c r="BF44" s="209"/>
      <c r="BG44" s="209"/>
      <c r="BH44" s="209"/>
      <c r="BI44" s="209"/>
      <c r="BJ44" s="209"/>
      <c r="BK44" s="209"/>
      <c r="BL44" s="209"/>
      <c r="BM44" s="43"/>
      <c r="BN44" s="43"/>
      <c r="BO44" s="43"/>
      <c r="BP44" s="43"/>
      <c r="BQ44" s="43"/>
      <c r="BR44" s="43"/>
      <c r="BS44" s="43"/>
      <c r="BT44" s="43"/>
      <c r="BU44" s="43"/>
      <c r="BV44" s="43"/>
      <c r="BW44" s="43"/>
      <c r="BX44" s="43"/>
      <c r="BY44" s="43"/>
      <c r="BZ44" s="43"/>
      <c r="CA44" s="209"/>
      <c r="CB44" s="209"/>
      <c r="CC44" s="209"/>
      <c r="CD44" s="209"/>
      <c r="CE44" s="209"/>
      <c r="CF44" s="209"/>
      <c r="CG44" s="209"/>
      <c r="CH44" s="209"/>
      <c r="CI44" s="209"/>
      <c r="CJ44" s="209"/>
      <c r="CK44" s="209"/>
      <c r="CL44" s="209"/>
      <c r="CM44" s="209"/>
      <c r="CN44" s="209"/>
      <c r="CO44" s="209"/>
      <c r="CP44" s="209"/>
      <c r="CQ44" s="209"/>
      <c r="CR44" s="209"/>
      <c r="CS44" s="209"/>
      <c r="CT44" s="209"/>
      <c r="CU44" s="209"/>
      <c r="CV44" s="209"/>
      <c r="CW44" s="209"/>
      <c r="CX44" s="209"/>
      <c r="CY44" s="209"/>
      <c r="CZ44" s="209"/>
      <c r="DA44" s="209"/>
      <c r="DB44" s="209"/>
      <c r="DC44" s="209"/>
      <c r="DD44" s="209"/>
      <c r="DE44" s="209"/>
      <c r="DF44" s="209"/>
      <c r="DG44" s="209"/>
      <c r="DH44" s="209"/>
      <c r="DI44" s="209"/>
      <c r="DJ44" s="209"/>
      <c r="DK44" s="209"/>
      <c r="DL44" s="209"/>
      <c r="DM44" s="209"/>
      <c r="DN44" s="209"/>
      <c r="DO44" s="209"/>
      <c r="DP44" s="209"/>
      <c r="DQ44" s="209"/>
      <c r="DR44" s="209"/>
      <c r="DS44" s="209"/>
      <c r="DT44" s="209"/>
      <c r="DU44" s="209"/>
      <c r="DV44" s="209"/>
      <c r="DW44" s="375"/>
      <c r="DX44" s="517" t="str">
        <f t="shared" si="8"/>
        <v>SSOO 2</v>
      </c>
      <c r="DY44" s="518" t="str">
        <f t="shared" si="16"/>
        <v/>
      </c>
      <c r="DZ44" s="518" t="str">
        <f t="shared" si="17"/>
        <v/>
      </c>
      <c r="EA44" s="516"/>
      <c r="EB44" s="516"/>
      <c r="EC44" s="516"/>
      <c r="ED44" s="516"/>
      <c r="EE44" s="516"/>
      <c r="EF44" s="516"/>
      <c r="EG44" s="516"/>
      <c r="EH44" s="516"/>
      <c r="EI44" s="516"/>
      <c r="EJ44" s="516"/>
      <c r="EK44" s="516"/>
      <c r="EL44" s="516"/>
      <c r="EM44" s="516"/>
      <c r="EN44" s="516"/>
      <c r="EO44" s="516"/>
      <c r="EP44" s="516"/>
      <c r="EQ44" s="516"/>
    </row>
    <row r="45" spans="1:147" x14ac:dyDescent="0.3">
      <c r="A45" s="287" t="s">
        <v>1512</v>
      </c>
      <c r="B45" s="208" t="str">
        <f t="shared" si="15"/>
        <v>SSOO 3 / -</v>
      </c>
      <c r="C45" s="43"/>
      <c r="D45" s="43"/>
      <c r="E45" s="43"/>
      <c r="F45" s="43"/>
      <c r="G45" s="43"/>
      <c r="H45" s="43"/>
      <c r="I45" s="43"/>
      <c r="J45" s="43"/>
      <c r="K45" s="43"/>
      <c r="L45" s="43"/>
      <c r="M45" s="43"/>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923"/>
      <c r="DX45" s="517" t="str">
        <f t="shared" si="8"/>
        <v>SSOO 3</v>
      </c>
      <c r="DY45" s="518" t="str">
        <f t="shared" si="16"/>
        <v/>
      </c>
      <c r="DZ45" s="518" t="str">
        <f t="shared" si="17"/>
        <v/>
      </c>
      <c r="EA45" s="516"/>
      <c r="EB45" s="516"/>
      <c r="EC45" s="516"/>
      <c r="ED45" s="516"/>
      <c r="EE45" s="516"/>
      <c r="EF45" s="516"/>
      <c r="EG45" s="516"/>
      <c r="EH45" s="516"/>
      <c r="EI45" s="516"/>
      <c r="EJ45" s="516"/>
      <c r="EK45" s="516"/>
      <c r="EL45" s="516"/>
      <c r="EM45" s="516"/>
      <c r="EN45" s="516"/>
      <c r="EO45" s="516"/>
      <c r="EP45" s="516"/>
      <c r="EQ45" s="516"/>
    </row>
    <row r="46" spans="1:147" x14ac:dyDescent="0.3">
      <c r="A46" s="287" t="s">
        <v>1513</v>
      </c>
      <c r="B46" s="208" t="str">
        <f>A46&amp;" / "&amp;VLOOKUP(A46,PANELDETRABAJO,2,FALSE)</f>
        <v>SSOO 4 / -</v>
      </c>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923"/>
      <c r="DX46" s="517" t="str">
        <f t="shared" si="8"/>
        <v>SSOO 4</v>
      </c>
      <c r="DY46" s="518" t="str">
        <f t="shared" si="16"/>
        <v/>
      </c>
      <c r="DZ46" s="518" t="str">
        <f t="shared" si="17"/>
        <v/>
      </c>
      <c r="EA46" s="516"/>
      <c r="EB46" s="516"/>
      <c r="EC46" s="516"/>
      <c r="ED46" s="516"/>
      <c r="EE46" s="516"/>
      <c r="EF46" s="516"/>
      <c r="EG46" s="516"/>
      <c r="EH46" s="516"/>
      <c r="EI46" s="516"/>
      <c r="EJ46" s="516"/>
      <c r="EK46" s="516"/>
      <c r="EL46" s="516"/>
      <c r="EM46" s="516"/>
      <c r="EN46" s="516"/>
      <c r="EO46" s="516"/>
      <c r="EP46" s="516"/>
      <c r="EQ46" s="516"/>
    </row>
    <row r="47" spans="1:147" x14ac:dyDescent="0.3">
      <c r="A47" s="287" t="s">
        <v>1514</v>
      </c>
      <c r="B47" s="208" t="str">
        <f t="shared" ref="B47:B48" si="18">A47&amp;" / "&amp;VLOOKUP(A47,PANELDETRABAJO,2,FALSE)</f>
        <v>SSOO 5 / S.O.M. MUÑOZ CORTES JUAN JERVACIO</v>
      </c>
      <c r="C47" s="43"/>
      <c r="D47" s="43"/>
      <c r="E47" s="43"/>
      <c r="F47" s="43"/>
      <c r="G47" s="43"/>
      <c r="H47" s="43"/>
      <c r="I47" s="43"/>
      <c r="J47" s="43"/>
      <c r="K47" s="43" t="s">
        <v>1</v>
      </c>
      <c r="L47" s="43" t="s">
        <v>2997</v>
      </c>
      <c r="M47" s="43" t="s">
        <v>2</v>
      </c>
      <c r="N47" s="43" t="s">
        <v>2997</v>
      </c>
      <c r="O47" s="43" t="s">
        <v>2</v>
      </c>
      <c r="P47" s="43" t="s">
        <v>2997</v>
      </c>
      <c r="Q47" s="43" t="s">
        <v>1</v>
      </c>
      <c r="R47" s="43" t="s">
        <v>2997</v>
      </c>
      <c r="S47" s="43" t="s">
        <v>2</v>
      </c>
      <c r="T47" s="43" t="s">
        <v>2997</v>
      </c>
      <c r="U47" s="43" t="s">
        <v>2</v>
      </c>
      <c r="V47" s="43" t="s">
        <v>2997</v>
      </c>
      <c r="W47" s="43" t="s">
        <v>2</v>
      </c>
      <c r="X47" s="43" t="s">
        <v>2997</v>
      </c>
      <c r="Y47" s="43" t="s">
        <v>1</v>
      </c>
      <c r="Z47" s="43" t="s">
        <v>2997</v>
      </c>
      <c r="AA47" s="43" t="s">
        <v>2</v>
      </c>
      <c r="AB47" s="43" t="s">
        <v>2997</v>
      </c>
      <c r="AC47" s="43" t="s">
        <v>1</v>
      </c>
      <c r="AD47" s="43" t="s">
        <v>2997</v>
      </c>
      <c r="AE47" s="43" t="s">
        <v>2</v>
      </c>
      <c r="AF47" s="43" t="s">
        <v>2997</v>
      </c>
      <c r="AG47" s="43" t="s">
        <v>855</v>
      </c>
      <c r="AH47" s="43" t="s">
        <v>1220</v>
      </c>
      <c r="AI47" s="43" t="s">
        <v>855</v>
      </c>
      <c r="AJ47" s="43" t="s">
        <v>1220</v>
      </c>
      <c r="AK47" s="43" t="s">
        <v>2</v>
      </c>
      <c r="AL47" s="43" t="s">
        <v>2997</v>
      </c>
      <c r="AM47" s="43" t="s">
        <v>2</v>
      </c>
      <c r="AN47" s="209" t="s">
        <v>2997</v>
      </c>
      <c r="AO47" s="43" t="s">
        <v>2</v>
      </c>
      <c r="AP47" s="43" t="s">
        <v>2997</v>
      </c>
      <c r="AQ47" s="43" t="s">
        <v>1</v>
      </c>
      <c r="AR47" s="43" t="s">
        <v>2997</v>
      </c>
      <c r="AS47" s="43" t="s">
        <v>2</v>
      </c>
      <c r="AT47" s="43" t="s">
        <v>2997</v>
      </c>
      <c r="AU47" s="43" t="s">
        <v>2</v>
      </c>
      <c r="AV47" s="43" t="s">
        <v>2997</v>
      </c>
      <c r="AW47" s="43" t="s">
        <v>2</v>
      </c>
      <c r="AX47" s="43" t="s">
        <v>2997</v>
      </c>
      <c r="AY47" s="43" t="s">
        <v>2</v>
      </c>
      <c r="AZ47" s="43" t="s">
        <v>2997</v>
      </c>
      <c r="BA47" s="43" t="s">
        <v>1</v>
      </c>
      <c r="BB47" s="43" t="s">
        <v>2997</v>
      </c>
      <c r="BC47" s="43" t="s">
        <v>2</v>
      </c>
      <c r="BD47" s="43" t="s">
        <v>2997</v>
      </c>
      <c r="BE47" s="43" t="s">
        <v>1</v>
      </c>
      <c r="BF47" s="43" t="s">
        <v>2997</v>
      </c>
      <c r="BG47" s="43" t="s">
        <v>2</v>
      </c>
      <c r="BH47" s="43" t="s">
        <v>2997</v>
      </c>
      <c r="BI47" s="43" t="s">
        <v>855</v>
      </c>
      <c r="BJ47" s="43" t="s">
        <v>2997</v>
      </c>
      <c r="BK47" s="43" t="s">
        <v>855</v>
      </c>
      <c r="BL47" s="43" t="s">
        <v>2997</v>
      </c>
      <c r="BM47" s="43" t="s">
        <v>1</v>
      </c>
      <c r="BN47" s="43" t="s">
        <v>2997</v>
      </c>
      <c r="BO47" s="43" t="s">
        <v>2</v>
      </c>
      <c r="BP47" s="43" t="s">
        <v>2997</v>
      </c>
      <c r="BQ47" s="43" t="s">
        <v>1</v>
      </c>
      <c r="BR47" s="43" t="s">
        <v>2997</v>
      </c>
      <c r="BS47" s="43" t="s">
        <v>2</v>
      </c>
      <c r="BT47" s="43" t="s">
        <v>2997</v>
      </c>
      <c r="BU47" s="43" t="s">
        <v>1</v>
      </c>
      <c r="BV47" s="43" t="s">
        <v>2997</v>
      </c>
      <c r="BW47" s="43" t="s">
        <v>855</v>
      </c>
      <c r="BX47" s="43" t="s">
        <v>1220</v>
      </c>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923"/>
      <c r="DX47" s="517" t="str">
        <f t="shared" si="8"/>
        <v>SSOO 5</v>
      </c>
      <c r="DY47" s="518" t="str">
        <f t="shared" si="16"/>
        <v>F</v>
      </c>
      <c r="DZ47" s="518" t="str">
        <f t="shared" si="17"/>
        <v>FRANCO</v>
      </c>
      <c r="EA47" s="516"/>
      <c r="EB47" s="516"/>
      <c r="EC47" s="516"/>
      <c r="ED47" s="516"/>
      <c r="EE47" s="516"/>
      <c r="EF47" s="516"/>
      <c r="EG47" s="516"/>
      <c r="EH47" s="516"/>
      <c r="EI47" s="516"/>
      <c r="EJ47" s="516"/>
      <c r="EK47" s="516"/>
      <c r="EL47" s="516"/>
      <c r="EM47" s="516"/>
      <c r="EN47" s="516"/>
      <c r="EO47" s="516"/>
      <c r="EP47" s="516"/>
      <c r="EQ47" s="516"/>
    </row>
    <row r="48" spans="1:147" ht="15" thickBot="1" x14ac:dyDescent="0.35">
      <c r="A48" s="287" t="s">
        <v>1515</v>
      </c>
      <c r="B48" s="208" t="str">
        <f t="shared" si="18"/>
        <v>SSOO 6 / -</v>
      </c>
      <c r="C48" s="375"/>
      <c r="D48" s="43"/>
      <c r="E48" s="375"/>
      <c r="F48" s="43"/>
      <c r="G48" s="375"/>
      <c r="H48" s="43"/>
      <c r="I48" s="375"/>
      <c r="J48" s="43"/>
      <c r="K48" s="375"/>
      <c r="L48" s="43"/>
      <c r="M48" s="375"/>
      <c r="N48" s="43"/>
      <c r="O48" s="375"/>
      <c r="P48" s="375"/>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375"/>
      <c r="BN48" s="43"/>
      <c r="BO48" s="375"/>
      <c r="BP48" s="43"/>
      <c r="BQ48" s="375"/>
      <c r="BR48" s="43"/>
      <c r="BS48" s="375"/>
      <c r="BT48" s="43"/>
      <c r="BU48" s="375"/>
      <c r="BV48" s="43"/>
      <c r="BW48" s="375"/>
      <c r="BX48" s="43"/>
      <c r="BY48" s="375"/>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923"/>
      <c r="DX48" s="519" t="str">
        <f t="shared" si="8"/>
        <v>SSOO 6</v>
      </c>
      <c r="DY48" s="520" t="str">
        <f t="shared" si="16"/>
        <v/>
      </c>
      <c r="DZ48" s="520" t="str">
        <f t="shared" si="17"/>
        <v/>
      </c>
      <c r="EA48" s="516"/>
      <c r="EB48" s="516"/>
      <c r="EC48" s="516"/>
      <c r="ED48" s="516"/>
      <c r="EE48" s="516"/>
      <c r="EF48" s="516"/>
      <c r="EG48" s="516"/>
      <c r="EH48" s="516"/>
      <c r="EI48" s="516"/>
      <c r="EJ48" s="516"/>
      <c r="EK48" s="516"/>
      <c r="EL48" s="516"/>
      <c r="EM48" s="516"/>
      <c r="EN48" s="516"/>
      <c r="EO48" s="516"/>
      <c r="EP48" s="516"/>
      <c r="EQ48" s="516"/>
    </row>
    <row r="49" spans="1:147" x14ac:dyDescent="0.3">
      <c r="A49" s="287" t="s">
        <v>2602</v>
      </c>
      <c r="B49" s="208" t="str">
        <f t="shared" si="12"/>
        <v>SSOO 7 / -</v>
      </c>
      <c r="C49" s="43"/>
      <c r="D49" s="44"/>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4"/>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923"/>
      <c r="DX49" s="517" t="str">
        <f t="shared" si="8"/>
        <v>SSOO 7</v>
      </c>
      <c r="DY49" s="518" t="str">
        <f t="shared" si="13"/>
        <v/>
      </c>
      <c r="DZ49" s="518" t="str">
        <f t="shared" si="14"/>
        <v/>
      </c>
      <c r="EA49" s="516"/>
      <c r="EB49" s="516"/>
      <c r="EC49" s="516"/>
      <c r="ED49" s="516"/>
      <c r="EE49" s="516"/>
      <c r="EF49" s="516"/>
      <c r="EG49" s="516"/>
      <c r="EH49" s="516"/>
      <c r="EI49" s="516"/>
      <c r="EJ49" s="516"/>
      <c r="EK49" s="516"/>
      <c r="EL49" s="516"/>
      <c r="EM49" s="516"/>
      <c r="EN49" s="516"/>
      <c r="EO49" s="516"/>
      <c r="EP49" s="516"/>
      <c r="EQ49" s="516"/>
    </row>
    <row r="50" spans="1:147" x14ac:dyDescent="0.3">
      <c r="A50" s="287" t="s">
        <v>2603</v>
      </c>
      <c r="B50" s="208" t="str">
        <f t="shared" si="12"/>
        <v>SSOO 8 / -</v>
      </c>
      <c r="C50" s="43"/>
      <c r="D50" s="43"/>
      <c r="E50" s="43"/>
      <c r="F50" s="43"/>
      <c r="G50" s="43"/>
      <c r="H50" s="43"/>
      <c r="I50" s="43"/>
      <c r="J50" s="43"/>
      <c r="K50" s="43"/>
      <c r="L50" s="43"/>
      <c r="M50" s="43"/>
      <c r="N50" s="43"/>
      <c r="O50" s="43"/>
      <c r="P50" s="43"/>
      <c r="Q50" s="209"/>
      <c r="R50" s="209"/>
      <c r="S50" s="209"/>
      <c r="T50" s="209"/>
      <c r="U50" s="209"/>
      <c r="V50" s="209"/>
      <c r="W50" s="209"/>
      <c r="X50" s="209"/>
      <c r="Y50" s="209"/>
      <c r="Z50" s="209"/>
      <c r="AA50" s="209"/>
      <c r="AB50" s="209"/>
      <c r="AC50" s="209"/>
      <c r="AD50" s="209"/>
      <c r="AE50" s="209"/>
      <c r="AF50" s="209"/>
      <c r="AG50" s="209"/>
      <c r="AH50" s="209"/>
      <c r="AI50" s="209"/>
      <c r="AJ50" s="209"/>
      <c r="AK50" s="209"/>
      <c r="AL50" s="209"/>
      <c r="AM50" s="209"/>
      <c r="AN50" s="209"/>
      <c r="AO50" s="209"/>
      <c r="AP50" s="209"/>
      <c r="AQ50" s="209"/>
      <c r="AR50" s="209"/>
      <c r="AS50" s="209"/>
      <c r="AT50" s="209"/>
      <c r="AU50" s="209"/>
      <c r="AV50" s="209"/>
      <c r="AW50" s="209"/>
      <c r="AX50" s="209"/>
      <c r="AY50" s="209"/>
      <c r="AZ50" s="209"/>
      <c r="BA50" s="209"/>
      <c r="BB50" s="209"/>
      <c r="BC50" s="209"/>
      <c r="BD50" s="209"/>
      <c r="BE50" s="209"/>
      <c r="BF50" s="209"/>
      <c r="BG50" s="209"/>
      <c r="BH50" s="209"/>
      <c r="BI50" s="209"/>
      <c r="BJ50" s="209"/>
      <c r="BK50" s="209"/>
      <c r="BL50" s="209"/>
      <c r="BM50" s="43"/>
      <c r="BN50" s="43"/>
      <c r="BO50" s="43"/>
      <c r="BP50" s="43"/>
      <c r="BQ50" s="43"/>
      <c r="BR50" s="43"/>
      <c r="BS50" s="43"/>
      <c r="BT50" s="43"/>
      <c r="BU50" s="43"/>
      <c r="BV50" s="43"/>
      <c r="BW50" s="43"/>
      <c r="BX50" s="43"/>
      <c r="BY50" s="43"/>
      <c r="BZ50" s="43"/>
      <c r="CA50" s="209"/>
      <c r="CB50" s="209"/>
      <c r="CC50" s="209"/>
      <c r="CD50" s="209"/>
      <c r="CE50" s="209"/>
      <c r="CF50" s="209"/>
      <c r="CG50" s="209"/>
      <c r="CH50" s="209"/>
      <c r="CI50" s="209"/>
      <c r="CJ50" s="209"/>
      <c r="CK50" s="209"/>
      <c r="CL50" s="209"/>
      <c r="CM50" s="209"/>
      <c r="CN50" s="209"/>
      <c r="CO50" s="209"/>
      <c r="CP50" s="209"/>
      <c r="CQ50" s="209"/>
      <c r="CR50" s="209"/>
      <c r="CS50" s="209"/>
      <c r="CT50" s="209"/>
      <c r="CU50" s="209"/>
      <c r="CV50" s="209"/>
      <c r="CW50" s="209"/>
      <c r="CX50" s="209"/>
      <c r="CY50" s="209"/>
      <c r="CZ50" s="209"/>
      <c r="DA50" s="209"/>
      <c r="DB50" s="209"/>
      <c r="DC50" s="209"/>
      <c r="DD50" s="209"/>
      <c r="DE50" s="209"/>
      <c r="DF50" s="209"/>
      <c r="DG50" s="209"/>
      <c r="DH50" s="209"/>
      <c r="DI50" s="209"/>
      <c r="DJ50" s="209"/>
      <c r="DK50" s="209"/>
      <c r="DL50" s="209"/>
      <c r="DM50" s="209"/>
      <c r="DN50" s="209"/>
      <c r="DO50" s="209"/>
      <c r="DP50" s="209"/>
      <c r="DQ50" s="209"/>
      <c r="DR50" s="209"/>
      <c r="DS50" s="209"/>
      <c r="DT50" s="209"/>
      <c r="DU50" s="209"/>
      <c r="DV50" s="209"/>
      <c r="DW50" s="375"/>
      <c r="DX50" s="517" t="str">
        <f t="shared" si="8"/>
        <v>SSOO 8</v>
      </c>
      <c r="DY50" s="518" t="str">
        <f t="shared" si="13"/>
        <v/>
      </c>
      <c r="DZ50" s="518" t="str">
        <f t="shared" si="14"/>
        <v/>
      </c>
      <c r="EA50" s="516"/>
      <c r="EB50" s="516"/>
      <c r="EC50" s="516"/>
      <c r="ED50" s="516"/>
      <c r="EE50" s="516"/>
      <c r="EF50" s="516"/>
      <c r="EG50" s="516"/>
      <c r="EH50" s="516"/>
      <c r="EI50" s="516"/>
      <c r="EJ50" s="516"/>
      <c r="EK50" s="516"/>
      <c r="EL50" s="516"/>
      <c r="EM50" s="516"/>
      <c r="EN50" s="516"/>
      <c r="EO50" s="516"/>
      <c r="EP50" s="516"/>
      <c r="EQ50" s="516"/>
    </row>
    <row r="51" spans="1:147" x14ac:dyDescent="0.3">
      <c r="A51" s="287" t="s">
        <v>2604</v>
      </c>
      <c r="B51" s="208" t="str">
        <f t="shared" si="12"/>
        <v>SSOO 9 / -</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923"/>
      <c r="DX51" s="517" t="str">
        <f t="shared" si="8"/>
        <v>SSOO 9</v>
      </c>
      <c r="DY51" s="518" t="str">
        <f t="shared" si="13"/>
        <v/>
      </c>
      <c r="DZ51" s="518" t="str">
        <f t="shared" si="14"/>
        <v/>
      </c>
      <c r="EA51" s="516"/>
      <c r="EB51" s="516"/>
      <c r="EC51" s="516"/>
      <c r="ED51" s="516"/>
      <c r="EE51" s="516"/>
      <c r="EF51" s="516"/>
      <c r="EG51" s="516"/>
      <c r="EH51" s="516"/>
      <c r="EI51" s="516"/>
      <c r="EJ51" s="516"/>
      <c r="EK51" s="516"/>
      <c r="EL51" s="516"/>
      <c r="EM51" s="516"/>
      <c r="EN51" s="516"/>
      <c r="EO51" s="516"/>
      <c r="EP51" s="516"/>
      <c r="EQ51" s="516"/>
    </row>
    <row r="52" spans="1:147" x14ac:dyDescent="0.3">
      <c r="A52" s="287" t="s">
        <v>2605</v>
      </c>
      <c r="B52" s="208" t="str">
        <f>A52&amp;" / "&amp;VLOOKUP(A52,PANELDETRABAJO,2,FALSE)</f>
        <v>SSOO 10 / -</v>
      </c>
      <c r="C52" s="43"/>
      <c r="D52" s="43"/>
      <c r="E52" s="43"/>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923"/>
      <c r="DX52" s="517" t="str">
        <f t="shared" si="8"/>
        <v>SSOO 10</v>
      </c>
      <c r="DY52" s="518" t="str">
        <f t="shared" si="13"/>
        <v/>
      </c>
      <c r="DZ52" s="518" t="str">
        <f t="shared" si="14"/>
        <v/>
      </c>
      <c r="EA52" s="516"/>
      <c r="EB52" s="516"/>
      <c r="EC52" s="516"/>
      <c r="ED52" s="516"/>
      <c r="EE52" s="516"/>
      <c r="EF52" s="516"/>
      <c r="EG52" s="516"/>
      <c r="EH52" s="516"/>
      <c r="EI52" s="516"/>
      <c r="EJ52" s="516"/>
      <c r="EK52" s="516"/>
      <c r="EL52" s="516"/>
      <c r="EM52" s="516"/>
      <c r="EN52" s="516"/>
      <c r="EO52" s="516"/>
      <c r="EP52" s="516"/>
      <c r="EQ52" s="516"/>
    </row>
    <row r="53" spans="1:147" s="694" customFormat="1" ht="15" thickBot="1" x14ac:dyDescent="0.35">
      <c r="A53" s="703"/>
      <c r="B53" s="704"/>
      <c r="C53" s="705"/>
      <c r="D53" s="705"/>
      <c r="E53" s="705"/>
      <c r="F53" s="705"/>
      <c r="G53" s="705"/>
      <c r="H53" s="705"/>
      <c r="I53" s="705"/>
      <c r="J53" s="705"/>
      <c r="K53" s="705"/>
      <c r="L53" s="705"/>
      <c r="M53" s="705"/>
      <c r="N53" s="705"/>
      <c r="O53" s="705"/>
      <c r="P53" s="705"/>
      <c r="Q53" s="705"/>
      <c r="R53" s="705"/>
      <c r="S53" s="705"/>
      <c r="T53" s="705"/>
      <c r="U53" s="705"/>
      <c r="V53" s="705"/>
      <c r="W53" s="705"/>
      <c r="X53" s="705"/>
      <c r="Y53" s="705"/>
      <c r="Z53" s="705"/>
      <c r="AA53" s="705"/>
      <c r="AB53" s="705"/>
      <c r="AC53" s="705"/>
      <c r="AD53" s="705"/>
      <c r="AE53" s="705"/>
      <c r="AF53" s="705"/>
      <c r="AG53" s="705"/>
      <c r="AH53" s="705"/>
      <c r="AI53" s="705"/>
      <c r="AJ53" s="705"/>
      <c r="AK53" s="705"/>
      <c r="AL53" s="705"/>
      <c r="AM53" s="705"/>
      <c r="AN53" s="705"/>
      <c r="AO53" s="705"/>
      <c r="AP53" s="705"/>
      <c r="AQ53" s="705"/>
      <c r="AR53" s="705"/>
      <c r="AS53" s="705"/>
      <c r="AT53" s="705"/>
      <c r="AU53" s="705"/>
      <c r="AV53" s="705"/>
      <c r="AW53" s="705"/>
      <c r="AX53" s="705"/>
      <c r="AY53" s="705"/>
      <c r="AZ53" s="705"/>
      <c r="BA53" s="705"/>
      <c r="BB53" s="705"/>
      <c r="BC53" s="705"/>
      <c r="BD53" s="705"/>
      <c r="BE53" s="705"/>
      <c r="BF53" s="705"/>
      <c r="BG53" s="705"/>
      <c r="BH53" s="705"/>
      <c r="BI53" s="705"/>
      <c r="BJ53" s="705"/>
      <c r="BK53" s="705"/>
      <c r="BL53" s="705"/>
      <c r="BM53" s="705"/>
      <c r="BN53" s="705"/>
      <c r="BO53" s="705"/>
      <c r="BP53" s="705"/>
      <c r="BQ53" s="705"/>
      <c r="BR53" s="705"/>
      <c r="BS53" s="705"/>
      <c r="BT53" s="705"/>
      <c r="BU53" s="705"/>
      <c r="BV53" s="705"/>
      <c r="BW53" s="705"/>
      <c r="BX53" s="705"/>
      <c r="BY53" s="705"/>
      <c r="BZ53" s="705"/>
      <c r="CA53" s="705"/>
      <c r="CB53" s="705"/>
      <c r="CC53" s="705"/>
      <c r="CD53" s="705"/>
      <c r="CE53" s="705"/>
      <c r="CF53" s="705"/>
      <c r="CG53" s="705"/>
      <c r="CH53" s="705"/>
      <c r="CI53" s="705"/>
      <c r="CJ53" s="705"/>
      <c r="CK53" s="705"/>
      <c r="CL53" s="705"/>
      <c r="CM53" s="705"/>
      <c r="CN53" s="705"/>
      <c r="CO53" s="705"/>
      <c r="CP53" s="705"/>
      <c r="CQ53" s="705"/>
      <c r="CR53" s="705"/>
      <c r="CS53" s="705"/>
      <c r="CT53" s="705"/>
      <c r="CU53" s="705"/>
      <c r="CV53" s="705"/>
      <c r="CW53" s="705"/>
      <c r="CX53" s="705"/>
      <c r="CY53" s="705"/>
      <c r="CZ53" s="705"/>
      <c r="DA53" s="705"/>
      <c r="DB53" s="705"/>
      <c r="DC53" s="705"/>
      <c r="DD53" s="705"/>
      <c r="DE53" s="705"/>
      <c r="DF53" s="705"/>
      <c r="DG53" s="705"/>
      <c r="DH53" s="705"/>
      <c r="DI53" s="705"/>
      <c r="DJ53" s="705"/>
      <c r="DK53" s="705"/>
      <c r="DL53" s="705"/>
      <c r="DM53" s="705"/>
      <c r="DN53" s="705"/>
      <c r="DO53" s="705"/>
      <c r="DP53" s="705"/>
      <c r="DQ53" s="705"/>
      <c r="DR53" s="705"/>
      <c r="DS53" s="705"/>
      <c r="DT53" s="705"/>
      <c r="DU53" s="705"/>
      <c r="DV53" s="705"/>
      <c r="DW53" s="924"/>
      <c r="DX53" s="692"/>
      <c r="DY53" s="693"/>
      <c r="DZ53" s="693"/>
    </row>
    <row r="54" spans="1:147" s="516" customFormat="1" x14ac:dyDescent="0.3">
      <c r="A54" s="460" t="s">
        <v>714</v>
      </c>
      <c r="B54" s="573" t="str">
        <f t="shared" ref="B54:B110" si="19">A54&amp;" / "&amp;VLOOKUP(A54,PANELDETRABAJO,2,FALSE)</f>
        <v>S-30 / TENIENTE DIAZ CARCAMO OLGA ELIZABETH</v>
      </c>
      <c r="C54" s="443" t="s">
        <v>885</v>
      </c>
      <c r="D54" s="443" t="s">
        <v>13</v>
      </c>
      <c r="E54" s="443" t="s">
        <v>885</v>
      </c>
      <c r="F54" s="443" t="s">
        <v>13</v>
      </c>
      <c r="G54" s="443" t="s">
        <v>885</v>
      </c>
      <c r="H54" s="443" t="s">
        <v>13</v>
      </c>
      <c r="I54" s="443" t="s">
        <v>885</v>
      </c>
      <c r="J54" s="443" t="s">
        <v>13</v>
      </c>
      <c r="K54" s="443" t="s">
        <v>885</v>
      </c>
      <c r="L54" s="443" t="s">
        <v>13</v>
      </c>
      <c r="M54" s="443" t="s">
        <v>885</v>
      </c>
      <c r="N54" s="443" t="s">
        <v>13</v>
      </c>
      <c r="O54" s="443" t="s">
        <v>885</v>
      </c>
      <c r="P54" s="443" t="s">
        <v>13</v>
      </c>
      <c r="Q54" s="443" t="s">
        <v>885</v>
      </c>
      <c r="R54" s="443" t="s">
        <v>13</v>
      </c>
      <c r="S54" s="443" t="s">
        <v>885</v>
      </c>
      <c r="T54" s="443" t="s">
        <v>13</v>
      </c>
      <c r="U54" s="443" t="s">
        <v>885</v>
      </c>
      <c r="V54" s="443" t="s">
        <v>13</v>
      </c>
      <c r="W54" s="443" t="s">
        <v>885</v>
      </c>
      <c r="X54" s="443" t="s">
        <v>13</v>
      </c>
      <c r="Y54" s="443" t="s">
        <v>885</v>
      </c>
      <c r="Z54" s="443" t="s">
        <v>13</v>
      </c>
      <c r="AA54" s="443" t="s">
        <v>853</v>
      </c>
      <c r="AB54" s="443" t="s">
        <v>3070</v>
      </c>
      <c r="AC54" s="443" t="s">
        <v>1</v>
      </c>
      <c r="AD54" s="443" t="s">
        <v>2372</v>
      </c>
      <c r="AE54" s="443" t="s">
        <v>853</v>
      </c>
      <c r="AF54" s="443" t="s">
        <v>3000</v>
      </c>
      <c r="AG54" s="443" t="s">
        <v>854</v>
      </c>
      <c r="AH54" s="443" t="s">
        <v>1404</v>
      </c>
      <c r="AI54" s="443" t="s">
        <v>2125</v>
      </c>
      <c r="AJ54" s="443" t="s">
        <v>2838</v>
      </c>
      <c r="AK54" s="443" t="s">
        <v>1</v>
      </c>
      <c r="AL54" s="443" t="s">
        <v>2480</v>
      </c>
      <c r="AM54" s="443" t="s">
        <v>853</v>
      </c>
      <c r="AN54" s="443" t="s">
        <v>3137</v>
      </c>
      <c r="AO54" s="443" t="s">
        <v>2</v>
      </c>
      <c r="AP54" s="443" t="s">
        <v>1472</v>
      </c>
      <c r="AQ54" s="443" t="s">
        <v>853</v>
      </c>
      <c r="AR54" s="443" t="s">
        <v>3157</v>
      </c>
      <c r="AS54" s="443" t="s">
        <v>6</v>
      </c>
      <c r="AT54" s="443" t="s">
        <v>2420</v>
      </c>
      <c r="AU54" s="443" t="s">
        <v>2125</v>
      </c>
      <c r="AV54" s="443" t="s">
        <v>2420</v>
      </c>
      <c r="AW54" s="443" t="s">
        <v>855</v>
      </c>
      <c r="AX54" s="443" t="s">
        <v>1220</v>
      </c>
      <c r="AY54" s="443" t="s">
        <v>1</v>
      </c>
      <c r="AZ54" s="443" t="s">
        <v>1472</v>
      </c>
      <c r="BA54" s="443" t="s">
        <v>2</v>
      </c>
      <c r="BB54" s="443" t="s">
        <v>2847</v>
      </c>
      <c r="BC54" s="443" t="s">
        <v>853</v>
      </c>
      <c r="BD54" s="443" t="s">
        <v>3342</v>
      </c>
      <c r="BE54" s="443" t="s">
        <v>854</v>
      </c>
      <c r="BF54" s="443" t="s">
        <v>882</v>
      </c>
      <c r="BG54" s="443" t="s">
        <v>2125</v>
      </c>
      <c r="BH54" s="443" t="s">
        <v>882</v>
      </c>
      <c r="BI54" s="443" t="s">
        <v>853</v>
      </c>
      <c r="BJ54" s="628" t="s">
        <v>3417</v>
      </c>
      <c r="BK54" s="443" t="s">
        <v>853</v>
      </c>
      <c r="BL54" s="628" t="s">
        <v>2814</v>
      </c>
      <c r="BM54" s="443" t="s">
        <v>2</v>
      </c>
      <c r="BN54" s="443" t="s">
        <v>1472</v>
      </c>
      <c r="BO54" s="443" t="s">
        <v>853</v>
      </c>
      <c r="BP54" s="443" t="s">
        <v>3133</v>
      </c>
      <c r="BQ54" s="443" t="s">
        <v>853</v>
      </c>
      <c r="BR54" s="443" t="s">
        <v>3133</v>
      </c>
      <c r="BS54" s="443" t="s">
        <v>855</v>
      </c>
      <c r="BT54" s="443" t="s">
        <v>1220</v>
      </c>
      <c r="BU54" s="443" t="s">
        <v>1</v>
      </c>
      <c r="BV54" s="443" t="s">
        <v>2414</v>
      </c>
      <c r="BW54" s="443" t="s">
        <v>853</v>
      </c>
      <c r="BX54" s="443" t="s">
        <v>1472</v>
      </c>
      <c r="BY54" s="443"/>
      <c r="BZ54" s="443"/>
      <c r="CA54" s="443"/>
      <c r="CB54" s="443"/>
      <c r="CC54" s="443"/>
      <c r="CD54" s="443"/>
      <c r="CE54" s="443"/>
      <c r="CF54" s="443"/>
      <c r="CG54" s="443"/>
      <c r="CH54" s="443"/>
      <c r="CI54" s="443"/>
      <c r="CJ54" s="443"/>
      <c r="CK54" s="443"/>
      <c r="CL54" s="443"/>
      <c r="CM54" s="443"/>
      <c r="CN54" s="443"/>
      <c r="CO54" s="443"/>
      <c r="CP54" s="443"/>
      <c r="CQ54" s="443"/>
      <c r="CR54" s="443"/>
      <c r="CS54" s="443"/>
      <c r="CT54" s="443"/>
      <c r="CU54" s="443"/>
      <c r="CV54" s="443"/>
      <c r="CW54" s="443"/>
      <c r="CX54" s="443"/>
      <c r="CY54" s="443"/>
      <c r="CZ54" s="443"/>
      <c r="DA54" s="443"/>
      <c r="DB54" s="443"/>
      <c r="DC54" s="443"/>
      <c r="DD54" s="443"/>
      <c r="DE54" s="443"/>
      <c r="DF54" s="443"/>
      <c r="DG54" s="443"/>
      <c r="DH54" s="443"/>
      <c r="DI54" s="443"/>
      <c r="DJ54" s="443"/>
      <c r="DK54" s="443"/>
      <c r="DL54" s="443"/>
      <c r="DM54" s="443"/>
      <c r="DN54" s="443"/>
      <c r="DO54" s="443"/>
      <c r="DP54" s="443"/>
      <c r="DQ54" s="443"/>
      <c r="DR54" s="443"/>
      <c r="DS54" s="443"/>
      <c r="DT54" s="628"/>
      <c r="DU54" s="443"/>
      <c r="DV54" s="628"/>
      <c r="DW54" s="917"/>
      <c r="DX54" s="514" t="str">
        <f>A54</f>
        <v>S-30</v>
      </c>
      <c r="DY54" s="515" t="str">
        <f t="shared" ref="DY54:DY95" si="20">UPPER(IF(VLOOKUP(A54,TabladeServicio,MATCH($B$2,$A$8:$DT$8,0),0)=0,"",VLOOKUP(A54,TabladeServicio,MATCH($B$2,$A$8:$DT$8,0),0)))</f>
        <v>1P</v>
      </c>
      <c r="DZ54" s="515" t="str">
        <f t="shared" ref="DZ54:DZ95" si="21">UPPER(IF(VLOOKUP(A54,TabladeServicio,MATCH($B$2,$A$8:$DT$8,0)+1,0)=0,"",VLOOKUP(A54,TabladeServicio,MATCH($B$2,$A$8:$DT$8,0)+1,0)))</f>
        <v>BAQUEDANO</v>
      </c>
    </row>
    <row r="55" spans="1:147" s="516" customFormat="1" ht="15" thickBot="1" x14ac:dyDescent="0.35">
      <c r="A55" s="460" t="s">
        <v>1235</v>
      </c>
      <c r="B55" s="574" t="str">
        <f t="shared" si="19"/>
        <v>S-30-B / -</v>
      </c>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c r="AG55" s="44" t="s">
        <v>854</v>
      </c>
      <c r="AH55" s="44" t="s">
        <v>2139</v>
      </c>
      <c r="AI55" s="44" t="s">
        <v>2125</v>
      </c>
      <c r="AJ55" s="44" t="s">
        <v>2838</v>
      </c>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629"/>
      <c r="BK55" s="44"/>
      <c r="BL55" s="629"/>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629"/>
      <c r="DU55" s="44"/>
      <c r="DV55" s="629"/>
      <c r="DW55" s="925"/>
      <c r="DX55" s="517" t="str">
        <f t="shared" ref="DX55:DX110" si="22">A55</f>
        <v>S-30-B</v>
      </c>
      <c r="DY55" s="518" t="str">
        <f t="shared" si="20"/>
        <v/>
      </c>
      <c r="DZ55" s="518" t="str">
        <f t="shared" si="21"/>
        <v/>
      </c>
    </row>
    <row r="56" spans="1:147" s="516" customFormat="1" ht="28.8" x14ac:dyDescent="0.3">
      <c r="A56" s="460" t="s">
        <v>726</v>
      </c>
      <c r="B56" s="574" t="str">
        <f t="shared" si="19"/>
        <v>S-31 / SGTO 1RO. CORTES VARA MARCO EDGARDO              (T-J)</v>
      </c>
      <c r="C56" s="443" t="s">
        <v>885</v>
      </c>
      <c r="D56" s="443" t="s">
        <v>13</v>
      </c>
      <c r="E56" s="443" t="s">
        <v>885</v>
      </c>
      <c r="F56" s="443" t="s">
        <v>13</v>
      </c>
      <c r="G56" s="443" t="s">
        <v>885</v>
      </c>
      <c r="H56" s="443" t="s">
        <v>13</v>
      </c>
      <c r="I56" s="44" t="s">
        <v>885</v>
      </c>
      <c r="J56" s="44" t="s">
        <v>13</v>
      </c>
      <c r="K56" s="44" t="s">
        <v>885</v>
      </c>
      <c r="L56" s="44" t="s">
        <v>13</v>
      </c>
      <c r="M56" s="44" t="s">
        <v>885</v>
      </c>
      <c r="N56" s="44" t="s">
        <v>13</v>
      </c>
      <c r="O56" s="44" t="s">
        <v>885</v>
      </c>
      <c r="P56" s="44" t="s">
        <v>13</v>
      </c>
      <c r="Q56" s="44" t="s">
        <v>885</v>
      </c>
      <c r="R56" s="44" t="s">
        <v>13</v>
      </c>
      <c r="S56" s="44" t="s">
        <v>885</v>
      </c>
      <c r="T56" s="44" t="s">
        <v>13</v>
      </c>
      <c r="U56" s="44" t="s">
        <v>885</v>
      </c>
      <c r="V56" s="44" t="s">
        <v>13</v>
      </c>
      <c r="W56" s="44" t="s">
        <v>885</v>
      </c>
      <c r="X56" s="44" t="s">
        <v>13</v>
      </c>
      <c r="Y56" s="44" t="s">
        <v>885</v>
      </c>
      <c r="Z56" s="44" t="s">
        <v>13</v>
      </c>
      <c r="AA56" s="44" t="s">
        <v>853</v>
      </c>
      <c r="AB56" s="44" t="s">
        <v>3068</v>
      </c>
      <c r="AC56" s="44" t="s">
        <v>1</v>
      </c>
      <c r="AD56" s="44" t="s">
        <v>2857</v>
      </c>
      <c r="AE56" s="44" t="s">
        <v>853</v>
      </c>
      <c r="AF56" s="44" t="s">
        <v>3094</v>
      </c>
      <c r="AG56" s="44" t="s">
        <v>854</v>
      </c>
      <c r="AH56" s="44" t="s">
        <v>2420</v>
      </c>
      <c r="AI56" s="44" t="s">
        <v>2125</v>
      </c>
      <c r="AJ56" s="44" t="s">
        <v>2838</v>
      </c>
      <c r="AK56" s="44" t="s">
        <v>1</v>
      </c>
      <c r="AL56" s="44" t="s">
        <v>2337</v>
      </c>
      <c r="AM56" s="44" t="s">
        <v>1</v>
      </c>
      <c r="AN56" s="44" t="s">
        <v>1472</v>
      </c>
      <c r="AO56" s="44" t="s">
        <v>2</v>
      </c>
      <c r="AP56" s="44" t="s">
        <v>2414</v>
      </c>
      <c r="AQ56" s="44" t="s">
        <v>853</v>
      </c>
      <c r="AR56" s="44" t="s">
        <v>3158</v>
      </c>
      <c r="AS56" s="44" t="s">
        <v>854</v>
      </c>
      <c r="AT56" s="44" t="s">
        <v>882</v>
      </c>
      <c r="AU56" s="44" t="s">
        <v>2125</v>
      </c>
      <c r="AV56" s="44" t="s">
        <v>882</v>
      </c>
      <c r="AW56" s="44" t="s">
        <v>855</v>
      </c>
      <c r="AX56" s="44" t="s">
        <v>1220</v>
      </c>
      <c r="AY56" s="44" t="s">
        <v>853</v>
      </c>
      <c r="AZ56" s="44" t="s">
        <v>2414</v>
      </c>
      <c r="BA56" s="44" t="s">
        <v>2</v>
      </c>
      <c r="BB56" s="44" t="s">
        <v>1404</v>
      </c>
      <c r="BC56" s="44" t="s">
        <v>853</v>
      </c>
      <c r="BD56" s="44" t="s">
        <v>3158</v>
      </c>
      <c r="BE56" s="44" t="s">
        <v>854</v>
      </c>
      <c r="BF56" s="44" t="s">
        <v>1404</v>
      </c>
      <c r="BG56" s="44" t="s">
        <v>2125</v>
      </c>
      <c r="BH56" s="44" t="s">
        <v>1404</v>
      </c>
      <c r="BI56" s="44" t="s">
        <v>853</v>
      </c>
      <c r="BJ56" s="629" t="s">
        <v>1472</v>
      </c>
      <c r="BK56" s="443" t="s">
        <v>2</v>
      </c>
      <c r="BL56" s="628" t="s">
        <v>3442</v>
      </c>
      <c r="BM56" s="44" t="s">
        <v>2</v>
      </c>
      <c r="BN56" s="44" t="s">
        <v>2420</v>
      </c>
      <c r="BO56" s="44" t="s">
        <v>853</v>
      </c>
      <c r="BP56" s="44" t="s">
        <v>3458</v>
      </c>
      <c r="BQ56" s="44" t="s">
        <v>854</v>
      </c>
      <c r="BR56" s="44" t="s">
        <v>3523</v>
      </c>
      <c r="BS56" s="44" t="s">
        <v>2125</v>
      </c>
      <c r="BT56" s="44" t="s">
        <v>3523</v>
      </c>
      <c r="BU56" s="44" t="s">
        <v>1</v>
      </c>
      <c r="BV56" s="44" t="s">
        <v>3553</v>
      </c>
      <c r="BW56" s="44" t="s">
        <v>853</v>
      </c>
      <c r="BX56" s="44" t="s">
        <v>2414</v>
      </c>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629"/>
      <c r="DU56" s="44"/>
      <c r="DV56" s="629"/>
      <c r="DW56" s="925"/>
      <c r="DX56" s="517" t="str">
        <f t="shared" si="22"/>
        <v>S-31</v>
      </c>
      <c r="DY56" s="518" t="str">
        <f t="shared" si="20"/>
        <v>1P</v>
      </c>
      <c r="DZ56" s="518" t="str">
        <f t="shared" si="21"/>
        <v>MONUMENTO</v>
      </c>
    </row>
    <row r="57" spans="1:147" s="516" customFormat="1" ht="15" thickBot="1" x14ac:dyDescent="0.35">
      <c r="A57" s="460" t="s">
        <v>1236</v>
      </c>
      <c r="B57" s="574" t="str">
        <f t="shared" si="19"/>
        <v>S-31-B / -</v>
      </c>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t="s">
        <v>854</v>
      </c>
      <c r="BF57" s="44" t="s">
        <v>3344</v>
      </c>
      <c r="BG57" s="44" t="s">
        <v>2125</v>
      </c>
      <c r="BH57" s="44" t="s">
        <v>3344</v>
      </c>
      <c r="BI57" s="44"/>
      <c r="BJ57" s="629"/>
      <c r="BK57" s="44"/>
      <c r="BL57" s="629"/>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629"/>
      <c r="DU57" s="44"/>
      <c r="DV57" s="629"/>
      <c r="DW57" s="925"/>
      <c r="DX57" s="517" t="str">
        <f t="shared" si="22"/>
        <v>S-31-B</v>
      </c>
      <c r="DY57" s="518" t="str">
        <f t="shared" si="20"/>
        <v/>
      </c>
      <c r="DZ57" s="518" t="str">
        <f t="shared" si="21"/>
        <v/>
      </c>
    </row>
    <row r="58" spans="1:147" s="516" customFormat="1" ht="28.8" x14ac:dyDescent="0.3">
      <c r="A58" s="503" t="s">
        <v>713</v>
      </c>
      <c r="B58" s="574" t="str">
        <f t="shared" si="19"/>
        <v>S-32 / SGTO 2DO. CORTES GALLARDO JAVIER ALBERTO</v>
      </c>
      <c r="C58" s="443" t="s">
        <v>885</v>
      </c>
      <c r="D58" s="443" t="s">
        <v>13</v>
      </c>
      <c r="E58" s="443" t="s">
        <v>885</v>
      </c>
      <c r="F58" s="443" t="s">
        <v>13</v>
      </c>
      <c r="G58" s="443" t="s">
        <v>885</v>
      </c>
      <c r="H58" s="443" t="s">
        <v>13</v>
      </c>
      <c r="I58" s="44" t="s">
        <v>885</v>
      </c>
      <c r="J58" s="44" t="s">
        <v>13</v>
      </c>
      <c r="K58" s="44" t="s">
        <v>885</v>
      </c>
      <c r="L58" s="44" t="s">
        <v>13</v>
      </c>
      <c r="M58" s="44" t="s">
        <v>885</v>
      </c>
      <c r="N58" s="44" t="s">
        <v>13</v>
      </c>
      <c r="O58" s="44" t="s">
        <v>885</v>
      </c>
      <c r="P58" s="44" t="s">
        <v>13</v>
      </c>
      <c r="Q58" s="44" t="s">
        <v>885</v>
      </c>
      <c r="R58" s="44" t="s">
        <v>13</v>
      </c>
      <c r="S58" s="44" t="s">
        <v>885</v>
      </c>
      <c r="T58" s="44" t="s">
        <v>13</v>
      </c>
      <c r="U58" s="44" t="s">
        <v>885</v>
      </c>
      <c r="V58" s="44" t="s">
        <v>13</v>
      </c>
      <c r="W58" s="44" t="s">
        <v>885</v>
      </c>
      <c r="X58" s="44" t="s">
        <v>13</v>
      </c>
      <c r="Y58" s="44" t="s">
        <v>885</v>
      </c>
      <c r="Z58" s="44" t="s">
        <v>13</v>
      </c>
      <c r="AA58" s="44" t="s">
        <v>853</v>
      </c>
      <c r="AB58" s="44" t="s">
        <v>3074</v>
      </c>
      <c r="AC58" s="44" t="s">
        <v>1</v>
      </c>
      <c r="AD58" s="44" t="s">
        <v>2456</v>
      </c>
      <c r="AE58" s="44" t="s">
        <v>1</v>
      </c>
      <c r="AF58" s="44" t="s">
        <v>1472</v>
      </c>
      <c r="AG58" s="44" t="s">
        <v>854</v>
      </c>
      <c r="AH58" s="44" t="s">
        <v>882</v>
      </c>
      <c r="AI58" s="44" t="s">
        <v>2125</v>
      </c>
      <c r="AJ58" s="44" t="s">
        <v>2838</v>
      </c>
      <c r="AK58" s="44" t="s">
        <v>1</v>
      </c>
      <c r="AL58" s="44" t="s">
        <v>2049</v>
      </c>
      <c r="AM58" s="44" t="s">
        <v>1</v>
      </c>
      <c r="AN58" s="44" t="s">
        <v>3149</v>
      </c>
      <c r="AO58" s="44" t="s">
        <v>853</v>
      </c>
      <c r="AP58" s="44" t="s">
        <v>1404</v>
      </c>
      <c r="AQ58" s="44" t="s">
        <v>853</v>
      </c>
      <c r="AR58" s="44" t="s">
        <v>3005</v>
      </c>
      <c r="AS58" s="44" t="s">
        <v>6</v>
      </c>
      <c r="AT58" s="44" t="s">
        <v>1404</v>
      </c>
      <c r="AU58" s="44" t="s">
        <v>2125</v>
      </c>
      <c r="AV58" s="44" t="s">
        <v>1404</v>
      </c>
      <c r="AW58" s="44" t="s">
        <v>855</v>
      </c>
      <c r="AX58" s="44" t="s">
        <v>1220</v>
      </c>
      <c r="AY58" s="44" t="s">
        <v>853</v>
      </c>
      <c r="AZ58" s="44" t="s">
        <v>3308</v>
      </c>
      <c r="BA58" s="44" t="s">
        <v>2</v>
      </c>
      <c r="BB58" s="44" t="s">
        <v>1472</v>
      </c>
      <c r="BC58" s="44" t="s">
        <v>853</v>
      </c>
      <c r="BD58" s="44" t="s">
        <v>3341</v>
      </c>
      <c r="BE58" s="44" t="s">
        <v>854</v>
      </c>
      <c r="BF58" s="44" t="s">
        <v>2414</v>
      </c>
      <c r="BG58" s="44" t="s">
        <v>2125</v>
      </c>
      <c r="BH58" s="44" t="s">
        <v>2414</v>
      </c>
      <c r="BI58" s="44" t="s">
        <v>853</v>
      </c>
      <c r="BJ58" s="629" t="s">
        <v>1404</v>
      </c>
      <c r="BK58" s="443" t="s">
        <v>1</v>
      </c>
      <c r="BL58" s="628" t="s">
        <v>3442</v>
      </c>
      <c r="BM58" s="44" t="s">
        <v>2</v>
      </c>
      <c r="BN58" s="44" t="s">
        <v>1404</v>
      </c>
      <c r="BO58" s="44" t="s">
        <v>853</v>
      </c>
      <c r="BP58" s="44" t="s">
        <v>3094</v>
      </c>
      <c r="BQ58" s="44" t="s">
        <v>854</v>
      </c>
      <c r="BR58" s="44" t="s">
        <v>3524</v>
      </c>
      <c r="BS58" s="44" t="s">
        <v>2125</v>
      </c>
      <c r="BT58" s="44" t="s">
        <v>3524</v>
      </c>
      <c r="BU58" s="44" t="s">
        <v>853</v>
      </c>
      <c r="BV58" s="44" t="s">
        <v>3570</v>
      </c>
      <c r="BW58" s="44" t="s">
        <v>853</v>
      </c>
      <c r="BX58" s="44" t="s">
        <v>3549</v>
      </c>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629"/>
      <c r="DU58" s="44"/>
      <c r="DV58" s="629"/>
      <c r="DW58" s="925"/>
      <c r="DX58" s="517" t="str">
        <f t="shared" si="22"/>
        <v>S-32</v>
      </c>
      <c r="DY58" s="518" t="str">
        <f t="shared" si="20"/>
        <v>1P</v>
      </c>
      <c r="DZ58" s="518" t="str">
        <f t="shared" si="21"/>
        <v>LEGUA</v>
      </c>
    </row>
    <row r="59" spans="1:147" s="516" customFormat="1" ht="15" thickBot="1" x14ac:dyDescent="0.35">
      <c r="A59" s="503" t="s">
        <v>1237</v>
      </c>
      <c r="B59" s="575" t="str">
        <f t="shared" si="19"/>
        <v>S-32-B / -</v>
      </c>
      <c r="C59" s="444"/>
      <c r="D59" s="444"/>
      <c r="E59" s="444"/>
      <c r="F59" s="444"/>
      <c r="G59" s="444"/>
      <c r="H59" s="444"/>
      <c r="I59" s="444"/>
      <c r="J59" s="444"/>
      <c r="K59" s="444"/>
      <c r="L59" s="444"/>
      <c r="M59" s="444"/>
      <c r="N59" s="444"/>
      <c r="O59" s="444"/>
      <c r="P59" s="444"/>
      <c r="Q59" s="444"/>
      <c r="R59" s="444"/>
      <c r="S59" s="444"/>
      <c r="T59" s="444"/>
      <c r="U59" s="444"/>
      <c r="V59" s="444"/>
      <c r="W59" s="444"/>
      <c r="X59" s="444"/>
      <c r="Y59" s="444"/>
      <c r="Z59" s="444"/>
      <c r="AA59" s="444"/>
      <c r="AB59" s="444"/>
      <c r="AC59" s="444"/>
      <c r="AD59" s="444"/>
      <c r="AE59" s="444"/>
      <c r="AF59" s="444"/>
      <c r="AG59" s="444"/>
      <c r="AH59" s="444"/>
      <c r="AI59" s="444"/>
      <c r="AJ59" s="444"/>
      <c r="AK59" s="444"/>
      <c r="AL59" s="444"/>
      <c r="AM59" s="444"/>
      <c r="AN59" s="444"/>
      <c r="AO59" s="444" t="s">
        <v>853</v>
      </c>
      <c r="AP59" s="444" t="s">
        <v>3151</v>
      </c>
      <c r="AQ59" s="444"/>
      <c r="AR59" s="444"/>
      <c r="AS59" s="444" t="s">
        <v>6</v>
      </c>
      <c r="AT59" s="444" t="s">
        <v>2139</v>
      </c>
      <c r="AU59" s="444" t="s">
        <v>2125</v>
      </c>
      <c r="AV59" s="444" t="s">
        <v>2139</v>
      </c>
      <c r="AW59" s="444" t="s">
        <v>855</v>
      </c>
      <c r="AX59" s="444" t="s">
        <v>1220</v>
      </c>
      <c r="AY59" s="444"/>
      <c r="AZ59" s="444"/>
      <c r="BA59" s="444"/>
      <c r="BB59" s="444"/>
      <c r="BC59" s="444"/>
      <c r="BD59" s="444"/>
      <c r="BE59" s="444"/>
      <c r="BF59" s="444"/>
      <c r="BG59" s="444"/>
      <c r="BH59" s="444"/>
      <c r="BI59" s="444" t="s">
        <v>853</v>
      </c>
      <c r="BJ59" s="630" t="s">
        <v>3418</v>
      </c>
      <c r="BK59" s="444"/>
      <c r="BL59" s="630"/>
      <c r="BM59" s="444" t="s">
        <v>2</v>
      </c>
      <c r="BN59" s="444" t="s">
        <v>2139</v>
      </c>
      <c r="BO59" s="444"/>
      <c r="BP59" s="444"/>
      <c r="BQ59" s="444" t="s">
        <v>854</v>
      </c>
      <c r="BR59" s="444" t="s">
        <v>1404</v>
      </c>
      <c r="BS59" s="444" t="s">
        <v>2125</v>
      </c>
      <c r="BT59" s="444" t="s">
        <v>1404</v>
      </c>
      <c r="BU59" s="444"/>
      <c r="BV59" s="444"/>
      <c r="BW59" s="444"/>
      <c r="BX59" s="444"/>
      <c r="BY59" s="444"/>
      <c r="BZ59" s="444"/>
      <c r="CA59" s="444"/>
      <c r="CB59" s="444"/>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4"/>
      <c r="DR59" s="444"/>
      <c r="DS59" s="444"/>
      <c r="DT59" s="630"/>
      <c r="DU59" s="444"/>
      <c r="DV59" s="630"/>
      <c r="DW59" s="925"/>
      <c r="DX59" s="517" t="str">
        <f t="shared" si="22"/>
        <v>S-32-B</v>
      </c>
      <c r="DY59" s="518" t="str">
        <f t="shared" si="20"/>
        <v/>
      </c>
      <c r="DZ59" s="518" t="str">
        <f t="shared" si="21"/>
        <v/>
      </c>
    </row>
    <row r="60" spans="1:147" s="516" customFormat="1" ht="28.8" x14ac:dyDescent="0.3">
      <c r="A60" s="461" t="s">
        <v>740</v>
      </c>
      <c r="B60" s="576" t="str">
        <f t="shared" si="19"/>
        <v>S-33 / SUBOFICIAL ROSALES CALDERON MARCO ANTONIO ( T )</v>
      </c>
      <c r="C60" s="443" t="s">
        <v>854</v>
      </c>
      <c r="D60" s="443" t="s">
        <v>2420</v>
      </c>
      <c r="E60" s="44" t="s">
        <v>2125</v>
      </c>
      <c r="F60" s="44" t="s">
        <v>2420</v>
      </c>
      <c r="G60" s="44" t="s">
        <v>853</v>
      </c>
      <c r="H60" s="629" t="s">
        <v>2905</v>
      </c>
      <c r="I60" s="443" t="s">
        <v>853</v>
      </c>
      <c r="J60" s="443" t="s">
        <v>1472</v>
      </c>
      <c r="K60" s="443" t="s">
        <v>853</v>
      </c>
      <c r="L60" s="443" t="s">
        <v>2998</v>
      </c>
      <c r="M60" s="443" t="s">
        <v>854</v>
      </c>
      <c r="N60" s="443" t="s">
        <v>882</v>
      </c>
      <c r="O60" s="443" t="s">
        <v>2125</v>
      </c>
      <c r="P60" s="443" t="s">
        <v>882</v>
      </c>
      <c r="Q60" s="443" t="s">
        <v>1</v>
      </c>
      <c r="R60" s="443" t="s">
        <v>2337</v>
      </c>
      <c r="S60" s="443" t="s">
        <v>853</v>
      </c>
      <c r="T60" s="443" t="s">
        <v>2974</v>
      </c>
      <c r="U60" s="443" t="s">
        <v>853</v>
      </c>
      <c r="V60" s="443" t="s">
        <v>3048</v>
      </c>
      <c r="W60" s="443" t="s">
        <v>854</v>
      </c>
      <c r="X60" s="443" t="s">
        <v>1404</v>
      </c>
      <c r="Y60" s="443" t="s">
        <v>2125</v>
      </c>
      <c r="Z60" s="443" t="s">
        <v>1404</v>
      </c>
      <c r="AA60" s="443" t="s">
        <v>2</v>
      </c>
      <c r="AB60" s="443" t="s">
        <v>2456</v>
      </c>
      <c r="AC60" s="443" t="s">
        <v>853</v>
      </c>
      <c r="AD60" s="443" t="s">
        <v>1404</v>
      </c>
      <c r="AE60" s="443" t="s">
        <v>853</v>
      </c>
      <c r="AF60" s="443" t="s">
        <v>3095</v>
      </c>
      <c r="AG60" s="443" t="s">
        <v>855</v>
      </c>
      <c r="AH60" s="443" t="s">
        <v>1220</v>
      </c>
      <c r="AI60" s="443" t="s">
        <v>855</v>
      </c>
      <c r="AJ60" s="443" t="s">
        <v>1220</v>
      </c>
      <c r="AK60" s="443" t="s">
        <v>2</v>
      </c>
      <c r="AL60" s="443" t="s">
        <v>1472</v>
      </c>
      <c r="AM60" s="443" t="s">
        <v>853</v>
      </c>
      <c r="AN60" s="443" t="s">
        <v>3093</v>
      </c>
      <c r="AO60" s="443" t="s">
        <v>854</v>
      </c>
      <c r="AP60" s="443" t="s">
        <v>1404</v>
      </c>
      <c r="AQ60" s="443" t="s">
        <v>2125</v>
      </c>
      <c r="AR60" s="443" t="s">
        <v>1404</v>
      </c>
      <c r="AS60" s="443" t="s">
        <v>2</v>
      </c>
      <c r="AT60" s="443" t="s">
        <v>880</v>
      </c>
      <c r="AU60" s="443" t="s">
        <v>853</v>
      </c>
      <c r="AV60" s="443" t="s">
        <v>3298</v>
      </c>
      <c r="AW60" s="443" t="s">
        <v>853</v>
      </c>
      <c r="AX60" s="443" t="s">
        <v>1404</v>
      </c>
      <c r="AY60" s="443" t="s">
        <v>853</v>
      </c>
      <c r="AZ60" s="443" t="s">
        <v>3309</v>
      </c>
      <c r="BA60" s="443" t="s">
        <v>6</v>
      </c>
      <c r="BB60" s="443" t="s">
        <v>2420</v>
      </c>
      <c r="BC60" s="443" t="s">
        <v>2125</v>
      </c>
      <c r="BD60" s="443" t="s">
        <v>2838</v>
      </c>
      <c r="BE60" s="443" t="s">
        <v>853</v>
      </c>
      <c r="BF60" s="443" t="s">
        <v>3373</v>
      </c>
      <c r="BG60" s="443" t="s">
        <v>853</v>
      </c>
      <c r="BH60" s="443" t="s">
        <v>3373</v>
      </c>
      <c r="BI60" s="443" t="s">
        <v>855</v>
      </c>
      <c r="BJ60" s="628" t="s">
        <v>1220</v>
      </c>
      <c r="BK60" s="443" t="s">
        <v>854</v>
      </c>
      <c r="BL60" s="443" t="s">
        <v>1404</v>
      </c>
      <c r="BM60" s="443" t="s">
        <v>2125</v>
      </c>
      <c r="BN60" s="443" t="s">
        <v>1404</v>
      </c>
      <c r="BO60" s="44" t="s">
        <v>1</v>
      </c>
      <c r="BP60" s="44" t="s">
        <v>1472</v>
      </c>
      <c r="BQ60" s="44" t="s">
        <v>853</v>
      </c>
      <c r="BR60" s="629" t="s">
        <v>3010</v>
      </c>
      <c r="BS60" s="443" t="s">
        <v>2</v>
      </c>
      <c r="BT60" s="443" t="s">
        <v>1404</v>
      </c>
      <c r="BU60" s="443" t="s">
        <v>1</v>
      </c>
      <c r="BV60" s="443" t="s">
        <v>2372</v>
      </c>
      <c r="BW60" s="443" t="s">
        <v>6</v>
      </c>
      <c r="BX60" s="443" t="s">
        <v>2289</v>
      </c>
      <c r="BY60" s="443"/>
      <c r="BZ60" s="443"/>
      <c r="CA60" s="443"/>
      <c r="CB60" s="443"/>
      <c r="CC60" s="443"/>
      <c r="CD60" s="443"/>
      <c r="CE60" s="443"/>
      <c r="CF60" s="443"/>
      <c r="CG60" s="443"/>
      <c r="CH60" s="443"/>
      <c r="CI60" s="443"/>
      <c r="CJ60" s="443"/>
      <c r="CK60" s="443"/>
      <c r="CL60" s="443"/>
      <c r="CM60" s="443"/>
      <c r="CN60" s="443"/>
      <c r="CO60" s="443"/>
      <c r="CP60" s="443"/>
      <c r="CQ60" s="443"/>
      <c r="CR60" s="443"/>
      <c r="CS60" s="443"/>
      <c r="CT60" s="443"/>
      <c r="CU60" s="443"/>
      <c r="CV60" s="443"/>
      <c r="CW60" s="443"/>
      <c r="CX60" s="443"/>
      <c r="CY60" s="443"/>
      <c r="CZ60" s="443"/>
      <c r="DA60" s="443"/>
      <c r="DB60" s="443"/>
      <c r="DC60" s="443"/>
      <c r="DD60" s="443"/>
      <c r="DE60" s="443"/>
      <c r="DF60" s="443"/>
      <c r="DG60" s="443"/>
      <c r="DH60" s="443"/>
      <c r="DI60" s="443"/>
      <c r="DJ60" s="443"/>
      <c r="DK60" s="443"/>
      <c r="DL60" s="443"/>
      <c r="DM60" s="443"/>
      <c r="DN60" s="443"/>
      <c r="DO60" s="443"/>
      <c r="DP60" s="443"/>
      <c r="DQ60" s="443"/>
      <c r="DR60" s="443"/>
      <c r="DS60" s="443"/>
      <c r="DT60" s="628"/>
      <c r="DU60" s="443"/>
      <c r="DV60" s="628"/>
      <c r="DW60" s="917"/>
      <c r="DX60" s="517" t="str">
        <f t="shared" si="22"/>
        <v>S-33</v>
      </c>
      <c r="DY60" s="518" t="str">
        <f t="shared" si="20"/>
        <v>3T</v>
      </c>
      <c r="DZ60" s="518" t="str">
        <f t="shared" si="21"/>
        <v>APS</v>
      </c>
    </row>
    <row r="61" spans="1:147" s="516" customFormat="1" ht="15" thickBot="1" x14ac:dyDescent="0.35">
      <c r="A61" s="461" t="s">
        <v>1238</v>
      </c>
      <c r="B61" s="577" t="str">
        <f t="shared" si="19"/>
        <v>S-33-B / -</v>
      </c>
      <c r="C61" s="44"/>
      <c r="D61" s="629"/>
      <c r="E61" s="44"/>
      <c r="F61" s="44"/>
      <c r="G61" s="44"/>
      <c r="H61" s="44"/>
      <c r="I61" s="44"/>
      <c r="J61" s="44"/>
      <c r="K61" s="44"/>
      <c r="L61" s="44"/>
      <c r="M61" s="44"/>
      <c r="N61" s="44"/>
      <c r="O61" s="44"/>
      <c r="P61" s="44"/>
      <c r="Q61" s="44"/>
      <c r="R61" s="44"/>
      <c r="S61" s="44"/>
      <c r="T61" s="44"/>
      <c r="U61" s="44"/>
      <c r="V61" s="44"/>
      <c r="W61" s="44" t="s">
        <v>854</v>
      </c>
      <c r="X61" s="44" t="s">
        <v>2139</v>
      </c>
      <c r="Y61" s="44" t="s">
        <v>2125</v>
      </c>
      <c r="Z61" s="44" t="s">
        <v>2139</v>
      </c>
      <c r="AA61" s="44"/>
      <c r="AB61" s="44"/>
      <c r="AC61" s="44" t="s">
        <v>853</v>
      </c>
      <c r="AD61" s="44" t="s">
        <v>2139</v>
      </c>
      <c r="AE61" s="44"/>
      <c r="AF61" s="44"/>
      <c r="AG61" s="44"/>
      <c r="AH61" s="44"/>
      <c r="AI61" s="44"/>
      <c r="AJ61" s="44"/>
      <c r="AK61" s="44"/>
      <c r="AL61" s="44"/>
      <c r="AM61" s="44"/>
      <c r="AN61" s="44"/>
      <c r="AO61" s="44" t="s">
        <v>854</v>
      </c>
      <c r="AP61" s="44" t="s">
        <v>3151</v>
      </c>
      <c r="AQ61" s="44" t="s">
        <v>2125</v>
      </c>
      <c r="AR61" s="44" t="s">
        <v>3151</v>
      </c>
      <c r="AS61" s="44"/>
      <c r="AT61" s="44"/>
      <c r="AU61" s="44"/>
      <c r="AV61" s="44"/>
      <c r="AW61" s="44" t="s">
        <v>853</v>
      </c>
      <c r="AX61" s="44" t="s">
        <v>2139</v>
      </c>
      <c r="AY61" s="44"/>
      <c r="AZ61" s="44"/>
      <c r="BA61" s="44"/>
      <c r="BB61" s="44"/>
      <c r="BC61" s="44"/>
      <c r="BD61" s="44"/>
      <c r="BE61" s="44"/>
      <c r="BF61" s="44"/>
      <c r="BG61" s="44"/>
      <c r="BH61" s="44"/>
      <c r="BI61" s="44"/>
      <c r="BJ61" s="629"/>
      <c r="BK61" s="44" t="s">
        <v>854</v>
      </c>
      <c r="BL61" s="629" t="s">
        <v>2139</v>
      </c>
      <c r="BM61" s="44" t="s">
        <v>2125</v>
      </c>
      <c r="BN61" s="629" t="s">
        <v>2139</v>
      </c>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629"/>
      <c r="DU61" s="44"/>
      <c r="DV61" s="629"/>
      <c r="DW61" s="925"/>
      <c r="DX61" s="517" t="str">
        <f t="shared" si="22"/>
        <v>S-33-B</v>
      </c>
      <c r="DY61" s="518" t="str">
        <f t="shared" si="20"/>
        <v/>
      </c>
      <c r="DZ61" s="518" t="str">
        <f t="shared" si="21"/>
        <v/>
      </c>
    </row>
    <row r="62" spans="1:147" s="516" customFormat="1" ht="29.4" thickBot="1" x14ac:dyDescent="0.35">
      <c r="A62" s="461" t="s">
        <v>702</v>
      </c>
      <c r="B62" s="577" t="str">
        <f t="shared" si="19"/>
        <v>S-34 / SGTO 2DO. HERNANDEZ CRUCES DIEGO ESTEBAN              (T - P- S)</v>
      </c>
      <c r="C62" s="44" t="s">
        <v>854</v>
      </c>
      <c r="D62" s="44" t="s">
        <v>882</v>
      </c>
      <c r="E62" s="44" t="s">
        <v>2125</v>
      </c>
      <c r="F62" s="44" t="s">
        <v>882</v>
      </c>
      <c r="G62" s="44" t="s">
        <v>853</v>
      </c>
      <c r="H62" s="629" t="s">
        <v>2560</v>
      </c>
      <c r="I62" s="44" t="s">
        <v>853</v>
      </c>
      <c r="J62" s="44" t="s">
        <v>1404</v>
      </c>
      <c r="K62" s="44" t="s">
        <v>853</v>
      </c>
      <c r="L62" s="44" t="s">
        <v>2985</v>
      </c>
      <c r="M62" s="44" t="s">
        <v>854</v>
      </c>
      <c r="N62" s="44" t="s">
        <v>2420</v>
      </c>
      <c r="O62" s="44" t="s">
        <v>2125</v>
      </c>
      <c r="P62" s="44" t="s">
        <v>2420</v>
      </c>
      <c r="Q62" s="44" t="s">
        <v>1</v>
      </c>
      <c r="R62" s="44" t="s">
        <v>2857</v>
      </c>
      <c r="S62" s="44" t="s">
        <v>853</v>
      </c>
      <c r="T62" s="44" t="s">
        <v>1404</v>
      </c>
      <c r="U62" s="44" t="s">
        <v>853</v>
      </c>
      <c r="V62" s="44" t="s">
        <v>2654</v>
      </c>
      <c r="W62" s="44" t="s">
        <v>854</v>
      </c>
      <c r="X62" s="44" t="s">
        <v>2420</v>
      </c>
      <c r="Y62" s="44" t="s">
        <v>2125</v>
      </c>
      <c r="Z62" s="44" t="s">
        <v>2420</v>
      </c>
      <c r="AA62" s="44" t="s">
        <v>2</v>
      </c>
      <c r="AB62" s="44" t="s">
        <v>2372</v>
      </c>
      <c r="AC62" s="44" t="s">
        <v>853</v>
      </c>
      <c r="AD62" s="44" t="s">
        <v>2420</v>
      </c>
      <c r="AE62" s="44" t="s">
        <v>853</v>
      </c>
      <c r="AF62" s="44" t="s">
        <v>3093</v>
      </c>
      <c r="AG62" s="44" t="s">
        <v>855</v>
      </c>
      <c r="AH62" s="44" t="s">
        <v>1220</v>
      </c>
      <c r="AI62" s="44" t="s">
        <v>855</v>
      </c>
      <c r="AJ62" s="44" t="s">
        <v>1220</v>
      </c>
      <c r="AK62" s="44" t="s">
        <v>853</v>
      </c>
      <c r="AL62" s="44" t="s">
        <v>1404</v>
      </c>
      <c r="AM62" s="44" t="s">
        <v>853</v>
      </c>
      <c r="AN62" s="44" t="s">
        <v>3095</v>
      </c>
      <c r="AO62" s="44" t="s">
        <v>6</v>
      </c>
      <c r="AP62" s="44" t="s">
        <v>2414</v>
      </c>
      <c r="AQ62" s="44" t="s">
        <v>2125</v>
      </c>
      <c r="AR62" s="44" t="s">
        <v>2414</v>
      </c>
      <c r="AS62" s="44" t="s">
        <v>1</v>
      </c>
      <c r="AT62" s="44" t="s">
        <v>3257</v>
      </c>
      <c r="AU62" s="44" t="s">
        <v>853</v>
      </c>
      <c r="AV62" s="44" t="s">
        <v>3297</v>
      </c>
      <c r="AW62" s="44" t="s">
        <v>853</v>
      </c>
      <c r="AX62" s="44" t="s">
        <v>1472</v>
      </c>
      <c r="AY62" s="44" t="s">
        <v>853</v>
      </c>
      <c r="AZ62" s="44" t="s">
        <v>3310</v>
      </c>
      <c r="BA62" s="44" t="s">
        <v>854</v>
      </c>
      <c r="BB62" s="44" t="s">
        <v>882</v>
      </c>
      <c r="BC62" s="44" t="s">
        <v>2125</v>
      </c>
      <c r="BD62" s="44" t="s">
        <v>2838</v>
      </c>
      <c r="BE62" s="44" t="s">
        <v>853</v>
      </c>
      <c r="BF62" s="44" t="s">
        <v>3350</v>
      </c>
      <c r="BG62" s="44" t="s">
        <v>853</v>
      </c>
      <c r="BH62" s="44" t="s">
        <v>3350</v>
      </c>
      <c r="BI62" s="44" t="s">
        <v>855</v>
      </c>
      <c r="BJ62" s="629" t="s">
        <v>1220</v>
      </c>
      <c r="BK62" s="443" t="s">
        <v>854</v>
      </c>
      <c r="BL62" s="44" t="s">
        <v>2420</v>
      </c>
      <c r="BM62" s="44" t="s">
        <v>2125</v>
      </c>
      <c r="BN62" s="44" t="s">
        <v>2420</v>
      </c>
      <c r="BO62" s="44" t="s">
        <v>1</v>
      </c>
      <c r="BP62" s="44" t="s">
        <v>2420</v>
      </c>
      <c r="BQ62" s="44" t="s">
        <v>1</v>
      </c>
      <c r="BR62" s="629" t="s">
        <v>3521</v>
      </c>
      <c r="BS62" s="44" t="s">
        <v>2</v>
      </c>
      <c r="BT62" s="44" t="s">
        <v>3525</v>
      </c>
      <c r="BU62" s="44" t="s">
        <v>1</v>
      </c>
      <c r="BV62" s="44" t="s">
        <v>2456</v>
      </c>
      <c r="BW62" s="44" t="s">
        <v>854</v>
      </c>
      <c r="BX62" s="44" t="s">
        <v>3592</v>
      </c>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629"/>
      <c r="DU62" s="44"/>
      <c r="DV62" s="629"/>
      <c r="DW62" s="925"/>
      <c r="DX62" s="517" t="str">
        <f t="shared" si="22"/>
        <v>S-34</v>
      </c>
      <c r="DY62" s="518" t="str">
        <f t="shared" si="20"/>
        <v>2P</v>
      </c>
      <c r="DZ62" s="518" t="str">
        <f t="shared" si="21"/>
        <v>MONUMENTO / BAQUEDANO</v>
      </c>
    </row>
    <row r="63" spans="1:147" s="516" customFormat="1" ht="15" thickBot="1" x14ac:dyDescent="0.35">
      <c r="A63" s="461" t="s">
        <v>1239</v>
      </c>
      <c r="B63" s="577" t="str">
        <f t="shared" si="19"/>
        <v>S-34-B / -</v>
      </c>
      <c r="C63" s="44"/>
      <c r="D63" s="44"/>
      <c r="E63" s="44"/>
      <c r="F63" s="44"/>
      <c r="G63" s="44"/>
      <c r="H63" s="44"/>
      <c r="I63" s="44" t="s">
        <v>853</v>
      </c>
      <c r="J63" s="44" t="s">
        <v>2139</v>
      </c>
      <c r="K63" s="44"/>
      <c r="L63" s="44"/>
      <c r="M63" s="44"/>
      <c r="N63" s="44"/>
      <c r="O63" s="44"/>
      <c r="P63" s="44"/>
      <c r="Q63" s="44"/>
      <c r="R63" s="44"/>
      <c r="S63" s="44" t="s">
        <v>853</v>
      </c>
      <c r="T63" s="44" t="s">
        <v>2139</v>
      </c>
      <c r="U63" s="44"/>
      <c r="V63" s="44"/>
      <c r="W63" s="44"/>
      <c r="X63" s="44"/>
      <c r="Y63" s="44"/>
      <c r="Z63" s="44"/>
      <c r="AA63" s="44"/>
      <c r="AB63" s="44"/>
      <c r="AC63" s="44"/>
      <c r="AD63" s="44"/>
      <c r="AE63" s="44"/>
      <c r="AF63" s="44"/>
      <c r="AG63" s="44"/>
      <c r="AH63" s="44"/>
      <c r="AI63" s="44"/>
      <c r="AJ63" s="44"/>
      <c r="AK63" s="44" t="s">
        <v>853</v>
      </c>
      <c r="AL63" s="44" t="s">
        <v>3130</v>
      </c>
      <c r="AM63" s="44"/>
      <c r="AN63" s="44"/>
      <c r="AO63" s="44"/>
      <c r="AP63" s="44"/>
      <c r="AQ63" s="44"/>
      <c r="AR63" s="44"/>
      <c r="AS63" s="44" t="s">
        <v>1</v>
      </c>
      <c r="AT63" s="44" t="s">
        <v>2139</v>
      </c>
      <c r="AU63" s="44"/>
      <c r="AV63" s="44"/>
      <c r="AW63" s="44"/>
      <c r="AX63" s="44"/>
      <c r="AY63" s="44"/>
      <c r="AZ63" s="44"/>
      <c r="BA63" s="44"/>
      <c r="BB63" s="44"/>
      <c r="BC63" s="44"/>
      <c r="BD63" s="44"/>
      <c r="BE63" s="44"/>
      <c r="BF63" s="44"/>
      <c r="BG63" s="44"/>
      <c r="BH63" s="44"/>
      <c r="BI63" s="44"/>
      <c r="BJ63" s="629"/>
      <c r="BK63" s="443"/>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629"/>
      <c r="DU63" s="44"/>
      <c r="DV63" s="629"/>
      <c r="DW63" s="925"/>
      <c r="DX63" s="517" t="str">
        <f t="shared" si="22"/>
        <v>S-34-B</v>
      </c>
      <c r="DY63" s="518" t="str">
        <f t="shared" si="20"/>
        <v/>
      </c>
      <c r="DZ63" s="518" t="str">
        <f t="shared" si="21"/>
        <v/>
      </c>
    </row>
    <row r="64" spans="1:147" s="516" customFormat="1" ht="29.4" thickBot="1" x14ac:dyDescent="0.35">
      <c r="A64" s="567" t="s">
        <v>742</v>
      </c>
      <c r="B64" s="577" t="str">
        <f t="shared" si="19"/>
        <v>S-35 / SUBOFICIAL BRAVO VALDERRAMA OSCAR MAURICIO</v>
      </c>
      <c r="C64" s="44" t="s">
        <v>854</v>
      </c>
      <c r="D64" s="44" t="s">
        <v>1404</v>
      </c>
      <c r="E64" s="443" t="s">
        <v>2125</v>
      </c>
      <c r="F64" s="443" t="s">
        <v>1404</v>
      </c>
      <c r="G64" s="443" t="s">
        <v>853</v>
      </c>
      <c r="H64" s="628" t="s">
        <v>2975</v>
      </c>
      <c r="I64" s="44" t="s">
        <v>853</v>
      </c>
      <c r="J64" s="44" t="s">
        <v>2414</v>
      </c>
      <c r="K64" s="44" t="s">
        <v>853</v>
      </c>
      <c r="L64" s="44" t="s">
        <v>2986</v>
      </c>
      <c r="M64" s="44" t="s">
        <v>854</v>
      </c>
      <c r="N64" s="44" t="s">
        <v>1404</v>
      </c>
      <c r="O64" s="44" t="s">
        <v>2125</v>
      </c>
      <c r="P64" s="44" t="s">
        <v>1404</v>
      </c>
      <c r="Q64" s="44" t="s">
        <v>1</v>
      </c>
      <c r="R64" s="44" t="s">
        <v>2456</v>
      </c>
      <c r="S64" s="44" t="s">
        <v>853</v>
      </c>
      <c r="T64" s="44" t="s">
        <v>2635</v>
      </c>
      <c r="U64" s="44" t="s">
        <v>853</v>
      </c>
      <c r="V64" s="44" t="s">
        <v>2651</v>
      </c>
      <c r="W64" s="44" t="s">
        <v>854</v>
      </c>
      <c r="X64" s="44" t="s">
        <v>882</v>
      </c>
      <c r="Y64" s="44" t="s">
        <v>2125</v>
      </c>
      <c r="Z64" s="44" t="s">
        <v>882</v>
      </c>
      <c r="AA64" s="44" t="s">
        <v>2</v>
      </c>
      <c r="AB64" s="44" t="s">
        <v>2049</v>
      </c>
      <c r="AC64" s="44" t="s">
        <v>853</v>
      </c>
      <c r="AD64" s="44" t="s">
        <v>1472</v>
      </c>
      <c r="AE64" s="44" t="s">
        <v>1</v>
      </c>
      <c r="AF64" s="44" t="s">
        <v>2420</v>
      </c>
      <c r="AG64" s="44" t="s">
        <v>855</v>
      </c>
      <c r="AH64" s="44" t="s">
        <v>1220</v>
      </c>
      <c r="AI64" s="44" t="s">
        <v>855</v>
      </c>
      <c r="AJ64" s="44" t="s">
        <v>1220</v>
      </c>
      <c r="AK64" s="44" t="s">
        <v>2</v>
      </c>
      <c r="AL64" s="44" t="s">
        <v>2414</v>
      </c>
      <c r="AM64" s="44" t="s">
        <v>853</v>
      </c>
      <c r="AN64" s="44" t="s">
        <v>3094</v>
      </c>
      <c r="AO64" s="44" t="s">
        <v>854</v>
      </c>
      <c r="AP64" s="44" t="s">
        <v>882</v>
      </c>
      <c r="AQ64" s="44" t="s">
        <v>2125</v>
      </c>
      <c r="AR64" s="44" t="s">
        <v>882</v>
      </c>
      <c r="AS64" s="44" t="s">
        <v>1</v>
      </c>
      <c r="AT64" s="44" t="s">
        <v>880</v>
      </c>
      <c r="AU64" s="44" t="s">
        <v>853</v>
      </c>
      <c r="AV64" s="44" t="s">
        <v>3296</v>
      </c>
      <c r="AW64" s="44" t="s">
        <v>853</v>
      </c>
      <c r="AX64" s="44" t="s">
        <v>2414</v>
      </c>
      <c r="AY64" s="44" t="s">
        <v>853</v>
      </c>
      <c r="AZ64" s="44" t="s">
        <v>3311</v>
      </c>
      <c r="BA64" s="44" t="s">
        <v>6</v>
      </c>
      <c r="BB64" s="44" t="s">
        <v>1404</v>
      </c>
      <c r="BC64" s="44" t="s">
        <v>2125</v>
      </c>
      <c r="BD64" s="44" t="s">
        <v>2838</v>
      </c>
      <c r="BE64" s="44" t="s">
        <v>853</v>
      </c>
      <c r="BF64" s="44" t="s">
        <v>3349</v>
      </c>
      <c r="BG64" s="44" t="s">
        <v>853</v>
      </c>
      <c r="BH64" s="44" t="s">
        <v>3349</v>
      </c>
      <c r="BI64" s="44" t="s">
        <v>855</v>
      </c>
      <c r="BJ64" s="629" t="s">
        <v>1220</v>
      </c>
      <c r="BK64" s="443" t="s">
        <v>854</v>
      </c>
      <c r="BL64" s="44" t="s">
        <v>882</v>
      </c>
      <c r="BM64" s="44" t="s">
        <v>2125</v>
      </c>
      <c r="BN64" s="44" t="s">
        <v>882</v>
      </c>
      <c r="BO64" s="443" t="s">
        <v>1</v>
      </c>
      <c r="BP64" s="443" t="s">
        <v>1404</v>
      </c>
      <c r="BQ64" s="443" t="s">
        <v>853</v>
      </c>
      <c r="BR64" s="628" t="s">
        <v>1404</v>
      </c>
      <c r="BS64" s="44" t="s">
        <v>2</v>
      </c>
      <c r="BT64" s="44" t="s">
        <v>2848</v>
      </c>
      <c r="BU64" s="44" t="s">
        <v>1</v>
      </c>
      <c r="BV64" s="44" t="s">
        <v>2049</v>
      </c>
      <c r="BW64" s="44" t="s">
        <v>6</v>
      </c>
      <c r="BX64" s="44" t="s">
        <v>2289</v>
      </c>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629"/>
      <c r="DU64" s="44"/>
      <c r="DV64" s="629"/>
      <c r="DW64" s="925"/>
      <c r="DX64" s="517" t="str">
        <f t="shared" si="22"/>
        <v>S-35</v>
      </c>
      <c r="DY64" s="518" t="str">
        <f t="shared" si="20"/>
        <v>3T</v>
      </c>
      <c r="DZ64" s="518" t="str">
        <f t="shared" si="21"/>
        <v>APS</v>
      </c>
    </row>
    <row r="65" spans="1:130" s="516" customFormat="1" ht="15" thickBot="1" x14ac:dyDescent="0.35">
      <c r="A65" s="567" t="s">
        <v>1240</v>
      </c>
      <c r="B65" s="578" t="str">
        <f t="shared" si="19"/>
        <v>S-35-B / -</v>
      </c>
      <c r="C65" s="444" t="s">
        <v>854</v>
      </c>
      <c r="D65" s="444" t="s">
        <v>2900</v>
      </c>
      <c r="E65" s="443" t="s">
        <v>2125</v>
      </c>
      <c r="F65" s="44" t="s">
        <v>2900</v>
      </c>
      <c r="G65" s="44"/>
      <c r="H65" s="629"/>
      <c r="I65" s="444"/>
      <c r="J65" s="444"/>
      <c r="K65" s="444"/>
      <c r="L65" s="444"/>
      <c r="M65" s="444" t="s">
        <v>854</v>
      </c>
      <c r="N65" s="444" t="s">
        <v>2139</v>
      </c>
      <c r="O65" s="444" t="s">
        <v>2125</v>
      </c>
      <c r="P65" s="444" t="s">
        <v>2139</v>
      </c>
      <c r="Q65" s="444"/>
      <c r="R65" s="444"/>
      <c r="S65" s="444"/>
      <c r="T65" s="444"/>
      <c r="U65" s="444"/>
      <c r="V65" s="444"/>
      <c r="W65" s="444"/>
      <c r="X65" s="444"/>
      <c r="Y65" s="444"/>
      <c r="Z65" s="444"/>
      <c r="AA65" s="444"/>
      <c r="AB65" s="444"/>
      <c r="AC65" s="444"/>
      <c r="AD65" s="444"/>
      <c r="AE65" s="444"/>
      <c r="AF65" s="444"/>
      <c r="AG65" s="444"/>
      <c r="AH65" s="444"/>
      <c r="AI65" s="444"/>
      <c r="AJ65" s="444"/>
      <c r="AK65" s="444"/>
      <c r="AL65" s="444"/>
      <c r="AM65" s="444"/>
      <c r="AN65" s="444"/>
      <c r="AO65" s="444"/>
      <c r="AP65" s="444"/>
      <c r="AQ65" s="444"/>
      <c r="AR65" s="444"/>
      <c r="AS65" s="444"/>
      <c r="AT65" s="444"/>
      <c r="AU65" s="444"/>
      <c r="AV65" s="444"/>
      <c r="AW65" s="444"/>
      <c r="AX65" s="444"/>
      <c r="AY65" s="444"/>
      <c r="AZ65" s="444"/>
      <c r="BA65" s="444" t="s">
        <v>6</v>
      </c>
      <c r="BB65" s="444" t="s">
        <v>2644</v>
      </c>
      <c r="BC65" s="444" t="s">
        <v>2125</v>
      </c>
      <c r="BD65" s="444" t="s">
        <v>2838</v>
      </c>
      <c r="BE65" s="444"/>
      <c r="BF65" s="444"/>
      <c r="BG65" s="444"/>
      <c r="BH65" s="444"/>
      <c r="BI65" s="444"/>
      <c r="BJ65" s="630"/>
      <c r="BK65" s="444"/>
      <c r="BL65" s="630"/>
      <c r="BM65" s="444"/>
      <c r="BN65" s="444"/>
      <c r="BO65" s="443" t="s">
        <v>1</v>
      </c>
      <c r="BP65" s="44" t="s">
        <v>2139</v>
      </c>
      <c r="BQ65" s="44"/>
      <c r="BR65" s="629"/>
      <c r="BS65" s="444"/>
      <c r="BT65" s="444"/>
      <c r="BU65" s="444"/>
      <c r="BV65" s="444"/>
      <c r="BW65" s="444"/>
      <c r="BX65" s="444"/>
      <c r="BY65" s="444"/>
      <c r="BZ65" s="444"/>
      <c r="CA65" s="444"/>
      <c r="CB65" s="444"/>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4"/>
      <c r="DR65" s="444"/>
      <c r="DS65" s="444"/>
      <c r="DT65" s="630"/>
      <c r="DU65" s="444"/>
      <c r="DV65" s="630"/>
      <c r="DW65" s="925"/>
      <c r="DX65" s="517" t="str">
        <f t="shared" si="22"/>
        <v>S-35-B</v>
      </c>
      <c r="DY65" s="518" t="str">
        <f t="shared" si="20"/>
        <v/>
      </c>
      <c r="DZ65" s="518" t="str">
        <f t="shared" si="21"/>
        <v/>
      </c>
    </row>
    <row r="66" spans="1:130" s="516" customFormat="1" x14ac:dyDescent="0.3">
      <c r="A66" s="462" t="s">
        <v>712</v>
      </c>
      <c r="B66" s="573" t="str">
        <f t="shared" si="19"/>
        <v>S-36 / SGTO 1RO. ZEPEDA SANTOS ALEX ALEJANDRO</v>
      </c>
      <c r="C66" s="443" t="s">
        <v>853</v>
      </c>
      <c r="D66" s="443" t="s">
        <v>2630</v>
      </c>
      <c r="E66" s="44" t="s">
        <v>854</v>
      </c>
      <c r="F66" s="44" t="s">
        <v>2420</v>
      </c>
      <c r="G66" s="443" t="s">
        <v>2125</v>
      </c>
      <c r="H66" s="443" t="s">
        <v>2420</v>
      </c>
      <c r="I66" s="443" t="s">
        <v>1</v>
      </c>
      <c r="J66" s="443" t="s">
        <v>2857</v>
      </c>
      <c r="K66" s="443" t="s">
        <v>853</v>
      </c>
      <c r="L66" s="443" t="s">
        <v>2047</v>
      </c>
      <c r="M66" s="443" t="s">
        <v>853</v>
      </c>
      <c r="N66" s="443" t="s">
        <v>3004</v>
      </c>
      <c r="O66" s="443" t="s">
        <v>854</v>
      </c>
      <c r="P66" s="443" t="s">
        <v>882</v>
      </c>
      <c r="Q66" s="443" t="s">
        <v>2125</v>
      </c>
      <c r="R66" s="443" t="s">
        <v>882</v>
      </c>
      <c r="S66" s="443" t="s">
        <v>2</v>
      </c>
      <c r="T66" s="443" t="s">
        <v>2456</v>
      </c>
      <c r="U66" s="443" t="s">
        <v>853</v>
      </c>
      <c r="V66" s="443" t="s">
        <v>1404</v>
      </c>
      <c r="W66" s="443" t="s">
        <v>853</v>
      </c>
      <c r="X66" s="443" t="s">
        <v>3052</v>
      </c>
      <c r="Y66" s="443" t="s">
        <v>854</v>
      </c>
      <c r="Z66" s="443" t="s">
        <v>1404</v>
      </c>
      <c r="AA66" s="443" t="s">
        <v>2125</v>
      </c>
      <c r="AB66" s="443" t="s">
        <v>1404</v>
      </c>
      <c r="AC66" s="443" t="s">
        <v>853</v>
      </c>
      <c r="AD66" s="443" t="s">
        <v>3082</v>
      </c>
      <c r="AE66" s="443" t="s">
        <v>853</v>
      </c>
      <c r="AF66" s="443" t="s">
        <v>1404</v>
      </c>
      <c r="AG66" s="443" t="s">
        <v>853</v>
      </c>
      <c r="AH66" s="443" t="s">
        <v>2517</v>
      </c>
      <c r="AI66" s="443" t="s">
        <v>854</v>
      </c>
      <c r="AJ66" s="443" t="s">
        <v>1404</v>
      </c>
      <c r="AK66" s="443" t="s">
        <v>2125</v>
      </c>
      <c r="AL66" s="443" t="s">
        <v>2838</v>
      </c>
      <c r="AM66" s="443" t="s">
        <v>2</v>
      </c>
      <c r="AN66" s="443" t="s">
        <v>2372</v>
      </c>
      <c r="AO66" s="443" t="s">
        <v>1</v>
      </c>
      <c r="AP66" s="443" t="s">
        <v>1472</v>
      </c>
      <c r="AQ66" s="443" t="s">
        <v>2</v>
      </c>
      <c r="AR66" s="443" t="s">
        <v>1472</v>
      </c>
      <c r="AS66" s="443" t="s">
        <v>853</v>
      </c>
      <c r="AT66" s="443" t="s">
        <v>3256</v>
      </c>
      <c r="AU66" s="443" t="s">
        <v>855</v>
      </c>
      <c r="AV66" s="443" t="s">
        <v>1220</v>
      </c>
      <c r="AW66" s="443" t="s">
        <v>855</v>
      </c>
      <c r="AX66" s="443" t="s">
        <v>1220</v>
      </c>
      <c r="AY66" s="443" t="s">
        <v>854</v>
      </c>
      <c r="AZ66" s="443" t="s">
        <v>882</v>
      </c>
      <c r="BA66" s="443" t="s">
        <v>2125</v>
      </c>
      <c r="BB66" s="443" t="s">
        <v>882</v>
      </c>
      <c r="BC66" s="443" t="s">
        <v>1</v>
      </c>
      <c r="BD66" s="443" t="s">
        <v>1472</v>
      </c>
      <c r="BE66" s="443" t="s">
        <v>853</v>
      </c>
      <c r="BF66" s="443" t="s">
        <v>3369</v>
      </c>
      <c r="BG66" s="443" t="s">
        <v>853</v>
      </c>
      <c r="BH66" s="443" t="s">
        <v>3399</v>
      </c>
      <c r="BI66" s="443" t="s">
        <v>854</v>
      </c>
      <c r="BJ66" s="628" t="s">
        <v>3417</v>
      </c>
      <c r="BK66" s="443" t="s">
        <v>2125</v>
      </c>
      <c r="BL66" s="443" t="s">
        <v>2838</v>
      </c>
      <c r="BM66" s="443" t="s">
        <v>1</v>
      </c>
      <c r="BN66" s="443" t="s">
        <v>1472</v>
      </c>
      <c r="BO66" s="44" t="s">
        <v>853</v>
      </c>
      <c r="BP66" s="443" t="s">
        <v>3246</v>
      </c>
      <c r="BQ66" s="443" t="s">
        <v>1</v>
      </c>
      <c r="BR66" s="443" t="s">
        <v>3522</v>
      </c>
      <c r="BS66" s="443" t="s">
        <v>853</v>
      </c>
      <c r="BT66" s="443" t="s">
        <v>3526</v>
      </c>
      <c r="BU66" s="443" t="s">
        <v>6</v>
      </c>
      <c r="BV66" s="443" t="s">
        <v>3550</v>
      </c>
      <c r="BW66" s="443" t="s">
        <v>2125</v>
      </c>
      <c r="BX66" s="443" t="s">
        <v>2838</v>
      </c>
      <c r="BY66" s="443"/>
      <c r="BZ66" s="443"/>
      <c r="CA66" s="443"/>
      <c r="CB66" s="443"/>
      <c r="CC66" s="443"/>
      <c r="CD66" s="443"/>
      <c r="CE66" s="443"/>
      <c r="CF66" s="443"/>
      <c r="CG66" s="443"/>
      <c r="CH66" s="443"/>
      <c r="CI66" s="443"/>
      <c r="CJ66" s="443"/>
      <c r="CK66" s="443"/>
      <c r="CL66" s="443"/>
      <c r="CM66" s="443"/>
      <c r="CN66" s="443"/>
      <c r="CO66" s="443"/>
      <c r="CP66" s="443"/>
      <c r="CQ66" s="443"/>
      <c r="CR66" s="443"/>
      <c r="CS66" s="443"/>
      <c r="CT66" s="443"/>
      <c r="CU66" s="443"/>
      <c r="CV66" s="443"/>
      <c r="CW66" s="443"/>
      <c r="CX66" s="443"/>
      <c r="CY66" s="443"/>
      <c r="CZ66" s="443"/>
      <c r="DA66" s="443"/>
      <c r="DB66" s="443"/>
      <c r="DC66" s="443"/>
      <c r="DD66" s="443"/>
      <c r="DE66" s="443"/>
      <c r="DF66" s="443"/>
      <c r="DG66" s="443"/>
      <c r="DH66" s="443"/>
      <c r="DI66" s="443"/>
      <c r="DJ66" s="443"/>
      <c r="DK66" s="443"/>
      <c r="DL66" s="443"/>
      <c r="DM66" s="443"/>
      <c r="DN66" s="443"/>
      <c r="DO66" s="443"/>
      <c r="DP66" s="443"/>
      <c r="DQ66" s="443"/>
      <c r="DR66" s="443"/>
      <c r="DS66" s="443"/>
      <c r="DT66" s="628"/>
      <c r="DU66" s="443"/>
      <c r="DV66" s="628"/>
      <c r="DW66" s="917"/>
      <c r="DX66" s="517" t="str">
        <f t="shared" si="22"/>
        <v>S-36</v>
      </c>
      <c r="DY66" s="518" t="str">
        <f t="shared" si="20"/>
        <v>SN</v>
      </c>
      <c r="DZ66" s="518" t="str">
        <f t="shared" si="21"/>
        <v>SALIENTE SERVICIO</v>
      </c>
    </row>
    <row r="67" spans="1:130" s="516" customFormat="1" ht="15" thickBot="1" x14ac:dyDescent="0.35">
      <c r="A67" s="462" t="s">
        <v>1241</v>
      </c>
      <c r="B67" s="574" t="str">
        <f t="shared" si="19"/>
        <v>S-36-B / -</v>
      </c>
      <c r="C67" s="44"/>
      <c r="D67" s="44"/>
      <c r="E67" s="44"/>
      <c r="F67" s="44"/>
      <c r="G67" s="44"/>
      <c r="H67" s="44"/>
      <c r="I67" s="44"/>
      <c r="J67" s="44"/>
      <c r="K67" s="44"/>
      <c r="L67" s="44"/>
      <c r="M67" s="44"/>
      <c r="N67" s="44"/>
      <c r="O67" s="44"/>
      <c r="P67" s="44"/>
      <c r="Q67" s="44"/>
      <c r="R67" s="44"/>
      <c r="S67" s="44"/>
      <c r="T67" s="44"/>
      <c r="U67" s="44" t="s">
        <v>853</v>
      </c>
      <c r="V67" s="44" t="s">
        <v>2139</v>
      </c>
      <c r="W67" s="44"/>
      <c r="X67" s="44"/>
      <c r="Y67" s="44" t="s">
        <v>854</v>
      </c>
      <c r="Z67" s="44" t="s">
        <v>2139</v>
      </c>
      <c r="AA67" s="44" t="s">
        <v>2125</v>
      </c>
      <c r="AB67" s="44" t="s">
        <v>2139</v>
      </c>
      <c r="AC67" s="44"/>
      <c r="AD67" s="44"/>
      <c r="AE67" s="44" t="s">
        <v>853</v>
      </c>
      <c r="AF67" s="44" t="s">
        <v>2139</v>
      </c>
      <c r="AG67" s="44"/>
      <c r="AH67" s="44"/>
      <c r="AI67" s="44" t="s">
        <v>854</v>
      </c>
      <c r="AJ67" s="44" t="s">
        <v>2139</v>
      </c>
      <c r="AK67" s="44" t="s">
        <v>2125</v>
      </c>
      <c r="AL67" s="44" t="s">
        <v>2838</v>
      </c>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629"/>
      <c r="BK67" s="44"/>
      <c r="BL67" s="629"/>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629"/>
      <c r="DU67" s="44"/>
      <c r="DV67" s="629"/>
      <c r="DW67" s="925"/>
      <c r="DX67" s="517" t="str">
        <f t="shared" si="22"/>
        <v>S-36-B</v>
      </c>
      <c r="DY67" s="518" t="str">
        <f t="shared" si="20"/>
        <v/>
      </c>
      <c r="DZ67" s="518" t="str">
        <f t="shared" si="21"/>
        <v/>
      </c>
    </row>
    <row r="68" spans="1:130" s="516" customFormat="1" ht="28.8" x14ac:dyDescent="0.3">
      <c r="A68" s="462" t="s">
        <v>701</v>
      </c>
      <c r="B68" s="574" t="str">
        <f t="shared" si="19"/>
        <v>S-37 / SGTO 1RO. MORALES LEVIO MARCO ANTONIO</v>
      </c>
      <c r="C68" s="44" t="s">
        <v>853</v>
      </c>
      <c r="D68" s="44" t="s">
        <v>2944</v>
      </c>
      <c r="E68" s="44" t="s">
        <v>854</v>
      </c>
      <c r="F68" s="44" t="s">
        <v>882</v>
      </c>
      <c r="G68" s="44" t="s">
        <v>2125</v>
      </c>
      <c r="H68" s="44" t="s">
        <v>882</v>
      </c>
      <c r="I68" s="44" t="s">
        <v>1</v>
      </c>
      <c r="J68" s="44" t="s">
        <v>2456</v>
      </c>
      <c r="K68" s="44" t="s">
        <v>853</v>
      </c>
      <c r="L68" s="44" t="s">
        <v>1404</v>
      </c>
      <c r="M68" s="44" t="s">
        <v>853</v>
      </c>
      <c r="N68" s="44" t="s">
        <v>3000</v>
      </c>
      <c r="O68" s="44" t="s">
        <v>854</v>
      </c>
      <c r="P68" s="44" t="s">
        <v>1404</v>
      </c>
      <c r="Q68" s="44" t="s">
        <v>2125</v>
      </c>
      <c r="R68" s="44" t="s">
        <v>1404</v>
      </c>
      <c r="S68" s="44" t="s">
        <v>2</v>
      </c>
      <c r="T68" s="44" t="s">
        <v>2372</v>
      </c>
      <c r="U68" s="44" t="s">
        <v>853</v>
      </c>
      <c r="V68" s="44" t="s">
        <v>2414</v>
      </c>
      <c r="W68" s="44" t="s">
        <v>853</v>
      </c>
      <c r="X68" s="44" t="s">
        <v>3051</v>
      </c>
      <c r="Y68" s="44" t="s">
        <v>854</v>
      </c>
      <c r="Z68" s="44" t="s">
        <v>2420</v>
      </c>
      <c r="AA68" s="44" t="s">
        <v>2125</v>
      </c>
      <c r="AB68" s="44" t="s">
        <v>2420</v>
      </c>
      <c r="AC68" s="44" t="s">
        <v>853</v>
      </c>
      <c r="AD68" s="44" t="s">
        <v>3053</v>
      </c>
      <c r="AE68" s="44" t="s">
        <v>2</v>
      </c>
      <c r="AF68" s="44" t="s">
        <v>2420</v>
      </c>
      <c r="AG68" s="443" t="s">
        <v>853</v>
      </c>
      <c r="AH68" s="44" t="s">
        <v>2961</v>
      </c>
      <c r="AI68" s="44" t="s">
        <v>854</v>
      </c>
      <c r="AJ68" s="44" t="s">
        <v>2414</v>
      </c>
      <c r="AK68" s="44" t="s">
        <v>2125</v>
      </c>
      <c r="AL68" s="44" t="s">
        <v>2838</v>
      </c>
      <c r="AM68" s="44" t="s">
        <v>2</v>
      </c>
      <c r="AN68" s="44" t="s">
        <v>2049</v>
      </c>
      <c r="AO68" s="44" t="s">
        <v>1</v>
      </c>
      <c r="AP68" s="44" t="s">
        <v>2414</v>
      </c>
      <c r="AQ68" s="44" t="s">
        <v>2</v>
      </c>
      <c r="AR68" s="44" t="s">
        <v>1404</v>
      </c>
      <c r="AS68" s="44" t="s">
        <v>853</v>
      </c>
      <c r="AT68" s="44" t="s">
        <v>3158</v>
      </c>
      <c r="AU68" s="44" t="s">
        <v>855</v>
      </c>
      <c r="AV68" s="44" t="s">
        <v>1220</v>
      </c>
      <c r="AW68" s="44" t="s">
        <v>855</v>
      </c>
      <c r="AX68" s="44" t="s">
        <v>1220</v>
      </c>
      <c r="AY68" s="44" t="s">
        <v>6</v>
      </c>
      <c r="AZ68" s="44" t="s">
        <v>1404</v>
      </c>
      <c r="BA68" s="44" t="s">
        <v>2125</v>
      </c>
      <c r="BB68" s="44" t="s">
        <v>1404</v>
      </c>
      <c r="BC68" s="44" t="s">
        <v>1</v>
      </c>
      <c r="BD68" s="44" t="s">
        <v>2414</v>
      </c>
      <c r="BE68" s="44" t="s">
        <v>853</v>
      </c>
      <c r="BF68" s="44" t="s">
        <v>3374</v>
      </c>
      <c r="BG68" s="44" t="s">
        <v>853</v>
      </c>
      <c r="BH68" s="44" t="s">
        <v>3401</v>
      </c>
      <c r="BI68" s="44" t="s">
        <v>854</v>
      </c>
      <c r="BJ68" s="629" t="s">
        <v>882</v>
      </c>
      <c r="BK68" s="44" t="s">
        <v>2125</v>
      </c>
      <c r="BL68" s="44" t="s">
        <v>2838</v>
      </c>
      <c r="BM68" s="44" t="s">
        <v>1</v>
      </c>
      <c r="BN68" s="44" t="s">
        <v>1404</v>
      </c>
      <c r="BO68" s="44" t="s">
        <v>853</v>
      </c>
      <c r="BP68" s="44" t="s">
        <v>3160</v>
      </c>
      <c r="BQ68" s="44" t="s">
        <v>2</v>
      </c>
      <c r="BR68" s="44" t="s">
        <v>1472</v>
      </c>
      <c r="BS68" s="44" t="s">
        <v>853</v>
      </c>
      <c r="BT68" s="44" t="s">
        <v>3093</v>
      </c>
      <c r="BU68" s="44" t="s">
        <v>854</v>
      </c>
      <c r="BV68" s="44" t="s">
        <v>3551</v>
      </c>
      <c r="BW68" s="44" t="s">
        <v>2125</v>
      </c>
      <c r="BX68" s="44" t="s">
        <v>2838</v>
      </c>
      <c r="BY68" s="44"/>
      <c r="BZ68" s="44"/>
      <c r="CA68" s="44"/>
      <c r="CB68" s="44"/>
      <c r="CC68" s="44"/>
      <c r="CD68" s="44"/>
      <c r="CE68" s="44"/>
      <c r="CF68" s="44"/>
      <c r="CG68" s="44"/>
      <c r="CH68" s="44"/>
      <c r="CI68" s="44"/>
      <c r="CJ68" s="44"/>
      <c r="CK68" s="44"/>
      <c r="CL68" s="44"/>
      <c r="CM68" s="44"/>
      <c r="CN68" s="44"/>
      <c r="CO68" s="44"/>
      <c r="CP68" s="44"/>
      <c r="CQ68" s="443"/>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629"/>
      <c r="DU68" s="44"/>
      <c r="DV68" s="629"/>
      <c r="DW68" s="925"/>
      <c r="DX68" s="517" t="str">
        <f t="shared" si="22"/>
        <v>S-37</v>
      </c>
      <c r="DY68" s="518" t="str">
        <f t="shared" si="20"/>
        <v>SN</v>
      </c>
      <c r="DZ68" s="518" t="str">
        <f t="shared" si="21"/>
        <v>SALIENTE SERVICIO</v>
      </c>
    </row>
    <row r="69" spans="1:130" s="516" customFormat="1" ht="15" thickBot="1" x14ac:dyDescent="0.35">
      <c r="A69" s="462" t="s">
        <v>1242</v>
      </c>
      <c r="B69" s="574" t="str">
        <f t="shared" si="19"/>
        <v>S-37-B / -</v>
      </c>
      <c r="C69" s="44"/>
      <c r="D69" s="44"/>
      <c r="E69" s="44"/>
      <c r="F69" s="44"/>
      <c r="G69" s="44"/>
      <c r="H69" s="44"/>
      <c r="I69" s="44"/>
      <c r="J69" s="44"/>
      <c r="K69" s="44" t="s">
        <v>853</v>
      </c>
      <c r="L69" s="44" t="s">
        <v>2858</v>
      </c>
      <c r="M69" s="44"/>
      <c r="N69" s="44"/>
      <c r="O69" s="44" t="s">
        <v>854</v>
      </c>
      <c r="P69" s="44" t="s">
        <v>2139</v>
      </c>
      <c r="Q69" s="44" t="s">
        <v>2125</v>
      </c>
      <c r="R69" s="44" t="s">
        <v>2139</v>
      </c>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t="s">
        <v>2</v>
      </c>
      <c r="AR69" s="44" t="s">
        <v>3159</v>
      </c>
      <c r="AS69" s="44"/>
      <c r="AT69" s="44"/>
      <c r="AU69" s="44"/>
      <c r="AV69" s="44"/>
      <c r="AW69" s="44"/>
      <c r="AX69" s="44"/>
      <c r="AY69" s="44" t="s">
        <v>6</v>
      </c>
      <c r="AZ69" s="44" t="s">
        <v>2872</v>
      </c>
      <c r="BA69" s="44" t="s">
        <v>2125</v>
      </c>
      <c r="BB69" s="44" t="s">
        <v>2872</v>
      </c>
      <c r="BC69" s="44"/>
      <c r="BD69" s="44"/>
      <c r="BE69" s="44"/>
      <c r="BF69" s="44"/>
      <c r="BG69" s="44"/>
      <c r="BH69" s="44"/>
      <c r="BI69" s="44"/>
      <c r="BJ69" s="629"/>
      <c r="BK69" s="44"/>
      <c r="BL69" s="44"/>
      <c r="BM69" s="44" t="s">
        <v>1</v>
      </c>
      <c r="BN69" s="44" t="s">
        <v>2139</v>
      </c>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629"/>
      <c r="DU69" s="44"/>
      <c r="DV69" s="629"/>
      <c r="DW69" s="925"/>
      <c r="DX69" s="517" t="str">
        <f t="shared" si="22"/>
        <v>S-37-B</v>
      </c>
      <c r="DY69" s="518" t="str">
        <f t="shared" si="20"/>
        <v/>
      </c>
      <c r="DZ69" s="518" t="str">
        <f t="shared" si="21"/>
        <v/>
      </c>
    </row>
    <row r="70" spans="1:130" s="516" customFormat="1" ht="29.4" thickBot="1" x14ac:dyDescent="0.35">
      <c r="A70" s="567" t="s">
        <v>704</v>
      </c>
      <c r="B70" s="574" t="str">
        <f t="shared" si="19"/>
        <v>S-38 / SUBOFICIAL GATICA NAVARRETE ROBERTO FELIPE</v>
      </c>
      <c r="C70" s="44" t="s">
        <v>853</v>
      </c>
      <c r="D70" s="44" t="s">
        <v>2047</v>
      </c>
      <c r="E70" s="44" t="s">
        <v>854</v>
      </c>
      <c r="F70" s="44" t="s">
        <v>1404</v>
      </c>
      <c r="G70" s="44" t="s">
        <v>2125</v>
      </c>
      <c r="H70" s="44" t="s">
        <v>1404</v>
      </c>
      <c r="I70" s="44" t="s">
        <v>1</v>
      </c>
      <c r="J70" s="44" t="s">
        <v>2372</v>
      </c>
      <c r="K70" s="44" t="s">
        <v>853</v>
      </c>
      <c r="L70" s="443" t="s">
        <v>2999</v>
      </c>
      <c r="M70" s="44" t="s">
        <v>853</v>
      </c>
      <c r="N70" s="44" t="s">
        <v>3005</v>
      </c>
      <c r="O70" s="44" t="s">
        <v>854</v>
      </c>
      <c r="P70" s="44" t="s">
        <v>2420</v>
      </c>
      <c r="Q70" s="44" t="s">
        <v>2125</v>
      </c>
      <c r="R70" s="44" t="s">
        <v>2420</v>
      </c>
      <c r="S70" s="44" t="s">
        <v>2</v>
      </c>
      <c r="T70" s="44" t="s">
        <v>2857</v>
      </c>
      <c r="U70" s="44" t="s">
        <v>853</v>
      </c>
      <c r="V70" s="44" t="s">
        <v>1472</v>
      </c>
      <c r="W70" s="44" t="s">
        <v>853</v>
      </c>
      <c r="X70" s="44" t="s">
        <v>3053</v>
      </c>
      <c r="Y70" s="44" t="s">
        <v>854</v>
      </c>
      <c r="Z70" s="44" t="s">
        <v>882</v>
      </c>
      <c r="AA70" s="44" t="s">
        <v>2125</v>
      </c>
      <c r="AB70" s="44" t="s">
        <v>882</v>
      </c>
      <c r="AC70" s="44" t="s">
        <v>2</v>
      </c>
      <c r="AD70" s="44" t="s">
        <v>880</v>
      </c>
      <c r="AE70" s="44" t="s">
        <v>2</v>
      </c>
      <c r="AF70" s="44" t="s">
        <v>1472</v>
      </c>
      <c r="AG70" s="443" t="s">
        <v>853</v>
      </c>
      <c r="AH70" s="44" t="s">
        <v>3111</v>
      </c>
      <c r="AI70" s="44" t="s">
        <v>854</v>
      </c>
      <c r="AJ70" s="44" t="s">
        <v>882</v>
      </c>
      <c r="AK70" s="44" t="s">
        <v>2125</v>
      </c>
      <c r="AL70" s="44" t="s">
        <v>2838</v>
      </c>
      <c r="AM70" s="44" t="s">
        <v>2</v>
      </c>
      <c r="AN70" s="44" t="s">
        <v>2456</v>
      </c>
      <c r="AO70" s="44" t="s">
        <v>853</v>
      </c>
      <c r="AP70" s="44" t="s">
        <v>3010</v>
      </c>
      <c r="AQ70" s="44" t="s">
        <v>2</v>
      </c>
      <c r="AR70" s="44" t="s">
        <v>2420</v>
      </c>
      <c r="AS70" s="44" t="s">
        <v>853</v>
      </c>
      <c r="AT70" s="44" t="s">
        <v>3258</v>
      </c>
      <c r="AU70" s="44" t="s">
        <v>855</v>
      </c>
      <c r="AV70" s="44" t="s">
        <v>1220</v>
      </c>
      <c r="AW70" s="44" t="s">
        <v>855</v>
      </c>
      <c r="AX70" s="44" t="s">
        <v>1220</v>
      </c>
      <c r="AY70" s="44" t="s">
        <v>854</v>
      </c>
      <c r="AZ70" s="44" t="s">
        <v>2420</v>
      </c>
      <c r="BA70" s="44" t="s">
        <v>2125</v>
      </c>
      <c r="BB70" s="44" t="s">
        <v>2420</v>
      </c>
      <c r="BC70" s="44" t="s">
        <v>853</v>
      </c>
      <c r="BD70" s="44" t="s">
        <v>3343</v>
      </c>
      <c r="BE70" s="44" t="s">
        <v>853</v>
      </c>
      <c r="BF70" s="44" t="s">
        <v>3375</v>
      </c>
      <c r="BG70" s="44" t="s">
        <v>853</v>
      </c>
      <c r="BH70" s="44" t="s">
        <v>3392</v>
      </c>
      <c r="BI70" s="44" t="s">
        <v>854</v>
      </c>
      <c r="BJ70" s="629" t="s">
        <v>1404</v>
      </c>
      <c r="BK70" s="44" t="s">
        <v>2125</v>
      </c>
      <c r="BL70" s="44" t="s">
        <v>2838</v>
      </c>
      <c r="BM70" s="44" t="s">
        <v>1</v>
      </c>
      <c r="BN70" s="44" t="s">
        <v>2420</v>
      </c>
      <c r="BO70" s="44" t="s">
        <v>1</v>
      </c>
      <c r="BP70" s="44" t="s">
        <v>3456</v>
      </c>
      <c r="BQ70" s="44" t="s">
        <v>2</v>
      </c>
      <c r="BR70" s="44" t="s">
        <v>2420</v>
      </c>
      <c r="BS70" s="44" t="s">
        <v>853</v>
      </c>
      <c r="BT70" s="44" t="s">
        <v>3094</v>
      </c>
      <c r="BU70" s="44" t="s">
        <v>6</v>
      </c>
      <c r="BV70" s="44" t="s">
        <v>3549</v>
      </c>
      <c r="BW70" s="44" t="s">
        <v>2125</v>
      </c>
      <c r="BX70" s="44" t="s">
        <v>2838</v>
      </c>
      <c r="BY70" s="44"/>
      <c r="BZ70" s="44"/>
      <c r="CA70" s="44"/>
      <c r="CB70" s="44"/>
      <c r="CC70" s="44"/>
      <c r="CD70" s="44"/>
      <c r="CE70" s="44"/>
      <c r="CF70" s="44"/>
      <c r="CG70" s="44"/>
      <c r="CH70" s="44"/>
      <c r="CI70" s="44"/>
      <c r="CJ70" s="44"/>
      <c r="CK70" s="44"/>
      <c r="CL70" s="44"/>
      <c r="CM70" s="44"/>
      <c r="CN70" s="44"/>
      <c r="CO70" s="44"/>
      <c r="CP70" s="44"/>
      <c r="CQ70" s="443"/>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629"/>
      <c r="DU70" s="44"/>
      <c r="DV70" s="629"/>
      <c r="DW70" s="925"/>
      <c r="DX70" s="517" t="str">
        <f t="shared" si="22"/>
        <v>S-38</v>
      </c>
      <c r="DY70" s="518" t="str">
        <f t="shared" si="20"/>
        <v>SN</v>
      </c>
      <c r="DZ70" s="518" t="str">
        <f t="shared" si="21"/>
        <v>SALIENTE SERVICIO</v>
      </c>
    </row>
    <row r="71" spans="1:130" s="516" customFormat="1" ht="15" thickBot="1" x14ac:dyDescent="0.35">
      <c r="A71" s="567" t="s">
        <v>1243</v>
      </c>
      <c r="B71" s="575" t="str">
        <f t="shared" si="19"/>
        <v>S-38-B / -</v>
      </c>
      <c r="C71" s="444"/>
      <c r="D71" s="444"/>
      <c r="E71" s="444" t="s">
        <v>854</v>
      </c>
      <c r="F71" s="444" t="s">
        <v>2858</v>
      </c>
      <c r="G71" s="444" t="s">
        <v>2125</v>
      </c>
      <c r="H71" s="444" t="s">
        <v>2858</v>
      </c>
      <c r="I71" s="444"/>
      <c r="J71" s="444"/>
      <c r="K71" s="444"/>
      <c r="L71" s="444"/>
      <c r="M71" s="444"/>
      <c r="N71" s="444"/>
      <c r="O71" s="444"/>
      <c r="P71" s="444"/>
      <c r="Q71" s="444"/>
      <c r="R71" s="444"/>
      <c r="S71" s="444"/>
      <c r="T71" s="444"/>
      <c r="U71" s="444"/>
      <c r="V71" s="444"/>
      <c r="W71" s="444"/>
      <c r="X71" s="444"/>
      <c r="Y71" s="444"/>
      <c r="Z71" s="444"/>
      <c r="AA71" s="444"/>
      <c r="AB71" s="444"/>
      <c r="AC71" s="444"/>
      <c r="AD71" s="444"/>
      <c r="AE71" s="444"/>
      <c r="AF71" s="444"/>
      <c r="AG71" s="443"/>
      <c r="AH71" s="444"/>
      <c r="AI71" s="444"/>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c r="BG71" s="444"/>
      <c r="BH71" s="444"/>
      <c r="BI71" s="444" t="s">
        <v>854</v>
      </c>
      <c r="BJ71" s="630" t="s">
        <v>2900</v>
      </c>
      <c r="BK71" s="44" t="s">
        <v>2125</v>
      </c>
      <c r="BL71" s="629" t="s">
        <v>2838</v>
      </c>
      <c r="BM71" s="444"/>
      <c r="BN71" s="444"/>
      <c r="BO71" s="444"/>
      <c r="BP71" s="444"/>
      <c r="BQ71" s="444" t="s">
        <v>1</v>
      </c>
      <c r="BR71" s="444" t="s">
        <v>2420</v>
      </c>
      <c r="BS71" s="444"/>
      <c r="BT71" s="444"/>
      <c r="BU71" s="444"/>
      <c r="BV71" s="444"/>
      <c r="BW71" s="444"/>
      <c r="BX71" s="444"/>
      <c r="BY71" s="444"/>
      <c r="BZ71" s="444"/>
      <c r="CA71" s="444"/>
      <c r="CB71" s="444"/>
      <c r="CC71" s="444"/>
      <c r="CD71" s="444"/>
      <c r="CE71" s="444"/>
      <c r="CF71" s="444"/>
      <c r="CG71" s="444"/>
      <c r="CH71" s="444"/>
      <c r="CI71" s="444"/>
      <c r="CJ71" s="444"/>
      <c r="CK71" s="444"/>
      <c r="CL71" s="444"/>
      <c r="CM71" s="444"/>
      <c r="CN71" s="444"/>
      <c r="CO71" s="444"/>
      <c r="CP71" s="444"/>
      <c r="CQ71" s="443"/>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4"/>
      <c r="DR71" s="444"/>
      <c r="DS71" s="444"/>
      <c r="DT71" s="630"/>
      <c r="DU71" s="444"/>
      <c r="DV71" s="630"/>
      <c r="DW71" s="925"/>
      <c r="DX71" s="517" t="str">
        <f t="shared" si="22"/>
        <v>S-38-B</v>
      </c>
      <c r="DY71" s="518" t="str">
        <f t="shared" si="20"/>
        <v/>
      </c>
      <c r="DZ71" s="518" t="str">
        <f t="shared" si="21"/>
        <v/>
      </c>
    </row>
    <row r="72" spans="1:130" s="516" customFormat="1" ht="15" thickBot="1" x14ac:dyDescent="0.35">
      <c r="A72" s="463" t="s">
        <v>750</v>
      </c>
      <c r="B72" s="576" t="str">
        <f t="shared" si="19"/>
        <v>S-39 / SGTO 1RO. JARA ELGUETA JUAN</v>
      </c>
      <c r="C72" s="44" t="s">
        <v>2</v>
      </c>
      <c r="D72" s="629" t="s">
        <v>2456</v>
      </c>
      <c r="E72" s="443" t="s">
        <v>853</v>
      </c>
      <c r="F72" s="443" t="s">
        <v>1472</v>
      </c>
      <c r="G72" s="443" t="s">
        <v>2</v>
      </c>
      <c r="H72" s="443" t="s">
        <v>2049</v>
      </c>
      <c r="I72" s="443" t="s">
        <v>854</v>
      </c>
      <c r="J72" s="443" t="s">
        <v>2414</v>
      </c>
      <c r="K72" s="443" t="s">
        <v>2125</v>
      </c>
      <c r="L72" s="443" t="s">
        <v>2414</v>
      </c>
      <c r="M72" s="443" t="s">
        <v>1</v>
      </c>
      <c r="N72" s="443" t="s">
        <v>2372</v>
      </c>
      <c r="O72" s="443" t="s">
        <v>853</v>
      </c>
      <c r="P72" s="443" t="s">
        <v>1404</v>
      </c>
      <c r="Q72" s="443" t="s">
        <v>853</v>
      </c>
      <c r="R72" s="443" t="s">
        <v>3024</v>
      </c>
      <c r="S72" s="443" t="s">
        <v>854</v>
      </c>
      <c r="T72" s="443" t="s">
        <v>2420</v>
      </c>
      <c r="U72" s="443" t="s">
        <v>2125</v>
      </c>
      <c r="V72" s="443" t="s">
        <v>2420</v>
      </c>
      <c r="W72" s="443" t="s">
        <v>2</v>
      </c>
      <c r="X72" s="443" t="s">
        <v>2456</v>
      </c>
      <c r="Y72" s="443" t="s">
        <v>853</v>
      </c>
      <c r="Z72" s="443" t="s">
        <v>2420</v>
      </c>
      <c r="AA72" s="443" t="s">
        <v>853</v>
      </c>
      <c r="AB72" s="443" t="s">
        <v>3077</v>
      </c>
      <c r="AC72" s="443" t="s">
        <v>854</v>
      </c>
      <c r="AD72" s="443" t="s">
        <v>1404</v>
      </c>
      <c r="AE72" s="443" t="s">
        <v>2125</v>
      </c>
      <c r="AF72" s="443" t="s">
        <v>1404</v>
      </c>
      <c r="AG72" s="443" t="s">
        <v>1</v>
      </c>
      <c r="AH72" s="44" t="s">
        <v>2337</v>
      </c>
      <c r="AI72" s="443" t="s">
        <v>853</v>
      </c>
      <c r="AJ72" s="443" t="s">
        <v>3111</v>
      </c>
      <c r="AK72" s="443" t="s">
        <v>854</v>
      </c>
      <c r="AL72" s="443" t="s">
        <v>2414</v>
      </c>
      <c r="AM72" s="443" t="s">
        <v>2125</v>
      </c>
      <c r="AN72" s="443" t="s">
        <v>2838</v>
      </c>
      <c r="AO72" s="443" t="s">
        <v>1</v>
      </c>
      <c r="AP72" s="443" t="s">
        <v>2049</v>
      </c>
      <c r="AQ72" s="443" t="s">
        <v>853</v>
      </c>
      <c r="AR72" s="443" t="s">
        <v>3246</v>
      </c>
      <c r="AS72" s="443" t="s">
        <v>2</v>
      </c>
      <c r="AT72" s="443" t="s">
        <v>1472</v>
      </c>
      <c r="AU72" s="443" t="s">
        <v>854</v>
      </c>
      <c r="AV72" s="443" t="s">
        <v>1404</v>
      </c>
      <c r="AW72" s="443" t="s">
        <v>2125</v>
      </c>
      <c r="AX72" s="443" t="s">
        <v>1404</v>
      </c>
      <c r="AY72" s="443" t="s">
        <v>2</v>
      </c>
      <c r="AZ72" s="443" t="s">
        <v>2872</v>
      </c>
      <c r="BA72" s="443" t="s">
        <v>1</v>
      </c>
      <c r="BB72" s="443" t="s">
        <v>1472</v>
      </c>
      <c r="BC72" s="443" t="s">
        <v>2</v>
      </c>
      <c r="BD72" s="443" t="s">
        <v>2414</v>
      </c>
      <c r="BE72" s="443" t="s">
        <v>853</v>
      </c>
      <c r="BF72" s="443" t="s">
        <v>3376</v>
      </c>
      <c r="BG72" s="443" t="s">
        <v>853</v>
      </c>
      <c r="BH72" s="443" t="s">
        <v>3376</v>
      </c>
      <c r="BI72" s="443" t="s">
        <v>855</v>
      </c>
      <c r="BJ72" s="628" t="s">
        <v>1220</v>
      </c>
      <c r="BK72" s="44" t="s">
        <v>855</v>
      </c>
      <c r="BL72" s="44" t="s">
        <v>1220</v>
      </c>
      <c r="BM72" s="44" t="s">
        <v>6</v>
      </c>
      <c r="BN72" s="44" t="s">
        <v>882</v>
      </c>
      <c r="BO72" s="44" t="s">
        <v>2125</v>
      </c>
      <c r="BP72" s="44" t="s">
        <v>2838</v>
      </c>
      <c r="BQ72" s="44" t="s">
        <v>1</v>
      </c>
      <c r="BR72" s="44" t="s">
        <v>2456</v>
      </c>
      <c r="BS72" s="443" t="s">
        <v>853</v>
      </c>
      <c r="BT72" s="443" t="s">
        <v>3527</v>
      </c>
      <c r="BU72" s="443" t="s">
        <v>2</v>
      </c>
      <c r="BV72" s="443" t="s">
        <v>1404</v>
      </c>
      <c r="BW72" s="443" t="s">
        <v>853</v>
      </c>
      <c r="BX72" s="443" t="s">
        <v>3590</v>
      </c>
      <c r="BY72" s="443"/>
      <c r="BZ72" s="443"/>
      <c r="CA72" s="443"/>
      <c r="CB72" s="443"/>
      <c r="CC72" s="443"/>
      <c r="CD72" s="443"/>
      <c r="CE72" s="443"/>
      <c r="CF72" s="443"/>
      <c r="CG72" s="443"/>
      <c r="CH72" s="443"/>
      <c r="CI72" s="443"/>
      <c r="CJ72" s="443"/>
      <c r="CK72" s="443"/>
      <c r="CL72" s="443"/>
      <c r="CM72" s="443"/>
      <c r="CN72" s="443"/>
      <c r="CO72" s="443"/>
      <c r="CP72" s="443"/>
      <c r="CQ72" s="443"/>
      <c r="CR72" s="44"/>
      <c r="CS72" s="443"/>
      <c r="CT72" s="443"/>
      <c r="CU72" s="443"/>
      <c r="CV72" s="443"/>
      <c r="CW72" s="443"/>
      <c r="CX72" s="443"/>
      <c r="CY72" s="443"/>
      <c r="CZ72" s="443"/>
      <c r="DA72" s="443"/>
      <c r="DB72" s="443"/>
      <c r="DC72" s="443"/>
      <c r="DD72" s="443"/>
      <c r="DE72" s="443"/>
      <c r="DF72" s="443"/>
      <c r="DG72" s="443"/>
      <c r="DH72" s="443"/>
      <c r="DI72" s="443"/>
      <c r="DJ72" s="443"/>
      <c r="DK72" s="443"/>
      <c r="DL72" s="443"/>
      <c r="DM72" s="443"/>
      <c r="DN72" s="443"/>
      <c r="DO72" s="443"/>
      <c r="DP72" s="443"/>
      <c r="DQ72" s="443"/>
      <c r="DR72" s="443"/>
      <c r="DS72" s="443"/>
      <c r="DT72" s="628"/>
      <c r="DU72" s="443"/>
      <c r="DV72" s="628"/>
      <c r="DW72" s="917"/>
      <c r="DX72" s="517" t="str">
        <f t="shared" si="22"/>
        <v>S-39</v>
      </c>
      <c r="DY72" s="518" t="str">
        <f t="shared" si="20"/>
        <v>1P</v>
      </c>
      <c r="DZ72" s="518" t="str">
        <f t="shared" si="21"/>
        <v>ARIETE 22</v>
      </c>
    </row>
    <row r="73" spans="1:130" s="516" customFormat="1" ht="15" thickBot="1" x14ac:dyDescent="0.35">
      <c r="A73" s="463" t="s">
        <v>1244</v>
      </c>
      <c r="B73" s="577" t="str">
        <f t="shared" si="19"/>
        <v>S-39-B / -</v>
      </c>
      <c r="C73" s="44"/>
      <c r="D73" s="44"/>
      <c r="E73" s="443"/>
      <c r="F73" s="44"/>
      <c r="G73" s="44"/>
      <c r="H73" s="44"/>
      <c r="I73" s="44"/>
      <c r="J73" s="44"/>
      <c r="K73" s="44"/>
      <c r="L73" s="44"/>
      <c r="M73" s="44"/>
      <c r="N73" s="44"/>
      <c r="O73" s="44" t="s">
        <v>853</v>
      </c>
      <c r="P73" s="44" t="s">
        <v>2139</v>
      </c>
      <c r="Q73" s="44"/>
      <c r="R73" s="44"/>
      <c r="S73" s="44"/>
      <c r="T73" s="44"/>
      <c r="U73" s="44"/>
      <c r="V73" s="44"/>
      <c r="W73" s="44"/>
      <c r="X73" s="44"/>
      <c r="Y73" s="44"/>
      <c r="Z73" s="44"/>
      <c r="AA73" s="44"/>
      <c r="AB73" s="44"/>
      <c r="AC73" s="44" t="s">
        <v>854</v>
      </c>
      <c r="AD73" s="44" t="s">
        <v>2139</v>
      </c>
      <c r="AE73" s="44" t="s">
        <v>2125</v>
      </c>
      <c r="AF73" s="44" t="s">
        <v>2139</v>
      </c>
      <c r="AG73" s="44"/>
      <c r="AH73" s="444"/>
      <c r="AI73" s="44"/>
      <c r="AJ73" s="44"/>
      <c r="AK73" s="44"/>
      <c r="AL73" s="44"/>
      <c r="AM73" s="44"/>
      <c r="AN73" s="44"/>
      <c r="AO73" s="44"/>
      <c r="AP73" s="44"/>
      <c r="AQ73" s="44"/>
      <c r="AR73" s="44"/>
      <c r="AS73" s="44"/>
      <c r="AT73" s="44"/>
      <c r="AU73" s="44" t="s">
        <v>854</v>
      </c>
      <c r="AV73" s="44" t="s">
        <v>2139</v>
      </c>
      <c r="AW73" s="44" t="s">
        <v>2125</v>
      </c>
      <c r="AX73" s="44" t="s">
        <v>2139</v>
      </c>
      <c r="AY73" s="44"/>
      <c r="AZ73" s="44"/>
      <c r="BA73" s="44"/>
      <c r="BB73" s="44"/>
      <c r="BC73" s="44"/>
      <c r="BD73" s="44"/>
      <c r="BE73" s="44"/>
      <c r="BF73" s="44"/>
      <c r="BG73" s="44"/>
      <c r="BH73" s="44"/>
      <c r="BI73" s="44"/>
      <c r="BJ73" s="629"/>
      <c r="BK73" s="44"/>
      <c r="BL73" s="44"/>
      <c r="BM73" s="44"/>
      <c r="BN73" s="44"/>
      <c r="BO73" s="44"/>
      <c r="BP73" s="44"/>
      <c r="BQ73" s="44"/>
      <c r="BR73" s="44"/>
      <c r="BS73" s="44"/>
      <c r="BT73" s="44"/>
      <c r="BU73" s="44" t="s">
        <v>1</v>
      </c>
      <c r="BV73" s="44" t="s">
        <v>1404</v>
      </c>
      <c r="BW73" s="44"/>
      <c r="BX73" s="44"/>
      <c r="BY73" s="44"/>
      <c r="BZ73" s="44"/>
      <c r="CA73" s="44"/>
      <c r="CB73" s="44"/>
      <c r="CC73" s="44"/>
      <c r="CD73" s="44"/>
      <c r="CE73" s="44"/>
      <c r="CF73" s="44"/>
      <c r="CG73" s="44"/>
      <c r="CH73" s="44"/>
      <c r="CI73" s="44"/>
      <c r="CJ73" s="44"/>
      <c r="CK73" s="44"/>
      <c r="CL73" s="44"/>
      <c r="CM73" s="44"/>
      <c r="CN73" s="44"/>
      <c r="CO73" s="44"/>
      <c r="CP73" s="44"/>
      <c r="CQ73" s="44"/>
      <c r="CR73" s="4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629"/>
      <c r="DU73" s="44"/>
      <c r="DV73" s="629"/>
      <c r="DW73" s="925"/>
      <c r="DX73" s="517" t="str">
        <f t="shared" si="22"/>
        <v>S-39-B</v>
      </c>
      <c r="DY73" s="518" t="str">
        <f t="shared" si="20"/>
        <v/>
      </c>
      <c r="DZ73" s="518" t="str">
        <f t="shared" si="21"/>
        <v/>
      </c>
    </row>
    <row r="74" spans="1:130" s="516" customFormat="1" ht="28.8" x14ac:dyDescent="0.3">
      <c r="A74" s="463" t="s">
        <v>715</v>
      </c>
      <c r="B74" s="577" t="str">
        <f t="shared" si="19"/>
        <v>S-40 / SUBOFICIAL VALENZUELA AGUILERA ENZO ANTONIO</v>
      </c>
      <c r="C74" s="44" t="s">
        <v>2</v>
      </c>
      <c r="D74" s="629" t="s">
        <v>2049</v>
      </c>
      <c r="E74" s="44" t="s">
        <v>853</v>
      </c>
      <c r="F74" s="44" t="s">
        <v>1404</v>
      </c>
      <c r="G74" s="44" t="s">
        <v>2</v>
      </c>
      <c r="H74" s="44" t="s">
        <v>2372</v>
      </c>
      <c r="I74" s="44" t="s">
        <v>854</v>
      </c>
      <c r="J74" s="44" t="s">
        <v>882</v>
      </c>
      <c r="K74" s="44" t="s">
        <v>2125</v>
      </c>
      <c r="L74" s="44" t="s">
        <v>882</v>
      </c>
      <c r="M74" s="44" t="s">
        <v>1</v>
      </c>
      <c r="N74" s="44" t="s">
        <v>2456</v>
      </c>
      <c r="O74" s="44" t="s">
        <v>853</v>
      </c>
      <c r="P74" s="44" t="s">
        <v>3008</v>
      </c>
      <c r="Q74" s="44" t="s">
        <v>853</v>
      </c>
      <c r="R74" s="44" t="s">
        <v>3023</v>
      </c>
      <c r="S74" s="44" t="s">
        <v>854</v>
      </c>
      <c r="T74" s="44" t="s">
        <v>882</v>
      </c>
      <c r="U74" s="44" t="s">
        <v>2125</v>
      </c>
      <c r="V74" s="44" t="s">
        <v>882</v>
      </c>
      <c r="W74" s="44" t="s">
        <v>2</v>
      </c>
      <c r="X74" s="44" t="s">
        <v>2049</v>
      </c>
      <c r="Y74" s="44" t="s">
        <v>853</v>
      </c>
      <c r="Z74" s="44" t="s">
        <v>1472</v>
      </c>
      <c r="AA74" s="44" t="s">
        <v>853</v>
      </c>
      <c r="AB74" s="44" t="s">
        <v>3069</v>
      </c>
      <c r="AC74" s="44" t="s">
        <v>854</v>
      </c>
      <c r="AD74" s="44" t="s">
        <v>2420</v>
      </c>
      <c r="AE74" s="44" t="s">
        <v>2125</v>
      </c>
      <c r="AF74" s="44" t="s">
        <v>2420</v>
      </c>
      <c r="AG74" s="44" t="s">
        <v>1</v>
      </c>
      <c r="AH74" s="44" t="s">
        <v>2049</v>
      </c>
      <c r="AI74" s="44" t="s">
        <v>853</v>
      </c>
      <c r="AJ74" s="44" t="s">
        <v>3111</v>
      </c>
      <c r="AK74" s="44" t="s">
        <v>854</v>
      </c>
      <c r="AL74" s="44" t="s">
        <v>882</v>
      </c>
      <c r="AM74" s="44" t="s">
        <v>2125</v>
      </c>
      <c r="AN74" s="44" t="s">
        <v>2838</v>
      </c>
      <c r="AO74" s="44" t="s">
        <v>1</v>
      </c>
      <c r="AP74" s="44" t="s">
        <v>2456</v>
      </c>
      <c r="AQ74" s="44" t="s">
        <v>1</v>
      </c>
      <c r="AR74" s="44" t="s">
        <v>1472</v>
      </c>
      <c r="AS74" s="44" t="s">
        <v>2</v>
      </c>
      <c r="AT74" s="44" t="s">
        <v>1404</v>
      </c>
      <c r="AU74" s="44" t="s">
        <v>854</v>
      </c>
      <c r="AV74" s="44" t="s">
        <v>2420</v>
      </c>
      <c r="AW74" s="44" t="s">
        <v>2125</v>
      </c>
      <c r="AX74" s="44" t="s">
        <v>2420</v>
      </c>
      <c r="AY74" s="44" t="s">
        <v>1</v>
      </c>
      <c r="AZ74" s="44" t="s">
        <v>1404</v>
      </c>
      <c r="BA74" s="44" t="s">
        <v>1</v>
      </c>
      <c r="BB74" s="44" t="s">
        <v>2420</v>
      </c>
      <c r="BC74" s="44" t="s">
        <v>2</v>
      </c>
      <c r="BD74" s="44" t="s">
        <v>1404</v>
      </c>
      <c r="BE74" s="44" t="s">
        <v>853</v>
      </c>
      <c r="BF74" s="44" t="s">
        <v>3377</v>
      </c>
      <c r="BG74" s="44" t="s">
        <v>853</v>
      </c>
      <c r="BH74" s="44" t="s">
        <v>3402</v>
      </c>
      <c r="BI74" s="44" t="s">
        <v>855</v>
      </c>
      <c r="BJ74" s="629" t="s">
        <v>1220</v>
      </c>
      <c r="BK74" s="44" t="s">
        <v>855</v>
      </c>
      <c r="BL74" s="44" t="s">
        <v>1220</v>
      </c>
      <c r="BM74" s="44" t="s">
        <v>6</v>
      </c>
      <c r="BN74" s="44" t="s">
        <v>3417</v>
      </c>
      <c r="BO74" s="44" t="s">
        <v>2125</v>
      </c>
      <c r="BP74" s="44" t="s">
        <v>2838</v>
      </c>
      <c r="BQ74" s="44" t="s">
        <v>1</v>
      </c>
      <c r="BR74" s="44" t="s">
        <v>2372</v>
      </c>
      <c r="BS74" s="44" t="s">
        <v>1</v>
      </c>
      <c r="BT74" s="44" t="s">
        <v>2848</v>
      </c>
      <c r="BU74" s="44" t="s">
        <v>1</v>
      </c>
      <c r="BV74" s="44" t="s">
        <v>3550</v>
      </c>
      <c r="BW74" s="44" t="s">
        <v>853</v>
      </c>
      <c r="BX74" s="44" t="s">
        <v>3590</v>
      </c>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629"/>
      <c r="DU74" s="44"/>
      <c r="DV74" s="629"/>
      <c r="DW74" s="925"/>
      <c r="DX74" s="517" t="str">
        <f t="shared" si="22"/>
        <v>S-40</v>
      </c>
      <c r="DY74" s="518" t="str">
        <f t="shared" si="20"/>
        <v>1P</v>
      </c>
      <c r="DZ74" s="518" t="str">
        <f t="shared" si="21"/>
        <v>ARIETE 22</v>
      </c>
    </row>
    <row r="75" spans="1:130" s="516" customFormat="1" ht="15" thickBot="1" x14ac:dyDescent="0.35">
      <c r="A75" s="463" t="s">
        <v>1245</v>
      </c>
      <c r="B75" s="577" t="str">
        <f t="shared" si="19"/>
        <v>S-40-B / -</v>
      </c>
      <c r="C75" s="44"/>
      <c r="D75" s="44"/>
      <c r="E75" s="44" t="s">
        <v>853</v>
      </c>
      <c r="F75" s="44" t="s">
        <v>2858</v>
      </c>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t="s">
        <v>2</v>
      </c>
      <c r="AT75" s="44" t="s">
        <v>2139</v>
      </c>
      <c r="AU75" s="44"/>
      <c r="AV75" s="44"/>
      <c r="AW75" s="44"/>
      <c r="AX75" s="44"/>
      <c r="AY75" s="44"/>
      <c r="AZ75" s="44"/>
      <c r="BA75" s="44"/>
      <c r="BB75" s="44"/>
      <c r="BC75" s="44"/>
      <c r="BD75" s="44"/>
      <c r="BE75" s="44"/>
      <c r="BF75" s="44"/>
      <c r="BG75" s="44"/>
      <c r="BH75" s="44"/>
      <c r="BI75" s="44"/>
      <c r="BJ75" s="629"/>
      <c r="BK75" s="44"/>
      <c r="BL75" s="629"/>
      <c r="BM75" s="44"/>
      <c r="BN75" s="629"/>
      <c r="BO75" s="44"/>
      <c r="BP75" s="629"/>
      <c r="BQ75" s="44"/>
      <c r="BR75" s="629"/>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629"/>
      <c r="DU75" s="44"/>
      <c r="DV75" s="629"/>
      <c r="DW75" s="925"/>
      <c r="DX75" s="517" t="str">
        <f t="shared" si="22"/>
        <v>S-40-B</v>
      </c>
      <c r="DY75" s="518" t="str">
        <f t="shared" si="20"/>
        <v/>
      </c>
      <c r="DZ75" s="518" t="str">
        <f t="shared" si="21"/>
        <v/>
      </c>
    </row>
    <row r="76" spans="1:130" s="516" customFormat="1" x14ac:dyDescent="0.3">
      <c r="A76" s="567" t="s">
        <v>711</v>
      </c>
      <c r="B76" s="577" t="str">
        <f t="shared" si="19"/>
        <v>S-41 / SUBOFICIAL HENRIQUEZ JARAMILLO FIDEL</v>
      </c>
      <c r="C76" s="443" t="s">
        <v>2</v>
      </c>
      <c r="D76" s="628" t="s">
        <v>2372</v>
      </c>
      <c r="E76" s="44" t="s">
        <v>853</v>
      </c>
      <c r="F76" s="44" t="s">
        <v>2420</v>
      </c>
      <c r="G76" s="44" t="s">
        <v>2</v>
      </c>
      <c r="H76" s="44" t="s">
        <v>2456</v>
      </c>
      <c r="I76" s="44" t="s">
        <v>854</v>
      </c>
      <c r="J76" s="44" t="s">
        <v>1404</v>
      </c>
      <c r="K76" s="44" t="s">
        <v>2125</v>
      </c>
      <c r="L76" s="44" t="s">
        <v>1404</v>
      </c>
      <c r="M76" s="44" t="s">
        <v>1</v>
      </c>
      <c r="N76" s="44" t="s">
        <v>2049</v>
      </c>
      <c r="O76" s="44" t="s">
        <v>853</v>
      </c>
      <c r="P76" s="44" t="s">
        <v>2047</v>
      </c>
      <c r="Q76" s="44" t="s">
        <v>853</v>
      </c>
      <c r="R76" s="44" t="s">
        <v>3030</v>
      </c>
      <c r="S76" s="44" t="s">
        <v>854</v>
      </c>
      <c r="T76" s="44" t="s">
        <v>1404</v>
      </c>
      <c r="U76" s="44" t="s">
        <v>2125</v>
      </c>
      <c r="V76" s="44" t="s">
        <v>1404</v>
      </c>
      <c r="W76" s="44" t="s">
        <v>2</v>
      </c>
      <c r="X76" s="44" t="s">
        <v>2372</v>
      </c>
      <c r="Y76" s="44" t="s">
        <v>853</v>
      </c>
      <c r="Z76" s="44" t="s">
        <v>1404</v>
      </c>
      <c r="AA76" s="44" t="s">
        <v>853</v>
      </c>
      <c r="AB76" s="44" t="s">
        <v>3076</v>
      </c>
      <c r="AC76" s="44" t="s">
        <v>854</v>
      </c>
      <c r="AD76" s="44" t="s">
        <v>882</v>
      </c>
      <c r="AE76" s="44" t="s">
        <v>2125</v>
      </c>
      <c r="AF76" s="44" t="s">
        <v>882</v>
      </c>
      <c r="AG76" s="44" t="s">
        <v>1</v>
      </c>
      <c r="AH76" s="44" t="s">
        <v>2456</v>
      </c>
      <c r="AI76" s="44" t="s">
        <v>853</v>
      </c>
      <c r="AJ76" s="44" t="s">
        <v>3112</v>
      </c>
      <c r="AK76" s="44" t="s">
        <v>854</v>
      </c>
      <c r="AL76" s="516" t="s">
        <v>1404</v>
      </c>
      <c r="AM76" s="44" t="s">
        <v>2125</v>
      </c>
      <c r="AN76" s="44" t="s">
        <v>2838</v>
      </c>
      <c r="AO76" s="44" t="s">
        <v>1</v>
      </c>
      <c r="AP76" s="44" t="s">
        <v>2372</v>
      </c>
      <c r="AQ76" s="44" t="s">
        <v>1</v>
      </c>
      <c r="AR76" s="44" t="s">
        <v>2420</v>
      </c>
      <c r="AS76" s="44" t="s">
        <v>2</v>
      </c>
      <c r="AT76" s="44" t="s">
        <v>2420</v>
      </c>
      <c r="AU76" s="44" t="s">
        <v>854</v>
      </c>
      <c r="AV76" s="44" t="s">
        <v>882</v>
      </c>
      <c r="AW76" s="44" t="s">
        <v>2125</v>
      </c>
      <c r="AX76" s="44" t="s">
        <v>882</v>
      </c>
      <c r="AY76" s="44" t="s">
        <v>1</v>
      </c>
      <c r="AZ76" s="44" t="s">
        <v>2872</v>
      </c>
      <c r="BA76" s="44" t="s">
        <v>853</v>
      </c>
      <c r="BB76" s="44" t="s">
        <v>3329</v>
      </c>
      <c r="BC76" s="44" t="s">
        <v>2</v>
      </c>
      <c r="BD76" s="44" t="s">
        <v>1472</v>
      </c>
      <c r="BE76" s="44" t="s">
        <v>853</v>
      </c>
      <c r="BF76" s="44" t="s">
        <v>3386</v>
      </c>
      <c r="BG76" s="44" t="s">
        <v>853</v>
      </c>
      <c r="BH76" s="44" t="s">
        <v>3393</v>
      </c>
      <c r="BI76" s="44" t="s">
        <v>855</v>
      </c>
      <c r="BJ76" s="629" t="s">
        <v>1220</v>
      </c>
      <c r="BK76" s="44" t="s">
        <v>855</v>
      </c>
      <c r="BL76" s="44" t="s">
        <v>1220</v>
      </c>
      <c r="BM76" s="44" t="s">
        <v>6</v>
      </c>
      <c r="BN76" s="44" t="s">
        <v>1404</v>
      </c>
      <c r="BO76" s="44" t="s">
        <v>2125</v>
      </c>
      <c r="BP76" s="44" t="s">
        <v>2838</v>
      </c>
      <c r="BQ76" s="44" t="s">
        <v>1</v>
      </c>
      <c r="BR76" s="44" t="s">
        <v>2049</v>
      </c>
      <c r="BS76" s="44" t="s">
        <v>1</v>
      </c>
      <c r="BT76" s="44" t="s">
        <v>1404</v>
      </c>
      <c r="BU76" s="44" t="s">
        <v>2</v>
      </c>
      <c r="BV76" s="44" t="s">
        <v>2848</v>
      </c>
      <c r="BW76" s="44" t="s">
        <v>853</v>
      </c>
      <c r="BX76" s="44" t="s">
        <v>3591</v>
      </c>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629"/>
      <c r="DU76" s="44"/>
      <c r="DV76" s="629"/>
      <c r="DW76" s="925"/>
      <c r="DX76" s="517" t="str">
        <f t="shared" si="22"/>
        <v>S-41</v>
      </c>
      <c r="DY76" s="518" t="str">
        <f t="shared" si="20"/>
        <v>1P</v>
      </c>
      <c r="DZ76" s="518" t="str">
        <f t="shared" si="21"/>
        <v>ARIETE 23</v>
      </c>
    </row>
    <row r="77" spans="1:130" s="516" customFormat="1" ht="15" thickBot="1" x14ac:dyDescent="0.35">
      <c r="A77" s="567" t="s">
        <v>1246</v>
      </c>
      <c r="B77" s="578" t="str">
        <f t="shared" si="19"/>
        <v>S-41-B / -</v>
      </c>
      <c r="C77" s="44"/>
      <c r="D77" s="629"/>
      <c r="E77" s="444"/>
      <c r="F77" s="444"/>
      <c r="G77" s="444"/>
      <c r="H77" s="444"/>
      <c r="I77" s="444" t="s">
        <v>854</v>
      </c>
      <c r="J77" s="444" t="s">
        <v>2139</v>
      </c>
      <c r="K77" s="444" t="s">
        <v>2125</v>
      </c>
      <c r="L77" s="444" t="s">
        <v>2139</v>
      </c>
      <c r="M77" s="444"/>
      <c r="N77" s="444"/>
      <c r="O77" s="444"/>
      <c r="P77" s="444"/>
      <c r="Q77" s="444"/>
      <c r="R77" s="444"/>
      <c r="S77" s="444" t="s">
        <v>854</v>
      </c>
      <c r="T77" s="444" t="s">
        <v>2139</v>
      </c>
      <c r="U77" s="444" t="s">
        <v>2125</v>
      </c>
      <c r="V77" s="444" t="s">
        <v>2139</v>
      </c>
      <c r="W77" s="444"/>
      <c r="X77" s="444"/>
      <c r="Y77" s="444" t="s">
        <v>853</v>
      </c>
      <c r="Z77" s="444" t="s">
        <v>2139</v>
      </c>
      <c r="AA77" s="444"/>
      <c r="AB77" s="444"/>
      <c r="AC77" s="444"/>
      <c r="AD77" s="444"/>
      <c r="AE77" s="444"/>
      <c r="AF77" s="444"/>
      <c r="AG77" s="444"/>
      <c r="AH77" s="444"/>
      <c r="AI77" s="444"/>
      <c r="AJ77" s="444"/>
      <c r="AK77" s="444" t="s">
        <v>854</v>
      </c>
      <c r="AL77" s="444" t="s">
        <v>3130</v>
      </c>
      <c r="AM77" s="444"/>
      <c r="AN77" s="444"/>
      <c r="AO77" s="444"/>
      <c r="AP77" s="444"/>
      <c r="AQ77" s="444"/>
      <c r="AR77" s="444"/>
      <c r="AS77" s="444"/>
      <c r="AT77" s="444"/>
      <c r="AU77" s="444"/>
      <c r="AV77" s="444"/>
      <c r="AW77" s="444"/>
      <c r="AX77" s="444"/>
      <c r="AY77" s="444"/>
      <c r="AZ77" s="444"/>
      <c r="BA77" s="444"/>
      <c r="BB77" s="444"/>
      <c r="BC77" s="444"/>
      <c r="BD77" s="444"/>
      <c r="BE77" s="444"/>
      <c r="BF77" s="444"/>
      <c r="BG77" s="444"/>
      <c r="BH77" s="444"/>
      <c r="BI77" s="444"/>
      <c r="BJ77" s="630"/>
      <c r="BK77" s="44"/>
      <c r="BL77" s="44"/>
      <c r="BM77" s="44" t="s">
        <v>6</v>
      </c>
      <c r="BN77" s="44" t="s">
        <v>2900</v>
      </c>
      <c r="BO77" s="44" t="s">
        <v>2125</v>
      </c>
      <c r="BP77" s="44" t="s">
        <v>2838</v>
      </c>
      <c r="BQ77" s="444"/>
      <c r="BR77" s="444"/>
      <c r="BS77" s="444"/>
      <c r="BT77" s="444"/>
      <c r="BU77" s="444"/>
      <c r="BV77" s="444"/>
      <c r="BW77" s="444"/>
      <c r="BX77" s="444"/>
      <c r="BY77" s="444"/>
      <c r="BZ77" s="444"/>
      <c r="CA77" s="444"/>
      <c r="CB77" s="444"/>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4"/>
      <c r="DR77" s="444"/>
      <c r="DS77" s="444"/>
      <c r="DT77" s="630"/>
      <c r="DU77" s="444"/>
      <c r="DV77" s="630"/>
      <c r="DW77" s="925"/>
      <c r="DX77" s="517" t="str">
        <f t="shared" si="22"/>
        <v>S-41-B</v>
      </c>
      <c r="DY77" s="518" t="str">
        <f t="shared" si="20"/>
        <v/>
      </c>
      <c r="DZ77" s="518" t="str">
        <f t="shared" si="21"/>
        <v/>
      </c>
    </row>
    <row r="78" spans="1:130" s="516" customFormat="1" ht="28.8" x14ac:dyDescent="0.3">
      <c r="A78" s="464" t="s">
        <v>700</v>
      </c>
      <c r="B78" s="573" t="str">
        <f t="shared" si="19"/>
        <v xml:space="preserve">S-42 / SUBOFICIAL VILLAGRA AREVALO SERGIO HUMBERTO      ( P )  </v>
      </c>
      <c r="C78" s="443" t="s">
        <v>853</v>
      </c>
      <c r="D78" s="443" t="s">
        <v>2848</v>
      </c>
      <c r="E78" s="443" t="s">
        <v>1</v>
      </c>
      <c r="F78" s="628" t="s">
        <v>2958</v>
      </c>
      <c r="G78" s="443" t="s">
        <v>854</v>
      </c>
      <c r="H78" s="443" t="s">
        <v>2420</v>
      </c>
      <c r="I78" s="443" t="s">
        <v>2125</v>
      </c>
      <c r="J78" s="443" t="s">
        <v>2420</v>
      </c>
      <c r="K78" s="443" t="s">
        <v>2</v>
      </c>
      <c r="L78" s="443" t="s">
        <v>2456</v>
      </c>
      <c r="M78" s="443" t="s">
        <v>853</v>
      </c>
      <c r="N78" s="443" t="s">
        <v>2047</v>
      </c>
      <c r="O78" s="443" t="s">
        <v>853</v>
      </c>
      <c r="P78" s="443" t="s">
        <v>3009</v>
      </c>
      <c r="Q78" s="443" t="s">
        <v>854</v>
      </c>
      <c r="R78" s="443" t="s">
        <v>2420</v>
      </c>
      <c r="S78" s="443" t="s">
        <v>2125</v>
      </c>
      <c r="T78" s="443" t="s">
        <v>2420</v>
      </c>
      <c r="U78" s="443" t="s">
        <v>1</v>
      </c>
      <c r="V78" s="443" t="s">
        <v>2372</v>
      </c>
      <c r="W78" s="443" t="s">
        <v>853</v>
      </c>
      <c r="X78" s="443" t="s">
        <v>1472</v>
      </c>
      <c r="Y78" s="443" t="s">
        <v>853</v>
      </c>
      <c r="Z78" s="443" t="s">
        <v>2047</v>
      </c>
      <c r="AA78" s="443" t="s">
        <v>854</v>
      </c>
      <c r="AB78" s="443" t="s">
        <v>1404</v>
      </c>
      <c r="AC78" s="443" t="s">
        <v>2125</v>
      </c>
      <c r="AD78" s="443" t="s">
        <v>1404</v>
      </c>
      <c r="AE78" s="443" t="s">
        <v>2</v>
      </c>
      <c r="AF78" s="443" t="s">
        <v>2456</v>
      </c>
      <c r="AG78" s="44" t="s">
        <v>853</v>
      </c>
      <c r="AH78" s="44" t="s">
        <v>1404</v>
      </c>
      <c r="AI78" s="443" t="s">
        <v>2</v>
      </c>
      <c r="AJ78" s="44" t="s">
        <v>2049</v>
      </c>
      <c r="AK78" s="443" t="s">
        <v>853</v>
      </c>
      <c r="AL78" s="443" t="s">
        <v>3131</v>
      </c>
      <c r="AM78" s="443" t="s">
        <v>854</v>
      </c>
      <c r="AN78" s="443" t="s">
        <v>2414</v>
      </c>
      <c r="AO78" s="443" t="s">
        <v>2125</v>
      </c>
      <c r="AP78" s="443" t="s">
        <v>2838</v>
      </c>
      <c r="AQ78" s="443" t="s">
        <v>1</v>
      </c>
      <c r="AR78" s="443" t="s">
        <v>880</v>
      </c>
      <c r="AS78" s="443" t="s">
        <v>853</v>
      </c>
      <c r="AT78" s="443" t="s">
        <v>3254</v>
      </c>
      <c r="AU78" s="443" t="s">
        <v>853</v>
      </c>
      <c r="AV78" s="443" t="s">
        <v>3294</v>
      </c>
      <c r="AW78" s="443" t="s">
        <v>854</v>
      </c>
      <c r="AX78" s="443" t="s">
        <v>882</v>
      </c>
      <c r="AY78" s="443" t="s">
        <v>2125</v>
      </c>
      <c r="AZ78" s="443" t="s">
        <v>882</v>
      </c>
      <c r="BA78" s="443" t="s">
        <v>2</v>
      </c>
      <c r="BB78" s="443" t="s">
        <v>2872</v>
      </c>
      <c r="BC78" s="443" t="s">
        <v>1</v>
      </c>
      <c r="BD78" s="443" t="s">
        <v>3344</v>
      </c>
      <c r="BE78" s="443" t="s">
        <v>853</v>
      </c>
      <c r="BF78" s="443" t="s">
        <v>3351</v>
      </c>
      <c r="BG78" s="443" t="s">
        <v>854</v>
      </c>
      <c r="BH78" s="443" t="s">
        <v>1404</v>
      </c>
      <c r="BI78" s="443" t="s">
        <v>2125</v>
      </c>
      <c r="BJ78" s="628" t="s">
        <v>1404</v>
      </c>
      <c r="BK78" s="44" t="s">
        <v>855</v>
      </c>
      <c r="BL78" s="44" t="s">
        <v>1220</v>
      </c>
      <c r="BM78" s="44" t="s">
        <v>853</v>
      </c>
      <c r="BN78" s="44" t="s">
        <v>3007</v>
      </c>
      <c r="BO78" s="44" t="s">
        <v>2</v>
      </c>
      <c r="BP78" s="44" t="s">
        <v>1404</v>
      </c>
      <c r="BQ78" s="44" t="s">
        <v>853</v>
      </c>
      <c r="BR78" s="44" t="s">
        <v>3476</v>
      </c>
      <c r="BS78" s="443" t="s">
        <v>6</v>
      </c>
      <c r="BT78" s="443" t="s">
        <v>2289</v>
      </c>
      <c r="BU78" s="443" t="s">
        <v>2125</v>
      </c>
      <c r="BV78" s="443" t="s">
        <v>2760</v>
      </c>
      <c r="BW78" s="443" t="s">
        <v>2</v>
      </c>
      <c r="BX78" s="443" t="s">
        <v>2456</v>
      </c>
      <c r="BY78" s="443"/>
      <c r="BZ78" s="443"/>
      <c r="CA78" s="443"/>
      <c r="CB78" s="443"/>
      <c r="CC78" s="443"/>
      <c r="CD78" s="443"/>
      <c r="CE78" s="443"/>
      <c r="CF78" s="443"/>
      <c r="CG78" s="443"/>
      <c r="CH78" s="443"/>
      <c r="CI78" s="443"/>
      <c r="CJ78" s="443"/>
      <c r="CK78" s="443"/>
      <c r="CL78" s="443"/>
      <c r="CM78" s="443"/>
      <c r="CN78" s="443"/>
      <c r="CO78" s="443"/>
      <c r="CP78" s="443"/>
      <c r="CQ78" s="44"/>
      <c r="CR78" s="44"/>
      <c r="CS78" s="443"/>
      <c r="CT78" s="44"/>
      <c r="CU78" s="443"/>
      <c r="CV78" s="443"/>
      <c r="CW78" s="443"/>
      <c r="CX78" s="443"/>
      <c r="CY78" s="443"/>
      <c r="CZ78" s="443"/>
      <c r="DA78" s="443"/>
      <c r="DB78" s="443"/>
      <c r="DC78" s="443"/>
      <c r="DD78" s="443"/>
      <c r="DE78" s="443"/>
      <c r="DF78" s="443"/>
      <c r="DG78" s="443"/>
      <c r="DH78" s="443"/>
      <c r="DI78" s="443"/>
      <c r="DJ78" s="443"/>
      <c r="DK78" s="443"/>
      <c r="DL78" s="443"/>
      <c r="DM78" s="443"/>
      <c r="DN78" s="443"/>
      <c r="DO78" s="443"/>
      <c r="DP78" s="443"/>
      <c r="DQ78" s="443"/>
      <c r="DR78" s="443"/>
      <c r="DS78" s="443"/>
      <c r="DT78" s="628"/>
      <c r="DU78" s="443"/>
      <c r="DV78" s="628"/>
      <c r="DW78" s="917"/>
      <c r="DX78" s="517" t="str">
        <f t="shared" si="22"/>
        <v>S-42</v>
      </c>
      <c r="DY78" s="518" t="str">
        <f t="shared" si="20"/>
        <v>1T</v>
      </c>
      <c r="DZ78" s="518" t="str">
        <f t="shared" si="21"/>
        <v>MONEDA</v>
      </c>
    </row>
    <row r="79" spans="1:130" s="516" customFormat="1" x14ac:dyDescent="0.3">
      <c r="A79" s="464" t="s">
        <v>1247</v>
      </c>
      <c r="B79" s="574" t="str">
        <f t="shared" si="19"/>
        <v>S-42-B / -</v>
      </c>
      <c r="C79" s="44"/>
      <c r="D79" s="44"/>
      <c r="E79" s="44"/>
      <c r="F79" s="629"/>
      <c r="G79" s="44"/>
      <c r="H79" s="44"/>
      <c r="I79" s="44"/>
      <c r="J79" s="44"/>
      <c r="K79" s="44"/>
      <c r="L79" s="44"/>
      <c r="M79" s="44"/>
      <c r="N79" s="44"/>
      <c r="O79" s="44"/>
      <c r="P79" s="44"/>
      <c r="Q79" s="44"/>
      <c r="R79" s="44"/>
      <c r="S79" s="44"/>
      <c r="T79" s="44"/>
      <c r="U79" s="44"/>
      <c r="V79" s="44"/>
      <c r="W79" s="44"/>
      <c r="X79" s="44"/>
      <c r="Y79" s="44"/>
      <c r="Z79" s="44"/>
      <c r="AA79" s="44" t="s">
        <v>854</v>
      </c>
      <c r="AB79" s="44" t="s">
        <v>2139</v>
      </c>
      <c r="AC79" s="44" t="s">
        <v>2125</v>
      </c>
      <c r="AD79" s="44" t="s">
        <v>2139</v>
      </c>
      <c r="AE79" s="44"/>
      <c r="AF79" s="44"/>
      <c r="AG79" s="44" t="s">
        <v>853</v>
      </c>
      <c r="AH79" s="44" t="s">
        <v>2139</v>
      </c>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t="s">
        <v>2125</v>
      </c>
      <c r="BJ79" s="629" t="s">
        <v>2900</v>
      </c>
      <c r="BK79" s="44"/>
      <c r="BL79" s="629"/>
      <c r="BM79" s="44"/>
      <c r="BN79" s="629"/>
      <c r="BO79" s="44" t="s">
        <v>2</v>
      </c>
      <c r="BP79" s="629" t="s">
        <v>2900</v>
      </c>
      <c r="BQ79" s="44"/>
      <c r="BR79" s="629"/>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629"/>
      <c r="DU79" s="44"/>
      <c r="DV79" s="629"/>
      <c r="DW79" s="925"/>
      <c r="DX79" s="517" t="str">
        <f t="shared" si="22"/>
        <v>S-42-B</v>
      </c>
      <c r="DY79" s="518" t="str">
        <f t="shared" si="20"/>
        <v/>
      </c>
      <c r="DZ79" s="518" t="str">
        <f t="shared" si="21"/>
        <v/>
      </c>
    </row>
    <row r="80" spans="1:130" s="516" customFormat="1" x14ac:dyDescent="0.3">
      <c r="A80" s="464" t="s">
        <v>716</v>
      </c>
      <c r="B80" s="574" t="str">
        <f t="shared" si="19"/>
        <v>S-43 / SGTO 1RO. CIFUENTES NAVARRETE VICTOR</v>
      </c>
      <c r="C80" s="44" t="s">
        <v>853</v>
      </c>
      <c r="D80" s="44" t="s">
        <v>1404</v>
      </c>
      <c r="E80" s="44" t="s">
        <v>1</v>
      </c>
      <c r="F80" s="629" t="s">
        <v>2959</v>
      </c>
      <c r="G80" s="44" t="s">
        <v>854</v>
      </c>
      <c r="H80" s="44" t="s">
        <v>882</v>
      </c>
      <c r="I80" s="44" t="s">
        <v>2125</v>
      </c>
      <c r="J80" s="44" t="s">
        <v>882</v>
      </c>
      <c r="K80" s="44" t="s">
        <v>2</v>
      </c>
      <c r="L80" s="44" t="s">
        <v>2857</v>
      </c>
      <c r="M80" s="44" t="s">
        <v>853</v>
      </c>
      <c r="N80" s="44" t="s">
        <v>1472</v>
      </c>
      <c r="O80" s="44" t="s">
        <v>853</v>
      </c>
      <c r="P80" s="44" t="s">
        <v>3004</v>
      </c>
      <c r="Q80" s="44" t="s">
        <v>854</v>
      </c>
      <c r="R80" s="44" t="s">
        <v>882</v>
      </c>
      <c r="S80" s="44" t="s">
        <v>2125</v>
      </c>
      <c r="T80" s="44" t="s">
        <v>882</v>
      </c>
      <c r="U80" s="44" t="s">
        <v>1</v>
      </c>
      <c r="V80" s="44" t="s">
        <v>2456</v>
      </c>
      <c r="W80" s="44" t="s">
        <v>853</v>
      </c>
      <c r="X80" s="44" t="s">
        <v>1404</v>
      </c>
      <c r="Y80" s="44" t="s">
        <v>853</v>
      </c>
      <c r="Z80" s="44" t="s">
        <v>3062</v>
      </c>
      <c r="AA80" s="44" t="s">
        <v>854</v>
      </c>
      <c r="AB80" s="44" t="s">
        <v>2420</v>
      </c>
      <c r="AC80" s="44" t="s">
        <v>2125</v>
      </c>
      <c r="AD80" s="44" t="s">
        <v>2420</v>
      </c>
      <c r="AE80" s="44" t="s">
        <v>2</v>
      </c>
      <c r="AF80" s="44" t="s">
        <v>2372</v>
      </c>
      <c r="AG80" s="44" t="s">
        <v>853</v>
      </c>
      <c r="AH80" s="44" t="s">
        <v>2420</v>
      </c>
      <c r="AI80" s="44" t="s">
        <v>2</v>
      </c>
      <c r="AJ80" s="44" t="s">
        <v>2456</v>
      </c>
      <c r="AK80" s="44" t="s">
        <v>853</v>
      </c>
      <c r="AL80" s="44" t="s">
        <v>3135</v>
      </c>
      <c r="AM80" s="44" t="s">
        <v>854</v>
      </c>
      <c r="AN80" s="44" t="s">
        <v>882</v>
      </c>
      <c r="AO80" s="44" t="s">
        <v>2125</v>
      </c>
      <c r="AP80" s="44" t="s">
        <v>2838</v>
      </c>
      <c r="AQ80" s="44" t="s">
        <v>1</v>
      </c>
      <c r="AR80" s="44" t="s">
        <v>1404</v>
      </c>
      <c r="AS80" s="44" t="s">
        <v>1</v>
      </c>
      <c r="AT80" s="44" t="s">
        <v>1472</v>
      </c>
      <c r="AU80" s="44" t="s">
        <v>853</v>
      </c>
      <c r="AV80" s="44" t="s">
        <v>1404</v>
      </c>
      <c r="AW80" s="44" t="s">
        <v>854</v>
      </c>
      <c r="AX80" s="44" t="s">
        <v>1404</v>
      </c>
      <c r="AY80" s="44" t="s">
        <v>2125</v>
      </c>
      <c r="AZ80" s="44" t="s">
        <v>1404</v>
      </c>
      <c r="BA80" s="44" t="s">
        <v>1</v>
      </c>
      <c r="BB80" s="44" t="s">
        <v>1404</v>
      </c>
      <c r="BC80" s="44" t="s">
        <v>1</v>
      </c>
      <c r="BD80" s="44" t="s">
        <v>1404</v>
      </c>
      <c r="BE80" s="44" t="s">
        <v>853</v>
      </c>
      <c r="BF80" s="44" t="s">
        <v>3378</v>
      </c>
      <c r="BG80" s="44" t="s">
        <v>854</v>
      </c>
      <c r="BH80" s="44" t="s">
        <v>3576</v>
      </c>
      <c r="BI80" s="44" t="s">
        <v>2125</v>
      </c>
      <c r="BJ80" s="629" t="s">
        <v>2420</v>
      </c>
      <c r="BK80" s="44" t="s">
        <v>855</v>
      </c>
      <c r="BL80" s="44" t="s">
        <v>1220</v>
      </c>
      <c r="BM80" s="44" t="s">
        <v>2</v>
      </c>
      <c r="BN80" s="44" t="s">
        <v>3444</v>
      </c>
      <c r="BO80" s="44" t="s">
        <v>2</v>
      </c>
      <c r="BP80" s="44" t="s">
        <v>2420</v>
      </c>
      <c r="BQ80" s="44" t="s">
        <v>853</v>
      </c>
      <c r="BR80" s="44" t="s">
        <v>3475</v>
      </c>
      <c r="BS80" s="44" t="s">
        <v>6</v>
      </c>
      <c r="BT80" s="44" t="s">
        <v>2289</v>
      </c>
      <c r="BU80" s="44" t="s">
        <v>2125</v>
      </c>
      <c r="BV80" s="44" t="s">
        <v>2760</v>
      </c>
      <c r="BW80" s="44" t="s">
        <v>2</v>
      </c>
      <c r="BX80" s="44" t="s">
        <v>2049</v>
      </c>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629"/>
      <c r="DU80" s="44"/>
      <c r="DV80" s="629"/>
      <c r="DW80" s="925"/>
      <c r="DX80" s="517" t="str">
        <f t="shared" si="22"/>
        <v>S-43</v>
      </c>
      <c r="DY80" s="518" t="str">
        <f t="shared" si="20"/>
        <v>1T</v>
      </c>
      <c r="DZ80" s="518" t="str">
        <f t="shared" si="21"/>
        <v>CONSTITUCION</v>
      </c>
    </row>
    <row r="81" spans="1:130" s="516" customFormat="1" ht="15" thickBot="1" x14ac:dyDescent="0.35">
      <c r="A81" s="464" t="s">
        <v>1248</v>
      </c>
      <c r="B81" s="574" t="str">
        <f t="shared" si="19"/>
        <v>S-43-B / -</v>
      </c>
      <c r="C81" s="44" t="s">
        <v>853</v>
      </c>
      <c r="D81" s="44" t="s">
        <v>2900</v>
      </c>
      <c r="E81" s="44"/>
      <c r="F81" s="44"/>
      <c r="G81" s="44"/>
      <c r="H81" s="44"/>
      <c r="I81" s="44"/>
      <c r="J81" s="44"/>
      <c r="K81" s="44"/>
      <c r="L81" s="44"/>
      <c r="M81" s="44"/>
      <c r="N81" s="44"/>
      <c r="O81" s="44"/>
      <c r="P81" s="44"/>
      <c r="Q81" s="44"/>
      <c r="R81" s="44"/>
      <c r="S81" s="44"/>
      <c r="T81" s="44"/>
      <c r="U81" s="44"/>
      <c r="V81" s="44"/>
      <c r="W81" s="44" t="s">
        <v>853</v>
      </c>
      <c r="X81" s="44" t="s">
        <v>2139</v>
      </c>
      <c r="Y81" s="44"/>
      <c r="Z81" s="44"/>
      <c r="AA81" s="44"/>
      <c r="AB81" s="44"/>
      <c r="AC81" s="44"/>
      <c r="AD81" s="44"/>
      <c r="AE81" s="44"/>
      <c r="AF81" s="44"/>
      <c r="AG81" s="444"/>
      <c r="AH81" s="444"/>
      <c r="AI81" s="444"/>
      <c r="AJ81" s="444"/>
      <c r="AK81" s="44"/>
      <c r="AL81" s="44"/>
      <c r="AM81" s="44"/>
      <c r="AN81" s="44"/>
      <c r="AO81" s="44"/>
      <c r="AP81" s="44"/>
      <c r="AQ81" s="44" t="s">
        <v>1</v>
      </c>
      <c r="AR81" s="44" t="s">
        <v>3151</v>
      </c>
      <c r="AS81" s="44"/>
      <c r="AT81" s="44"/>
      <c r="AU81" s="44" t="s">
        <v>853</v>
      </c>
      <c r="AV81" s="44" t="s">
        <v>3151</v>
      </c>
      <c r="AW81" s="44" t="s">
        <v>854</v>
      </c>
      <c r="AX81" s="44" t="s">
        <v>2139</v>
      </c>
      <c r="AY81" s="44" t="s">
        <v>2125</v>
      </c>
      <c r="AZ81" s="44" t="s">
        <v>2139</v>
      </c>
      <c r="BA81" s="44"/>
      <c r="BB81" s="44"/>
      <c r="BC81" s="44"/>
      <c r="BD81" s="44"/>
      <c r="BE81" s="44"/>
      <c r="BF81" s="44"/>
      <c r="BG81" s="44"/>
      <c r="BH81" s="44"/>
      <c r="BI81" s="44"/>
      <c r="BJ81" s="629"/>
      <c r="BK81" s="44"/>
      <c r="BL81" s="629"/>
      <c r="BM81" s="44"/>
      <c r="BN81" s="629"/>
      <c r="BO81" s="44"/>
      <c r="BP81" s="629"/>
      <c r="BQ81" s="44"/>
      <c r="BR81" s="629"/>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4"/>
      <c r="CR81" s="444"/>
      <c r="CS81" s="444"/>
      <c r="CT81" s="4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629"/>
      <c r="DU81" s="44"/>
      <c r="DV81" s="629"/>
      <c r="DW81" s="925"/>
      <c r="DX81" s="517" t="str">
        <f t="shared" si="22"/>
        <v>S-43-B</v>
      </c>
      <c r="DY81" s="518" t="str">
        <f t="shared" si="20"/>
        <v/>
      </c>
      <c r="DZ81" s="518" t="str">
        <f t="shared" si="21"/>
        <v/>
      </c>
    </row>
    <row r="82" spans="1:130" s="516" customFormat="1" x14ac:dyDescent="0.3">
      <c r="A82" s="567" t="s">
        <v>752</v>
      </c>
      <c r="B82" s="574" t="str">
        <f t="shared" si="19"/>
        <v>S-44 / SUBOFICIAL ARAVENA ARAYA GEORGE ALEXIS</v>
      </c>
      <c r="C82" s="44" t="s">
        <v>1</v>
      </c>
      <c r="D82" s="44" t="s">
        <v>2945</v>
      </c>
      <c r="E82" s="44" t="s">
        <v>853</v>
      </c>
      <c r="F82" s="629" t="s">
        <v>2961</v>
      </c>
      <c r="G82" s="44" t="s">
        <v>854</v>
      </c>
      <c r="H82" s="44" t="s">
        <v>1404</v>
      </c>
      <c r="I82" s="44" t="s">
        <v>2125</v>
      </c>
      <c r="J82" s="44" t="s">
        <v>1404</v>
      </c>
      <c r="K82" s="44" t="s">
        <v>2</v>
      </c>
      <c r="L82" s="44" t="s">
        <v>2372</v>
      </c>
      <c r="M82" s="44" t="s">
        <v>853</v>
      </c>
      <c r="N82" s="44" t="s">
        <v>1404</v>
      </c>
      <c r="O82" s="44" t="s">
        <v>853</v>
      </c>
      <c r="P82" s="44" t="s">
        <v>3007</v>
      </c>
      <c r="Q82" s="44" t="s">
        <v>854</v>
      </c>
      <c r="R82" s="44" t="s">
        <v>1404</v>
      </c>
      <c r="S82" s="44" t="s">
        <v>2125</v>
      </c>
      <c r="T82" s="44" t="s">
        <v>1404</v>
      </c>
      <c r="U82" s="44" t="s">
        <v>1</v>
      </c>
      <c r="V82" s="44" t="s">
        <v>2049</v>
      </c>
      <c r="W82" s="44" t="s">
        <v>853</v>
      </c>
      <c r="X82" s="44" t="s">
        <v>2047</v>
      </c>
      <c r="Y82" s="44" t="s">
        <v>853</v>
      </c>
      <c r="Z82" s="44" t="s">
        <v>3061</v>
      </c>
      <c r="AA82" s="44" t="s">
        <v>854</v>
      </c>
      <c r="AB82" s="44" t="s">
        <v>882</v>
      </c>
      <c r="AC82" s="44" t="s">
        <v>962</v>
      </c>
      <c r="AD82" s="44" t="s">
        <v>2845</v>
      </c>
      <c r="AE82" s="44" t="s">
        <v>2</v>
      </c>
      <c r="AF82" s="44" t="s">
        <v>2049</v>
      </c>
      <c r="AG82" s="443" t="s">
        <v>853</v>
      </c>
      <c r="AH82" s="443" t="s">
        <v>1472</v>
      </c>
      <c r="AI82" s="443" t="s">
        <v>2</v>
      </c>
      <c r="AJ82" s="443" t="s">
        <v>2372</v>
      </c>
      <c r="AK82" s="44" t="s">
        <v>853</v>
      </c>
      <c r="AL82" s="44" t="s">
        <v>3004</v>
      </c>
      <c r="AM82" s="44" t="s">
        <v>854</v>
      </c>
      <c r="AN82" s="44" t="s">
        <v>1404</v>
      </c>
      <c r="AO82" s="44" t="s">
        <v>2125</v>
      </c>
      <c r="AP82" s="44" t="s">
        <v>2838</v>
      </c>
      <c r="AQ82" s="44" t="s">
        <v>2</v>
      </c>
      <c r="AR82" s="44" t="s">
        <v>880</v>
      </c>
      <c r="AS82" s="44" t="s">
        <v>1</v>
      </c>
      <c r="AT82" s="44" t="s">
        <v>2420</v>
      </c>
      <c r="AU82" s="44" t="s">
        <v>853</v>
      </c>
      <c r="AV82" s="44" t="s">
        <v>2420</v>
      </c>
      <c r="AW82" s="44" t="s">
        <v>854</v>
      </c>
      <c r="AX82" s="44" t="s">
        <v>2420</v>
      </c>
      <c r="AY82" s="44" t="s">
        <v>2125</v>
      </c>
      <c r="AZ82" s="44" t="s">
        <v>2420</v>
      </c>
      <c r="BA82" s="44" t="s">
        <v>1</v>
      </c>
      <c r="BB82" s="44" t="s">
        <v>2872</v>
      </c>
      <c r="BC82" s="44" t="s">
        <v>2</v>
      </c>
      <c r="BD82" s="44" t="s">
        <v>3344</v>
      </c>
      <c r="BE82" s="44" t="s">
        <v>853</v>
      </c>
      <c r="BF82" s="44" t="s">
        <v>3352</v>
      </c>
      <c r="BG82" s="44" t="s">
        <v>854</v>
      </c>
      <c r="BH82" s="44" t="s">
        <v>3577</v>
      </c>
      <c r="BI82" s="44" t="s">
        <v>2125</v>
      </c>
      <c r="BJ82" s="629" t="s">
        <v>2650</v>
      </c>
      <c r="BK82" s="44" t="s">
        <v>855</v>
      </c>
      <c r="BL82" s="44" t="s">
        <v>1220</v>
      </c>
      <c r="BM82" s="44" t="s">
        <v>1</v>
      </c>
      <c r="BN82" s="44" t="s">
        <v>3444</v>
      </c>
      <c r="BO82" s="44" t="s">
        <v>2</v>
      </c>
      <c r="BP82" s="44" t="s">
        <v>1472</v>
      </c>
      <c r="BQ82" s="44" t="s">
        <v>853</v>
      </c>
      <c r="BR82" s="44" t="s">
        <v>3004</v>
      </c>
      <c r="BS82" s="44" t="s">
        <v>854</v>
      </c>
      <c r="BT82" s="44" t="s">
        <v>882</v>
      </c>
      <c r="BU82" s="44" t="s">
        <v>2125</v>
      </c>
      <c r="BV82" s="44" t="s">
        <v>2760</v>
      </c>
      <c r="BW82" s="44" t="s">
        <v>2</v>
      </c>
      <c r="BX82" s="44" t="s">
        <v>2372</v>
      </c>
      <c r="BY82" s="44"/>
      <c r="BZ82" s="44"/>
      <c r="CA82" s="44"/>
      <c r="CB82" s="44"/>
      <c r="CC82" s="44"/>
      <c r="CD82" s="44"/>
      <c r="CE82" s="44"/>
      <c r="CF82" s="44"/>
      <c r="CG82" s="44"/>
      <c r="CH82" s="44"/>
      <c r="CI82" s="44"/>
      <c r="CJ82" s="44"/>
      <c r="CK82" s="44"/>
      <c r="CL82" s="44"/>
      <c r="CM82" s="44"/>
      <c r="CN82" s="44"/>
      <c r="CO82" s="44"/>
      <c r="CP82" s="44"/>
      <c r="CQ82" s="443"/>
      <c r="CR82" s="443"/>
      <c r="CS82" s="443"/>
      <c r="CT82" s="443"/>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629"/>
      <c r="DU82" s="44"/>
      <c r="DV82" s="629"/>
      <c r="DW82" s="925"/>
      <c r="DX82" s="517" t="str">
        <f t="shared" si="22"/>
        <v>S-44</v>
      </c>
      <c r="DY82" s="518" t="str">
        <f t="shared" si="20"/>
        <v>1T</v>
      </c>
      <c r="DZ82" s="518" t="str">
        <f t="shared" si="21"/>
        <v>CIUDADANIA</v>
      </c>
    </row>
    <row r="83" spans="1:130" s="516" customFormat="1" ht="15" thickBot="1" x14ac:dyDescent="0.35">
      <c r="A83" s="567" t="s">
        <v>1249</v>
      </c>
      <c r="B83" s="575" t="str">
        <f t="shared" si="19"/>
        <v>S-44-B / -</v>
      </c>
      <c r="C83" s="444"/>
      <c r="D83" s="444"/>
      <c r="E83" s="444"/>
      <c r="F83" s="444"/>
      <c r="G83" s="444" t="s">
        <v>854</v>
      </c>
      <c r="H83" s="444" t="s">
        <v>2139</v>
      </c>
      <c r="I83" s="444" t="s">
        <v>2125</v>
      </c>
      <c r="J83" s="444" t="s">
        <v>2139</v>
      </c>
      <c r="K83" s="444"/>
      <c r="L83" s="444"/>
      <c r="M83" s="444" t="s">
        <v>853</v>
      </c>
      <c r="N83" s="444" t="s">
        <v>2139</v>
      </c>
      <c r="O83" s="444"/>
      <c r="P83" s="444"/>
      <c r="Q83" s="444" t="s">
        <v>854</v>
      </c>
      <c r="R83" s="444" t="s">
        <v>2139</v>
      </c>
      <c r="S83" s="444" t="s">
        <v>2125</v>
      </c>
      <c r="T83" s="444" t="s">
        <v>2139</v>
      </c>
      <c r="U83" s="444"/>
      <c r="V83" s="444"/>
      <c r="W83" s="444"/>
      <c r="X83" s="444"/>
      <c r="Y83" s="444"/>
      <c r="Z83" s="444"/>
      <c r="AA83" s="444"/>
      <c r="AB83" s="444"/>
      <c r="AC83" s="444"/>
      <c r="AD83" s="444"/>
      <c r="AE83" s="444"/>
      <c r="AF83" s="444"/>
      <c r="AG83" s="444"/>
      <c r="AH83" s="444"/>
      <c r="AI83" s="444"/>
      <c r="AJ83" s="444"/>
      <c r="AK83" s="444"/>
      <c r="AL83" s="444"/>
      <c r="AM83" s="444" t="s">
        <v>854</v>
      </c>
      <c r="AN83" s="444" t="s">
        <v>2139</v>
      </c>
      <c r="AO83" s="444" t="s">
        <v>2125</v>
      </c>
      <c r="AP83" s="444" t="s">
        <v>2838</v>
      </c>
      <c r="AQ83" s="444"/>
      <c r="AR83" s="444"/>
      <c r="AS83" s="444"/>
      <c r="AT83" s="444"/>
      <c r="AU83" s="444"/>
      <c r="AV83" s="444"/>
      <c r="AW83" s="444"/>
      <c r="AX83" s="444"/>
      <c r="AY83" s="444"/>
      <c r="AZ83" s="444"/>
      <c r="BA83" s="444"/>
      <c r="BB83" s="444"/>
      <c r="BC83" s="444"/>
      <c r="BD83" s="444"/>
      <c r="BE83" s="444"/>
      <c r="BF83" s="444"/>
      <c r="BG83" s="444"/>
      <c r="BH83" s="444"/>
      <c r="BI83" s="444"/>
      <c r="BJ83" s="630"/>
      <c r="BK83" s="444"/>
      <c r="BL83" s="630"/>
      <c r="BM83" s="444"/>
      <c r="BN83" s="444"/>
      <c r="BO83" s="444"/>
      <c r="BP83" s="444"/>
      <c r="BQ83" s="444"/>
      <c r="BR83" s="444"/>
      <c r="BS83" s="444"/>
      <c r="BT83" s="444"/>
      <c r="BU83" s="444"/>
      <c r="BV83" s="444"/>
      <c r="BW83" s="444"/>
      <c r="BX83" s="444"/>
      <c r="BY83" s="444"/>
      <c r="BZ83" s="444"/>
      <c r="CA83" s="444"/>
      <c r="CB83" s="444"/>
      <c r="CC83" s="444"/>
      <c r="CD83" s="444"/>
      <c r="CE83" s="444"/>
      <c r="CF83" s="444"/>
      <c r="CG83" s="444"/>
      <c r="CH83" s="444"/>
      <c r="CI83" s="444"/>
      <c r="CJ83" s="444"/>
      <c r="CK83" s="444"/>
      <c r="CL83" s="444"/>
      <c r="CM83" s="444"/>
      <c r="CN83" s="444"/>
      <c r="CO83" s="444"/>
      <c r="CP83" s="444"/>
      <c r="CQ83" s="444"/>
      <c r="CR83" s="444"/>
      <c r="CS83" s="444"/>
      <c r="CT83" s="444"/>
      <c r="CU83" s="444"/>
      <c r="CV83" s="444"/>
      <c r="CW83" s="444"/>
      <c r="CX83" s="444"/>
      <c r="CY83" s="444"/>
      <c r="CZ83" s="444"/>
      <c r="DA83" s="444"/>
      <c r="DB83" s="444"/>
      <c r="DC83" s="444"/>
      <c r="DD83" s="444"/>
      <c r="DE83" s="444"/>
      <c r="DF83" s="444"/>
      <c r="DG83" s="444"/>
      <c r="DH83" s="444"/>
      <c r="DI83" s="444"/>
      <c r="DJ83" s="444"/>
      <c r="DK83" s="444"/>
      <c r="DL83" s="444"/>
      <c r="DM83" s="444"/>
      <c r="DN83" s="444"/>
      <c r="DO83" s="444"/>
      <c r="DP83" s="444"/>
      <c r="DQ83" s="444"/>
      <c r="DR83" s="444"/>
      <c r="DS83" s="444"/>
      <c r="DT83" s="630"/>
      <c r="DU83" s="444"/>
      <c r="DV83" s="630"/>
      <c r="DW83" s="925"/>
      <c r="DX83" s="517" t="str">
        <f t="shared" si="22"/>
        <v>S-44-B</v>
      </c>
      <c r="DY83" s="518" t="str">
        <f t="shared" si="20"/>
        <v/>
      </c>
      <c r="DZ83" s="518" t="str">
        <f t="shared" si="21"/>
        <v/>
      </c>
    </row>
    <row r="84" spans="1:130" s="516" customFormat="1" ht="28.8" x14ac:dyDescent="0.3">
      <c r="A84" s="460" t="s">
        <v>731</v>
      </c>
      <c r="B84" s="576" t="str">
        <f t="shared" si="19"/>
        <v>S-45 / SGTO 1RO. FERNANDEZ CASTILLO LEONARDO ENRIQUE</v>
      </c>
      <c r="C84" s="443" t="s">
        <v>2125</v>
      </c>
      <c r="D84" s="443" t="s">
        <v>2420</v>
      </c>
      <c r="E84" s="443" t="s">
        <v>1</v>
      </c>
      <c r="F84" s="443" t="s">
        <v>2049</v>
      </c>
      <c r="G84" s="443" t="s">
        <v>853</v>
      </c>
      <c r="H84" s="443" t="s">
        <v>2974</v>
      </c>
      <c r="I84" s="443" t="s">
        <v>853</v>
      </c>
      <c r="J84" s="443" t="s">
        <v>2933</v>
      </c>
      <c r="K84" s="443" t="s">
        <v>854</v>
      </c>
      <c r="L84" s="443" t="s">
        <v>2414</v>
      </c>
      <c r="M84" s="443" t="s">
        <v>2125</v>
      </c>
      <c r="N84" s="443" t="s">
        <v>2414</v>
      </c>
      <c r="O84" s="443" t="s">
        <v>2</v>
      </c>
      <c r="P84" s="443" t="s">
        <v>2456</v>
      </c>
      <c r="Q84" s="443" t="s">
        <v>853</v>
      </c>
      <c r="R84" s="443" t="s">
        <v>3031</v>
      </c>
      <c r="S84" s="443" t="s">
        <v>855</v>
      </c>
      <c r="T84" s="443" t="s">
        <v>1220</v>
      </c>
      <c r="U84" s="443" t="s">
        <v>854</v>
      </c>
      <c r="V84" s="443" t="s">
        <v>1404</v>
      </c>
      <c r="W84" s="443" t="s">
        <v>2125</v>
      </c>
      <c r="X84" s="443" t="s">
        <v>1404</v>
      </c>
      <c r="Y84" s="443" t="s">
        <v>1</v>
      </c>
      <c r="Z84" s="443" t="s">
        <v>2337</v>
      </c>
      <c r="AA84" s="443" t="s">
        <v>853</v>
      </c>
      <c r="AB84" s="443" t="s">
        <v>2420</v>
      </c>
      <c r="AC84" s="443" t="s">
        <v>853</v>
      </c>
      <c r="AD84" s="443" t="s">
        <v>2989</v>
      </c>
      <c r="AE84" s="443" t="s">
        <v>854</v>
      </c>
      <c r="AF84" s="443" t="s">
        <v>1404</v>
      </c>
      <c r="AG84" s="443" t="s">
        <v>2125</v>
      </c>
      <c r="AH84" s="443" t="s">
        <v>1404</v>
      </c>
      <c r="AI84" s="443" t="s">
        <v>853</v>
      </c>
      <c r="AJ84" s="443" t="s">
        <v>1404</v>
      </c>
      <c r="AK84" s="443" t="s">
        <v>853</v>
      </c>
      <c r="AL84" s="443" t="s">
        <v>3129</v>
      </c>
      <c r="AM84" s="443" t="s">
        <v>2</v>
      </c>
      <c r="AN84" s="443" t="s">
        <v>1472</v>
      </c>
      <c r="AO84" s="443" t="s">
        <v>853</v>
      </c>
      <c r="AP84" s="443" t="s">
        <v>3004</v>
      </c>
      <c r="AQ84" s="443" t="s">
        <v>6</v>
      </c>
      <c r="AR84" s="443" t="s">
        <v>2420</v>
      </c>
      <c r="AS84" s="443" t="s">
        <v>2125</v>
      </c>
      <c r="AT84" s="443" t="s">
        <v>2420</v>
      </c>
      <c r="AU84" s="443" t="s">
        <v>855</v>
      </c>
      <c r="AV84" s="443" t="s">
        <v>1220</v>
      </c>
      <c r="AW84" s="443" t="s">
        <v>853</v>
      </c>
      <c r="AX84" s="443" t="s">
        <v>3302</v>
      </c>
      <c r="AY84" s="443" t="s">
        <v>853</v>
      </c>
      <c r="AZ84" s="443" t="s">
        <v>3319</v>
      </c>
      <c r="BA84" s="443" t="s">
        <v>853</v>
      </c>
      <c r="BB84" s="443" t="s">
        <v>3326</v>
      </c>
      <c r="BC84" s="443" t="s">
        <v>854</v>
      </c>
      <c r="BD84" s="443" t="s">
        <v>1404</v>
      </c>
      <c r="BE84" s="443" t="s">
        <v>2125</v>
      </c>
      <c r="BF84" s="443" t="s">
        <v>2838</v>
      </c>
      <c r="BG84" s="443" t="s">
        <v>853</v>
      </c>
      <c r="BH84" s="443" t="s">
        <v>3414</v>
      </c>
      <c r="BI84" s="443" t="s">
        <v>853</v>
      </c>
      <c r="BJ84" s="628" t="s">
        <v>3419</v>
      </c>
      <c r="BK84" s="443" t="s">
        <v>853</v>
      </c>
      <c r="BL84" s="44" t="s">
        <v>1472</v>
      </c>
      <c r="BM84" s="443" t="s">
        <v>853</v>
      </c>
      <c r="BN84" s="443" t="s">
        <v>3446</v>
      </c>
      <c r="BO84" s="443" t="s">
        <v>6</v>
      </c>
      <c r="BP84" s="443" t="s">
        <v>2420</v>
      </c>
      <c r="BQ84" s="443" t="s">
        <v>2125</v>
      </c>
      <c r="BR84" s="443" t="s">
        <v>2838</v>
      </c>
      <c r="BS84" s="443" t="s">
        <v>2</v>
      </c>
      <c r="BT84" s="443" t="s">
        <v>2456</v>
      </c>
      <c r="BU84" s="443" t="s">
        <v>853</v>
      </c>
      <c r="BV84" s="443" t="s">
        <v>3150</v>
      </c>
      <c r="BW84" s="443" t="s">
        <v>855</v>
      </c>
      <c r="BX84" s="443" t="s">
        <v>1220</v>
      </c>
      <c r="BY84" s="443"/>
      <c r="BZ84" s="443"/>
      <c r="CA84" s="443"/>
      <c r="CB84" s="443"/>
      <c r="CC84" s="443"/>
      <c r="CD84" s="443"/>
      <c r="CE84" s="443"/>
      <c r="CF84" s="443"/>
      <c r="CG84" s="443"/>
      <c r="CH84" s="443"/>
      <c r="CI84" s="443"/>
      <c r="CJ84" s="443"/>
      <c r="CK84" s="443"/>
      <c r="CL84" s="443"/>
      <c r="CM84" s="443"/>
      <c r="CN84" s="443"/>
      <c r="CO84" s="443"/>
      <c r="CP84" s="443"/>
      <c r="CQ84" s="443"/>
      <c r="CR84" s="443"/>
      <c r="CS84" s="443"/>
      <c r="CT84" s="443"/>
      <c r="CU84" s="443"/>
      <c r="CV84" s="443"/>
      <c r="CW84" s="443"/>
      <c r="CX84" s="443"/>
      <c r="CY84" s="443"/>
      <c r="CZ84" s="443"/>
      <c r="DA84" s="443"/>
      <c r="DB84" s="443"/>
      <c r="DC84" s="443"/>
      <c r="DD84" s="443"/>
      <c r="DE84" s="443"/>
      <c r="DF84" s="443"/>
      <c r="DG84" s="443"/>
      <c r="DH84" s="443"/>
      <c r="DI84" s="443"/>
      <c r="DJ84" s="443"/>
      <c r="DK84" s="443"/>
      <c r="DL84" s="443"/>
      <c r="DM84" s="443"/>
      <c r="DN84" s="443"/>
      <c r="DO84" s="443"/>
      <c r="DP84" s="443"/>
      <c r="DQ84" s="443"/>
      <c r="DR84" s="443"/>
      <c r="DS84" s="443"/>
      <c r="DT84" s="628"/>
      <c r="DU84" s="443"/>
      <c r="DV84" s="628"/>
      <c r="DW84" s="917"/>
      <c r="DX84" s="517" t="str">
        <f t="shared" si="22"/>
        <v>S-45</v>
      </c>
      <c r="DY84" s="518" t="str">
        <f t="shared" si="20"/>
        <v>F</v>
      </c>
      <c r="DZ84" s="518" t="str">
        <f t="shared" si="21"/>
        <v>FRANCO</v>
      </c>
    </row>
    <row r="85" spans="1:130" s="516" customFormat="1" ht="15" thickBot="1" x14ac:dyDescent="0.35">
      <c r="A85" s="460" t="s">
        <v>1250</v>
      </c>
      <c r="B85" s="577" t="str">
        <f t="shared" si="19"/>
        <v>S-45-B / -</v>
      </c>
      <c r="C85" s="44"/>
      <c r="D85" s="44"/>
      <c r="E85" s="44"/>
      <c r="F85" s="44"/>
      <c r="G85" s="44"/>
      <c r="H85" s="44"/>
      <c r="I85" s="44"/>
      <c r="J85" s="44"/>
      <c r="K85" s="44"/>
      <c r="L85" s="44"/>
      <c r="M85" s="44"/>
      <c r="N85" s="44"/>
      <c r="O85" s="44"/>
      <c r="P85" s="44"/>
      <c r="Q85" s="44"/>
      <c r="R85" s="44"/>
      <c r="S85" s="44"/>
      <c r="T85" s="44"/>
      <c r="U85" s="44" t="s">
        <v>854</v>
      </c>
      <c r="V85" s="44" t="s">
        <v>2139</v>
      </c>
      <c r="W85" s="44" t="s">
        <v>2125</v>
      </c>
      <c r="X85" s="44" t="s">
        <v>2139</v>
      </c>
      <c r="Y85" s="44"/>
      <c r="Z85" s="44"/>
      <c r="AA85" s="44"/>
      <c r="AB85" s="44"/>
      <c r="AC85" s="44"/>
      <c r="AD85" s="44"/>
      <c r="AE85" s="44" t="s">
        <v>854</v>
      </c>
      <c r="AF85" s="44" t="s">
        <v>2139</v>
      </c>
      <c r="AG85" s="44" t="s">
        <v>2125</v>
      </c>
      <c r="AH85" s="44" t="s">
        <v>2139</v>
      </c>
      <c r="AI85" s="44" t="s">
        <v>853</v>
      </c>
      <c r="AJ85" s="44" t="s">
        <v>2139</v>
      </c>
      <c r="AK85" s="44"/>
      <c r="AL85" s="44"/>
      <c r="AM85" s="44"/>
      <c r="AN85" s="44"/>
      <c r="AO85" s="44"/>
      <c r="AP85" s="44"/>
      <c r="AQ85" s="44"/>
      <c r="AR85" s="44"/>
      <c r="AS85" s="44"/>
      <c r="AT85" s="44"/>
      <c r="AU85" s="44"/>
      <c r="AV85" s="44"/>
      <c r="AW85" s="44"/>
      <c r="AX85" s="44"/>
      <c r="AY85" s="44"/>
      <c r="AZ85" s="44"/>
      <c r="BA85" s="44"/>
      <c r="BB85" s="44"/>
      <c r="BC85" s="44" t="s">
        <v>854</v>
      </c>
      <c r="BD85" s="44" t="s">
        <v>3344</v>
      </c>
      <c r="BE85" s="44" t="s">
        <v>2125</v>
      </c>
      <c r="BF85" s="44" t="s">
        <v>2838</v>
      </c>
      <c r="BG85" s="44"/>
      <c r="BH85" s="44"/>
      <c r="BI85" s="44"/>
      <c r="BJ85" s="629"/>
      <c r="BK85" s="44"/>
      <c r="BL85" s="629"/>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629"/>
      <c r="DU85" s="44"/>
      <c r="DV85" s="629"/>
      <c r="DW85" s="925"/>
      <c r="DX85" s="517" t="str">
        <f t="shared" si="22"/>
        <v>S-45-B</v>
      </c>
      <c r="DY85" s="518" t="str">
        <f t="shared" si="20"/>
        <v/>
      </c>
      <c r="DZ85" s="518" t="str">
        <f t="shared" si="21"/>
        <v/>
      </c>
    </row>
    <row r="86" spans="1:130" s="516" customFormat="1" ht="28.8" x14ac:dyDescent="0.3">
      <c r="A86" s="568" t="s">
        <v>717</v>
      </c>
      <c r="B86" s="577" t="str">
        <f t="shared" si="19"/>
        <v>S-46 / SUBOFICIAL BAHAMONDE SEPULVEDA LUIS GONZALO        (L - P-T)</v>
      </c>
      <c r="C86" s="44" t="s">
        <v>2125</v>
      </c>
      <c r="D86" s="44" t="s">
        <v>882</v>
      </c>
      <c r="E86" s="44" t="s">
        <v>1</v>
      </c>
      <c r="F86" s="443" t="s">
        <v>2456</v>
      </c>
      <c r="G86" s="44" t="s">
        <v>853</v>
      </c>
      <c r="H86" s="44" t="s">
        <v>1404</v>
      </c>
      <c r="I86" s="44" t="s">
        <v>853</v>
      </c>
      <c r="J86" s="44" t="s">
        <v>2980</v>
      </c>
      <c r="K86" s="44" t="s">
        <v>854</v>
      </c>
      <c r="L86" s="44" t="s">
        <v>882</v>
      </c>
      <c r="M86" s="44" t="s">
        <v>2125</v>
      </c>
      <c r="N86" s="44" t="s">
        <v>882</v>
      </c>
      <c r="O86" s="44" t="s">
        <v>2</v>
      </c>
      <c r="P86" s="44" t="s">
        <v>2372</v>
      </c>
      <c r="Q86" s="44" t="s">
        <v>853</v>
      </c>
      <c r="R86" s="44" t="s">
        <v>1404</v>
      </c>
      <c r="S86" s="44" t="s">
        <v>855</v>
      </c>
      <c r="T86" s="44" t="s">
        <v>1220</v>
      </c>
      <c r="U86" s="44" t="s">
        <v>854</v>
      </c>
      <c r="V86" s="44" t="s">
        <v>2420</v>
      </c>
      <c r="W86" s="44" t="s">
        <v>2125</v>
      </c>
      <c r="X86" s="44" t="s">
        <v>2420</v>
      </c>
      <c r="Y86" s="44" t="s">
        <v>1</v>
      </c>
      <c r="Z86" s="44" t="s">
        <v>2857</v>
      </c>
      <c r="AA86" s="44" t="s">
        <v>853</v>
      </c>
      <c r="AB86" s="44" t="s">
        <v>1472</v>
      </c>
      <c r="AC86" s="44" t="s">
        <v>853</v>
      </c>
      <c r="AD86" s="44" t="s">
        <v>3078</v>
      </c>
      <c r="AE86" s="44" t="s">
        <v>854</v>
      </c>
      <c r="AF86" s="44" t="s">
        <v>2420</v>
      </c>
      <c r="AG86" s="44" t="s">
        <v>2125</v>
      </c>
      <c r="AH86" s="44" t="s">
        <v>2420</v>
      </c>
      <c r="AI86" s="44" t="s">
        <v>853</v>
      </c>
      <c r="AJ86" s="44" t="s">
        <v>2420</v>
      </c>
      <c r="AK86" s="44" t="s">
        <v>1</v>
      </c>
      <c r="AL86" s="44" t="s">
        <v>1472</v>
      </c>
      <c r="AM86" s="44" t="s">
        <v>2</v>
      </c>
      <c r="AN86" s="44" t="s">
        <v>2414</v>
      </c>
      <c r="AO86" s="44" t="s">
        <v>853</v>
      </c>
      <c r="AP86" s="44" t="s">
        <v>3156</v>
      </c>
      <c r="AQ86" s="44" t="s">
        <v>854</v>
      </c>
      <c r="AR86" s="44" t="s">
        <v>882</v>
      </c>
      <c r="AS86" s="44" t="s">
        <v>2125</v>
      </c>
      <c r="AT86" s="44" t="s">
        <v>882</v>
      </c>
      <c r="AU86" s="44" t="s">
        <v>855</v>
      </c>
      <c r="AV86" s="44" t="s">
        <v>1220</v>
      </c>
      <c r="AW86" s="44" t="s">
        <v>853</v>
      </c>
      <c r="AX86" s="44" t="s">
        <v>3303</v>
      </c>
      <c r="AY86" s="44" t="s">
        <v>2</v>
      </c>
      <c r="AZ86" s="44" t="s">
        <v>1404</v>
      </c>
      <c r="BA86" s="44" t="s">
        <v>853</v>
      </c>
      <c r="BB86" s="44" t="s">
        <v>3330</v>
      </c>
      <c r="BC86" s="44" t="s">
        <v>854</v>
      </c>
      <c r="BD86" s="44" t="s">
        <v>2414</v>
      </c>
      <c r="BE86" s="44" t="s">
        <v>2125</v>
      </c>
      <c r="BF86" s="44" t="s">
        <v>2838</v>
      </c>
      <c r="BG86" s="44" t="s">
        <v>853</v>
      </c>
      <c r="BH86" s="44" t="s">
        <v>3415</v>
      </c>
      <c r="BI86" s="44" t="s">
        <v>853</v>
      </c>
      <c r="BJ86" s="629" t="s">
        <v>3420</v>
      </c>
      <c r="BK86" s="43" t="s">
        <v>853</v>
      </c>
      <c r="BL86" s="44" t="s">
        <v>2414</v>
      </c>
      <c r="BM86" s="44" t="s">
        <v>853</v>
      </c>
      <c r="BN86" s="44" t="s">
        <v>3447</v>
      </c>
      <c r="BO86" s="44" t="s">
        <v>6</v>
      </c>
      <c r="BP86" s="443" t="s">
        <v>1404</v>
      </c>
      <c r="BQ86" s="44" t="s">
        <v>2125</v>
      </c>
      <c r="BR86" s="44" t="s">
        <v>2838</v>
      </c>
      <c r="BS86" s="44" t="s">
        <v>2</v>
      </c>
      <c r="BT86" s="44" t="s">
        <v>2372</v>
      </c>
      <c r="BU86" s="44" t="s">
        <v>853</v>
      </c>
      <c r="BV86" s="44" t="s">
        <v>3010</v>
      </c>
      <c r="BW86" s="44" t="s">
        <v>855</v>
      </c>
      <c r="BX86" s="44" t="s">
        <v>1220</v>
      </c>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629"/>
      <c r="DU86" s="44"/>
      <c r="DV86" s="629"/>
      <c r="DW86" s="925"/>
      <c r="DX86" s="517" t="str">
        <f t="shared" si="22"/>
        <v>S-46</v>
      </c>
      <c r="DY86" s="518" t="str">
        <f t="shared" si="20"/>
        <v>F</v>
      </c>
      <c r="DZ86" s="518" t="str">
        <f t="shared" si="21"/>
        <v>FRANCO</v>
      </c>
    </row>
    <row r="87" spans="1:130" s="516" customFormat="1" ht="15" thickBot="1" x14ac:dyDescent="0.35">
      <c r="A87" s="568" t="s">
        <v>1251</v>
      </c>
      <c r="B87" s="577" t="str">
        <f t="shared" si="19"/>
        <v>S-46-B / -</v>
      </c>
      <c r="C87" s="44"/>
      <c r="D87" s="44"/>
      <c r="E87" s="44"/>
      <c r="F87" s="44"/>
      <c r="G87" s="44" t="s">
        <v>853</v>
      </c>
      <c r="H87" s="44" t="s">
        <v>2858</v>
      </c>
      <c r="I87" s="44"/>
      <c r="J87" s="44"/>
      <c r="K87" s="44"/>
      <c r="L87" s="44"/>
      <c r="M87" s="44"/>
      <c r="N87" s="44"/>
      <c r="O87" s="44"/>
      <c r="P87" s="44"/>
      <c r="Q87" s="44" t="s">
        <v>853</v>
      </c>
      <c r="R87" s="44" t="s">
        <v>2139</v>
      </c>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629"/>
      <c r="BK87" s="44"/>
      <c r="BL87" s="629"/>
      <c r="BM87" s="44"/>
      <c r="BN87" s="44"/>
      <c r="BO87" s="44" t="s">
        <v>6</v>
      </c>
      <c r="BP87" s="44" t="s">
        <v>2913</v>
      </c>
      <c r="BQ87" s="44" t="s">
        <v>2125</v>
      </c>
      <c r="BR87" s="44" t="s">
        <v>2838</v>
      </c>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629"/>
      <c r="DU87" s="44"/>
      <c r="DV87" s="629"/>
      <c r="DW87" s="925"/>
      <c r="DX87" s="517" t="str">
        <f t="shared" si="22"/>
        <v>S-46-B</v>
      </c>
      <c r="DY87" s="518" t="str">
        <f t="shared" si="20"/>
        <v/>
      </c>
      <c r="DZ87" s="518" t="str">
        <f t="shared" si="21"/>
        <v/>
      </c>
    </row>
    <row r="88" spans="1:130" s="516" customFormat="1" ht="28.8" x14ac:dyDescent="0.3">
      <c r="A88" s="569" t="s">
        <v>703</v>
      </c>
      <c r="B88" s="577" t="str">
        <f t="shared" si="19"/>
        <v>S-47 / SUBOFICIAL BARROS SOLAR FELIX                                (L -T -S)</v>
      </c>
      <c r="C88" s="44" t="s">
        <v>2125</v>
      </c>
      <c r="D88" s="443" t="s">
        <v>1404</v>
      </c>
      <c r="E88" s="44" t="s">
        <v>1</v>
      </c>
      <c r="F88" s="44" t="s">
        <v>2372</v>
      </c>
      <c r="G88" s="44" t="s">
        <v>853</v>
      </c>
      <c r="H88" s="44" t="s">
        <v>2961</v>
      </c>
      <c r="I88" s="44" t="s">
        <v>853</v>
      </c>
      <c r="J88" s="44" t="s">
        <v>2047</v>
      </c>
      <c r="K88" s="44" t="s">
        <v>854</v>
      </c>
      <c r="L88" s="44" t="s">
        <v>1404</v>
      </c>
      <c r="M88" s="44" t="s">
        <v>2125</v>
      </c>
      <c r="N88" s="44" t="s">
        <v>1404</v>
      </c>
      <c r="O88" s="44" t="s">
        <v>2</v>
      </c>
      <c r="P88" s="44" t="s">
        <v>2049</v>
      </c>
      <c r="Q88" s="44" t="s">
        <v>853</v>
      </c>
      <c r="R88" s="44" t="s">
        <v>3027</v>
      </c>
      <c r="S88" s="44" t="s">
        <v>855</v>
      </c>
      <c r="T88" s="44" t="s">
        <v>1220</v>
      </c>
      <c r="U88" s="44" t="s">
        <v>854</v>
      </c>
      <c r="V88" s="44" t="s">
        <v>882</v>
      </c>
      <c r="W88" s="44" t="s">
        <v>2125</v>
      </c>
      <c r="X88" s="44" t="s">
        <v>882</v>
      </c>
      <c r="Y88" s="44" t="s">
        <v>1</v>
      </c>
      <c r="Z88" s="44" t="s">
        <v>2456</v>
      </c>
      <c r="AA88" s="44" t="s">
        <v>853</v>
      </c>
      <c r="AB88" s="44" t="s">
        <v>1404</v>
      </c>
      <c r="AC88" s="44" t="s">
        <v>1</v>
      </c>
      <c r="AD88" s="44" t="s">
        <v>880</v>
      </c>
      <c r="AE88" s="44" t="s">
        <v>854</v>
      </c>
      <c r="AF88" s="44" t="s">
        <v>2650</v>
      </c>
      <c r="AG88" s="44" t="s">
        <v>2125</v>
      </c>
      <c r="AH88" s="44" t="s">
        <v>2650</v>
      </c>
      <c r="AI88" s="44"/>
      <c r="AJ88" s="44"/>
      <c r="AK88" s="44"/>
      <c r="AL88" s="44"/>
      <c r="AM88" s="44" t="s">
        <v>853</v>
      </c>
      <c r="AN88" s="44" t="s">
        <v>1404</v>
      </c>
      <c r="AO88" s="44" t="s">
        <v>853</v>
      </c>
      <c r="AP88" s="44" t="s">
        <v>3150</v>
      </c>
      <c r="AQ88" s="44" t="s">
        <v>6</v>
      </c>
      <c r="AR88" s="44" t="s">
        <v>1404</v>
      </c>
      <c r="AS88" s="44" t="s">
        <v>2125</v>
      </c>
      <c r="AT88" s="44" t="s">
        <v>1404</v>
      </c>
      <c r="AU88" s="44" t="s">
        <v>855</v>
      </c>
      <c r="AV88" s="44" t="s">
        <v>1220</v>
      </c>
      <c r="AW88" s="44" t="s">
        <v>853</v>
      </c>
      <c r="AX88" s="44" t="s">
        <v>3112</v>
      </c>
      <c r="AY88" s="44" t="s">
        <v>2</v>
      </c>
      <c r="AZ88" s="44" t="s">
        <v>1472</v>
      </c>
      <c r="BA88" s="44" t="s">
        <v>853</v>
      </c>
      <c r="BB88" s="44" t="s">
        <v>3255</v>
      </c>
      <c r="BC88" s="44" t="s">
        <v>854</v>
      </c>
      <c r="BD88" s="44" t="s">
        <v>882</v>
      </c>
      <c r="BE88" s="44" t="s">
        <v>2125</v>
      </c>
      <c r="BF88" s="44" t="s">
        <v>2838</v>
      </c>
      <c r="BG88" s="44" t="s">
        <v>853</v>
      </c>
      <c r="BH88" s="44" t="s">
        <v>663</v>
      </c>
      <c r="BI88" s="44" t="s">
        <v>853</v>
      </c>
      <c r="BJ88" s="629" t="s">
        <v>3421</v>
      </c>
      <c r="BK88" s="209" t="s">
        <v>853</v>
      </c>
      <c r="BL88" s="44" t="s">
        <v>1404</v>
      </c>
      <c r="BM88" s="44" t="s">
        <v>853</v>
      </c>
      <c r="BN88" s="443" t="s">
        <v>3005</v>
      </c>
      <c r="BO88" s="44" t="s">
        <v>6</v>
      </c>
      <c r="BP88" s="44" t="s">
        <v>882</v>
      </c>
      <c r="BQ88" s="44" t="s">
        <v>2125</v>
      </c>
      <c r="BR88" s="44" t="s">
        <v>2838</v>
      </c>
      <c r="BS88" s="44" t="s">
        <v>2</v>
      </c>
      <c r="BT88" s="44" t="s">
        <v>2049</v>
      </c>
      <c r="BU88" s="44" t="s">
        <v>853</v>
      </c>
      <c r="BV88" s="44" t="s">
        <v>3552</v>
      </c>
      <c r="BW88" s="44" t="s">
        <v>855</v>
      </c>
      <c r="BX88" s="44" t="s">
        <v>1220</v>
      </c>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629"/>
      <c r="DU88" s="44"/>
      <c r="DV88" s="629"/>
      <c r="DW88" s="925"/>
      <c r="DX88" s="517" t="str">
        <f t="shared" si="22"/>
        <v>S-47</v>
      </c>
      <c r="DY88" s="518" t="str">
        <f t="shared" si="20"/>
        <v>F</v>
      </c>
      <c r="DZ88" s="518" t="str">
        <f t="shared" si="21"/>
        <v>FRANCO</v>
      </c>
    </row>
    <row r="89" spans="1:130" s="516" customFormat="1" ht="15" thickBot="1" x14ac:dyDescent="0.35">
      <c r="A89" s="569" t="s">
        <v>1252</v>
      </c>
      <c r="B89" s="578" t="str">
        <f t="shared" si="19"/>
        <v>S-47-B / -</v>
      </c>
      <c r="C89" s="444" t="s">
        <v>2125</v>
      </c>
      <c r="D89" s="44" t="s">
        <v>2900</v>
      </c>
      <c r="E89" s="444"/>
      <c r="F89" s="444"/>
      <c r="G89" s="444"/>
      <c r="H89" s="444"/>
      <c r="I89" s="444"/>
      <c r="J89" s="444"/>
      <c r="K89" s="444" t="s">
        <v>854</v>
      </c>
      <c r="L89" s="444" t="s">
        <v>2858</v>
      </c>
      <c r="M89" s="444" t="s">
        <v>2125</v>
      </c>
      <c r="N89" s="444" t="s">
        <v>2858</v>
      </c>
      <c r="O89" s="444"/>
      <c r="P89" s="444"/>
      <c r="Q89" s="444"/>
      <c r="R89" s="444"/>
      <c r="S89" s="444"/>
      <c r="T89" s="444"/>
      <c r="U89" s="444"/>
      <c r="V89" s="444"/>
      <c r="W89" s="444"/>
      <c r="X89" s="444"/>
      <c r="Y89" s="444"/>
      <c r="Z89" s="444"/>
      <c r="AA89" s="444" t="s">
        <v>853</v>
      </c>
      <c r="AB89" s="444" t="s">
        <v>2139</v>
      </c>
      <c r="AC89" s="444"/>
      <c r="AD89" s="444"/>
      <c r="AE89" s="444"/>
      <c r="AF89" s="444"/>
      <c r="AG89" s="444"/>
      <c r="AH89" s="444"/>
      <c r="AI89" s="444" t="s">
        <v>853</v>
      </c>
      <c r="AJ89" s="444" t="s">
        <v>1472</v>
      </c>
      <c r="AK89" s="444" t="s">
        <v>1</v>
      </c>
      <c r="AL89" s="444" t="s">
        <v>2414</v>
      </c>
      <c r="AM89" s="444" t="s">
        <v>853</v>
      </c>
      <c r="AN89" s="444" t="s">
        <v>3139</v>
      </c>
      <c r="AO89" s="444"/>
      <c r="AP89" s="444"/>
      <c r="AQ89" s="444" t="s">
        <v>6</v>
      </c>
      <c r="AR89" s="444" t="s">
        <v>2900</v>
      </c>
      <c r="AS89" s="444" t="s">
        <v>2125</v>
      </c>
      <c r="AT89" s="444" t="s">
        <v>2900</v>
      </c>
      <c r="AU89" s="444"/>
      <c r="AV89" s="444"/>
      <c r="AW89" s="444"/>
      <c r="AX89" s="444"/>
      <c r="AY89" s="444"/>
      <c r="AZ89" s="444"/>
      <c r="BA89" s="444"/>
      <c r="BB89" s="444"/>
      <c r="BC89" s="444"/>
      <c r="BD89" s="444"/>
      <c r="BE89" s="444"/>
      <c r="BF89" s="444"/>
      <c r="BG89" s="444"/>
      <c r="BH89" s="444"/>
      <c r="BI89" s="444"/>
      <c r="BJ89" s="630"/>
      <c r="BK89" s="444" t="s">
        <v>853</v>
      </c>
      <c r="BL89" s="630" t="s">
        <v>2139</v>
      </c>
      <c r="BM89" s="444"/>
      <c r="BN89" s="44"/>
      <c r="BO89" s="444"/>
      <c r="BP89" s="444"/>
      <c r="BQ89" s="444"/>
      <c r="BR89" s="444"/>
      <c r="BS89" s="444"/>
      <c r="BT89" s="444"/>
      <c r="BU89" s="444"/>
      <c r="BV89" s="444"/>
      <c r="BW89" s="444"/>
      <c r="BX89" s="444"/>
      <c r="BY89" s="444"/>
      <c r="BZ89" s="444"/>
      <c r="CA89" s="444"/>
      <c r="CB89" s="444"/>
      <c r="CC89" s="444"/>
      <c r="CD89" s="444"/>
      <c r="CE89" s="444"/>
      <c r="CF89" s="444"/>
      <c r="CG89" s="444"/>
      <c r="CH89" s="444"/>
      <c r="CI89" s="444"/>
      <c r="CJ89" s="444"/>
      <c r="CK89" s="444"/>
      <c r="CL89" s="444"/>
      <c r="CM89" s="444"/>
      <c r="CN89" s="444"/>
      <c r="CO89" s="444"/>
      <c r="CP89" s="444"/>
      <c r="CQ89" s="444"/>
      <c r="CR89" s="444"/>
      <c r="CS89" s="444"/>
      <c r="CT89" s="444"/>
      <c r="CU89" s="444"/>
      <c r="CV89" s="444"/>
      <c r="CW89" s="444"/>
      <c r="CX89" s="444"/>
      <c r="CY89" s="444"/>
      <c r="CZ89" s="444"/>
      <c r="DA89" s="444"/>
      <c r="DB89" s="444"/>
      <c r="DC89" s="444"/>
      <c r="DD89" s="444"/>
      <c r="DE89" s="444"/>
      <c r="DF89" s="444"/>
      <c r="DG89" s="444"/>
      <c r="DH89" s="444"/>
      <c r="DI89" s="444"/>
      <c r="DJ89" s="444"/>
      <c r="DK89" s="444"/>
      <c r="DL89" s="444"/>
      <c r="DM89" s="444"/>
      <c r="DN89" s="444"/>
      <c r="DO89" s="444"/>
      <c r="DP89" s="444"/>
      <c r="DQ89" s="444"/>
      <c r="DR89" s="444"/>
      <c r="DS89" s="444"/>
      <c r="DT89" s="630"/>
      <c r="DU89" s="444"/>
      <c r="DV89" s="630"/>
      <c r="DW89" s="925"/>
      <c r="DX89" s="517" t="str">
        <f t="shared" si="22"/>
        <v>S-47-B</v>
      </c>
      <c r="DY89" s="518" t="str">
        <f t="shared" si="20"/>
        <v/>
      </c>
      <c r="DZ89" s="518" t="str">
        <f t="shared" si="21"/>
        <v/>
      </c>
    </row>
    <row r="90" spans="1:130" s="516" customFormat="1" ht="28.8" x14ac:dyDescent="0.3">
      <c r="A90" s="570" t="s">
        <v>730</v>
      </c>
      <c r="B90" s="573" t="str">
        <f t="shared" si="19"/>
        <v xml:space="preserve">S-48 / SGTO 2DO. MILLAR SOLIS AQUILINO JUAN ANDRES   </v>
      </c>
      <c r="C90" s="43"/>
      <c r="D90" s="43"/>
      <c r="E90" s="43"/>
      <c r="F90" s="43"/>
      <c r="G90" s="443"/>
      <c r="H90" s="443"/>
      <c r="I90" s="443"/>
      <c r="J90" s="443"/>
      <c r="K90" s="443" t="s">
        <v>853</v>
      </c>
      <c r="L90" s="443" t="s">
        <v>880</v>
      </c>
      <c r="M90" s="443" t="s">
        <v>853</v>
      </c>
      <c r="N90" s="443" t="s">
        <v>3002</v>
      </c>
      <c r="O90" s="443" t="s">
        <v>853</v>
      </c>
      <c r="P90" s="443" t="s">
        <v>3018</v>
      </c>
      <c r="Q90" s="443" t="s">
        <v>853</v>
      </c>
      <c r="R90" s="443" t="s">
        <v>3029</v>
      </c>
      <c r="S90" s="443" t="s">
        <v>855</v>
      </c>
      <c r="T90" s="443" t="s">
        <v>1220</v>
      </c>
      <c r="U90" s="443" t="s">
        <v>855</v>
      </c>
      <c r="V90" s="443" t="s">
        <v>1220</v>
      </c>
      <c r="W90" s="443" t="s">
        <v>853</v>
      </c>
      <c r="X90" s="443" t="s">
        <v>3054</v>
      </c>
      <c r="Y90" s="443" t="s">
        <v>853</v>
      </c>
      <c r="Z90" s="443" t="s">
        <v>2999</v>
      </c>
      <c r="AA90" s="443" t="s">
        <v>853</v>
      </c>
      <c r="AB90" s="443" t="s">
        <v>925</v>
      </c>
      <c r="AC90" s="443" t="s">
        <v>853</v>
      </c>
      <c r="AD90" s="443" t="s">
        <v>925</v>
      </c>
      <c r="AE90" s="443" t="s">
        <v>853</v>
      </c>
      <c r="AF90" s="443" t="s">
        <v>925</v>
      </c>
      <c r="AG90" s="443" t="s">
        <v>855</v>
      </c>
      <c r="AH90" s="44" t="s">
        <v>1220</v>
      </c>
      <c r="AI90" s="443" t="s">
        <v>855</v>
      </c>
      <c r="AJ90" s="443" t="s">
        <v>1220</v>
      </c>
      <c r="AK90" s="443" t="s">
        <v>853</v>
      </c>
      <c r="AL90" s="443" t="s">
        <v>3133</v>
      </c>
      <c r="AM90" s="443" t="s">
        <v>853</v>
      </c>
      <c r="AN90" s="443" t="s">
        <v>3133</v>
      </c>
      <c r="AO90" s="443" t="s">
        <v>853</v>
      </c>
      <c r="AP90" s="443" t="s">
        <v>3133</v>
      </c>
      <c r="AQ90" s="443" t="s">
        <v>853</v>
      </c>
      <c r="AR90" s="443" t="s">
        <v>3133</v>
      </c>
      <c r="AS90" s="443" t="s">
        <v>853</v>
      </c>
      <c r="AT90" s="443" t="s">
        <v>3133</v>
      </c>
      <c r="AU90" s="443" t="s">
        <v>2</v>
      </c>
      <c r="AV90" s="443" t="s">
        <v>2372</v>
      </c>
      <c r="AW90" s="443" t="s">
        <v>1</v>
      </c>
      <c r="AX90" s="443" t="s">
        <v>2456</v>
      </c>
      <c r="AY90" s="443" t="s">
        <v>853</v>
      </c>
      <c r="AZ90" s="443" t="s">
        <v>880</v>
      </c>
      <c r="BA90" s="443" t="s">
        <v>853</v>
      </c>
      <c r="BB90" s="443" t="s">
        <v>3331</v>
      </c>
      <c r="BC90" s="443" t="s">
        <v>853</v>
      </c>
      <c r="BD90" s="443" t="s">
        <v>3331</v>
      </c>
      <c r="BE90" s="443" t="s">
        <v>853</v>
      </c>
      <c r="BF90" s="443" t="s">
        <v>3355</v>
      </c>
      <c r="BG90" s="443" t="s">
        <v>853</v>
      </c>
      <c r="BH90" s="443" t="s">
        <v>3355</v>
      </c>
      <c r="BI90" s="443" t="s">
        <v>855</v>
      </c>
      <c r="BJ90" s="628" t="s">
        <v>936</v>
      </c>
      <c r="BK90" s="443" t="s">
        <v>855</v>
      </c>
      <c r="BL90" s="628" t="s">
        <v>936</v>
      </c>
      <c r="BM90" s="43" t="s">
        <v>853</v>
      </c>
      <c r="BN90" s="628" t="s">
        <v>3133</v>
      </c>
      <c r="BO90" s="43" t="s">
        <v>853</v>
      </c>
      <c r="BP90" s="43" t="s">
        <v>925</v>
      </c>
      <c r="BQ90" s="443" t="s">
        <v>853</v>
      </c>
      <c r="BR90" s="443" t="s">
        <v>925</v>
      </c>
      <c r="BS90" s="443" t="s">
        <v>853</v>
      </c>
      <c r="BT90" s="443" t="s">
        <v>925</v>
      </c>
      <c r="BU90" s="443" t="s">
        <v>853</v>
      </c>
      <c r="BV90" s="443" t="s">
        <v>3573</v>
      </c>
      <c r="BW90" s="443" t="s">
        <v>855</v>
      </c>
      <c r="BX90" s="443" t="s">
        <v>1220</v>
      </c>
      <c r="BY90" s="443"/>
      <c r="BZ90" s="443"/>
      <c r="CA90" s="443"/>
      <c r="CB90" s="443"/>
      <c r="CC90" s="443"/>
      <c r="CD90" s="443"/>
      <c r="CE90" s="443"/>
      <c r="CF90" s="443"/>
      <c r="CG90" s="443"/>
      <c r="CH90" s="443"/>
      <c r="CI90" s="443"/>
      <c r="CJ90" s="443"/>
      <c r="CK90" s="443"/>
      <c r="CL90" s="443"/>
      <c r="CM90" s="443"/>
      <c r="CN90" s="443"/>
      <c r="CO90" s="443"/>
      <c r="CP90" s="443"/>
      <c r="CQ90" s="443"/>
      <c r="CR90" s="44"/>
      <c r="CS90" s="443"/>
      <c r="CT90" s="443"/>
      <c r="CU90" s="443"/>
      <c r="CV90" s="443"/>
      <c r="CW90" s="443"/>
      <c r="CX90" s="443"/>
      <c r="CY90" s="443"/>
      <c r="CZ90" s="443"/>
      <c r="DA90" s="443"/>
      <c r="DB90" s="443"/>
      <c r="DC90" s="443"/>
      <c r="DD90" s="443"/>
      <c r="DE90" s="443"/>
      <c r="DF90" s="443"/>
      <c r="DG90" s="443"/>
      <c r="DH90" s="443"/>
      <c r="DI90" s="443"/>
      <c r="DJ90" s="443"/>
      <c r="DK90" s="443"/>
      <c r="DL90" s="443"/>
      <c r="DM90" s="443"/>
      <c r="DN90" s="443"/>
      <c r="DO90" s="443"/>
      <c r="DP90" s="443"/>
      <c r="DQ90" s="443"/>
      <c r="DR90" s="443"/>
      <c r="DS90" s="443"/>
      <c r="DT90" s="628"/>
      <c r="DU90" s="443"/>
      <c r="DV90" s="628"/>
      <c r="DW90" s="917"/>
      <c r="DX90" s="517" t="str">
        <f t="shared" si="22"/>
        <v>S-48</v>
      </c>
      <c r="DY90" s="518" t="str">
        <f t="shared" si="20"/>
        <v>F</v>
      </c>
      <c r="DZ90" s="518" t="str">
        <f t="shared" si="21"/>
        <v>FRANCO</v>
      </c>
    </row>
    <row r="91" spans="1:130" s="516" customFormat="1" ht="15" thickBot="1" x14ac:dyDescent="0.35">
      <c r="A91" s="570" t="s">
        <v>1253</v>
      </c>
      <c r="B91" s="574" t="str">
        <f t="shared" si="19"/>
        <v>S-48-B / -</v>
      </c>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629"/>
      <c r="BK91" s="44"/>
      <c r="BL91" s="629"/>
      <c r="BM91" s="44"/>
      <c r="BN91" s="629"/>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629"/>
      <c r="DU91" s="44"/>
      <c r="DV91" s="629"/>
      <c r="DW91" s="925"/>
      <c r="DX91" s="517" t="str">
        <f t="shared" si="22"/>
        <v>S-48-B</v>
      </c>
      <c r="DY91" s="518" t="str">
        <f t="shared" si="20"/>
        <v/>
      </c>
      <c r="DZ91" s="518" t="str">
        <f t="shared" si="21"/>
        <v/>
      </c>
    </row>
    <row r="92" spans="1:130" s="516" customFormat="1" ht="28.8" x14ac:dyDescent="0.3">
      <c r="A92" s="571" t="s">
        <v>757</v>
      </c>
      <c r="B92" s="574" t="str">
        <f>A92&amp;" / "&amp;VLOOKUP(A92,PANELDETRABAJO,2,FALSE)</f>
        <v>S-49 / SGTO 1RO. PORTILLA ARAYA LEONARDO MANUEL</v>
      </c>
      <c r="C92" s="43"/>
      <c r="D92" s="43"/>
      <c r="E92" s="43"/>
      <c r="F92" s="43"/>
      <c r="G92" s="44"/>
      <c r="H92" s="44"/>
      <c r="I92" s="44"/>
      <c r="J92" s="44"/>
      <c r="K92" s="44"/>
      <c r="L92" s="44"/>
      <c r="M92" s="44"/>
      <c r="N92" s="44"/>
      <c r="O92" s="44" t="s">
        <v>853</v>
      </c>
      <c r="P92" s="44" t="s">
        <v>3018</v>
      </c>
      <c r="Q92" s="44" t="s">
        <v>853</v>
      </c>
      <c r="R92" s="44" t="s">
        <v>3032</v>
      </c>
      <c r="S92" s="44" t="s">
        <v>853</v>
      </c>
      <c r="T92" s="44" t="s">
        <v>2699</v>
      </c>
      <c r="U92" s="44" t="s">
        <v>855</v>
      </c>
      <c r="V92" s="44" t="s">
        <v>1220</v>
      </c>
      <c r="W92" s="44" t="s">
        <v>853</v>
      </c>
      <c r="X92" s="44" t="s">
        <v>3049</v>
      </c>
      <c r="Y92" s="44" t="s">
        <v>853</v>
      </c>
      <c r="Z92" s="44" t="s">
        <v>3058</v>
      </c>
      <c r="AA92" s="44" t="s">
        <v>853</v>
      </c>
      <c r="AB92" s="44" t="s">
        <v>3073</v>
      </c>
      <c r="AC92" s="44" t="s">
        <v>853</v>
      </c>
      <c r="AD92" s="44" t="s">
        <v>3073</v>
      </c>
      <c r="AE92" s="44" t="s">
        <v>853</v>
      </c>
      <c r="AF92" s="44" t="s">
        <v>3073</v>
      </c>
      <c r="AG92" s="443" t="s">
        <v>855</v>
      </c>
      <c r="AH92" s="44" t="s">
        <v>1220</v>
      </c>
      <c r="AI92" s="44" t="s">
        <v>855</v>
      </c>
      <c r="AJ92" s="44" t="s">
        <v>1220</v>
      </c>
      <c r="AK92" s="44" t="s">
        <v>853</v>
      </c>
      <c r="AL92" s="44" t="s">
        <v>3132</v>
      </c>
      <c r="AM92" s="44" t="s">
        <v>853</v>
      </c>
      <c r="AN92" s="44" t="s">
        <v>3132</v>
      </c>
      <c r="AO92" s="44" t="s">
        <v>853</v>
      </c>
      <c r="AP92" s="44" t="s">
        <v>3132</v>
      </c>
      <c r="AQ92" s="44" t="s">
        <v>853</v>
      </c>
      <c r="AR92" s="44" t="s">
        <v>3132</v>
      </c>
      <c r="AS92" s="44" t="s">
        <v>853</v>
      </c>
      <c r="AT92" s="44" t="s">
        <v>3132</v>
      </c>
      <c r="AU92" s="44" t="s">
        <v>855</v>
      </c>
      <c r="AV92" s="44" t="s">
        <v>1220</v>
      </c>
      <c r="AW92" s="44" t="s">
        <v>855</v>
      </c>
      <c r="AX92" s="44" t="s">
        <v>1220</v>
      </c>
      <c r="AY92" s="44" t="s">
        <v>853</v>
      </c>
      <c r="AZ92" s="44" t="s">
        <v>880</v>
      </c>
      <c r="BA92" s="44" t="s">
        <v>853</v>
      </c>
      <c r="BB92" s="44" t="s">
        <v>3331</v>
      </c>
      <c r="BC92" s="44" t="s">
        <v>853</v>
      </c>
      <c r="BD92" s="44" t="s">
        <v>3331</v>
      </c>
      <c r="BE92" s="44" t="s">
        <v>853</v>
      </c>
      <c r="BF92" s="44" t="s">
        <v>3354</v>
      </c>
      <c r="BG92" s="44" t="s">
        <v>853</v>
      </c>
      <c r="BH92" s="44" t="s">
        <v>3354</v>
      </c>
      <c r="BI92" s="44" t="s">
        <v>1</v>
      </c>
      <c r="BJ92" s="629" t="s">
        <v>2456</v>
      </c>
      <c r="BK92" s="44" t="s">
        <v>2</v>
      </c>
      <c r="BL92" s="629" t="s">
        <v>2372</v>
      </c>
      <c r="BM92" s="43" t="s">
        <v>853</v>
      </c>
      <c r="BN92" s="629" t="s">
        <v>925</v>
      </c>
      <c r="BO92" s="43" t="s">
        <v>853</v>
      </c>
      <c r="BP92" s="43" t="s">
        <v>925</v>
      </c>
      <c r="BQ92" s="44" t="s">
        <v>853</v>
      </c>
      <c r="BR92" s="44" t="s">
        <v>925</v>
      </c>
      <c r="BS92" s="44" t="s">
        <v>853</v>
      </c>
      <c r="BT92" s="44" t="s">
        <v>925</v>
      </c>
      <c r="BU92" s="44" t="s">
        <v>853</v>
      </c>
      <c r="BV92" s="44" t="s">
        <v>3574</v>
      </c>
      <c r="BW92" s="44" t="s">
        <v>855</v>
      </c>
      <c r="BX92" s="44" t="s">
        <v>1220</v>
      </c>
      <c r="BY92" s="44"/>
      <c r="BZ92" s="44"/>
      <c r="CA92" s="44"/>
      <c r="CB92" s="44"/>
      <c r="CC92" s="44"/>
      <c r="CD92" s="44"/>
      <c r="CE92" s="44"/>
      <c r="CF92" s="44"/>
      <c r="CG92" s="44"/>
      <c r="CH92" s="44"/>
      <c r="CI92" s="44"/>
      <c r="CJ92" s="44"/>
      <c r="CK92" s="44"/>
      <c r="CL92" s="44"/>
      <c r="CM92" s="44"/>
      <c r="CN92" s="44"/>
      <c r="CO92" s="44"/>
      <c r="CP92" s="44"/>
      <c r="CQ92" s="443"/>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629"/>
      <c r="DU92" s="44"/>
      <c r="DV92" s="629"/>
      <c r="DW92" s="925"/>
      <c r="DX92" s="517" t="str">
        <f t="shared" si="22"/>
        <v>S-49</v>
      </c>
      <c r="DY92" s="518" t="str">
        <f>UPPER(IF(VLOOKUP(A92,TabladeServicio,MATCH($B$2,$A$8:$DT$8,0),0)=0,"",VLOOKUP(A92,TabladeServicio,MATCH($B$2,$A$8:$DT$8,0),0)))</f>
        <v>F</v>
      </c>
      <c r="DZ92" s="518" t="str">
        <f>UPPER(IF(VLOOKUP(A92,TabladeServicio,MATCH($B$2,$A$8:$DT$8,0)+1,0)=0,"",VLOOKUP(A92,TabladeServicio,MATCH($B$2,$A$8:$DT$8,0)+1,0)))</f>
        <v>FRANCO</v>
      </c>
    </row>
    <row r="93" spans="1:130" s="516" customFormat="1" ht="15" thickBot="1" x14ac:dyDescent="0.35">
      <c r="A93" s="571" t="s">
        <v>1254</v>
      </c>
      <c r="B93" s="574" t="str">
        <f>A93&amp;" / "&amp;VLOOKUP(A93,PANELDETRABAJO,2,FALSE)</f>
        <v>S-49-B / -</v>
      </c>
      <c r="C93" s="444"/>
      <c r="D93" s="444"/>
      <c r="E93" s="444"/>
      <c r="F93" s="444"/>
      <c r="G93" s="444"/>
      <c r="H93" s="444"/>
      <c r="I93" s="444"/>
      <c r="J93" s="444"/>
      <c r="K93" s="444"/>
      <c r="L93" s="444"/>
      <c r="M93" s="444"/>
      <c r="N93" s="444"/>
      <c r="O93" s="444"/>
      <c r="P93" s="444"/>
      <c r="Q93" s="444"/>
      <c r="R93" s="444"/>
      <c r="S93" s="444"/>
      <c r="T93" s="444"/>
      <c r="U93" s="444"/>
      <c r="V93" s="444"/>
      <c r="W93" s="444"/>
      <c r="X93" s="444"/>
      <c r="Y93" s="444"/>
      <c r="Z93" s="444"/>
      <c r="AA93" s="444"/>
      <c r="AB93" s="444"/>
      <c r="AC93" s="444"/>
      <c r="AD93" s="444"/>
      <c r="AE93" s="444"/>
      <c r="AF93" s="444"/>
      <c r="AG93" s="444"/>
      <c r="AH93" s="444"/>
      <c r="AI93" s="444"/>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c r="BG93" s="444"/>
      <c r="BH93" s="444"/>
      <c r="BI93" s="444"/>
      <c r="BJ93" s="630"/>
      <c r="BK93" s="444"/>
      <c r="BL93" s="630"/>
      <c r="BM93" s="444"/>
      <c r="BN93" s="630"/>
      <c r="BO93" s="444"/>
      <c r="BP93" s="444"/>
      <c r="BQ93" s="444"/>
      <c r="BR93" s="444"/>
      <c r="BS93" s="444"/>
      <c r="BT93" s="444"/>
      <c r="BU93" s="444"/>
      <c r="BV93" s="444"/>
      <c r="BW93" s="444"/>
      <c r="BX93" s="444"/>
      <c r="BY93" s="444"/>
      <c r="BZ93" s="444"/>
      <c r="CA93" s="444"/>
      <c r="CB93" s="444"/>
      <c r="CC93" s="444"/>
      <c r="CD93" s="444"/>
      <c r="CE93" s="444"/>
      <c r="CF93" s="444"/>
      <c r="CG93" s="444"/>
      <c r="CH93" s="444"/>
      <c r="CI93" s="444"/>
      <c r="CJ93" s="444"/>
      <c r="CK93" s="444"/>
      <c r="CL93" s="444"/>
      <c r="CM93" s="444"/>
      <c r="CN93" s="444"/>
      <c r="CO93" s="444"/>
      <c r="CP93" s="444"/>
      <c r="CQ93" s="444"/>
      <c r="CR93" s="444"/>
      <c r="CS93" s="444"/>
      <c r="CT93" s="444"/>
      <c r="CU93" s="444"/>
      <c r="CV93" s="444"/>
      <c r="CW93" s="444"/>
      <c r="CX93" s="444"/>
      <c r="CY93" s="444"/>
      <c r="CZ93" s="444"/>
      <c r="DA93" s="444"/>
      <c r="DB93" s="444"/>
      <c r="DC93" s="444"/>
      <c r="DD93" s="444"/>
      <c r="DE93" s="444"/>
      <c r="DF93" s="444"/>
      <c r="DG93" s="444"/>
      <c r="DH93" s="444"/>
      <c r="DI93" s="444"/>
      <c r="DJ93" s="444"/>
      <c r="DK93" s="444"/>
      <c r="DL93" s="444"/>
      <c r="DM93" s="444"/>
      <c r="DN93" s="444"/>
      <c r="DO93" s="444"/>
      <c r="DP93" s="444"/>
      <c r="DQ93" s="444"/>
      <c r="DR93" s="444"/>
      <c r="DS93" s="444"/>
      <c r="DT93" s="630"/>
      <c r="DU93" s="444"/>
      <c r="DV93" s="630"/>
      <c r="DW93" s="925"/>
      <c r="DX93" s="517" t="str">
        <f t="shared" si="22"/>
        <v>S-49-B</v>
      </c>
      <c r="DY93" s="518" t="str">
        <f>UPPER(IF(VLOOKUP(A93,TabladeServicio,MATCH($B$2,$A$8:$DT$8,0),0)=0,"",VLOOKUP(A93,TabladeServicio,MATCH($B$2,$A$8:$DT$8,0),0)))</f>
        <v/>
      </c>
      <c r="DZ93" s="518" t="str">
        <f>UPPER(IF(VLOOKUP(A93,TabladeServicio,MATCH($B$2,$A$8:$DT$8,0)+1,0)=0,"",VLOOKUP(A93,TabladeServicio,MATCH($B$2,$A$8:$DT$8,0)+1,0)))</f>
        <v/>
      </c>
    </row>
    <row r="94" spans="1:130" s="516" customFormat="1" x14ac:dyDescent="0.3">
      <c r="A94" s="571" t="s">
        <v>1832</v>
      </c>
      <c r="B94" s="574" t="str">
        <f t="shared" si="19"/>
        <v>S-50 / -</v>
      </c>
      <c r="C94" s="43"/>
      <c r="D94" s="43"/>
      <c r="E94" s="43"/>
      <c r="F94" s="43"/>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3"/>
      <c r="AH94" s="443"/>
      <c r="AI94" s="44"/>
      <c r="AJ94" s="44"/>
      <c r="AK94" s="44"/>
      <c r="AL94" s="44"/>
      <c r="AM94" s="44"/>
      <c r="AN94" s="44"/>
      <c r="AO94" s="44"/>
      <c r="AP94" s="44"/>
      <c r="AQ94" s="44"/>
      <c r="AR94" s="44"/>
      <c r="AS94" s="44"/>
      <c r="AT94" s="44"/>
      <c r="AU94" s="44"/>
      <c r="AV94" s="44"/>
      <c r="AW94" s="44"/>
      <c r="AX94" s="44"/>
      <c r="AY94" s="44"/>
      <c r="AZ94" s="44"/>
      <c r="BA94" s="44"/>
      <c r="BB94" s="44"/>
      <c r="BC94" s="44" t="s">
        <v>853</v>
      </c>
      <c r="BD94" s="44" t="s">
        <v>3331</v>
      </c>
      <c r="BE94" s="44" t="s">
        <v>853</v>
      </c>
      <c r="BF94" s="44" t="s">
        <v>3353</v>
      </c>
      <c r="BG94" s="44" t="s">
        <v>853</v>
      </c>
      <c r="BH94" s="44" t="s">
        <v>3353</v>
      </c>
      <c r="BI94" s="44"/>
      <c r="BJ94" s="629"/>
      <c r="BK94" s="209"/>
      <c r="BL94" s="209"/>
      <c r="BM94" s="43"/>
      <c r="BN94" s="209"/>
      <c r="BO94" s="44"/>
      <c r="BP94" s="443"/>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3"/>
      <c r="CR94" s="443"/>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629"/>
      <c r="DU94" s="44"/>
      <c r="DV94" s="629"/>
      <c r="DW94" s="925"/>
      <c r="DX94" s="517" t="str">
        <f t="shared" si="22"/>
        <v>S-50</v>
      </c>
      <c r="DY94" s="518" t="str">
        <f t="shared" si="20"/>
        <v/>
      </c>
      <c r="DZ94" s="518" t="str">
        <f t="shared" si="21"/>
        <v/>
      </c>
    </row>
    <row r="95" spans="1:130" s="516" customFormat="1" ht="15" thickBot="1" x14ac:dyDescent="0.35">
      <c r="A95" s="571" t="s">
        <v>1833</v>
      </c>
      <c r="B95" s="574" t="str">
        <f t="shared" si="19"/>
        <v>S-50-B / -</v>
      </c>
      <c r="C95" s="444"/>
      <c r="D95" s="444"/>
      <c r="E95" s="444"/>
      <c r="F95" s="444"/>
      <c r="G95" s="444"/>
      <c r="H95" s="444"/>
      <c r="I95" s="444"/>
      <c r="J95" s="444"/>
      <c r="K95" s="444"/>
      <c r="L95" s="444"/>
      <c r="M95" s="444"/>
      <c r="N95" s="444"/>
      <c r="O95" s="444"/>
      <c r="P95" s="444"/>
      <c r="Q95" s="444"/>
      <c r="R95" s="444"/>
      <c r="S95" s="444"/>
      <c r="T95" s="444"/>
      <c r="U95" s="444"/>
      <c r="V95" s="444"/>
      <c r="W95" s="444"/>
      <c r="X95" s="444"/>
      <c r="Y95" s="444"/>
      <c r="Z95" s="444"/>
      <c r="AA95" s="444"/>
      <c r="AB95" s="444"/>
      <c r="AC95" s="444"/>
      <c r="AD95" s="444"/>
      <c r="AE95" s="444"/>
      <c r="AF95" s="444"/>
      <c r="AG95" s="444"/>
      <c r="AH95" s="444"/>
      <c r="AI95" s="444"/>
      <c r="AJ95" s="444"/>
      <c r="AK95" s="444"/>
      <c r="AL95" s="444"/>
      <c r="AM95" s="444"/>
      <c r="AN95" s="444"/>
      <c r="AO95" s="444"/>
      <c r="AP95" s="444"/>
      <c r="AQ95" s="444"/>
      <c r="AR95" s="444"/>
      <c r="AS95" s="444"/>
      <c r="AT95" s="444"/>
      <c r="AU95" s="444"/>
      <c r="AV95" s="444"/>
      <c r="AW95" s="444"/>
      <c r="AX95" s="444"/>
      <c r="AY95" s="444"/>
      <c r="AZ95" s="444"/>
      <c r="BA95" s="444"/>
      <c r="BB95" s="444"/>
      <c r="BC95" s="444"/>
      <c r="BD95" s="869"/>
      <c r="BE95" s="444"/>
      <c r="BF95" s="444"/>
      <c r="BG95" s="444"/>
      <c r="BH95" s="444"/>
      <c r="BI95" s="444"/>
      <c r="BJ95" s="630"/>
      <c r="BK95" s="444"/>
      <c r="BL95" s="630"/>
      <c r="BM95" s="444"/>
      <c r="BN95" s="444"/>
      <c r="BO95" s="444"/>
      <c r="BP95" s="444"/>
      <c r="BQ95" s="444"/>
      <c r="BR95" s="444"/>
      <c r="BS95" s="444"/>
      <c r="BT95" s="444"/>
      <c r="BU95" s="444"/>
      <c r="BV95" s="444"/>
      <c r="BW95" s="444"/>
      <c r="BX95" s="444"/>
      <c r="BY95" s="444"/>
      <c r="BZ95" s="444"/>
      <c r="CA95" s="444"/>
      <c r="CB95" s="444"/>
      <c r="CC95" s="444"/>
      <c r="CD95" s="444"/>
      <c r="CE95" s="444"/>
      <c r="CF95" s="444"/>
      <c r="CG95" s="444"/>
      <c r="CH95" s="444"/>
      <c r="CI95" s="444"/>
      <c r="CJ95" s="444"/>
      <c r="CK95" s="444"/>
      <c r="CL95" s="444"/>
      <c r="CM95" s="444"/>
      <c r="CN95" s="444"/>
      <c r="CO95" s="444"/>
      <c r="CP95" s="444"/>
      <c r="CQ95" s="444"/>
      <c r="CR95" s="444"/>
      <c r="CS95" s="444"/>
      <c r="CT95" s="444"/>
      <c r="CU95" s="444"/>
      <c r="CV95" s="444"/>
      <c r="CW95" s="444"/>
      <c r="CX95" s="444"/>
      <c r="CY95" s="444"/>
      <c r="CZ95" s="444"/>
      <c r="DA95" s="444"/>
      <c r="DB95" s="444"/>
      <c r="DC95" s="444"/>
      <c r="DD95" s="444"/>
      <c r="DE95" s="444"/>
      <c r="DF95" s="444"/>
      <c r="DG95" s="444"/>
      <c r="DH95" s="444"/>
      <c r="DI95" s="444"/>
      <c r="DJ95" s="444"/>
      <c r="DK95" s="444"/>
      <c r="DL95" s="444"/>
      <c r="DM95" s="444"/>
      <c r="DN95" s="869"/>
      <c r="DO95" s="444"/>
      <c r="DP95" s="444"/>
      <c r="DQ95" s="444"/>
      <c r="DR95" s="444"/>
      <c r="DS95" s="444"/>
      <c r="DT95" s="630"/>
      <c r="DU95" s="444"/>
      <c r="DV95" s="630"/>
      <c r="DW95" s="925"/>
      <c r="DX95" s="517" t="str">
        <f t="shared" si="22"/>
        <v>S-50-B</v>
      </c>
      <c r="DY95" s="518" t="str">
        <f t="shared" si="20"/>
        <v/>
      </c>
      <c r="DZ95" s="518" t="str">
        <f t="shared" si="21"/>
        <v/>
      </c>
    </row>
    <row r="96" spans="1:130" s="516" customFormat="1" x14ac:dyDescent="0.3">
      <c r="A96" s="465" t="s">
        <v>772</v>
      </c>
      <c r="B96" s="576" t="str">
        <f t="shared" si="19"/>
        <v>S-EV / -</v>
      </c>
      <c r="C96" s="572" t="s">
        <v>962</v>
      </c>
      <c r="D96" s="572" t="s">
        <v>2906</v>
      </c>
      <c r="E96" s="572" t="s">
        <v>962</v>
      </c>
      <c r="F96" s="44" t="s">
        <v>2906</v>
      </c>
      <c r="G96" s="572" t="s">
        <v>855</v>
      </c>
      <c r="H96" s="572" t="s">
        <v>2906</v>
      </c>
      <c r="I96" s="572" t="s">
        <v>855</v>
      </c>
      <c r="J96" s="572" t="s">
        <v>2906</v>
      </c>
      <c r="K96" s="572" t="s">
        <v>853</v>
      </c>
      <c r="L96" s="572" t="s">
        <v>2988</v>
      </c>
      <c r="M96" s="572" t="s">
        <v>853</v>
      </c>
      <c r="N96" s="572" t="s">
        <v>2988</v>
      </c>
      <c r="O96" s="572"/>
      <c r="P96" s="572"/>
      <c r="Q96" s="572" t="s">
        <v>853</v>
      </c>
      <c r="R96" s="572" t="s">
        <v>3033</v>
      </c>
      <c r="S96" s="572"/>
      <c r="T96" s="572"/>
      <c r="U96" s="572"/>
      <c r="V96" s="572"/>
      <c r="W96" s="572" t="s">
        <v>853</v>
      </c>
      <c r="X96" s="572" t="s">
        <v>3055</v>
      </c>
      <c r="Y96" s="572" t="s">
        <v>853</v>
      </c>
      <c r="Z96" s="572" t="s">
        <v>3055</v>
      </c>
      <c r="AA96" s="572" t="s">
        <v>853</v>
      </c>
      <c r="AB96" s="572" t="s">
        <v>3055</v>
      </c>
      <c r="AC96" s="572" t="s">
        <v>853</v>
      </c>
      <c r="AD96" s="572" t="s">
        <v>3055</v>
      </c>
      <c r="AE96" s="572" t="s">
        <v>853</v>
      </c>
      <c r="AF96" s="572" t="s">
        <v>3055</v>
      </c>
      <c r="AG96" s="572"/>
      <c r="AH96" s="572"/>
      <c r="AI96" s="572"/>
      <c r="AJ96" s="572"/>
      <c r="AK96" s="572"/>
      <c r="AL96" s="572"/>
      <c r="AM96" s="572"/>
      <c r="AN96" s="572"/>
      <c r="AO96" s="572"/>
      <c r="AP96" s="572"/>
      <c r="AQ96" s="572"/>
      <c r="AR96" s="572"/>
      <c r="AS96" s="572"/>
      <c r="AT96" s="572"/>
      <c r="AU96" s="572"/>
      <c r="AV96" s="572"/>
      <c r="AW96" s="572"/>
      <c r="AX96" s="572"/>
      <c r="AY96" s="572" t="s">
        <v>853</v>
      </c>
      <c r="AZ96" s="572" t="s">
        <v>3315</v>
      </c>
      <c r="BA96" s="572" t="s">
        <v>853</v>
      </c>
      <c r="BB96" s="572" t="s">
        <v>3316</v>
      </c>
      <c r="BC96" s="572"/>
      <c r="BD96" s="572"/>
      <c r="BE96" s="572"/>
      <c r="BF96" s="572"/>
      <c r="BG96" s="572"/>
      <c r="BH96" s="572"/>
      <c r="BI96" s="572"/>
      <c r="BJ96" s="572"/>
      <c r="BK96" s="572"/>
      <c r="BL96" s="572"/>
      <c r="BM96" s="572"/>
      <c r="BN96" s="44"/>
      <c r="BO96" s="572"/>
      <c r="BP96" s="44"/>
      <c r="BQ96" s="572"/>
      <c r="BR96" s="572"/>
      <c r="BS96" s="572"/>
      <c r="BT96" s="572"/>
      <c r="BU96" s="572"/>
      <c r="BV96" s="572"/>
      <c r="BW96" s="572"/>
      <c r="BX96" s="572"/>
      <c r="BY96" s="572"/>
      <c r="BZ96" s="572"/>
      <c r="CA96" s="572"/>
      <c r="CB96" s="572"/>
      <c r="CC96" s="572"/>
      <c r="CD96" s="572"/>
      <c r="CE96" s="572"/>
      <c r="CF96" s="572"/>
      <c r="CG96" s="572"/>
      <c r="CH96" s="572"/>
      <c r="CI96" s="572"/>
      <c r="CJ96" s="572"/>
      <c r="CK96" s="572"/>
      <c r="CL96" s="572"/>
      <c r="CM96" s="572"/>
      <c r="CN96" s="572"/>
      <c r="CO96" s="572"/>
      <c r="CP96" s="572"/>
      <c r="CQ96" s="572"/>
      <c r="CR96" s="572"/>
      <c r="CS96" s="572"/>
      <c r="CT96" s="572"/>
      <c r="CU96" s="572"/>
      <c r="CV96" s="572"/>
      <c r="CW96" s="572"/>
      <c r="CX96" s="572"/>
      <c r="CY96" s="572"/>
      <c r="CZ96" s="572"/>
      <c r="DA96" s="572"/>
      <c r="DB96" s="572"/>
      <c r="DC96" s="572"/>
      <c r="DD96" s="572"/>
      <c r="DE96" s="572"/>
      <c r="DF96" s="572"/>
      <c r="DG96" s="572"/>
      <c r="DH96" s="572"/>
      <c r="DI96" s="572"/>
      <c r="DJ96" s="572"/>
      <c r="DK96" s="572"/>
      <c r="DL96" s="572"/>
      <c r="DM96" s="572"/>
      <c r="DN96" s="572"/>
      <c r="DO96" s="572"/>
      <c r="DP96" s="572"/>
      <c r="DQ96" s="572"/>
      <c r="DR96" s="572"/>
      <c r="DS96" s="572"/>
      <c r="DT96" s="572"/>
      <c r="DU96" s="572"/>
      <c r="DV96" s="572"/>
      <c r="DW96" s="925"/>
      <c r="DX96" s="517" t="str">
        <f t="shared" si="22"/>
        <v>S-EV</v>
      </c>
      <c r="DY96" s="518" t="str">
        <f t="shared" ref="DY96:DY110" si="23">IF(VLOOKUP(A96,TabladeServicio,MATCH($B$2,$A$8:$DT$8,0),0)=0,"",VLOOKUP(A96,TabladeServicio,MATCH($B$2,$A$8:$DT$8,0),0))</f>
        <v/>
      </c>
      <c r="DZ96" s="518" t="str">
        <f t="shared" ref="DZ96:DZ110" si="24">IF(VLOOKUP(A96,TabladeServicio,MATCH($B$2,$A$8:$DT$8,0)+1,0)=0,"",VLOOKUP(A96,TabladeServicio,MATCH($B$2,$A$8:$DT$8,0)+1,0))</f>
        <v/>
      </c>
    </row>
    <row r="97" spans="1:130" s="516" customFormat="1" x14ac:dyDescent="0.3">
      <c r="A97" s="465" t="s">
        <v>856</v>
      </c>
      <c r="B97" s="577" t="str">
        <f t="shared" si="19"/>
        <v>S-EV-2 / -</v>
      </c>
      <c r="C97" s="44" t="s">
        <v>853</v>
      </c>
      <c r="D97" s="44" t="s">
        <v>2855</v>
      </c>
      <c r="E97" s="44" t="s">
        <v>855</v>
      </c>
      <c r="F97" s="44" t="s">
        <v>2855</v>
      </c>
      <c r="G97" s="44" t="s">
        <v>855</v>
      </c>
      <c r="H97" s="44" t="s">
        <v>2855</v>
      </c>
      <c r="I97" s="44" t="s">
        <v>1</v>
      </c>
      <c r="J97" s="44" t="s">
        <v>2855</v>
      </c>
      <c r="K97" s="44" t="s">
        <v>1</v>
      </c>
      <c r="L97" s="44" t="s">
        <v>2855</v>
      </c>
      <c r="M97" s="44" t="s">
        <v>853</v>
      </c>
      <c r="N97" s="44" t="s">
        <v>2855</v>
      </c>
      <c r="O97" s="44"/>
      <c r="P97" s="44"/>
      <c r="Q97" s="44"/>
      <c r="R97" s="44"/>
      <c r="S97" s="44"/>
      <c r="T97" s="44"/>
      <c r="U97" s="44"/>
      <c r="V97" s="44"/>
      <c r="W97" s="44" t="s">
        <v>853</v>
      </c>
      <c r="X97" s="44" t="s">
        <v>3056</v>
      </c>
      <c r="Y97" s="44"/>
      <c r="Z97" s="44"/>
      <c r="AA97" s="44"/>
      <c r="AB97" s="44"/>
      <c r="AC97" s="44" t="s">
        <v>2</v>
      </c>
      <c r="AD97" s="44" t="s">
        <v>3083</v>
      </c>
      <c r="AE97" s="44"/>
      <c r="AF97" s="44"/>
      <c r="AG97" s="44"/>
      <c r="AH97" s="44"/>
      <c r="AI97" s="44"/>
      <c r="AJ97" s="44"/>
      <c r="AK97" s="44"/>
      <c r="AL97" s="44"/>
      <c r="AM97" s="44"/>
      <c r="AN97" s="44"/>
      <c r="AO97" s="44"/>
      <c r="AP97" s="44"/>
      <c r="AQ97" s="44"/>
      <c r="AR97" s="44"/>
      <c r="AS97" s="44"/>
      <c r="AT97" s="44"/>
      <c r="AU97" s="44"/>
      <c r="AV97" s="44"/>
      <c r="AW97" s="44"/>
      <c r="AX97" s="44"/>
      <c r="AY97" s="44" t="s">
        <v>853</v>
      </c>
      <c r="AZ97" s="44" t="s">
        <v>3317</v>
      </c>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925"/>
      <c r="DX97" s="517" t="str">
        <f t="shared" si="22"/>
        <v>S-EV-2</v>
      </c>
      <c r="DY97" s="518" t="str">
        <f t="shared" si="23"/>
        <v/>
      </c>
      <c r="DZ97" s="518" t="str">
        <f t="shared" si="24"/>
        <v/>
      </c>
    </row>
    <row r="98" spans="1:130" s="516" customFormat="1" x14ac:dyDescent="0.3">
      <c r="A98" s="465" t="s">
        <v>1675</v>
      </c>
      <c r="B98" s="577" t="str">
        <f t="shared" si="19"/>
        <v>S-EV-3 / -</v>
      </c>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925"/>
      <c r="DX98" s="517" t="str">
        <f t="shared" si="22"/>
        <v>S-EV-3</v>
      </c>
      <c r="DY98" s="518" t="str">
        <f t="shared" si="23"/>
        <v/>
      </c>
      <c r="DZ98" s="518" t="str">
        <f t="shared" si="24"/>
        <v/>
      </c>
    </row>
    <row r="99" spans="1:130" s="516" customFormat="1" ht="29.4" thickBot="1" x14ac:dyDescent="0.35">
      <c r="A99" s="465" t="s">
        <v>1676</v>
      </c>
      <c r="B99" s="577" t="str">
        <f t="shared" si="19"/>
        <v>S-EV-4 / SGTO 2DO. NUÑEZ NAHUELHUAL FRANCISCO JAVIER</v>
      </c>
      <c r="C99" s="44" t="s">
        <v>853</v>
      </c>
      <c r="D99" s="44" t="s">
        <v>2916</v>
      </c>
      <c r="E99" s="44" t="s">
        <v>855</v>
      </c>
      <c r="F99" s="44" t="s">
        <v>2916</v>
      </c>
      <c r="G99" s="44" t="s">
        <v>855</v>
      </c>
      <c r="H99" s="44" t="s">
        <v>2916</v>
      </c>
      <c r="I99" s="44" t="s">
        <v>1</v>
      </c>
      <c r="J99" s="44" t="s">
        <v>2916</v>
      </c>
      <c r="K99" s="44" t="s">
        <v>1</v>
      </c>
      <c r="L99" s="44" t="s">
        <v>2916</v>
      </c>
      <c r="M99" s="44" t="s">
        <v>853</v>
      </c>
      <c r="N99" s="44" t="s">
        <v>2916</v>
      </c>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t="s">
        <v>2</v>
      </c>
      <c r="AR99" s="44" t="s">
        <v>3243</v>
      </c>
      <c r="AS99" s="44" t="s">
        <v>1</v>
      </c>
      <c r="AT99" s="44" t="s">
        <v>3275</v>
      </c>
      <c r="AU99" s="44" t="s">
        <v>2</v>
      </c>
      <c r="AV99" s="44" t="s">
        <v>2456</v>
      </c>
      <c r="AW99" s="44" t="s">
        <v>1</v>
      </c>
      <c r="AX99" s="44" t="s">
        <v>2049</v>
      </c>
      <c r="AY99" s="44" t="s">
        <v>2</v>
      </c>
      <c r="AZ99" s="44" t="s">
        <v>2337</v>
      </c>
      <c r="BA99" s="44" t="s">
        <v>1</v>
      </c>
      <c r="BB99" s="44" t="s">
        <v>2857</v>
      </c>
      <c r="BC99" s="44" t="s">
        <v>2</v>
      </c>
      <c r="BD99" s="44" t="s">
        <v>2456</v>
      </c>
      <c r="BE99" s="44" t="s">
        <v>1</v>
      </c>
      <c r="BF99" s="44" t="s">
        <v>2049</v>
      </c>
      <c r="BG99" s="44" t="s">
        <v>2</v>
      </c>
      <c r="BH99" s="44" t="s">
        <v>2372</v>
      </c>
      <c r="BI99" s="44" t="s">
        <v>855</v>
      </c>
      <c r="BJ99" s="44" t="s">
        <v>936</v>
      </c>
      <c r="BK99" s="44" t="s">
        <v>855</v>
      </c>
      <c r="BL99" s="44" t="s">
        <v>936</v>
      </c>
      <c r="BM99" s="44" t="s">
        <v>1</v>
      </c>
      <c r="BN99" s="44" t="s">
        <v>2372</v>
      </c>
      <c r="BO99" s="44" t="s">
        <v>2</v>
      </c>
      <c r="BP99" s="44" t="s">
        <v>2456</v>
      </c>
      <c r="BQ99" s="44" t="s">
        <v>853</v>
      </c>
      <c r="BR99" s="44" t="s">
        <v>3474</v>
      </c>
      <c r="BS99" s="44" t="s">
        <v>1</v>
      </c>
      <c r="BT99" s="44" t="s">
        <v>3474</v>
      </c>
      <c r="BU99" s="44" t="s">
        <v>1</v>
      </c>
      <c r="BV99" s="44" t="s">
        <v>3474</v>
      </c>
      <c r="BW99" s="44" t="s">
        <v>1</v>
      </c>
      <c r="BX99" s="44" t="s">
        <v>3474</v>
      </c>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925"/>
      <c r="DX99" s="519" t="str">
        <f t="shared" si="22"/>
        <v>S-EV-4</v>
      </c>
      <c r="DY99" s="520" t="str">
        <f t="shared" si="23"/>
        <v>2T</v>
      </c>
      <c r="DZ99" s="520" t="str">
        <f t="shared" si="24"/>
        <v>PLAN 2 HOMICIDIOS</v>
      </c>
    </row>
    <row r="100" spans="1:130" s="516" customFormat="1" x14ac:dyDescent="0.3">
      <c r="A100" s="465" t="s">
        <v>2561</v>
      </c>
      <c r="B100" s="576" t="str">
        <f t="shared" ref="B100:B107" si="25">A100&amp;" / "&amp;VLOOKUP(A100,PANELDETRABAJO,2,FALSE)</f>
        <v>S-EV-5 / SGTO 1RO. PALMA LUNA MARCO ANTONIO</v>
      </c>
      <c r="C100" s="572" t="s">
        <v>2</v>
      </c>
      <c r="D100" s="572" t="s">
        <v>2917</v>
      </c>
      <c r="E100" s="572" t="s">
        <v>1</v>
      </c>
      <c r="F100" s="44" t="s">
        <v>2917</v>
      </c>
      <c r="G100" s="572" t="s">
        <v>2</v>
      </c>
      <c r="H100" s="572" t="s">
        <v>2917</v>
      </c>
      <c r="I100" s="572" t="s">
        <v>1</v>
      </c>
      <c r="J100" s="572" t="s">
        <v>2917</v>
      </c>
      <c r="K100" s="44" t="s">
        <v>2</v>
      </c>
      <c r="L100" s="44" t="s">
        <v>2917</v>
      </c>
      <c r="M100" s="572"/>
      <c r="N100" s="572"/>
      <c r="O100" s="572"/>
      <c r="P100" s="572"/>
      <c r="Q100" s="572"/>
      <c r="R100" s="572"/>
      <c r="S100" s="572"/>
      <c r="T100" s="572"/>
      <c r="U100" s="572"/>
      <c r="V100" s="572"/>
      <c r="W100" s="572"/>
      <c r="X100" s="572"/>
      <c r="Y100" s="572"/>
      <c r="Z100" s="572"/>
      <c r="AA100" s="572"/>
      <c r="AB100" s="572"/>
      <c r="AC100" s="572"/>
      <c r="AD100" s="572"/>
      <c r="AE100" s="572"/>
      <c r="AF100" s="572"/>
      <c r="AG100" s="572"/>
      <c r="AH100" s="572"/>
      <c r="AI100" s="572"/>
      <c r="AJ100" s="572"/>
      <c r="AK100" s="572"/>
      <c r="AL100" s="572"/>
      <c r="AM100" s="572"/>
      <c r="AN100" s="572"/>
      <c r="AO100" s="572"/>
      <c r="AP100" s="572"/>
      <c r="AQ100" s="572" t="s">
        <v>2</v>
      </c>
      <c r="AR100" s="572" t="s">
        <v>3244</v>
      </c>
      <c r="AS100" s="572" t="s">
        <v>1</v>
      </c>
      <c r="AT100" s="572" t="s">
        <v>3276</v>
      </c>
      <c r="AU100" s="572" t="s">
        <v>2</v>
      </c>
      <c r="AV100" s="572" t="s">
        <v>3276</v>
      </c>
      <c r="AW100" s="572" t="s">
        <v>1</v>
      </c>
      <c r="AX100" s="572" t="s">
        <v>2372</v>
      </c>
      <c r="AY100" s="572" t="s">
        <v>2</v>
      </c>
      <c r="AZ100" s="572" t="s">
        <v>2456</v>
      </c>
      <c r="BA100" s="572" t="s">
        <v>1</v>
      </c>
      <c r="BB100" s="572" t="s">
        <v>2372</v>
      </c>
      <c r="BC100" s="572" t="s">
        <v>2</v>
      </c>
      <c r="BD100" s="572" t="s">
        <v>2049</v>
      </c>
      <c r="BE100" s="572" t="s">
        <v>1</v>
      </c>
      <c r="BF100" s="572" t="s">
        <v>2372</v>
      </c>
      <c r="BG100" s="572" t="s">
        <v>2</v>
      </c>
      <c r="BH100" s="572" t="s">
        <v>2456</v>
      </c>
      <c r="BI100" s="572" t="s">
        <v>1</v>
      </c>
      <c r="BJ100" s="572" t="s">
        <v>2049</v>
      </c>
      <c r="BK100" s="572" t="s">
        <v>2</v>
      </c>
      <c r="BL100" s="572" t="s">
        <v>2049</v>
      </c>
      <c r="BM100" s="572" t="s">
        <v>1</v>
      </c>
      <c r="BN100" s="44" t="s">
        <v>2456</v>
      </c>
      <c r="BO100" s="572" t="s">
        <v>2</v>
      </c>
      <c r="BP100" s="44" t="s">
        <v>2049</v>
      </c>
      <c r="BQ100" s="572" t="s">
        <v>853</v>
      </c>
      <c r="BR100" s="572" t="s">
        <v>3474</v>
      </c>
      <c r="BS100" s="572" t="s">
        <v>1</v>
      </c>
      <c r="BT100" s="572" t="s">
        <v>3474</v>
      </c>
      <c r="BU100" s="572" t="s">
        <v>1</v>
      </c>
      <c r="BV100" s="572" t="s">
        <v>3474</v>
      </c>
      <c r="BW100" s="572" t="s">
        <v>1</v>
      </c>
      <c r="BX100" s="572" t="s">
        <v>3474</v>
      </c>
      <c r="BY100" s="572"/>
      <c r="BZ100" s="572"/>
      <c r="CA100" s="572"/>
      <c r="CB100" s="572"/>
      <c r="CC100" s="572"/>
      <c r="CD100" s="572"/>
      <c r="CE100" s="572"/>
      <c r="CF100" s="572"/>
      <c r="CG100" s="572"/>
      <c r="CH100" s="572"/>
      <c r="CI100" s="572"/>
      <c r="CJ100" s="572"/>
      <c r="CK100" s="572"/>
      <c r="CL100" s="572"/>
      <c r="CM100" s="572"/>
      <c r="CN100" s="572"/>
      <c r="CO100" s="572"/>
      <c r="CP100" s="572"/>
      <c r="CQ100" s="572"/>
      <c r="CR100" s="572"/>
      <c r="CS100" s="572"/>
      <c r="CT100" s="572"/>
      <c r="CU100" s="572"/>
      <c r="CV100" s="572"/>
      <c r="CW100" s="572"/>
      <c r="CX100" s="572"/>
      <c r="CY100" s="572"/>
      <c r="CZ100" s="572"/>
      <c r="DA100" s="572"/>
      <c r="DB100" s="572"/>
      <c r="DC100" s="572"/>
      <c r="DD100" s="572"/>
      <c r="DE100" s="572"/>
      <c r="DF100" s="572"/>
      <c r="DG100" s="572"/>
      <c r="DH100" s="572"/>
      <c r="DI100" s="572"/>
      <c r="DJ100" s="572"/>
      <c r="DK100" s="572"/>
      <c r="DL100" s="572"/>
      <c r="DM100" s="572"/>
      <c r="DN100" s="572"/>
      <c r="DO100" s="572"/>
      <c r="DP100" s="572"/>
      <c r="DQ100" s="572"/>
      <c r="DR100" s="572"/>
      <c r="DS100" s="572"/>
      <c r="DT100" s="572"/>
      <c r="DU100" s="572"/>
      <c r="DV100" s="572"/>
      <c r="DW100" s="925"/>
      <c r="DX100" s="517" t="str">
        <f t="shared" si="22"/>
        <v>S-EV-5</v>
      </c>
      <c r="DY100" s="518" t="str">
        <f t="shared" si="23"/>
        <v>2T</v>
      </c>
      <c r="DZ100" s="518" t="str">
        <f t="shared" si="24"/>
        <v>PLAN 2 HOMICIDIOS</v>
      </c>
    </row>
    <row r="101" spans="1:130" s="516" customFormat="1" ht="28.8" x14ac:dyDescent="0.3">
      <c r="A101" s="465" t="s">
        <v>2562</v>
      </c>
      <c r="B101" s="577" t="str">
        <f t="shared" si="25"/>
        <v>S-EV-6 / SGTO 2DO. BARROS PEREZ VICTOR HUGO                (T - L - S)</v>
      </c>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t="s">
        <v>2</v>
      </c>
      <c r="AR101" s="44" t="s">
        <v>3245</v>
      </c>
      <c r="AS101" s="44" t="s">
        <v>1</v>
      </c>
      <c r="AT101" s="44" t="s">
        <v>3277</v>
      </c>
      <c r="AU101" s="44" t="s">
        <v>855</v>
      </c>
      <c r="AV101" s="44" t="s">
        <v>1220</v>
      </c>
      <c r="AW101" s="44" t="s">
        <v>855</v>
      </c>
      <c r="AX101" s="44" t="s">
        <v>1220</v>
      </c>
      <c r="AY101" s="44" t="s">
        <v>2</v>
      </c>
      <c r="AZ101" s="44" t="s">
        <v>2857</v>
      </c>
      <c r="BA101" s="44" t="s">
        <v>1</v>
      </c>
      <c r="BB101" s="44" t="s">
        <v>2456</v>
      </c>
      <c r="BC101" s="44" t="s">
        <v>2</v>
      </c>
      <c r="BD101" s="44" t="s">
        <v>2372</v>
      </c>
      <c r="BE101" s="44" t="s">
        <v>1</v>
      </c>
      <c r="BF101" s="44" t="s">
        <v>2456</v>
      </c>
      <c r="BG101" s="44" t="s">
        <v>2</v>
      </c>
      <c r="BH101" s="44" t="s">
        <v>2049</v>
      </c>
      <c r="BI101" s="44" t="s">
        <v>1</v>
      </c>
      <c r="BJ101" s="44" t="s">
        <v>2372</v>
      </c>
      <c r="BK101" s="44" t="s">
        <v>2</v>
      </c>
      <c r="BL101" s="44" t="s">
        <v>2456</v>
      </c>
      <c r="BM101" s="44" t="s">
        <v>1</v>
      </c>
      <c r="BN101" s="44" t="s">
        <v>2049</v>
      </c>
      <c r="BO101" s="44" t="s">
        <v>2</v>
      </c>
      <c r="BP101" s="44" t="s">
        <v>2372</v>
      </c>
      <c r="BQ101" s="44" t="s">
        <v>853</v>
      </c>
      <c r="BR101" s="44" t="s">
        <v>3474</v>
      </c>
      <c r="BS101" s="44" t="s">
        <v>1</v>
      </c>
      <c r="BT101" s="44" t="s">
        <v>3474</v>
      </c>
      <c r="BU101" s="44" t="s">
        <v>1</v>
      </c>
      <c r="BV101" s="44" t="s">
        <v>3474</v>
      </c>
      <c r="BW101" s="44" t="s">
        <v>1</v>
      </c>
      <c r="BX101" s="44" t="s">
        <v>3474</v>
      </c>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925"/>
      <c r="DX101" s="517" t="str">
        <f t="shared" si="22"/>
        <v>S-EV-6</v>
      </c>
      <c r="DY101" s="518" t="str">
        <f t="shared" si="23"/>
        <v>2T</v>
      </c>
      <c r="DZ101" s="518" t="str">
        <f t="shared" si="24"/>
        <v>PLAN 2 HOMICIDIOS</v>
      </c>
    </row>
    <row r="102" spans="1:130" s="516" customFormat="1" x14ac:dyDescent="0.3">
      <c r="A102" s="465" t="s">
        <v>2563</v>
      </c>
      <c r="B102" s="577" t="str">
        <f t="shared" si="25"/>
        <v>S-EV-7 / -</v>
      </c>
      <c r="C102" s="44" t="s">
        <v>1</v>
      </c>
      <c r="D102" s="44" t="s">
        <v>2954</v>
      </c>
      <c r="E102" s="44" t="s">
        <v>1</v>
      </c>
      <c r="F102" s="44" t="s">
        <v>2960</v>
      </c>
      <c r="G102" s="44" t="s">
        <v>855</v>
      </c>
      <c r="H102" s="44" t="s">
        <v>2960</v>
      </c>
      <c r="I102" s="44" t="s">
        <v>1</v>
      </c>
      <c r="J102" s="44" t="s">
        <v>2960</v>
      </c>
      <c r="K102" s="44" t="s">
        <v>1</v>
      </c>
      <c r="L102" s="44" t="s">
        <v>2960</v>
      </c>
      <c r="M102" s="44" t="s">
        <v>1</v>
      </c>
      <c r="N102" s="44" t="s">
        <v>2960</v>
      </c>
      <c r="O102" s="44" t="s">
        <v>853</v>
      </c>
      <c r="P102" s="44" t="s">
        <v>2960</v>
      </c>
      <c r="Q102" s="44" t="s">
        <v>853</v>
      </c>
      <c r="R102" s="44" t="s">
        <v>3045</v>
      </c>
      <c r="S102" s="44" t="s">
        <v>853</v>
      </c>
      <c r="T102" s="44" t="s">
        <v>2960</v>
      </c>
      <c r="U102" s="44" t="s">
        <v>853</v>
      </c>
      <c r="V102" s="44" t="s">
        <v>2960</v>
      </c>
      <c r="W102" s="44" t="s">
        <v>853</v>
      </c>
      <c r="X102" s="44" t="s">
        <v>2960</v>
      </c>
      <c r="Y102" s="44" t="s">
        <v>1</v>
      </c>
      <c r="Z102" s="44" t="s">
        <v>2960</v>
      </c>
      <c r="AA102" s="44" t="s">
        <v>855</v>
      </c>
      <c r="AB102" s="44" t="s">
        <v>2960</v>
      </c>
      <c r="AC102" s="44" t="s">
        <v>855</v>
      </c>
      <c r="AD102" s="44" t="s">
        <v>2960</v>
      </c>
      <c r="AE102" s="44"/>
      <c r="AF102" s="44"/>
      <c r="AG102" s="44" t="s">
        <v>1</v>
      </c>
      <c r="AH102" s="44" t="s">
        <v>2960</v>
      </c>
      <c r="AI102" s="44" t="s">
        <v>855</v>
      </c>
      <c r="AJ102" s="44" t="s">
        <v>2960</v>
      </c>
      <c r="AK102" s="44" t="s">
        <v>853</v>
      </c>
      <c r="AL102" s="44" t="s">
        <v>2960</v>
      </c>
      <c r="AM102" s="44" t="s">
        <v>1</v>
      </c>
      <c r="AN102" s="44" t="s">
        <v>2960</v>
      </c>
      <c r="AO102" s="44" t="s">
        <v>1</v>
      </c>
      <c r="AP102" s="44" t="s">
        <v>2960</v>
      </c>
      <c r="AQ102" s="44" t="s">
        <v>853</v>
      </c>
      <c r="AR102" s="44" t="s">
        <v>2960</v>
      </c>
      <c r="AS102" s="44" t="s">
        <v>1</v>
      </c>
      <c r="AT102" s="44" t="s">
        <v>2960</v>
      </c>
      <c r="AU102" s="44" t="s">
        <v>1</v>
      </c>
      <c r="AV102" s="44" t="s">
        <v>2960</v>
      </c>
      <c r="AW102" s="44" t="s">
        <v>1</v>
      </c>
      <c r="AX102" s="44" t="s">
        <v>2960</v>
      </c>
      <c r="AY102" s="44" t="s">
        <v>853</v>
      </c>
      <c r="AZ102" s="44" t="s">
        <v>2960</v>
      </c>
      <c r="BA102" s="44" t="s">
        <v>1</v>
      </c>
      <c r="BB102" s="44" t="s">
        <v>2960</v>
      </c>
      <c r="BC102" s="44" t="s">
        <v>1</v>
      </c>
      <c r="BD102" s="44" t="s">
        <v>2960</v>
      </c>
      <c r="BE102" s="44" t="s">
        <v>853</v>
      </c>
      <c r="BF102" s="44" t="s">
        <v>3384</v>
      </c>
      <c r="BG102" s="44" t="s">
        <v>853</v>
      </c>
      <c r="BH102" s="44" t="s">
        <v>3384</v>
      </c>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925"/>
      <c r="DX102" s="517" t="str">
        <f t="shared" si="22"/>
        <v>S-EV-7</v>
      </c>
      <c r="DY102" s="518" t="str">
        <f t="shared" si="23"/>
        <v/>
      </c>
      <c r="DZ102" s="518" t="str">
        <f t="shared" si="24"/>
        <v/>
      </c>
    </row>
    <row r="103" spans="1:130" s="516" customFormat="1" ht="15" thickBot="1" x14ac:dyDescent="0.35">
      <c r="A103" s="465" t="s">
        <v>2564</v>
      </c>
      <c r="B103" s="577" t="str">
        <f t="shared" si="25"/>
        <v>S-EV-8 / -</v>
      </c>
      <c r="C103" s="44" t="s">
        <v>1</v>
      </c>
      <c r="D103" s="44" t="s">
        <v>2954</v>
      </c>
      <c r="E103" s="44" t="s">
        <v>1</v>
      </c>
      <c r="F103" s="44" t="s">
        <v>2960</v>
      </c>
      <c r="G103" s="44" t="s">
        <v>855</v>
      </c>
      <c r="H103" s="44" t="s">
        <v>2960</v>
      </c>
      <c r="I103" s="44" t="s">
        <v>1</v>
      </c>
      <c r="J103" s="44" t="s">
        <v>2960</v>
      </c>
      <c r="K103" s="44" t="s">
        <v>1</v>
      </c>
      <c r="L103" s="44" t="s">
        <v>2960</v>
      </c>
      <c r="M103" s="44" t="s">
        <v>1</v>
      </c>
      <c r="N103" s="44" t="s">
        <v>2960</v>
      </c>
      <c r="O103" s="44" t="s">
        <v>853</v>
      </c>
      <c r="P103" s="44" t="s">
        <v>2960</v>
      </c>
      <c r="Q103" s="44" t="s">
        <v>853</v>
      </c>
      <c r="R103" s="44" t="s">
        <v>3044</v>
      </c>
      <c r="S103" s="44" t="s">
        <v>853</v>
      </c>
      <c r="T103" s="44" t="s">
        <v>2960</v>
      </c>
      <c r="U103" s="44" t="s">
        <v>853</v>
      </c>
      <c r="V103" s="44" t="s">
        <v>2960</v>
      </c>
      <c r="W103" s="44" t="s">
        <v>853</v>
      </c>
      <c r="X103" s="44" t="s">
        <v>2960</v>
      </c>
      <c r="Y103" s="44" t="s">
        <v>1</v>
      </c>
      <c r="Z103" s="44" t="s">
        <v>2960</v>
      </c>
      <c r="AA103" s="44" t="s">
        <v>855</v>
      </c>
      <c r="AB103" s="44" t="s">
        <v>2960</v>
      </c>
      <c r="AC103" s="44" t="s">
        <v>855</v>
      </c>
      <c r="AD103" s="44" t="s">
        <v>2960</v>
      </c>
      <c r="AE103" s="44"/>
      <c r="AF103" s="44"/>
      <c r="AG103" s="44" t="s">
        <v>1</v>
      </c>
      <c r="AH103" s="44" t="s">
        <v>2960</v>
      </c>
      <c r="AI103" s="44" t="s">
        <v>855</v>
      </c>
      <c r="AJ103" s="44" t="s">
        <v>2960</v>
      </c>
      <c r="AK103" s="44" t="s">
        <v>853</v>
      </c>
      <c r="AL103" s="44" t="s">
        <v>2960</v>
      </c>
      <c r="AM103" s="44" t="s">
        <v>1</v>
      </c>
      <c r="AN103" s="44" t="s">
        <v>2960</v>
      </c>
      <c r="AO103" s="44" t="s">
        <v>1</v>
      </c>
      <c r="AP103" s="44" t="s">
        <v>2960</v>
      </c>
      <c r="AQ103" s="44" t="s">
        <v>853</v>
      </c>
      <c r="AR103" s="44" t="s">
        <v>2960</v>
      </c>
      <c r="AS103" s="44" t="s">
        <v>1</v>
      </c>
      <c r="AT103" s="44" t="s">
        <v>2960</v>
      </c>
      <c r="AU103" s="44" t="s">
        <v>1</v>
      </c>
      <c r="AV103" s="44" t="s">
        <v>2960</v>
      </c>
      <c r="AW103" s="44" t="s">
        <v>1</v>
      </c>
      <c r="AX103" s="44" t="s">
        <v>2960</v>
      </c>
      <c r="AY103" s="44" t="s">
        <v>853</v>
      </c>
      <c r="AZ103" s="44" t="s">
        <v>2960</v>
      </c>
      <c r="BA103" s="44" t="s">
        <v>1</v>
      </c>
      <c r="BB103" s="44" t="s">
        <v>2960</v>
      </c>
      <c r="BC103" s="44" t="s">
        <v>1</v>
      </c>
      <c r="BD103" s="44" t="s">
        <v>2960</v>
      </c>
      <c r="BE103" s="44"/>
      <c r="BF103" s="44"/>
      <c r="BG103" s="44"/>
      <c r="BH103" s="44"/>
      <c r="BI103" s="44"/>
      <c r="BJ103" s="44"/>
      <c r="BK103" s="44"/>
      <c r="BL103" s="44"/>
      <c r="BM103" s="44"/>
      <c r="BN103" s="44"/>
      <c r="BO103" s="44" t="s">
        <v>2</v>
      </c>
      <c r="BP103" s="44" t="s">
        <v>3455</v>
      </c>
      <c r="BQ103" s="44"/>
      <c r="BR103" s="44"/>
      <c r="BS103" s="44" t="s">
        <v>2</v>
      </c>
      <c r="BT103" s="44" t="s">
        <v>3455</v>
      </c>
      <c r="BU103" s="44"/>
      <c r="BV103" s="44"/>
      <c r="BW103" s="44"/>
      <c r="BX103" s="44"/>
      <c r="BY103" s="44"/>
      <c r="BZ103" s="44"/>
      <c r="CA103" s="44"/>
      <c r="CB103" s="44"/>
      <c r="CC103" s="44" t="s">
        <v>2</v>
      </c>
      <c r="CD103" s="44" t="s">
        <v>3455</v>
      </c>
      <c r="CE103" s="44"/>
      <c r="CF103" s="44"/>
      <c r="CG103" s="44" t="s">
        <v>2</v>
      </c>
      <c r="CH103" s="44" t="s">
        <v>3455</v>
      </c>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925"/>
      <c r="DX103" s="519" t="str">
        <f t="shared" si="22"/>
        <v>S-EV-8</v>
      </c>
      <c r="DY103" s="520" t="str">
        <f t="shared" si="23"/>
        <v/>
      </c>
      <c r="DZ103" s="520" t="str">
        <f t="shared" si="24"/>
        <v/>
      </c>
    </row>
    <row r="104" spans="1:130" s="516" customFormat="1" x14ac:dyDescent="0.3">
      <c r="A104" s="465" t="s">
        <v>2565</v>
      </c>
      <c r="B104" s="576" t="str">
        <f t="shared" si="25"/>
        <v>S-EV-9 / -</v>
      </c>
      <c r="C104" s="572" t="s">
        <v>1</v>
      </c>
      <c r="D104" s="572" t="s">
        <v>2954</v>
      </c>
      <c r="E104" s="572" t="s">
        <v>1</v>
      </c>
      <c r="F104" s="44" t="s">
        <v>2960</v>
      </c>
      <c r="G104" s="572" t="s">
        <v>855</v>
      </c>
      <c r="H104" s="572" t="s">
        <v>2960</v>
      </c>
      <c r="I104" s="572" t="s">
        <v>1</v>
      </c>
      <c r="J104" s="572" t="s">
        <v>2960</v>
      </c>
      <c r="K104" s="572" t="s">
        <v>1</v>
      </c>
      <c r="L104" s="572" t="s">
        <v>2960</v>
      </c>
      <c r="M104" s="572" t="s">
        <v>1</v>
      </c>
      <c r="N104" s="572" t="s">
        <v>2960</v>
      </c>
      <c r="O104" s="572" t="s">
        <v>853</v>
      </c>
      <c r="P104" s="572" t="s">
        <v>2960</v>
      </c>
      <c r="Q104" s="572" t="s">
        <v>853</v>
      </c>
      <c r="R104" s="572" t="s">
        <v>3044</v>
      </c>
      <c r="S104" s="572" t="s">
        <v>853</v>
      </c>
      <c r="T104" s="572" t="s">
        <v>2960</v>
      </c>
      <c r="U104" s="572" t="s">
        <v>853</v>
      </c>
      <c r="V104" s="572" t="s">
        <v>2960</v>
      </c>
      <c r="W104" s="572" t="s">
        <v>853</v>
      </c>
      <c r="X104" s="572" t="s">
        <v>2960</v>
      </c>
      <c r="Y104" s="572" t="s">
        <v>1</v>
      </c>
      <c r="Z104" s="572" t="s">
        <v>2960</v>
      </c>
      <c r="AA104" s="572"/>
      <c r="AB104" s="572" t="s">
        <v>2960</v>
      </c>
      <c r="AC104" s="572" t="s">
        <v>855</v>
      </c>
      <c r="AD104" s="572" t="s">
        <v>2960</v>
      </c>
      <c r="AE104" s="572"/>
      <c r="AF104" s="572"/>
      <c r="AG104" s="572" t="s">
        <v>1</v>
      </c>
      <c r="AH104" s="572" t="s">
        <v>2960</v>
      </c>
      <c r="AI104" s="572" t="s">
        <v>855</v>
      </c>
      <c r="AJ104" s="572" t="s">
        <v>2960</v>
      </c>
      <c r="AK104" s="572" t="s">
        <v>853</v>
      </c>
      <c r="AL104" s="572" t="s">
        <v>2960</v>
      </c>
      <c r="AM104" s="572" t="s">
        <v>1</v>
      </c>
      <c r="AN104" s="572" t="s">
        <v>2960</v>
      </c>
      <c r="AO104" s="572" t="s">
        <v>1</v>
      </c>
      <c r="AP104" s="572" t="s">
        <v>2960</v>
      </c>
      <c r="AQ104" s="572" t="s">
        <v>853</v>
      </c>
      <c r="AR104" s="572" t="s">
        <v>2960</v>
      </c>
      <c r="AS104" s="572" t="s">
        <v>1</v>
      </c>
      <c r="AT104" s="572" t="s">
        <v>2960</v>
      </c>
      <c r="AU104" s="572" t="s">
        <v>1</v>
      </c>
      <c r="AV104" s="572" t="s">
        <v>2960</v>
      </c>
      <c r="AW104" s="572" t="s">
        <v>1</v>
      </c>
      <c r="AX104" s="572" t="s">
        <v>2960</v>
      </c>
      <c r="AY104" s="572" t="s">
        <v>853</v>
      </c>
      <c r="AZ104" s="572" t="s">
        <v>2960</v>
      </c>
      <c r="BA104" s="572" t="s">
        <v>1</v>
      </c>
      <c r="BB104" s="572" t="s">
        <v>2960</v>
      </c>
      <c r="BC104" s="572" t="s">
        <v>1</v>
      </c>
      <c r="BD104" s="572" t="s">
        <v>2960</v>
      </c>
      <c r="BE104" s="572"/>
      <c r="BF104" s="572"/>
      <c r="BG104" s="572"/>
      <c r="BH104" s="572"/>
      <c r="BI104" s="572"/>
      <c r="BJ104" s="572"/>
      <c r="BK104" s="572"/>
      <c r="BL104" s="572"/>
      <c r="BM104" s="572"/>
      <c r="BN104" s="572"/>
      <c r="BO104" s="572"/>
      <c r="BP104" s="44"/>
      <c r="BQ104" s="572"/>
      <c r="BR104" s="572"/>
      <c r="BS104" s="572"/>
      <c r="BT104" s="572"/>
      <c r="BU104" s="572"/>
      <c r="BV104" s="572"/>
      <c r="BW104" s="572"/>
      <c r="BX104" s="572"/>
      <c r="BY104" s="572"/>
      <c r="BZ104" s="572"/>
      <c r="CA104" s="572"/>
      <c r="CB104" s="572"/>
      <c r="CC104" s="572"/>
      <c r="CD104" s="572"/>
      <c r="CE104" s="572"/>
      <c r="CF104" s="572"/>
      <c r="CG104" s="572"/>
      <c r="CH104" s="572"/>
      <c r="CI104" s="572"/>
      <c r="CJ104" s="572"/>
      <c r="CK104" s="572"/>
      <c r="CL104" s="572"/>
      <c r="CM104" s="572"/>
      <c r="CN104" s="572"/>
      <c r="CO104" s="572"/>
      <c r="CP104" s="572"/>
      <c r="CQ104" s="572"/>
      <c r="CR104" s="572"/>
      <c r="CS104" s="572"/>
      <c r="CT104" s="572"/>
      <c r="CU104" s="572"/>
      <c r="CV104" s="572"/>
      <c r="CW104" s="572"/>
      <c r="CX104" s="572"/>
      <c r="CY104" s="572"/>
      <c r="CZ104" s="572"/>
      <c r="DA104" s="572"/>
      <c r="DB104" s="572"/>
      <c r="DC104" s="572"/>
      <c r="DD104" s="572"/>
      <c r="DE104" s="572"/>
      <c r="DF104" s="572"/>
      <c r="DG104" s="572"/>
      <c r="DH104" s="572"/>
      <c r="DI104" s="572"/>
      <c r="DJ104" s="572"/>
      <c r="DK104" s="572"/>
      <c r="DL104" s="572"/>
      <c r="DM104" s="572"/>
      <c r="DN104" s="572"/>
      <c r="DO104" s="572"/>
      <c r="DP104" s="572"/>
      <c r="DQ104" s="572"/>
      <c r="DR104" s="572"/>
      <c r="DS104" s="572"/>
      <c r="DT104" s="572"/>
      <c r="DU104" s="572"/>
      <c r="DV104" s="572"/>
      <c r="DW104" s="925"/>
      <c r="DX104" s="517" t="str">
        <f t="shared" si="22"/>
        <v>S-EV-9</v>
      </c>
      <c r="DY104" s="518" t="str">
        <f t="shared" si="23"/>
        <v/>
      </c>
      <c r="DZ104" s="518" t="str">
        <f t="shared" si="24"/>
        <v/>
      </c>
    </row>
    <row r="105" spans="1:130" s="516" customFormat="1" x14ac:dyDescent="0.3">
      <c r="A105" s="465" t="s">
        <v>2566</v>
      </c>
      <c r="B105" s="577" t="str">
        <f t="shared" si="25"/>
        <v>S-EV-10 / -</v>
      </c>
      <c r="C105" s="44" t="s">
        <v>1</v>
      </c>
      <c r="D105" s="44" t="s">
        <v>2954</v>
      </c>
      <c r="E105" s="44" t="s">
        <v>1</v>
      </c>
      <c r="F105" s="44" t="s">
        <v>2960</v>
      </c>
      <c r="G105" s="44" t="s">
        <v>855</v>
      </c>
      <c r="H105" s="44" t="s">
        <v>2960</v>
      </c>
      <c r="I105" s="44" t="s">
        <v>1</v>
      </c>
      <c r="J105" s="44" t="s">
        <v>2960</v>
      </c>
      <c r="K105" s="44" t="s">
        <v>1</v>
      </c>
      <c r="L105" s="44" t="s">
        <v>2960</v>
      </c>
      <c r="M105" s="44" t="s">
        <v>1</v>
      </c>
      <c r="N105" s="44" t="s">
        <v>2960</v>
      </c>
      <c r="O105" s="44" t="s">
        <v>853</v>
      </c>
      <c r="P105" s="44" t="s">
        <v>2960</v>
      </c>
      <c r="Q105" s="44" t="s">
        <v>853</v>
      </c>
      <c r="R105" s="44" t="s">
        <v>3044</v>
      </c>
      <c r="S105" s="44" t="s">
        <v>853</v>
      </c>
      <c r="T105" s="44" t="s">
        <v>2960</v>
      </c>
      <c r="U105" s="44" t="s">
        <v>853</v>
      </c>
      <c r="V105" s="44" t="s">
        <v>2960</v>
      </c>
      <c r="W105" s="44" t="s">
        <v>853</v>
      </c>
      <c r="X105" s="44" t="s">
        <v>2960</v>
      </c>
      <c r="Y105" s="44" t="s">
        <v>1</v>
      </c>
      <c r="Z105" s="44" t="s">
        <v>2960</v>
      </c>
      <c r="AA105" s="44" t="s">
        <v>855</v>
      </c>
      <c r="AB105" s="44" t="s">
        <v>2960</v>
      </c>
      <c r="AC105" s="44" t="s">
        <v>855</v>
      </c>
      <c r="AD105" s="44" t="s">
        <v>2960</v>
      </c>
      <c r="AE105" s="44"/>
      <c r="AF105" s="44"/>
      <c r="AG105" s="44" t="s">
        <v>1</v>
      </c>
      <c r="AH105" s="44" t="s">
        <v>2960</v>
      </c>
      <c r="AI105" s="44" t="s">
        <v>855</v>
      </c>
      <c r="AJ105" s="44" t="s">
        <v>2960</v>
      </c>
      <c r="AK105" s="44" t="s">
        <v>853</v>
      </c>
      <c r="AL105" s="44" t="s">
        <v>2960</v>
      </c>
      <c r="AM105" s="44" t="s">
        <v>1</v>
      </c>
      <c r="AN105" s="44" t="s">
        <v>2960</v>
      </c>
      <c r="AO105" s="44" t="s">
        <v>1</v>
      </c>
      <c r="AP105" s="44" t="s">
        <v>2960</v>
      </c>
      <c r="AQ105" s="44" t="s">
        <v>853</v>
      </c>
      <c r="AR105" s="44" t="s">
        <v>2960</v>
      </c>
      <c r="AS105" s="44" t="s">
        <v>1</v>
      </c>
      <c r="AT105" s="44" t="s">
        <v>2960</v>
      </c>
      <c r="AU105" s="44" t="s">
        <v>1</v>
      </c>
      <c r="AV105" s="44" t="s">
        <v>2960</v>
      </c>
      <c r="AW105" s="44" t="s">
        <v>1</v>
      </c>
      <c r="AX105" s="44" t="s">
        <v>2960</v>
      </c>
      <c r="AY105" s="44" t="s">
        <v>853</v>
      </c>
      <c r="AZ105" s="44" t="s">
        <v>2960</v>
      </c>
      <c r="BA105" s="44" t="s">
        <v>1</v>
      </c>
      <c r="BB105" s="44" t="s">
        <v>2960</v>
      </c>
      <c r="BC105" s="44" t="s">
        <v>1</v>
      </c>
      <c r="BD105" s="44" t="s">
        <v>2960</v>
      </c>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925"/>
      <c r="DX105" s="517" t="str">
        <f t="shared" si="22"/>
        <v>S-EV-10</v>
      </c>
      <c r="DY105" s="518" t="str">
        <f t="shared" si="23"/>
        <v/>
      </c>
      <c r="DZ105" s="518" t="str">
        <f t="shared" si="24"/>
        <v/>
      </c>
    </row>
    <row r="106" spans="1:130" s="516" customFormat="1" x14ac:dyDescent="0.3">
      <c r="A106" s="465" t="s">
        <v>2567</v>
      </c>
      <c r="B106" s="577" t="str">
        <f t="shared" si="25"/>
        <v>S-EV-11 / -</v>
      </c>
      <c r="C106" s="44" t="s">
        <v>962</v>
      </c>
      <c r="D106" s="44" t="s">
        <v>2845</v>
      </c>
      <c r="E106" s="44" t="s">
        <v>962</v>
      </c>
      <c r="F106" s="44" t="s">
        <v>2845</v>
      </c>
      <c r="G106" s="44" t="s">
        <v>962</v>
      </c>
      <c r="H106" s="44" t="s">
        <v>2845</v>
      </c>
      <c r="I106" s="44" t="s">
        <v>855</v>
      </c>
      <c r="J106" s="44" t="s">
        <v>2845</v>
      </c>
      <c r="K106" s="44" t="s">
        <v>853</v>
      </c>
      <c r="L106" s="44" t="s">
        <v>2987</v>
      </c>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925"/>
      <c r="DX106" s="517" t="str">
        <f t="shared" si="22"/>
        <v>S-EV-11</v>
      </c>
      <c r="DY106" s="518" t="str">
        <f t="shared" si="23"/>
        <v/>
      </c>
      <c r="DZ106" s="518" t="str">
        <f t="shared" si="24"/>
        <v/>
      </c>
    </row>
    <row r="107" spans="1:130" s="516" customFormat="1" ht="15" thickBot="1" x14ac:dyDescent="0.35">
      <c r="A107" s="465" t="s">
        <v>2568</v>
      </c>
      <c r="B107" s="577" t="str">
        <f t="shared" si="25"/>
        <v>S-EV-12 / -</v>
      </c>
      <c r="C107" s="44" t="s">
        <v>962</v>
      </c>
      <c r="D107" s="44" t="s">
        <v>2845</v>
      </c>
      <c r="E107" s="44" t="s">
        <v>962</v>
      </c>
      <c r="F107" s="44" t="s">
        <v>2845</v>
      </c>
      <c r="G107" s="44" t="s">
        <v>962</v>
      </c>
      <c r="H107" s="44" t="s">
        <v>2845</v>
      </c>
      <c r="I107" s="44" t="s">
        <v>855</v>
      </c>
      <c r="J107" s="44" t="s">
        <v>2845</v>
      </c>
      <c r="K107" s="44"/>
      <c r="L107" s="44"/>
      <c r="M107" s="44"/>
      <c r="N107" s="44"/>
      <c r="O107" s="44" t="s">
        <v>853</v>
      </c>
      <c r="P107" s="44" t="s">
        <v>3011</v>
      </c>
      <c r="Q107" s="44" t="s">
        <v>853</v>
      </c>
      <c r="R107" s="44" t="s">
        <v>3028</v>
      </c>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925"/>
      <c r="DX107" s="519" t="str">
        <f t="shared" si="22"/>
        <v>S-EV-12</v>
      </c>
      <c r="DY107" s="520" t="str">
        <f t="shared" si="23"/>
        <v/>
      </c>
      <c r="DZ107" s="520" t="str">
        <f t="shared" si="24"/>
        <v/>
      </c>
    </row>
    <row r="108" spans="1:130" s="516" customFormat="1" x14ac:dyDescent="0.3">
      <c r="A108" s="465" t="s">
        <v>2569</v>
      </c>
      <c r="B108" s="576" t="str">
        <f t="shared" si="19"/>
        <v>S-EV-13 / -</v>
      </c>
      <c r="C108" s="572"/>
      <c r="D108" s="44"/>
      <c r="E108" s="572"/>
      <c r="F108" s="44"/>
      <c r="G108" s="572"/>
      <c r="H108" s="572"/>
      <c r="I108" s="572"/>
      <c r="J108" s="572"/>
      <c r="K108" s="572"/>
      <c r="L108" s="572"/>
      <c r="M108" s="572"/>
      <c r="N108" s="572"/>
      <c r="O108" s="572" t="s">
        <v>853</v>
      </c>
      <c r="P108" s="572" t="s">
        <v>3012</v>
      </c>
      <c r="Q108" s="572" t="s">
        <v>853</v>
      </c>
      <c r="R108" s="572" t="s">
        <v>3043</v>
      </c>
      <c r="S108" s="572"/>
      <c r="T108" s="572"/>
      <c r="U108" s="572"/>
      <c r="V108" s="572"/>
      <c r="W108" s="572"/>
      <c r="X108" s="572"/>
      <c r="Y108" s="572"/>
      <c r="Z108" s="572"/>
      <c r="AA108" s="572"/>
      <c r="AB108" s="572"/>
      <c r="AC108" s="572"/>
      <c r="AD108" s="572"/>
      <c r="AE108" s="572"/>
      <c r="AF108" s="572"/>
      <c r="AG108" s="572"/>
      <c r="AH108" s="572"/>
      <c r="AI108" s="572"/>
      <c r="AJ108" s="572"/>
      <c r="AK108" s="572"/>
      <c r="AL108" s="572"/>
      <c r="AM108" s="572"/>
      <c r="AN108" s="572"/>
      <c r="AO108" s="572"/>
      <c r="AP108" s="572"/>
      <c r="AQ108" s="572"/>
      <c r="AR108" s="572"/>
      <c r="AS108" s="572"/>
      <c r="AT108" s="572"/>
      <c r="AU108" s="572"/>
      <c r="AV108" s="572"/>
      <c r="AW108" s="572"/>
      <c r="AX108" s="572"/>
      <c r="AY108" s="572"/>
      <c r="AZ108" s="572"/>
      <c r="BA108" s="572"/>
      <c r="BB108" s="572"/>
      <c r="BC108" s="572"/>
      <c r="BD108" s="572"/>
      <c r="BE108" s="572"/>
      <c r="BF108" s="572"/>
      <c r="BG108" s="572"/>
      <c r="BH108" s="572"/>
      <c r="BI108" s="572"/>
      <c r="BJ108" s="572"/>
      <c r="BK108" s="572"/>
      <c r="BL108" s="572"/>
      <c r="BM108" s="572"/>
      <c r="BN108" s="44"/>
      <c r="BO108" s="572"/>
      <c r="BP108" s="44"/>
      <c r="BQ108" s="572"/>
      <c r="BR108" s="572"/>
      <c r="BS108" s="572"/>
      <c r="BT108" s="572"/>
      <c r="BU108" s="572"/>
      <c r="BV108" s="572"/>
      <c r="BW108" s="572"/>
      <c r="BX108" s="572"/>
      <c r="BY108" s="572"/>
      <c r="BZ108" s="572"/>
      <c r="CA108" s="572"/>
      <c r="CB108" s="572"/>
      <c r="CC108" s="572"/>
      <c r="CD108" s="572"/>
      <c r="CE108" s="572"/>
      <c r="CF108" s="572"/>
      <c r="CG108" s="572"/>
      <c r="CH108" s="572"/>
      <c r="CI108" s="572"/>
      <c r="CJ108" s="572"/>
      <c r="CK108" s="572"/>
      <c r="CL108" s="572"/>
      <c r="CM108" s="572"/>
      <c r="CN108" s="572"/>
      <c r="CO108" s="572"/>
      <c r="CP108" s="572"/>
      <c r="CQ108" s="572"/>
      <c r="CR108" s="572"/>
      <c r="CS108" s="572"/>
      <c r="CT108" s="572"/>
      <c r="CU108" s="572"/>
      <c r="CV108" s="572"/>
      <c r="CW108" s="572"/>
      <c r="CX108" s="572"/>
      <c r="CY108" s="572"/>
      <c r="CZ108" s="572"/>
      <c r="DA108" s="572"/>
      <c r="DB108" s="572"/>
      <c r="DC108" s="572"/>
      <c r="DD108" s="572"/>
      <c r="DE108" s="572"/>
      <c r="DF108" s="572"/>
      <c r="DG108" s="572"/>
      <c r="DH108" s="572"/>
      <c r="DI108" s="572"/>
      <c r="DJ108" s="572"/>
      <c r="DK108" s="572"/>
      <c r="DL108" s="572"/>
      <c r="DM108" s="572"/>
      <c r="DN108" s="572"/>
      <c r="DO108" s="572"/>
      <c r="DP108" s="572"/>
      <c r="DQ108" s="572"/>
      <c r="DR108" s="572"/>
      <c r="DS108" s="572"/>
      <c r="DT108" s="572"/>
      <c r="DU108" s="572"/>
      <c r="DV108" s="572"/>
      <c r="DW108" s="925"/>
      <c r="DX108" s="517" t="str">
        <f t="shared" si="22"/>
        <v>S-EV-13</v>
      </c>
      <c r="DY108" s="518" t="str">
        <f t="shared" si="23"/>
        <v/>
      </c>
      <c r="DZ108" s="518" t="str">
        <f t="shared" si="24"/>
        <v/>
      </c>
    </row>
    <row r="109" spans="1:130" s="516" customFormat="1" x14ac:dyDescent="0.3">
      <c r="A109" s="465" t="s">
        <v>2570</v>
      </c>
      <c r="B109" s="577" t="str">
        <f t="shared" si="19"/>
        <v>S-EV-14 / -</v>
      </c>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925"/>
      <c r="DX109" s="517" t="str">
        <f t="shared" si="22"/>
        <v>S-EV-14</v>
      </c>
      <c r="DY109" s="518" t="str">
        <f t="shared" si="23"/>
        <v/>
      </c>
      <c r="DZ109" s="518" t="str">
        <f t="shared" si="24"/>
        <v/>
      </c>
    </row>
    <row r="110" spans="1:130" s="516" customFormat="1" x14ac:dyDescent="0.3">
      <c r="A110" s="465" t="s">
        <v>2571</v>
      </c>
      <c r="B110" s="577" t="str">
        <f t="shared" si="19"/>
        <v>S-EV-15 / -</v>
      </c>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925"/>
      <c r="DX110" s="517" t="str">
        <f t="shared" si="22"/>
        <v>S-EV-15</v>
      </c>
      <c r="DY110" s="518" t="str">
        <f t="shared" si="23"/>
        <v/>
      </c>
      <c r="DZ110" s="518" t="str">
        <f t="shared" si="24"/>
        <v/>
      </c>
    </row>
    <row r="111" spans="1:130" s="694" customFormat="1" x14ac:dyDescent="0.3">
      <c r="A111" s="695"/>
      <c r="B111" s="696"/>
      <c r="C111" s="697"/>
      <c r="D111" s="697"/>
      <c r="E111" s="697"/>
      <c r="F111" s="697"/>
      <c r="G111" s="697"/>
      <c r="H111" s="697"/>
      <c r="I111" s="697"/>
      <c r="J111" s="697"/>
      <c r="K111" s="697"/>
      <c r="L111" s="697"/>
      <c r="M111" s="697"/>
      <c r="N111" s="697"/>
      <c r="O111" s="697"/>
      <c r="P111" s="697"/>
      <c r="Q111" s="697"/>
      <c r="R111" s="697"/>
      <c r="S111" s="697"/>
      <c r="T111" s="697"/>
      <c r="U111" s="697"/>
      <c r="V111" s="697"/>
      <c r="W111" s="697"/>
      <c r="X111" s="697"/>
      <c r="Y111" s="697"/>
      <c r="Z111" s="697"/>
      <c r="AA111" s="697"/>
      <c r="AB111" s="697"/>
      <c r="AC111" s="697"/>
      <c r="AD111" s="697"/>
      <c r="AE111" s="697"/>
      <c r="AF111" s="697"/>
      <c r="AG111" s="697"/>
      <c r="AH111" s="697"/>
      <c r="AI111" s="697"/>
      <c r="AJ111" s="697"/>
      <c r="AK111" s="697"/>
      <c r="AL111" s="697"/>
      <c r="AM111" s="697"/>
      <c r="AN111" s="697"/>
      <c r="AO111" s="697"/>
      <c r="AP111" s="697"/>
      <c r="AQ111" s="697"/>
      <c r="AR111" s="697"/>
      <c r="AS111" s="697"/>
      <c r="AT111" s="697"/>
      <c r="AU111" s="697"/>
      <c r="AV111" s="697"/>
      <c r="AW111" s="697"/>
      <c r="AX111" s="697"/>
      <c r="AY111" s="697"/>
      <c r="AZ111" s="697"/>
      <c r="BA111" s="697"/>
      <c r="BB111" s="697"/>
      <c r="BC111" s="697"/>
      <c r="BD111" s="697"/>
      <c r="BE111" s="697"/>
      <c r="BF111" s="697"/>
      <c r="BG111" s="697"/>
      <c r="BH111" s="697"/>
      <c r="BI111" s="697"/>
      <c r="BJ111" s="697"/>
      <c r="BK111" s="697"/>
      <c r="BL111" s="697"/>
      <c r="BM111" s="697"/>
      <c r="BN111" s="697"/>
      <c r="BO111" s="697"/>
      <c r="BP111" s="697"/>
      <c r="BQ111" s="697"/>
      <c r="BR111" s="697"/>
      <c r="BS111" s="697"/>
      <c r="BT111" s="697"/>
      <c r="BU111" s="697"/>
      <c r="BV111" s="697"/>
      <c r="BW111" s="697"/>
      <c r="BX111" s="697"/>
      <c r="BY111" s="697"/>
      <c r="BZ111" s="697"/>
      <c r="CA111" s="697"/>
      <c r="CB111" s="697"/>
      <c r="CC111" s="697"/>
      <c r="CD111" s="697"/>
      <c r="CE111" s="697"/>
      <c r="CF111" s="697"/>
      <c r="CG111" s="697"/>
      <c r="CH111" s="697"/>
      <c r="CI111" s="697"/>
      <c r="CJ111" s="697"/>
      <c r="CK111" s="697"/>
      <c r="CL111" s="697"/>
      <c r="CM111" s="697"/>
      <c r="CN111" s="697"/>
      <c r="CO111" s="697"/>
      <c r="CP111" s="697"/>
      <c r="CQ111" s="697"/>
      <c r="CR111" s="697"/>
      <c r="CS111" s="697"/>
      <c r="CT111" s="697"/>
      <c r="CU111" s="697"/>
      <c r="CV111" s="697"/>
      <c r="CW111" s="697"/>
      <c r="CX111" s="697"/>
      <c r="CY111" s="697"/>
      <c r="CZ111" s="697"/>
      <c r="DA111" s="697"/>
      <c r="DB111" s="697"/>
      <c r="DC111" s="697"/>
      <c r="DD111" s="697"/>
      <c r="DE111" s="697"/>
      <c r="DF111" s="697"/>
      <c r="DG111" s="697"/>
      <c r="DH111" s="697"/>
      <c r="DI111" s="697"/>
      <c r="DJ111" s="697"/>
      <c r="DK111" s="697"/>
      <c r="DL111" s="697"/>
      <c r="DM111" s="697"/>
      <c r="DN111" s="697"/>
      <c r="DO111" s="697"/>
      <c r="DP111" s="697"/>
      <c r="DQ111" s="697"/>
      <c r="DR111" s="697"/>
      <c r="DS111" s="697"/>
      <c r="DT111" s="697"/>
      <c r="DU111" s="697"/>
      <c r="DV111" s="697"/>
      <c r="DW111" s="926"/>
      <c r="DX111" s="692"/>
      <c r="DY111" s="693"/>
      <c r="DZ111" s="693"/>
    </row>
    <row r="112" spans="1:130" x14ac:dyDescent="0.3">
      <c r="A112" s="286" t="s">
        <v>67</v>
      </c>
      <c r="B112" s="208" t="str">
        <f t="shared" ref="B112:B125" si="26">A112&amp;" / "&amp;VLOOKUP(A112,PANELDETRABAJO,2,FALSE)&amp;" "&amp;VLOOKUP(A112,PANELDETRABAJO,3,FALSE)</f>
        <v xml:space="preserve">PTL-11 / - </v>
      </c>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925"/>
      <c r="DX112" s="510" t="str">
        <f>A112</f>
        <v>PTL-11</v>
      </c>
      <c r="DY112" s="511" t="str">
        <f t="shared" ref="DY112:DY125" si="27">UPPER(IF(VLOOKUP(A112,TabladeServicio,MATCH($B$2,$A$8:$DT$8,0),0)=0,"",VLOOKUP(A112,TabladeServicio,MATCH($B$2,$A$8:$DT$8,0),0)))</f>
        <v/>
      </c>
      <c r="DZ112" s="511" t="str">
        <f t="shared" ref="DZ112:DZ125" si="28">UPPER(IF(VLOOKUP(A112,TabladeServicio,MATCH($B$2,$A$8:$DT$8,0)+1,0)=0,"",VLOOKUP(A112,TabladeServicio,MATCH($B$2,$A$8:$DT$8,0)+1,0)))</f>
        <v/>
      </c>
    </row>
    <row r="113" spans="1:130" ht="29.4" thickBot="1" x14ac:dyDescent="0.35">
      <c r="A113" s="286" t="s">
        <v>66</v>
      </c>
      <c r="B113" s="208" t="str">
        <f t="shared" si="26"/>
        <v xml:space="preserve">PTL-12 / SGTO 1RO. ZUÑIGA NARVAEZ GUSTAVO FERNANDO (L - P - T)  </v>
      </c>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t="s">
        <v>853</v>
      </c>
      <c r="AR113" s="44" t="s">
        <v>2047</v>
      </c>
      <c r="AS113" s="44" t="s">
        <v>853</v>
      </c>
      <c r="AT113" s="44" t="s">
        <v>2047</v>
      </c>
      <c r="AU113" s="44" t="s">
        <v>855</v>
      </c>
      <c r="AV113" s="44" t="s">
        <v>1220</v>
      </c>
      <c r="AW113" s="44" t="s">
        <v>855</v>
      </c>
      <c r="AX113" s="44" t="s">
        <v>1220</v>
      </c>
      <c r="AY113" s="44" t="s">
        <v>853</v>
      </c>
      <c r="AZ113" s="44" t="s">
        <v>3310</v>
      </c>
      <c r="BA113" s="44" t="s">
        <v>853</v>
      </c>
      <c r="BB113" s="44" t="s">
        <v>2047</v>
      </c>
      <c r="BC113" s="44" t="s">
        <v>853</v>
      </c>
      <c r="BD113" s="44" t="s">
        <v>3343</v>
      </c>
      <c r="BE113" s="44" t="s">
        <v>853</v>
      </c>
      <c r="BF113" s="44" t="s">
        <v>3376</v>
      </c>
      <c r="BG113" s="44" t="s">
        <v>853</v>
      </c>
      <c r="BH113" s="44" t="s">
        <v>3398</v>
      </c>
      <c r="BI113" s="44" t="s">
        <v>853</v>
      </c>
      <c r="BJ113" s="44" t="s">
        <v>3422</v>
      </c>
      <c r="BK113" s="44" t="s">
        <v>1</v>
      </c>
      <c r="BL113" s="44" t="s">
        <v>1472</v>
      </c>
      <c r="BM113" s="44" t="s">
        <v>2</v>
      </c>
      <c r="BN113" s="44" t="s">
        <v>2047</v>
      </c>
      <c r="BO113" s="44" t="s">
        <v>853</v>
      </c>
      <c r="BP113" s="44" t="s">
        <v>3094</v>
      </c>
      <c r="BQ113" s="44" t="s">
        <v>853</v>
      </c>
      <c r="BR113" s="44" t="s">
        <v>3004</v>
      </c>
      <c r="BS113" s="44" t="s">
        <v>1</v>
      </c>
      <c r="BT113" s="44" t="s">
        <v>2047</v>
      </c>
      <c r="BU113" s="44" t="s">
        <v>2</v>
      </c>
      <c r="BV113" s="44" t="s">
        <v>2047</v>
      </c>
      <c r="BW113" s="44" t="s">
        <v>855</v>
      </c>
      <c r="BX113" s="44" t="s">
        <v>1220</v>
      </c>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925"/>
      <c r="DX113" s="510" t="str">
        <f t="shared" ref="DX113:DX134" si="29">A113</f>
        <v>PTL-12</v>
      </c>
      <c r="DY113" s="511" t="str">
        <f t="shared" si="27"/>
        <v>F</v>
      </c>
      <c r="DZ113" s="511" t="str">
        <f t="shared" si="28"/>
        <v>FRANCO</v>
      </c>
    </row>
    <row r="114" spans="1:130" ht="28.8" x14ac:dyDescent="0.3">
      <c r="A114" s="286" t="s">
        <v>194</v>
      </c>
      <c r="B114" s="208" t="str">
        <f t="shared" si="26"/>
        <v>PTL-13 / CABO 1RO. HERRERA RIVAS JUVENAL AGUSTIN LA-060</v>
      </c>
      <c r="C114" s="44" t="s">
        <v>962</v>
      </c>
      <c r="D114" s="44" t="s">
        <v>2845</v>
      </c>
      <c r="E114" s="44" t="s">
        <v>962</v>
      </c>
      <c r="F114" s="44" t="s">
        <v>2845</v>
      </c>
      <c r="G114" s="44" t="s">
        <v>962</v>
      </c>
      <c r="H114" s="44" t="s">
        <v>2845</v>
      </c>
      <c r="I114" s="44" t="s">
        <v>855</v>
      </c>
      <c r="J114" s="44" t="s">
        <v>1220</v>
      </c>
      <c r="K114" s="44"/>
      <c r="L114" s="44"/>
      <c r="M114" s="44"/>
      <c r="N114" s="44"/>
      <c r="O114" s="44" t="s">
        <v>853</v>
      </c>
      <c r="P114" s="44" t="s">
        <v>3008</v>
      </c>
      <c r="Q114" s="44" t="s">
        <v>853</v>
      </c>
      <c r="R114" s="44" t="s">
        <v>3029</v>
      </c>
      <c r="S114" s="44" t="s">
        <v>855</v>
      </c>
      <c r="T114" s="44" t="s">
        <v>1220</v>
      </c>
      <c r="U114" s="44" t="s">
        <v>855</v>
      </c>
      <c r="V114" s="44" t="s">
        <v>1220</v>
      </c>
      <c r="W114" s="44" t="s">
        <v>2</v>
      </c>
      <c r="X114" s="44" t="s">
        <v>2289</v>
      </c>
      <c r="Y114" s="44"/>
      <c r="Z114" s="44"/>
      <c r="AA114" s="44"/>
      <c r="AB114" s="44"/>
      <c r="AC114" s="44"/>
      <c r="AD114" s="44"/>
      <c r="AE114" s="44" t="s">
        <v>853</v>
      </c>
      <c r="AF114" s="44" t="s">
        <v>3000</v>
      </c>
      <c r="AG114" s="44" t="s">
        <v>854</v>
      </c>
      <c r="AH114" s="44" t="s">
        <v>882</v>
      </c>
      <c r="AI114" s="44" t="s">
        <v>2125</v>
      </c>
      <c r="AJ114" s="44" t="s">
        <v>882</v>
      </c>
      <c r="AK114" s="44" t="s">
        <v>1</v>
      </c>
      <c r="AL114" s="44" t="s">
        <v>1472</v>
      </c>
      <c r="AM114" s="44" t="s">
        <v>853</v>
      </c>
      <c r="AN114" s="44" t="s">
        <v>2047</v>
      </c>
      <c r="AO114" s="44" t="s">
        <v>2</v>
      </c>
      <c r="AP114" s="44" t="s">
        <v>1472</v>
      </c>
      <c r="AQ114" s="44" t="s">
        <v>853</v>
      </c>
      <c r="AR114" s="44" t="s">
        <v>3160</v>
      </c>
      <c r="AS114" s="44" t="s">
        <v>854</v>
      </c>
      <c r="AT114" s="44" t="s">
        <v>882</v>
      </c>
      <c r="AU114" s="44" t="s">
        <v>2125</v>
      </c>
      <c r="AV114" s="44" t="s">
        <v>2760</v>
      </c>
      <c r="AW114" s="44" t="s">
        <v>855</v>
      </c>
      <c r="AX114" s="44" t="s">
        <v>1220</v>
      </c>
      <c r="AY114" s="44" t="s">
        <v>853</v>
      </c>
      <c r="AZ114" s="44" t="s">
        <v>2047</v>
      </c>
      <c r="BA114" s="44" t="s">
        <v>2</v>
      </c>
      <c r="BB114" s="44" t="s">
        <v>1472</v>
      </c>
      <c r="BC114" s="44" t="s">
        <v>853</v>
      </c>
      <c r="BD114" s="44" t="s">
        <v>3342</v>
      </c>
      <c r="BE114" s="44" t="s">
        <v>854</v>
      </c>
      <c r="BF114" s="44" t="s">
        <v>882</v>
      </c>
      <c r="BG114" s="44" t="s">
        <v>2125</v>
      </c>
      <c r="BH114" s="44" t="s">
        <v>3394</v>
      </c>
      <c r="BI114" s="44" t="s">
        <v>853</v>
      </c>
      <c r="BJ114" s="44" t="s">
        <v>1472</v>
      </c>
      <c r="BK114" s="209" t="s">
        <v>853</v>
      </c>
      <c r="BL114" s="209" t="s">
        <v>2814</v>
      </c>
      <c r="BM114" s="44" t="s">
        <v>2</v>
      </c>
      <c r="BN114" s="44" t="s">
        <v>1472</v>
      </c>
      <c r="BO114" s="44" t="s">
        <v>853</v>
      </c>
      <c r="BP114" s="443" t="s">
        <v>3160</v>
      </c>
      <c r="BQ114" s="44" t="s">
        <v>854</v>
      </c>
      <c r="BR114" s="44" t="s">
        <v>882</v>
      </c>
      <c r="BS114" s="44" t="s">
        <v>2125</v>
      </c>
      <c r="BT114" s="44" t="s">
        <v>2632</v>
      </c>
      <c r="BU114" s="44" t="s">
        <v>1</v>
      </c>
      <c r="BV114" s="44" t="s">
        <v>3553</v>
      </c>
      <c r="BW114" s="44" t="s">
        <v>853</v>
      </c>
      <c r="BX114" s="44" t="s">
        <v>1472</v>
      </c>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925"/>
      <c r="DX114" s="510" t="str">
        <f t="shared" si="29"/>
        <v>PTL-13</v>
      </c>
      <c r="DY114" s="511" t="str">
        <f t="shared" si="27"/>
        <v>1P</v>
      </c>
      <c r="DZ114" s="511" t="str">
        <f t="shared" si="28"/>
        <v>BAQUEDANO</v>
      </c>
    </row>
    <row r="115" spans="1:130" ht="28.8" x14ac:dyDescent="0.3">
      <c r="A115" s="286" t="s">
        <v>113</v>
      </c>
      <c r="B115" s="208" t="str">
        <f t="shared" si="26"/>
        <v>PTL-14 / SGTO 2DO. MELLA MORALES MARCO ALEXIS LA-062</v>
      </c>
      <c r="C115" s="44" t="s">
        <v>854</v>
      </c>
      <c r="D115" s="44" t="s">
        <v>882</v>
      </c>
      <c r="E115" s="44" t="s">
        <v>2125</v>
      </c>
      <c r="F115" s="44" t="s">
        <v>882</v>
      </c>
      <c r="G115" s="44" t="s">
        <v>853</v>
      </c>
      <c r="H115" s="44" t="s">
        <v>2905</v>
      </c>
      <c r="I115" s="44" t="s">
        <v>853</v>
      </c>
      <c r="J115" s="44" t="s">
        <v>1472</v>
      </c>
      <c r="K115" s="44"/>
      <c r="L115" s="44"/>
      <c r="M115" s="44" t="s">
        <v>854</v>
      </c>
      <c r="N115" s="44" t="s">
        <v>882</v>
      </c>
      <c r="O115" s="44" t="s">
        <v>2125</v>
      </c>
      <c r="P115" s="44" t="s">
        <v>882</v>
      </c>
      <c r="Q115" s="44" t="s">
        <v>853</v>
      </c>
      <c r="R115" s="44" t="s">
        <v>3030</v>
      </c>
      <c r="S115" s="44" t="s">
        <v>853</v>
      </c>
      <c r="T115" s="44" t="s">
        <v>1472</v>
      </c>
      <c r="U115" s="44" t="s">
        <v>853</v>
      </c>
      <c r="V115" s="44" t="s">
        <v>2905</v>
      </c>
      <c r="W115" s="44" t="s">
        <v>854</v>
      </c>
      <c r="X115" s="44" t="s">
        <v>882</v>
      </c>
      <c r="Y115" s="44" t="s">
        <v>2125</v>
      </c>
      <c r="Z115" s="650" t="s">
        <v>882</v>
      </c>
      <c r="AA115" s="44" t="s">
        <v>853</v>
      </c>
      <c r="AB115" s="44" t="s">
        <v>3070</v>
      </c>
      <c r="AC115" s="44" t="s">
        <v>853</v>
      </c>
      <c r="AD115" s="44" t="s">
        <v>3080</v>
      </c>
      <c r="AE115" s="44" t="s">
        <v>853</v>
      </c>
      <c r="AF115" s="44" t="s">
        <v>3095</v>
      </c>
      <c r="AG115" s="44" t="s">
        <v>855</v>
      </c>
      <c r="AH115" s="44" t="s">
        <v>1220</v>
      </c>
      <c r="AI115" s="44" t="s">
        <v>855</v>
      </c>
      <c r="AJ115" s="44" t="s">
        <v>1220</v>
      </c>
      <c r="AK115" s="44" t="s">
        <v>2</v>
      </c>
      <c r="AL115" s="44" t="s">
        <v>1472</v>
      </c>
      <c r="AM115" s="44" t="s">
        <v>853</v>
      </c>
      <c r="AN115" s="44" t="s">
        <v>3095</v>
      </c>
      <c r="AO115" s="44" t="s">
        <v>854</v>
      </c>
      <c r="AP115" s="44" t="s">
        <v>882</v>
      </c>
      <c r="AQ115" s="44" t="s">
        <v>2125</v>
      </c>
      <c r="AR115" s="44" t="s">
        <v>882</v>
      </c>
      <c r="AS115" s="44" t="s">
        <v>2</v>
      </c>
      <c r="AT115" s="44" t="s">
        <v>880</v>
      </c>
      <c r="AU115" s="44" t="s">
        <v>853</v>
      </c>
      <c r="AV115" s="44" t="s">
        <v>3298</v>
      </c>
      <c r="AW115" s="44" t="s">
        <v>853</v>
      </c>
      <c r="AX115" s="44" t="s">
        <v>1472</v>
      </c>
      <c r="AY115" s="44" t="s">
        <v>853</v>
      </c>
      <c r="AZ115" s="44" t="s">
        <v>3311</v>
      </c>
      <c r="BA115" s="44" t="s">
        <v>854</v>
      </c>
      <c r="BB115" s="44" t="s">
        <v>882</v>
      </c>
      <c r="BC115" s="44" t="s">
        <v>2125</v>
      </c>
      <c r="BD115" s="44" t="s">
        <v>882</v>
      </c>
      <c r="BE115" s="44" t="s">
        <v>853</v>
      </c>
      <c r="BF115" s="44" t="s">
        <v>3382</v>
      </c>
      <c r="BG115" s="44" t="s">
        <v>853</v>
      </c>
      <c r="BH115" s="44" t="s">
        <v>3403</v>
      </c>
      <c r="BI115" s="44" t="s">
        <v>855</v>
      </c>
      <c r="BJ115" s="44" t="s">
        <v>1220</v>
      </c>
      <c r="BK115" s="44" t="s">
        <v>854</v>
      </c>
      <c r="BL115" s="44" t="s">
        <v>882</v>
      </c>
      <c r="BM115" s="44" t="s">
        <v>2125</v>
      </c>
      <c r="BN115" s="44" t="s">
        <v>3394</v>
      </c>
      <c r="BO115" s="44" t="s">
        <v>1</v>
      </c>
      <c r="BP115" s="44" t="s">
        <v>1472</v>
      </c>
      <c r="BQ115" s="44" t="s">
        <v>853</v>
      </c>
      <c r="BR115" s="44" t="s">
        <v>3475</v>
      </c>
      <c r="BS115" s="44" t="s">
        <v>2</v>
      </c>
      <c r="BT115" s="44" t="s">
        <v>1472</v>
      </c>
      <c r="BU115" s="44" t="s">
        <v>853</v>
      </c>
      <c r="BV115" s="44" t="s">
        <v>3556</v>
      </c>
      <c r="BW115" s="44" t="s">
        <v>854</v>
      </c>
      <c r="BX115" s="44" t="s">
        <v>882</v>
      </c>
      <c r="BY115" s="44"/>
      <c r="BZ115" s="44"/>
      <c r="CA115" s="44"/>
      <c r="CB115" s="44"/>
      <c r="CC115" s="44"/>
      <c r="CD115" s="44"/>
      <c r="CE115" s="44"/>
      <c r="CF115" s="44"/>
      <c r="CG115" s="44"/>
      <c r="CH115" s="44"/>
      <c r="CI115" s="44"/>
      <c r="CJ115" s="650"/>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925"/>
      <c r="DX115" s="510" t="str">
        <f t="shared" si="29"/>
        <v>PTL-14</v>
      </c>
      <c r="DY115" s="511" t="str">
        <f t="shared" si="27"/>
        <v>2P</v>
      </c>
      <c r="DZ115" s="511" t="str">
        <f t="shared" si="28"/>
        <v>ARIETE NOCTURNO</v>
      </c>
    </row>
    <row r="116" spans="1:130" ht="29.4" thickBot="1" x14ac:dyDescent="0.35">
      <c r="A116" s="286" t="s">
        <v>195</v>
      </c>
      <c r="B116" s="208" t="str">
        <f t="shared" si="26"/>
        <v xml:space="preserve">PTL-15 / SGTO 1RO. RODRIGUEZ GAETE JOSE DIONISIO  </v>
      </c>
      <c r="C116" s="44" t="s">
        <v>853</v>
      </c>
      <c r="D116" s="44" t="s">
        <v>2944</v>
      </c>
      <c r="E116" s="44" t="s">
        <v>854</v>
      </c>
      <c r="F116" s="44" t="s">
        <v>882</v>
      </c>
      <c r="G116" s="44" t="s">
        <v>2125</v>
      </c>
      <c r="H116" s="44" t="s">
        <v>882</v>
      </c>
      <c r="I116" s="44" t="s">
        <v>962</v>
      </c>
      <c r="J116" s="44" t="s">
        <v>2845</v>
      </c>
      <c r="K116" s="44" t="s">
        <v>962</v>
      </c>
      <c r="L116" s="44" t="s">
        <v>2845</v>
      </c>
      <c r="M116" s="44" t="s">
        <v>962</v>
      </c>
      <c r="N116" s="44" t="s">
        <v>2845</v>
      </c>
      <c r="O116" s="44" t="s">
        <v>962</v>
      </c>
      <c r="P116" s="44" t="s">
        <v>2845</v>
      </c>
      <c r="Q116" s="44" t="s">
        <v>962</v>
      </c>
      <c r="R116" s="44" t="s">
        <v>2845</v>
      </c>
      <c r="S116" s="44" t="s">
        <v>962</v>
      </c>
      <c r="T116" s="44" t="s">
        <v>2845</v>
      </c>
      <c r="U116" s="44" t="s">
        <v>962</v>
      </c>
      <c r="V116" s="44" t="s">
        <v>2845</v>
      </c>
      <c r="W116" s="44" t="s">
        <v>962</v>
      </c>
      <c r="X116" s="44" t="s">
        <v>2845</v>
      </c>
      <c r="Y116" s="44" t="s">
        <v>962</v>
      </c>
      <c r="Z116" s="44" t="s">
        <v>2845</v>
      </c>
      <c r="AA116" s="44" t="s">
        <v>962</v>
      </c>
      <c r="AB116" s="44" t="s">
        <v>2845</v>
      </c>
      <c r="AC116" s="44" t="s">
        <v>962</v>
      </c>
      <c r="AD116" s="44" t="s">
        <v>2845</v>
      </c>
      <c r="AE116" s="44" t="s">
        <v>962</v>
      </c>
      <c r="AF116" s="44" t="s">
        <v>2845</v>
      </c>
      <c r="AG116" s="44" t="s">
        <v>962</v>
      </c>
      <c r="AH116" s="44" t="s">
        <v>2845</v>
      </c>
      <c r="AI116" s="44" t="s">
        <v>962</v>
      </c>
      <c r="AJ116" s="44" t="s">
        <v>2845</v>
      </c>
      <c r="AK116" s="44" t="s">
        <v>962</v>
      </c>
      <c r="AL116" s="44" t="s">
        <v>2845</v>
      </c>
      <c r="AM116" s="44" t="s">
        <v>962</v>
      </c>
      <c r="AN116" s="44" t="s">
        <v>2845</v>
      </c>
      <c r="AO116" s="44" t="s">
        <v>962</v>
      </c>
      <c r="AP116" s="44" t="s">
        <v>2845</v>
      </c>
      <c r="AQ116" s="44" t="s">
        <v>962</v>
      </c>
      <c r="AR116" s="44" t="s">
        <v>2845</v>
      </c>
      <c r="AS116" s="44" t="s">
        <v>962</v>
      </c>
      <c r="AT116" s="44" t="s">
        <v>2845</v>
      </c>
      <c r="AU116" s="44" t="s">
        <v>962</v>
      </c>
      <c r="AV116" s="44" t="s">
        <v>2845</v>
      </c>
      <c r="AW116" s="44" t="s">
        <v>962</v>
      </c>
      <c r="AX116" s="44" t="s">
        <v>2845</v>
      </c>
      <c r="AY116" s="44" t="s">
        <v>962</v>
      </c>
      <c r="AZ116" s="44" t="s">
        <v>2845</v>
      </c>
      <c r="BA116" s="44" t="s">
        <v>962</v>
      </c>
      <c r="BB116" s="44" t="s">
        <v>2845</v>
      </c>
      <c r="BC116" s="44" t="s">
        <v>1</v>
      </c>
      <c r="BD116" s="44" t="s">
        <v>1472</v>
      </c>
      <c r="BE116" s="44" t="s">
        <v>853</v>
      </c>
      <c r="BF116" s="44" t="s">
        <v>3356</v>
      </c>
      <c r="BG116" s="44" t="s">
        <v>853</v>
      </c>
      <c r="BH116" s="44" t="s">
        <v>3356</v>
      </c>
      <c r="BI116" s="44" t="s">
        <v>854</v>
      </c>
      <c r="BJ116" s="44" t="s">
        <v>882</v>
      </c>
      <c r="BK116" s="44" t="s">
        <v>2125</v>
      </c>
      <c r="BL116" s="44" t="s">
        <v>3394</v>
      </c>
      <c r="BM116" s="44" t="s">
        <v>1</v>
      </c>
      <c r="BN116" s="44" t="s">
        <v>1472</v>
      </c>
      <c r="BO116" s="44" t="s">
        <v>853</v>
      </c>
      <c r="BP116" s="44" t="s">
        <v>3158</v>
      </c>
      <c r="BQ116" s="44" t="s">
        <v>2</v>
      </c>
      <c r="BR116" s="44" t="s">
        <v>1472</v>
      </c>
      <c r="BS116" s="44" t="s">
        <v>853</v>
      </c>
      <c r="BT116" s="44" t="s">
        <v>3526</v>
      </c>
      <c r="BU116" s="44" t="s">
        <v>854</v>
      </c>
      <c r="BV116" s="44" t="s">
        <v>882</v>
      </c>
      <c r="BW116" s="44" t="s">
        <v>2125</v>
      </c>
      <c r="BX116" s="44" t="s">
        <v>2838</v>
      </c>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925"/>
      <c r="DX116" s="510" t="str">
        <f t="shared" si="29"/>
        <v>PTL-15</v>
      </c>
      <c r="DY116" s="511" t="str">
        <f t="shared" si="27"/>
        <v>SN</v>
      </c>
      <c r="DZ116" s="511" t="str">
        <f t="shared" si="28"/>
        <v>SALIENTE SERVICIO</v>
      </c>
    </row>
    <row r="117" spans="1:130" ht="28.8" x14ac:dyDescent="0.3">
      <c r="A117" s="286" t="s">
        <v>196</v>
      </c>
      <c r="B117" s="208" t="str">
        <f t="shared" si="26"/>
        <v>PTL-16 / SGTO 2DO. SAN MARTIN FIGUEROA OMAR ALEJANDRO (L - P-LA - T) LA-061</v>
      </c>
      <c r="C117" s="44" t="s">
        <v>853</v>
      </c>
      <c r="D117" s="44" t="s">
        <v>1472</v>
      </c>
      <c r="E117" s="44" t="s">
        <v>853</v>
      </c>
      <c r="F117" s="44" t="s">
        <v>1472</v>
      </c>
      <c r="G117" s="44" t="s">
        <v>853</v>
      </c>
      <c r="H117" s="44" t="s">
        <v>2560</v>
      </c>
      <c r="I117" s="44" t="s">
        <v>854</v>
      </c>
      <c r="J117" s="44" t="s">
        <v>882</v>
      </c>
      <c r="K117" s="44" t="s">
        <v>2125</v>
      </c>
      <c r="L117" s="44" t="s">
        <v>882</v>
      </c>
      <c r="M117" s="44" t="s">
        <v>853</v>
      </c>
      <c r="N117" s="44" t="s">
        <v>3004</v>
      </c>
      <c r="O117" s="44" t="s">
        <v>853</v>
      </c>
      <c r="P117" s="44" t="s">
        <v>3017</v>
      </c>
      <c r="Q117" s="44" t="s">
        <v>853</v>
      </c>
      <c r="R117" s="44" t="s">
        <v>3023</v>
      </c>
      <c r="S117" s="44" t="s">
        <v>854</v>
      </c>
      <c r="T117" s="44" t="s">
        <v>882</v>
      </c>
      <c r="U117" s="44" t="s">
        <v>2125</v>
      </c>
      <c r="V117" s="44" t="s">
        <v>882</v>
      </c>
      <c r="W117" s="44" t="s">
        <v>853</v>
      </c>
      <c r="X117" s="44" t="s">
        <v>2414</v>
      </c>
      <c r="Y117" s="44" t="s">
        <v>853</v>
      </c>
      <c r="Z117" s="44" t="s">
        <v>1472</v>
      </c>
      <c r="AA117" s="44" t="s">
        <v>853</v>
      </c>
      <c r="AB117" s="44" t="s">
        <v>3069</v>
      </c>
      <c r="AC117" s="44" t="s">
        <v>854</v>
      </c>
      <c r="AD117" s="44" t="s">
        <v>882</v>
      </c>
      <c r="AE117" s="44" t="s">
        <v>2125</v>
      </c>
      <c r="AF117" s="44" t="s">
        <v>882</v>
      </c>
      <c r="AG117" s="44" t="s">
        <v>1</v>
      </c>
      <c r="AH117" s="44" t="s">
        <v>2289</v>
      </c>
      <c r="AI117" s="44" t="s">
        <v>853</v>
      </c>
      <c r="AJ117" s="44" t="s">
        <v>3111</v>
      </c>
      <c r="AK117" s="44" t="s">
        <v>854</v>
      </c>
      <c r="AL117" s="44" t="s">
        <v>882</v>
      </c>
      <c r="AM117" s="44" t="s">
        <v>2125</v>
      </c>
      <c r="AN117" s="44" t="s">
        <v>2838</v>
      </c>
      <c r="AO117" s="44" t="s">
        <v>1</v>
      </c>
      <c r="AP117" s="44" t="s">
        <v>2289</v>
      </c>
      <c r="AQ117" s="44" t="s">
        <v>853</v>
      </c>
      <c r="AR117" s="44" t="s">
        <v>3246</v>
      </c>
      <c r="AS117" s="44" t="s">
        <v>2</v>
      </c>
      <c r="AT117" s="44" t="s">
        <v>1472</v>
      </c>
      <c r="AU117" s="44" t="s">
        <v>854</v>
      </c>
      <c r="AV117" s="44" t="s">
        <v>882</v>
      </c>
      <c r="AW117" s="44" t="s">
        <v>2125</v>
      </c>
      <c r="AX117" s="44" t="s">
        <v>2760</v>
      </c>
      <c r="AY117" s="44" t="s">
        <v>1</v>
      </c>
      <c r="AZ117" s="44" t="s">
        <v>1472</v>
      </c>
      <c r="BA117" s="44" t="s">
        <v>853</v>
      </c>
      <c r="BB117" s="44" t="s">
        <v>3340</v>
      </c>
      <c r="BC117" s="44" t="s">
        <v>853</v>
      </c>
      <c r="BD117" s="44" t="s">
        <v>880</v>
      </c>
      <c r="BE117" s="44" t="s">
        <v>853</v>
      </c>
      <c r="BF117" s="44" t="s">
        <v>3379</v>
      </c>
      <c r="BG117" s="44" t="s">
        <v>853</v>
      </c>
      <c r="BH117" s="44" t="s">
        <v>3395</v>
      </c>
      <c r="BI117" s="44" t="s">
        <v>855</v>
      </c>
      <c r="BJ117" s="44" t="s">
        <v>1220</v>
      </c>
      <c r="BK117" s="44" t="s">
        <v>855</v>
      </c>
      <c r="BL117" s="44" t="s">
        <v>1220</v>
      </c>
      <c r="BM117" s="44" t="s">
        <v>6</v>
      </c>
      <c r="BN117" s="44" t="s">
        <v>882</v>
      </c>
      <c r="BO117" s="44" t="s">
        <v>2125</v>
      </c>
      <c r="BP117" s="443" t="s">
        <v>3394</v>
      </c>
      <c r="BQ117" s="44" t="s">
        <v>1</v>
      </c>
      <c r="BR117" s="44" t="s">
        <v>3521</v>
      </c>
      <c r="BS117" s="44" t="s">
        <v>853</v>
      </c>
      <c r="BT117" s="44" t="s">
        <v>3527</v>
      </c>
      <c r="BU117" s="44" t="s">
        <v>2</v>
      </c>
      <c r="BV117" s="44" t="s">
        <v>1472</v>
      </c>
      <c r="BW117" s="44" t="s">
        <v>853</v>
      </c>
      <c r="BX117" s="44" t="s">
        <v>3590</v>
      </c>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925"/>
      <c r="DX117" s="510" t="str">
        <f t="shared" si="29"/>
        <v>PTL-16</v>
      </c>
      <c r="DY117" s="511" t="str">
        <f t="shared" si="27"/>
        <v>1P</v>
      </c>
      <c r="DZ117" s="511" t="str">
        <f t="shared" si="28"/>
        <v>ARIETE 22</v>
      </c>
    </row>
    <row r="118" spans="1:130" ht="28.8" x14ac:dyDescent="0.3">
      <c r="A118" s="286" t="s">
        <v>197</v>
      </c>
      <c r="B118" s="208" t="str">
        <f t="shared" si="26"/>
        <v>PTL-17 / SGTO 1RO. CAAMAÑO JARA RODRIGO ALEJANDRO  ( P-LA) LA-064</v>
      </c>
      <c r="C118" s="44"/>
      <c r="D118" s="44"/>
      <c r="E118" s="44"/>
      <c r="F118" s="44"/>
      <c r="G118" s="44"/>
      <c r="H118" s="44"/>
      <c r="I118" s="44"/>
      <c r="J118" s="44"/>
      <c r="K118" s="44" t="s">
        <v>853</v>
      </c>
      <c r="L118" s="44" t="s">
        <v>2985</v>
      </c>
      <c r="M118" s="44" t="s">
        <v>853</v>
      </c>
      <c r="N118" s="44" t="s">
        <v>1472</v>
      </c>
      <c r="O118" s="44" t="s">
        <v>853</v>
      </c>
      <c r="P118" s="44" t="s">
        <v>3009</v>
      </c>
      <c r="Q118" s="44" t="s">
        <v>854</v>
      </c>
      <c r="R118" s="44" t="s">
        <v>882</v>
      </c>
      <c r="S118" s="44" t="s">
        <v>2125</v>
      </c>
      <c r="T118" s="44" t="s">
        <v>882</v>
      </c>
      <c r="U118" s="44" t="s">
        <v>853</v>
      </c>
      <c r="V118" s="44" t="s">
        <v>2932</v>
      </c>
      <c r="W118" s="44" t="s">
        <v>853</v>
      </c>
      <c r="X118" s="44" t="s">
        <v>1472</v>
      </c>
      <c r="Y118" s="44" t="s">
        <v>853</v>
      </c>
      <c r="Z118" s="44" t="s">
        <v>3063</v>
      </c>
      <c r="AA118" s="44" t="s">
        <v>854</v>
      </c>
      <c r="AB118" s="44" t="s">
        <v>882</v>
      </c>
      <c r="AC118" s="44" t="s">
        <v>962</v>
      </c>
      <c r="AD118" s="44" t="s">
        <v>2845</v>
      </c>
      <c r="AE118" s="44" t="s">
        <v>2</v>
      </c>
      <c r="AF118" s="44" t="s">
        <v>1472</v>
      </c>
      <c r="AG118" s="44" t="s">
        <v>853</v>
      </c>
      <c r="AH118" s="44" t="s">
        <v>1472</v>
      </c>
      <c r="AI118" s="44" t="s">
        <v>2</v>
      </c>
      <c r="AJ118" s="44" t="s">
        <v>2289</v>
      </c>
      <c r="AK118" s="44" t="s">
        <v>853</v>
      </c>
      <c r="AL118" s="44" t="s">
        <v>3135</v>
      </c>
      <c r="AM118" s="44" t="s">
        <v>854</v>
      </c>
      <c r="AN118" s="44" t="s">
        <v>882</v>
      </c>
      <c r="AO118" s="44" t="s">
        <v>2125</v>
      </c>
      <c r="AP118" s="44" t="s">
        <v>2838</v>
      </c>
      <c r="AQ118" s="44"/>
      <c r="AR118" s="44"/>
      <c r="AS118" s="44" t="s">
        <v>853</v>
      </c>
      <c r="AT118" s="44" t="s">
        <v>3259</v>
      </c>
      <c r="AU118" s="44" t="s">
        <v>853</v>
      </c>
      <c r="AV118" s="44" t="s">
        <v>3294</v>
      </c>
      <c r="AW118" s="44" t="s">
        <v>854</v>
      </c>
      <c r="AX118" s="44" t="s">
        <v>882</v>
      </c>
      <c r="AY118" s="44" t="s">
        <v>2125</v>
      </c>
      <c r="AZ118" s="44" t="s">
        <v>882</v>
      </c>
      <c r="BA118" s="44" t="s">
        <v>1</v>
      </c>
      <c r="BB118" s="44" t="s">
        <v>1472</v>
      </c>
      <c r="BC118" s="44" t="s">
        <v>2</v>
      </c>
      <c r="BD118" s="44" t="s">
        <v>1472</v>
      </c>
      <c r="BE118" s="44" t="s">
        <v>853</v>
      </c>
      <c r="BF118" s="44" t="s">
        <v>3385</v>
      </c>
      <c r="BG118" s="44" t="s">
        <v>854</v>
      </c>
      <c r="BH118" s="44" t="s">
        <v>882</v>
      </c>
      <c r="BI118" s="44" t="s">
        <v>2125</v>
      </c>
      <c r="BJ118" s="44" t="s">
        <v>3394</v>
      </c>
      <c r="BK118" s="44" t="s">
        <v>855</v>
      </c>
      <c r="BL118" s="43" t="s">
        <v>1220</v>
      </c>
      <c r="BM118" s="44" t="s">
        <v>853</v>
      </c>
      <c r="BN118" s="44" t="s">
        <v>3007</v>
      </c>
      <c r="BO118" s="44" t="s">
        <v>2</v>
      </c>
      <c r="BP118" s="44" t="s">
        <v>1472</v>
      </c>
      <c r="BQ118" s="44" t="s">
        <v>853</v>
      </c>
      <c r="BR118" s="44" t="s">
        <v>3476</v>
      </c>
      <c r="BS118" s="44" t="s">
        <v>854</v>
      </c>
      <c r="BT118" s="44" t="s">
        <v>882</v>
      </c>
      <c r="BU118" s="44" t="s">
        <v>2125</v>
      </c>
      <c r="BV118" s="44" t="s">
        <v>2632</v>
      </c>
      <c r="BW118" s="44" t="s">
        <v>2</v>
      </c>
      <c r="BX118" s="44" t="s">
        <v>880</v>
      </c>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925"/>
      <c r="DX118" s="510" t="str">
        <f t="shared" si="29"/>
        <v>PTL-17</v>
      </c>
      <c r="DY118" s="511" t="str">
        <f t="shared" si="27"/>
        <v>1T</v>
      </c>
      <c r="DZ118" s="511" t="str">
        <f t="shared" si="28"/>
        <v>APRESTO</v>
      </c>
    </row>
    <row r="119" spans="1:130" ht="28.8" x14ac:dyDescent="0.3">
      <c r="A119" s="286" t="s">
        <v>198</v>
      </c>
      <c r="B119" s="208" t="str">
        <f t="shared" si="26"/>
        <v xml:space="preserve">PTL-18 / SGTO 1RO. PULIDO PASMINO OSCAR GONZALO (L - P - LA - T)  </v>
      </c>
      <c r="C119" s="44" t="s">
        <v>2125</v>
      </c>
      <c r="D119" s="44" t="s">
        <v>2927</v>
      </c>
      <c r="E119" s="44" t="s">
        <v>1</v>
      </c>
      <c r="F119" s="44" t="s">
        <v>2959</v>
      </c>
      <c r="G119" s="44" t="s">
        <v>853</v>
      </c>
      <c r="H119" s="44" t="s">
        <v>2850</v>
      </c>
      <c r="I119" s="44" t="s">
        <v>853</v>
      </c>
      <c r="J119" s="44" t="s">
        <v>2517</v>
      </c>
      <c r="K119" s="44" t="s">
        <v>854</v>
      </c>
      <c r="L119" s="44" t="s">
        <v>882</v>
      </c>
      <c r="M119" s="44" t="s">
        <v>2125</v>
      </c>
      <c r="N119" s="44" t="s">
        <v>882</v>
      </c>
      <c r="O119" s="44" t="s">
        <v>1</v>
      </c>
      <c r="P119" s="44" t="s">
        <v>3015</v>
      </c>
      <c r="Q119" s="44" t="s">
        <v>853</v>
      </c>
      <c r="R119" s="44" t="s">
        <v>3027</v>
      </c>
      <c r="S119" s="44" t="s">
        <v>855</v>
      </c>
      <c r="T119" s="44" t="s">
        <v>1220</v>
      </c>
      <c r="U119" s="44" t="s">
        <v>854</v>
      </c>
      <c r="V119" s="44" t="s">
        <v>882</v>
      </c>
      <c r="W119" s="44" t="s">
        <v>2125</v>
      </c>
      <c r="X119" s="44" t="s">
        <v>882</v>
      </c>
      <c r="Y119" s="44" t="s">
        <v>853</v>
      </c>
      <c r="Z119" s="44" t="s">
        <v>2414</v>
      </c>
      <c r="AA119" s="44" t="s">
        <v>853</v>
      </c>
      <c r="AB119" s="44" t="s">
        <v>1472</v>
      </c>
      <c r="AC119" s="44" t="s">
        <v>853</v>
      </c>
      <c r="AD119" s="44" t="s">
        <v>3084</v>
      </c>
      <c r="AE119" s="44" t="s">
        <v>854</v>
      </c>
      <c r="AF119" s="44" t="s">
        <v>882</v>
      </c>
      <c r="AG119" s="44" t="s">
        <v>2125</v>
      </c>
      <c r="AH119" s="44" t="s">
        <v>882</v>
      </c>
      <c r="AI119" s="44" t="s">
        <v>853</v>
      </c>
      <c r="AJ119" s="44" t="s">
        <v>1472</v>
      </c>
      <c r="AK119" s="44" t="s">
        <v>853</v>
      </c>
      <c r="AL119" s="44" t="s">
        <v>2047</v>
      </c>
      <c r="AM119" s="44" t="s">
        <v>2</v>
      </c>
      <c r="AN119" s="44" t="s">
        <v>1472</v>
      </c>
      <c r="AO119" s="44" t="s">
        <v>853</v>
      </c>
      <c r="AP119" s="44" t="s">
        <v>3150</v>
      </c>
      <c r="AQ119" s="44" t="s">
        <v>854</v>
      </c>
      <c r="AR119" s="44" t="s">
        <v>882</v>
      </c>
      <c r="AS119" s="44" t="s">
        <v>2125</v>
      </c>
      <c r="AT119" s="44" t="s">
        <v>882</v>
      </c>
      <c r="AU119" s="44" t="s">
        <v>853</v>
      </c>
      <c r="AV119" s="44" t="s">
        <v>3297</v>
      </c>
      <c r="AW119" s="44" t="s">
        <v>853</v>
      </c>
      <c r="AX119" s="44" t="s">
        <v>3303</v>
      </c>
      <c r="AY119" s="44" t="s">
        <v>2</v>
      </c>
      <c r="AZ119" s="44" t="s">
        <v>1472</v>
      </c>
      <c r="BA119" s="44" t="s">
        <v>853</v>
      </c>
      <c r="BB119" s="44" t="s">
        <v>3326</v>
      </c>
      <c r="BC119" s="44" t="s">
        <v>854</v>
      </c>
      <c r="BD119" s="44" t="s">
        <v>882</v>
      </c>
      <c r="BE119" s="44" t="s">
        <v>2125</v>
      </c>
      <c r="BF119" s="44" t="s">
        <v>2838</v>
      </c>
      <c r="BG119" s="44" t="s">
        <v>853</v>
      </c>
      <c r="BH119" s="44" t="s">
        <v>3396</v>
      </c>
      <c r="BI119" s="44" t="s">
        <v>855</v>
      </c>
      <c r="BJ119" s="44" t="s">
        <v>1220</v>
      </c>
      <c r="BK119" s="44" t="s">
        <v>2</v>
      </c>
      <c r="BL119" s="44" t="s">
        <v>1472</v>
      </c>
      <c r="BM119" s="44" t="s">
        <v>853</v>
      </c>
      <c r="BN119" s="44" t="s">
        <v>3448</v>
      </c>
      <c r="BO119" s="44" t="s">
        <v>6</v>
      </c>
      <c r="BP119" s="44" t="s">
        <v>882</v>
      </c>
      <c r="BQ119" s="44" t="s">
        <v>2125</v>
      </c>
      <c r="BR119" s="44" t="s">
        <v>2926</v>
      </c>
      <c r="BS119" s="44" t="s">
        <v>1</v>
      </c>
      <c r="BT119" s="44" t="s">
        <v>1472</v>
      </c>
      <c r="BU119" s="44" t="s">
        <v>853</v>
      </c>
      <c r="BV119" s="44" t="s">
        <v>3150</v>
      </c>
      <c r="BW119" s="44" t="s">
        <v>855</v>
      </c>
      <c r="BX119" s="44" t="s">
        <v>1220</v>
      </c>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925"/>
      <c r="DX119" s="510" t="str">
        <f t="shared" si="29"/>
        <v>PTL-18</v>
      </c>
      <c r="DY119" s="511" t="str">
        <f t="shared" si="27"/>
        <v>F</v>
      </c>
      <c r="DZ119" s="511" t="str">
        <f t="shared" si="28"/>
        <v>FRANCO</v>
      </c>
    </row>
    <row r="120" spans="1:130" ht="15" thickBot="1" x14ac:dyDescent="0.35">
      <c r="A120" s="286" t="s">
        <v>769</v>
      </c>
      <c r="B120" s="208" t="str">
        <f t="shared" si="26"/>
        <v xml:space="preserve">PTL-19 / - </v>
      </c>
      <c r="C120" s="44" t="s">
        <v>853</v>
      </c>
      <c r="D120" s="44" t="s">
        <v>2630</v>
      </c>
      <c r="E120" s="43" t="s">
        <v>853</v>
      </c>
      <c r="F120" s="43" t="s">
        <v>2962</v>
      </c>
      <c r="G120" s="44" t="s">
        <v>854</v>
      </c>
      <c r="H120" s="44" t="s">
        <v>882</v>
      </c>
      <c r="I120" s="44" t="s">
        <v>2125</v>
      </c>
      <c r="J120" s="44" t="s">
        <v>882</v>
      </c>
      <c r="K120" s="44" t="s">
        <v>853</v>
      </c>
      <c r="L120" s="44" t="s">
        <v>2047</v>
      </c>
      <c r="M120" s="44" t="s">
        <v>853</v>
      </c>
      <c r="N120" s="44" t="s">
        <v>3000</v>
      </c>
      <c r="O120" s="44"/>
      <c r="P120" s="44"/>
      <c r="Q120" s="44" t="s">
        <v>853</v>
      </c>
      <c r="R120" s="44" t="s">
        <v>3024</v>
      </c>
      <c r="S120" s="44" t="s">
        <v>855</v>
      </c>
      <c r="T120" s="44" t="s">
        <v>1220</v>
      </c>
      <c r="U120" s="44" t="s">
        <v>855</v>
      </c>
      <c r="V120" s="44" t="s">
        <v>1220</v>
      </c>
      <c r="W120" s="44" t="s">
        <v>853</v>
      </c>
      <c r="X120" s="44" t="s">
        <v>3052</v>
      </c>
      <c r="Y120" s="44" t="s">
        <v>853</v>
      </c>
      <c r="Z120" s="44" t="s">
        <v>3061</v>
      </c>
      <c r="AA120" s="44"/>
      <c r="AB120" s="44"/>
      <c r="AC120" s="44" t="s">
        <v>853</v>
      </c>
      <c r="AD120" s="44" t="s">
        <v>3078</v>
      </c>
      <c r="AE120" s="44" t="s">
        <v>1</v>
      </c>
      <c r="AF120" s="44" t="s">
        <v>1472</v>
      </c>
      <c r="AG120" s="44" t="s">
        <v>853</v>
      </c>
      <c r="AH120" s="44" t="s">
        <v>2517</v>
      </c>
      <c r="AI120" s="44" t="s">
        <v>853</v>
      </c>
      <c r="AJ120" s="44" t="s">
        <v>3110</v>
      </c>
      <c r="AK120" s="44" t="s">
        <v>853</v>
      </c>
      <c r="AL120" s="44" t="s">
        <v>3129</v>
      </c>
      <c r="AM120" s="44" t="s">
        <v>1</v>
      </c>
      <c r="AN120" s="44" t="s">
        <v>1472</v>
      </c>
      <c r="AO120" s="44" t="s">
        <v>853</v>
      </c>
      <c r="AP120" s="44" t="s">
        <v>3010</v>
      </c>
      <c r="AQ120" s="44" t="s">
        <v>853</v>
      </c>
      <c r="AR120" s="44" t="s">
        <v>3005</v>
      </c>
      <c r="AS120" s="44" t="s">
        <v>1</v>
      </c>
      <c r="AT120" s="44" t="s">
        <v>1472</v>
      </c>
      <c r="AU120" s="44" t="s">
        <v>855</v>
      </c>
      <c r="AV120" s="44" t="s">
        <v>1220</v>
      </c>
      <c r="AW120" s="44" t="s">
        <v>855</v>
      </c>
      <c r="AX120" s="44" t="s">
        <v>1220</v>
      </c>
      <c r="AY120" s="44" t="s">
        <v>853</v>
      </c>
      <c r="AZ120" s="44" t="s">
        <v>3312</v>
      </c>
      <c r="BA120" s="44" t="s">
        <v>853</v>
      </c>
      <c r="BB120" s="44" t="s">
        <v>3330</v>
      </c>
      <c r="BC120" s="44" t="s">
        <v>853</v>
      </c>
      <c r="BD120" s="44" t="s">
        <v>3341</v>
      </c>
      <c r="BE120" s="44" t="s">
        <v>853</v>
      </c>
      <c r="BF120" s="44" t="s">
        <v>3380</v>
      </c>
      <c r="BG120" s="44" t="s">
        <v>853</v>
      </c>
      <c r="BH120" s="44" t="s">
        <v>3404</v>
      </c>
      <c r="BI120" s="44" t="s">
        <v>853</v>
      </c>
      <c r="BJ120" s="44" t="s">
        <v>3296</v>
      </c>
      <c r="BK120" s="44" t="s">
        <v>2</v>
      </c>
      <c r="BL120" s="44" t="s">
        <v>3442</v>
      </c>
      <c r="BM120" s="43" t="s">
        <v>853</v>
      </c>
      <c r="BN120" s="43" t="s">
        <v>3445</v>
      </c>
      <c r="BO120" s="43" t="s">
        <v>1</v>
      </c>
      <c r="BP120" s="43" t="s">
        <v>3134</v>
      </c>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925"/>
      <c r="DX120" s="510" t="str">
        <f t="shared" si="29"/>
        <v>PTL-19</v>
      </c>
      <c r="DY120" s="511" t="str">
        <f t="shared" si="27"/>
        <v/>
      </c>
      <c r="DZ120" s="511" t="str">
        <f t="shared" si="28"/>
        <v/>
      </c>
    </row>
    <row r="121" spans="1:130" x14ac:dyDescent="0.3">
      <c r="A121" s="286" t="s">
        <v>767</v>
      </c>
      <c r="B121" s="208" t="str">
        <f t="shared" si="26"/>
        <v xml:space="preserve">PTL-20 / - </v>
      </c>
      <c r="C121" s="44" t="s">
        <v>962</v>
      </c>
      <c r="D121" s="44" t="s">
        <v>2845</v>
      </c>
      <c r="E121" s="44" t="s">
        <v>962</v>
      </c>
      <c r="F121" s="44" t="s">
        <v>2845</v>
      </c>
      <c r="G121" s="44" t="s">
        <v>962</v>
      </c>
      <c r="H121" s="44" t="s">
        <v>2845</v>
      </c>
      <c r="I121" s="44" t="s">
        <v>855</v>
      </c>
      <c r="J121" s="44" t="s">
        <v>1220</v>
      </c>
      <c r="K121" s="44" t="s">
        <v>853</v>
      </c>
      <c r="L121" s="44" t="s">
        <v>2998</v>
      </c>
      <c r="M121" s="44" t="s">
        <v>1</v>
      </c>
      <c r="N121" s="44" t="s">
        <v>2917</v>
      </c>
      <c r="O121" s="44" t="s">
        <v>853</v>
      </c>
      <c r="P121" s="44" t="s">
        <v>3007</v>
      </c>
      <c r="Q121" s="44" t="s">
        <v>853</v>
      </c>
      <c r="R121" s="44" t="s">
        <v>3031</v>
      </c>
      <c r="S121" s="44" t="s">
        <v>855</v>
      </c>
      <c r="T121" s="44" t="s">
        <v>1220</v>
      </c>
      <c r="U121" s="44" t="s">
        <v>855</v>
      </c>
      <c r="V121" s="44" t="s">
        <v>1220</v>
      </c>
      <c r="W121" s="44" t="s">
        <v>853</v>
      </c>
      <c r="X121" s="44" t="s">
        <v>3053</v>
      </c>
      <c r="Y121" s="44" t="s">
        <v>854</v>
      </c>
      <c r="Z121" s="44" t="s">
        <v>882</v>
      </c>
      <c r="AA121" s="44" t="s">
        <v>2125</v>
      </c>
      <c r="AB121" s="44" t="s">
        <v>882</v>
      </c>
      <c r="AC121" s="44" t="s">
        <v>853</v>
      </c>
      <c r="AD121" s="44" t="s">
        <v>880</v>
      </c>
      <c r="AE121" s="44" t="s">
        <v>853</v>
      </c>
      <c r="AF121" s="44" t="s">
        <v>3093</v>
      </c>
      <c r="AG121" s="44" t="s">
        <v>855</v>
      </c>
      <c r="AH121" s="44" t="s">
        <v>1220</v>
      </c>
      <c r="AI121" s="44" t="s">
        <v>855</v>
      </c>
      <c r="AJ121" s="44" t="s">
        <v>1220</v>
      </c>
      <c r="AK121" s="44" t="s">
        <v>853</v>
      </c>
      <c r="AL121" s="44" t="s">
        <v>3131</v>
      </c>
      <c r="AM121" s="44"/>
      <c r="AN121" s="44" t="s">
        <v>2289</v>
      </c>
      <c r="AO121" s="44" t="s">
        <v>853</v>
      </c>
      <c r="AP121" s="44" t="s">
        <v>3004</v>
      </c>
      <c r="AQ121" s="44" t="s">
        <v>1</v>
      </c>
      <c r="AR121" s="44" t="s">
        <v>1472</v>
      </c>
      <c r="AS121" s="44" t="s">
        <v>853</v>
      </c>
      <c r="AT121" s="44" t="s">
        <v>3260</v>
      </c>
      <c r="AU121" s="44" t="s">
        <v>853</v>
      </c>
      <c r="AV121" s="44" t="s">
        <v>3296</v>
      </c>
      <c r="AW121" s="44" t="s">
        <v>853</v>
      </c>
      <c r="AX121" s="44" t="s">
        <v>3112</v>
      </c>
      <c r="AY121" s="44" t="s">
        <v>855</v>
      </c>
      <c r="AZ121" s="44" t="s">
        <v>1220</v>
      </c>
      <c r="BA121" s="44"/>
      <c r="BB121" s="44"/>
      <c r="BC121" s="44"/>
      <c r="BD121" s="44"/>
      <c r="BE121" s="44" t="s">
        <v>853</v>
      </c>
      <c r="BF121" s="44" t="s">
        <v>3381</v>
      </c>
      <c r="BG121" s="44" t="s">
        <v>853</v>
      </c>
      <c r="BH121" s="44" t="s">
        <v>3405</v>
      </c>
      <c r="BI121" s="44" t="s">
        <v>855</v>
      </c>
      <c r="BJ121" s="44" t="s">
        <v>1220</v>
      </c>
      <c r="BK121" s="43" t="s">
        <v>855</v>
      </c>
      <c r="BL121" s="43" t="s">
        <v>1220</v>
      </c>
      <c r="BM121" s="44" t="s">
        <v>853</v>
      </c>
      <c r="BN121" s="44" t="s">
        <v>3449</v>
      </c>
      <c r="BO121" s="44" t="s">
        <v>853</v>
      </c>
      <c r="BP121" s="443" t="s">
        <v>3246</v>
      </c>
      <c r="BQ121" s="44" t="s">
        <v>853</v>
      </c>
      <c r="BR121" s="44" t="s">
        <v>3010</v>
      </c>
      <c r="BS121" s="44" t="s">
        <v>853</v>
      </c>
      <c r="BT121" s="44" t="s">
        <v>3094</v>
      </c>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925"/>
      <c r="DX121" s="510" t="str">
        <f t="shared" si="29"/>
        <v>PTL-20</v>
      </c>
      <c r="DY121" s="511" t="str">
        <f t="shared" si="27"/>
        <v/>
      </c>
      <c r="DZ121" s="511" t="str">
        <f t="shared" si="28"/>
        <v/>
      </c>
    </row>
    <row r="122" spans="1:130" ht="28.8" x14ac:dyDescent="0.3">
      <c r="A122" s="286" t="s">
        <v>680</v>
      </c>
      <c r="B122" s="208" t="str">
        <f t="shared" si="26"/>
        <v xml:space="preserve">PTL-21 / SUBOFICIAL MUÑOZ BRAVO MARCELO ALEXIS  </v>
      </c>
      <c r="C122" s="44" t="s">
        <v>962</v>
      </c>
      <c r="D122" s="44" t="s">
        <v>2906</v>
      </c>
      <c r="E122" s="44" t="s">
        <v>962</v>
      </c>
      <c r="F122" s="44" t="s">
        <v>2906</v>
      </c>
      <c r="G122" s="44" t="s">
        <v>855</v>
      </c>
      <c r="H122" s="44" t="s">
        <v>2906</v>
      </c>
      <c r="I122" s="44" t="s">
        <v>853</v>
      </c>
      <c r="J122" s="44" t="s">
        <v>2980</v>
      </c>
      <c r="K122" s="44" t="s">
        <v>853</v>
      </c>
      <c r="L122" s="44" t="s">
        <v>2850</v>
      </c>
      <c r="M122" s="44" t="s">
        <v>853</v>
      </c>
      <c r="N122" s="44" t="s">
        <v>3005</v>
      </c>
      <c r="O122" s="44" t="s">
        <v>854</v>
      </c>
      <c r="P122" s="44" t="s">
        <v>882</v>
      </c>
      <c r="Q122" s="44" t="s">
        <v>2125</v>
      </c>
      <c r="R122" s="44" t="s">
        <v>882</v>
      </c>
      <c r="S122" s="44" t="s">
        <v>853</v>
      </c>
      <c r="T122" s="44" t="s">
        <v>2635</v>
      </c>
      <c r="U122" s="44" t="s">
        <v>853</v>
      </c>
      <c r="V122" s="44" t="s">
        <v>1472</v>
      </c>
      <c r="W122" s="44" t="s">
        <v>853</v>
      </c>
      <c r="X122" s="44" t="s">
        <v>3051</v>
      </c>
      <c r="Y122" s="44" t="s">
        <v>853</v>
      </c>
      <c r="Z122" s="44" t="s">
        <v>3058</v>
      </c>
      <c r="AA122" s="44" t="s">
        <v>853</v>
      </c>
      <c r="AB122" s="44" t="s">
        <v>2047</v>
      </c>
      <c r="AC122" s="44" t="s">
        <v>853</v>
      </c>
      <c r="AD122" s="44" t="s">
        <v>3081</v>
      </c>
      <c r="AE122" s="44" t="s">
        <v>853</v>
      </c>
      <c r="AF122" s="44" t="s">
        <v>3015</v>
      </c>
      <c r="AG122" s="44" t="s">
        <v>853</v>
      </c>
      <c r="AH122" s="44" t="s">
        <v>3111</v>
      </c>
      <c r="AI122" s="44" t="s">
        <v>853</v>
      </c>
      <c r="AJ122" s="44" t="s">
        <v>3112</v>
      </c>
      <c r="AK122" s="44" t="s">
        <v>2</v>
      </c>
      <c r="AL122" s="44" t="s">
        <v>3134</v>
      </c>
      <c r="AM122" s="44" t="s">
        <v>853</v>
      </c>
      <c r="AN122" s="44" t="s">
        <v>3093</v>
      </c>
      <c r="AO122" s="44" t="s">
        <v>853</v>
      </c>
      <c r="AP122" s="44" t="s">
        <v>2047</v>
      </c>
      <c r="AQ122" s="44"/>
      <c r="AR122" s="44"/>
      <c r="AS122" s="44"/>
      <c r="AT122" s="44"/>
      <c r="AU122" s="44"/>
      <c r="AV122" s="44"/>
      <c r="AW122" s="44"/>
      <c r="AX122" s="44"/>
      <c r="AY122" s="44"/>
      <c r="AZ122" s="44"/>
      <c r="BA122" s="44"/>
      <c r="BB122" s="44"/>
      <c r="BC122" s="44"/>
      <c r="BD122" s="44"/>
      <c r="BE122" s="44"/>
      <c r="BF122" s="44"/>
      <c r="BG122" s="44"/>
      <c r="BH122" s="44"/>
      <c r="BI122" s="44"/>
      <c r="BJ122" s="44"/>
      <c r="BK122" s="43"/>
      <c r="BL122" s="43"/>
      <c r="BM122" s="43"/>
      <c r="BN122" s="43"/>
      <c r="BO122" s="43"/>
      <c r="BP122" s="43"/>
      <c r="BQ122" s="44" t="s">
        <v>1</v>
      </c>
      <c r="BR122" s="44" t="s">
        <v>880</v>
      </c>
      <c r="BS122" s="44" t="s">
        <v>853</v>
      </c>
      <c r="BT122" s="44" t="s">
        <v>3093</v>
      </c>
      <c r="BU122" s="44" t="s">
        <v>853</v>
      </c>
      <c r="BV122" s="44" t="s">
        <v>3010</v>
      </c>
      <c r="BW122" s="44" t="s">
        <v>855</v>
      </c>
      <c r="BX122" s="44" t="s">
        <v>1220</v>
      </c>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925"/>
      <c r="DX122" s="510" t="str">
        <f t="shared" si="29"/>
        <v>PTL-21</v>
      </c>
      <c r="DY122" s="511" t="str">
        <f t="shared" si="27"/>
        <v>F</v>
      </c>
      <c r="DZ122" s="511" t="str">
        <f t="shared" si="28"/>
        <v>FRANCO</v>
      </c>
    </row>
    <row r="123" spans="1:130" ht="28.8" x14ac:dyDescent="0.3">
      <c r="A123" s="286" t="s">
        <v>754</v>
      </c>
      <c r="B123" s="208" t="str">
        <f t="shared" si="26"/>
        <v xml:space="preserve">PTL-22 / SUBOFICIAL SABANDO VERGARA CLAUDIO  (T-LA)  </v>
      </c>
      <c r="C123" s="44" t="s">
        <v>1</v>
      </c>
      <c r="D123" s="44" t="s">
        <v>2945</v>
      </c>
      <c r="E123" s="44" t="s">
        <v>855</v>
      </c>
      <c r="F123" s="44" t="s">
        <v>1220</v>
      </c>
      <c r="G123" s="44" t="s">
        <v>853</v>
      </c>
      <c r="H123" s="44" t="s">
        <v>2961</v>
      </c>
      <c r="I123" s="44" t="s">
        <v>853</v>
      </c>
      <c r="J123" s="44" t="s">
        <v>2047</v>
      </c>
      <c r="K123" s="44" t="s">
        <v>853</v>
      </c>
      <c r="L123" s="44" t="s">
        <v>2996</v>
      </c>
      <c r="M123" s="44" t="s">
        <v>853</v>
      </c>
      <c r="N123" s="44" t="s">
        <v>3002</v>
      </c>
      <c r="O123" s="44" t="s">
        <v>853</v>
      </c>
      <c r="P123" s="44" t="s">
        <v>2047</v>
      </c>
      <c r="Q123" s="44" t="s">
        <v>853</v>
      </c>
      <c r="R123" s="44" t="s">
        <v>3028</v>
      </c>
      <c r="S123" s="44" t="s">
        <v>853</v>
      </c>
      <c r="T123" s="44" t="s">
        <v>2699</v>
      </c>
      <c r="U123" s="44" t="s">
        <v>853</v>
      </c>
      <c r="V123" s="44" t="s">
        <v>2975</v>
      </c>
      <c r="W123" s="44" t="s">
        <v>853</v>
      </c>
      <c r="X123" s="44" t="s">
        <v>2047</v>
      </c>
      <c r="Y123" s="44" t="s">
        <v>853</v>
      </c>
      <c r="Z123" s="44" t="s">
        <v>2999</v>
      </c>
      <c r="AA123" s="44" t="s">
        <v>853</v>
      </c>
      <c r="AB123" s="44" t="s">
        <v>3068</v>
      </c>
      <c r="AC123" s="44" t="s">
        <v>2</v>
      </c>
      <c r="AD123" s="44" t="s">
        <v>880</v>
      </c>
      <c r="AE123" s="44" t="s">
        <v>853</v>
      </c>
      <c r="AF123" s="44" t="s">
        <v>3094</v>
      </c>
      <c r="AG123" s="44" t="s">
        <v>853</v>
      </c>
      <c r="AH123" s="44" t="s">
        <v>3124</v>
      </c>
      <c r="AI123" s="44" t="s">
        <v>854</v>
      </c>
      <c r="AJ123" s="44" t="s">
        <v>882</v>
      </c>
      <c r="AK123" s="44" t="s">
        <v>2125</v>
      </c>
      <c r="AL123" s="44" t="s">
        <v>2122</v>
      </c>
      <c r="AM123" s="44" t="s">
        <v>853</v>
      </c>
      <c r="AN123" s="44" t="s">
        <v>3094</v>
      </c>
      <c r="AO123" s="44" t="s">
        <v>853</v>
      </c>
      <c r="AP123" s="44" t="s">
        <v>3156</v>
      </c>
      <c r="AQ123" s="44" t="s">
        <v>2</v>
      </c>
      <c r="AR123" s="44" t="s">
        <v>1472</v>
      </c>
      <c r="AS123" s="44" t="s">
        <v>853</v>
      </c>
      <c r="AT123" s="44" t="s">
        <v>3158</v>
      </c>
      <c r="AU123" s="44" t="s">
        <v>855</v>
      </c>
      <c r="AV123" s="44" t="s">
        <v>1220</v>
      </c>
      <c r="AW123" s="44" t="s">
        <v>855</v>
      </c>
      <c r="AX123" s="44" t="s">
        <v>1220</v>
      </c>
      <c r="AY123" s="44" t="s">
        <v>854</v>
      </c>
      <c r="AZ123" s="44" t="s">
        <v>882</v>
      </c>
      <c r="BA123" s="44" t="s">
        <v>2125</v>
      </c>
      <c r="BB123" s="44" t="s">
        <v>882</v>
      </c>
      <c r="BC123" s="44" t="s">
        <v>853</v>
      </c>
      <c r="BD123" s="44" t="s">
        <v>3158</v>
      </c>
      <c r="BE123" s="44" t="s">
        <v>853</v>
      </c>
      <c r="BF123" s="44" t="s">
        <v>3397</v>
      </c>
      <c r="BG123" s="44" t="s">
        <v>853</v>
      </c>
      <c r="BH123" s="44" t="s">
        <v>1472</v>
      </c>
      <c r="BI123" s="44" t="s">
        <v>853</v>
      </c>
      <c r="BJ123" s="44" t="s">
        <v>3421</v>
      </c>
      <c r="BK123" s="209" t="s">
        <v>1</v>
      </c>
      <c r="BL123" s="209" t="s">
        <v>3442</v>
      </c>
      <c r="BM123" s="44" t="s">
        <v>1</v>
      </c>
      <c r="BN123" s="44" t="s">
        <v>3134</v>
      </c>
      <c r="BO123" s="44" t="s">
        <v>1</v>
      </c>
      <c r="BP123" s="44" t="s">
        <v>2047</v>
      </c>
      <c r="BQ123" s="44" t="s">
        <v>2</v>
      </c>
      <c r="BR123" s="44" t="s">
        <v>2047</v>
      </c>
      <c r="BS123" s="44" t="s">
        <v>1</v>
      </c>
      <c r="BT123" s="44" t="s">
        <v>880</v>
      </c>
      <c r="BU123" s="44" t="s">
        <v>1</v>
      </c>
      <c r="BV123" s="44" t="s">
        <v>2047</v>
      </c>
      <c r="BW123" s="44" t="s">
        <v>855</v>
      </c>
      <c r="BX123" s="44" t="s">
        <v>1220</v>
      </c>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925"/>
      <c r="DX123" s="510" t="str">
        <f t="shared" si="29"/>
        <v>PTL-22</v>
      </c>
      <c r="DY123" s="511" t="str">
        <f t="shared" si="27"/>
        <v>F</v>
      </c>
      <c r="DZ123" s="511" t="str">
        <f t="shared" si="28"/>
        <v>FRANCO</v>
      </c>
    </row>
    <row r="124" spans="1:130" ht="28.8" x14ac:dyDescent="0.3">
      <c r="A124" s="286" t="s">
        <v>2015</v>
      </c>
      <c r="B124" s="208" t="str">
        <f>A124&amp;" / "&amp;VLOOKUP(A124,PANELDETRABAJO,2,FALSE)&amp;" "&amp;VLOOKUP(A124,PANELDETRABAJO,3,FALSE)</f>
        <v>PTL-23 / SUBOFICIAL VALLEJOS ELGUETA CRISTIAN LA-044</v>
      </c>
      <c r="C124" s="44" t="s">
        <v>853</v>
      </c>
      <c r="D124" s="44" t="s">
        <v>2047</v>
      </c>
      <c r="E124" s="44" t="s">
        <v>1</v>
      </c>
      <c r="F124" s="44" t="s">
        <v>2972</v>
      </c>
      <c r="G124" s="44" t="s">
        <v>853</v>
      </c>
      <c r="H124" s="44" t="s">
        <v>2975</v>
      </c>
      <c r="I124" s="44"/>
      <c r="J124" s="44"/>
      <c r="K124" s="44" t="s">
        <v>853</v>
      </c>
      <c r="L124" s="44" t="s">
        <v>2999</v>
      </c>
      <c r="M124" s="44" t="s">
        <v>853</v>
      </c>
      <c r="N124" s="44" t="s">
        <v>2047</v>
      </c>
      <c r="O124" s="44" t="s">
        <v>853</v>
      </c>
      <c r="P124" s="44" t="s">
        <v>3004</v>
      </c>
      <c r="Q124" s="44" t="s">
        <v>853</v>
      </c>
      <c r="R124" s="44" t="s">
        <v>3043</v>
      </c>
      <c r="S124" s="44" t="s">
        <v>855</v>
      </c>
      <c r="T124" s="44" t="s">
        <v>1220</v>
      </c>
      <c r="U124" s="44" t="s">
        <v>855</v>
      </c>
      <c r="V124" s="44" t="s">
        <v>1220</v>
      </c>
      <c r="W124" s="44" t="s">
        <v>853</v>
      </c>
      <c r="X124" s="44" t="s">
        <v>3049</v>
      </c>
      <c r="Y124" s="44" t="s">
        <v>853</v>
      </c>
      <c r="Z124" s="44" t="s">
        <v>2047</v>
      </c>
      <c r="AA124" s="44" t="s">
        <v>853</v>
      </c>
      <c r="AB124" s="44" t="s">
        <v>3077</v>
      </c>
      <c r="AC124" s="44" t="s">
        <v>853</v>
      </c>
      <c r="AD124" s="44" t="s">
        <v>2047</v>
      </c>
      <c r="AE124" s="44" t="s">
        <v>853</v>
      </c>
      <c r="AF124" s="44" t="s">
        <v>2047</v>
      </c>
      <c r="AG124" s="44" t="s">
        <v>855</v>
      </c>
      <c r="AH124" s="44" t="s">
        <v>1220</v>
      </c>
      <c r="AI124" s="44" t="s">
        <v>855</v>
      </c>
      <c r="AJ124" s="44" t="s">
        <v>1220</v>
      </c>
      <c r="AK124" s="44" t="s">
        <v>853</v>
      </c>
      <c r="AL124" s="44" t="s">
        <v>3004</v>
      </c>
      <c r="AM124" s="44" t="s">
        <v>853</v>
      </c>
      <c r="AN124" s="44" t="s">
        <v>3137</v>
      </c>
      <c r="AO124" s="44" t="s">
        <v>1</v>
      </c>
      <c r="AP124" s="44" t="s">
        <v>1472</v>
      </c>
      <c r="AQ124" s="44" t="s">
        <v>853</v>
      </c>
      <c r="AR124" s="44" t="s">
        <v>3158</v>
      </c>
      <c r="AS124" s="375" t="s">
        <v>853</v>
      </c>
      <c r="AT124" s="375" t="s">
        <v>3078</v>
      </c>
      <c r="AU124" s="375" t="s">
        <v>853</v>
      </c>
      <c r="AV124" s="375" t="s">
        <v>880</v>
      </c>
      <c r="AW124" s="375" t="s">
        <v>853</v>
      </c>
      <c r="AX124" s="375" t="s">
        <v>3302</v>
      </c>
      <c r="AY124" s="375" t="s">
        <v>853</v>
      </c>
      <c r="AZ124" s="375" t="s">
        <v>3313</v>
      </c>
      <c r="BA124" s="375" t="s">
        <v>853</v>
      </c>
      <c r="BB124" s="375" t="s">
        <v>3255</v>
      </c>
      <c r="BC124" s="44" t="s">
        <v>853</v>
      </c>
      <c r="BD124" s="44" t="s">
        <v>2047</v>
      </c>
      <c r="BE124" s="44" t="s">
        <v>853</v>
      </c>
      <c r="BF124" s="44" t="s">
        <v>3383</v>
      </c>
      <c r="BG124" s="44" t="s">
        <v>853</v>
      </c>
      <c r="BH124" s="44" t="s">
        <v>3413</v>
      </c>
      <c r="BI124" s="44" t="s">
        <v>855</v>
      </c>
      <c r="BJ124" s="44" t="s">
        <v>1220</v>
      </c>
      <c r="BK124" s="44" t="s">
        <v>855</v>
      </c>
      <c r="BL124" s="44" t="s">
        <v>1220</v>
      </c>
      <c r="BM124" s="44" t="s">
        <v>1</v>
      </c>
      <c r="BN124" s="44" t="s">
        <v>2047</v>
      </c>
      <c r="BO124" s="44" t="s">
        <v>2</v>
      </c>
      <c r="BP124" s="44" t="s">
        <v>2047</v>
      </c>
      <c r="BQ124" s="44" t="s">
        <v>1</v>
      </c>
      <c r="BR124" s="44" t="s">
        <v>2047</v>
      </c>
      <c r="BS124" s="44" t="s">
        <v>2</v>
      </c>
      <c r="BT124" s="44" t="s">
        <v>2047</v>
      </c>
      <c r="BU124" s="44" t="s">
        <v>853</v>
      </c>
      <c r="BV124" s="44" t="s">
        <v>3570</v>
      </c>
      <c r="BW124" s="44" t="s">
        <v>853</v>
      </c>
      <c r="BX124" s="44" t="s">
        <v>3591</v>
      </c>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375"/>
      <c r="DD124" s="375"/>
      <c r="DE124" s="375"/>
      <c r="DF124" s="375"/>
      <c r="DG124" s="375"/>
      <c r="DH124" s="375"/>
      <c r="DI124" s="375"/>
      <c r="DJ124" s="375"/>
      <c r="DK124" s="375"/>
      <c r="DL124" s="375"/>
      <c r="DM124" s="44"/>
      <c r="DN124" s="44"/>
      <c r="DO124" s="44"/>
      <c r="DP124" s="44"/>
      <c r="DQ124" s="44"/>
      <c r="DR124" s="44"/>
      <c r="DS124" s="44"/>
      <c r="DT124" s="44"/>
      <c r="DU124" s="44"/>
      <c r="DV124" s="44"/>
      <c r="DW124" s="925"/>
      <c r="DX124" s="510" t="str">
        <f t="shared" si="29"/>
        <v>PTL-23</v>
      </c>
      <c r="DY124" s="511" t="str">
        <f>UPPER(IF(VLOOKUP(A124,TabladeServicio,MATCH($B$2,$A$8:$DT$8,0),0)=0,"",VLOOKUP(A124,TabladeServicio,MATCH($B$2,$A$8:$DT$8,0),0)))</f>
        <v>1P</v>
      </c>
      <c r="DZ124" s="511" t="str">
        <f>UPPER(IF(VLOOKUP(A124,TabladeServicio,MATCH($B$2,$A$8:$DT$8,0)+1,0)=0,"",VLOOKUP(A124,TabladeServicio,MATCH($B$2,$A$8:$DT$8,0)+1,0)))</f>
        <v>ARIETE 23</v>
      </c>
    </row>
    <row r="125" spans="1:130" x14ac:dyDescent="0.3">
      <c r="A125" s="286" t="s">
        <v>857</v>
      </c>
      <c r="B125" s="208" t="str">
        <f t="shared" si="26"/>
        <v xml:space="preserve">PTL-EV / - </v>
      </c>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375"/>
      <c r="AT125" s="375"/>
      <c r="AU125" s="375"/>
      <c r="AV125" s="375"/>
      <c r="AW125" s="375"/>
      <c r="AX125" s="375"/>
      <c r="AY125" s="375"/>
      <c r="AZ125" s="375"/>
      <c r="BA125" s="375"/>
      <c r="BB125" s="375"/>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375"/>
      <c r="DD125" s="375"/>
      <c r="DE125" s="375"/>
      <c r="DF125" s="375"/>
      <c r="DG125" s="375"/>
      <c r="DH125" s="375"/>
      <c r="DI125" s="375"/>
      <c r="DJ125" s="375"/>
      <c r="DK125" s="375"/>
      <c r="DL125" s="375"/>
      <c r="DM125" s="44"/>
      <c r="DN125" s="44"/>
      <c r="DO125" s="44"/>
      <c r="DP125" s="44"/>
      <c r="DQ125" s="44"/>
      <c r="DR125" s="44"/>
      <c r="DS125" s="44"/>
      <c r="DT125" s="44"/>
      <c r="DU125" s="44"/>
      <c r="DV125" s="44"/>
      <c r="DW125" s="925"/>
      <c r="DX125" s="510" t="str">
        <f t="shared" si="29"/>
        <v>PTL-EV</v>
      </c>
      <c r="DY125" s="511" t="str">
        <f t="shared" si="27"/>
        <v/>
      </c>
      <c r="DZ125" s="511" t="str">
        <f t="shared" si="28"/>
        <v/>
      </c>
    </row>
    <row r="126" spans="1:130" x14ac:dyDescent="0.3">
      <c r="A126" s="286" t="s">
        <v>858</v>
      </c>
      <c r="B126" s="208" t="str">
        <f>A126&amp;" / "&amp;VLOOKUP(A126,PANELDETRABAJO,2,FALSE)&amp;" "&amp;VLOOKUP(A126,PANELDETRABAJO,3,FALSE)</f>
        <v xml:space="preserve">PTL-EV-2 / - </v>
      </c>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925"/>
      <c r="DX126" s="510" t="str">
        <f t="shared" si="29"/>
        <v>PTL-EV-2</v>
      </c>
      <c r="DY126" s="511" t="str">
        <f>UPPER(IF(VLOOKUP(A126,TabladeServicio,MATCH($B$2,$A$8:$DT$8,0),0)=0,"",VLOOKUP(A126,TabladeServicio,MATCH($B$2,$A$8:$DT$8,0),0)))</f>
        <v/>
      </c>
      <c r="DZ126" s="511" t="str">
        <f>UPPER(IF(VLOOKUP(A126,TabladeServicio,MATCH($B$2,$A$8:$DT$8,0)+1,0)=0,"",VLOOKUP(A126,TabladeServicio,MATCH($B$2,$A$8:$DT$8,0)+1,0)))</f>
        <v/>
      </c>
    </row>
    <row r="127" spans="1:130" x14ac:dyDescent="0.3">
      <c r="A127" s="286" t="s">
        <v>1980</v>
      </c>
      <c r="B127" s="208" t="str">
        <f t="shared" ref="B127" si="30">A127&amp;" / "&amp;VLOOKUP(A127,PANELDETRABAJO,2,FALSE)&amp;" "&amp;VLOOKUP(A127,PANELDETRABAJO,3,FALSE)</f>
        <v xml:space="preserve">PTL-EV-3 / - </v>
      </c>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925"/>
      <c r="DX127" s="510" t="str">
        <f t="shared" si="29"/>
        <v>PTL-EV-3</v>
      </c>
      <c r="DY127" s="511" t="str">
        <f t="shared" ref="DY127" si="31">UPPER(IF(VLOOKUP(A127,TabladeServicio,MATCH($B$2,$A$8:$DT$8,0),0)=0,"",VLOOKUP(A127,TabladeServicio,MATCH($B$2,$A$8:$DT$8,0),0)))</f>
        <v/>
      </c>
      <c r="DZ127" s="511" t="str">
        <f t="shared" ref="DZ127" si="32">UPPER(IF(VLOOKUP(A127,TabladeServicio,MATCH($B$2,$A$8:$DT$8,0)+1,0)=0,"",VLOOKUP(A127,TabladeServicio,MATCH($B$2,$A$8:$DT$8,0)+1,0)))</f>
        <v/>
      </c>
    </row>
    <row r="128" spans="1:130" x14ac:dyDescent="0.3">
      <c r="A128" s="286" t="s">
        <v>1981</v>
      </c>
      <c r="B128" s="208" t="str">
        <f>A128&amp;" / "&amp;VLOOKUP(A128,PANELDETRABAJO,2,FALSE)&amp;" "&amp;VLOOKUP(A128,PANELDETRABAJO,3,FALSE)</f>
        <v xml:space="preserve">PTL-EV-4 / - </v>
      </c>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925"/>
      <c r="DX128" s="510" t="str">
        <f t="shared" si="29"/>
        <v>PTL-EV-4</v>
      </c>
      <c r="DY128" s="511" t="str">
        <f>UPPER(IF(VLOOKUP(A128,TabladeServicio,MATCH($B$2,$A$8:$DT$8,0),0)=0,"",VLOOKUP(A128,TabladeServicio,MATCH($B$2,$A$8:$DT$8,0),0)))</f>
        <v/>
      </c>
      <c r="DZ128" s="511" t="str">
        <f>UPPER(IF(VLOOKUP(A128,TabladeServicio,MATCH($B$2,$A$8:$DT$8,0)+1,0)=0,"",VLOOKUP(A128,TabladeServicio,MATCH($B$2,$A$8:$DT$8,0)+1,0)))</f>
        <v/>
      </c>
    </row>
    <row r="129" spans="1:130" x14ac:dyDescent="0.3">
      <c r="A129" s="286" t="s">
        <v>2572</v>
      </c>
      <c r="B129" s="208" t="str">
        <f t="shared" ref="B129" si="33">A129&amp;" / "&amp;VLOOKUP(A129,PANELDETRABAJO,2,FALSE)&amp;" "&amp;VLOOKUP(A129,PANELDETRABAJO,3,FALSE)</f>
        <v xml:space="preserve">PTL-EV-5 / - </v>
      </c>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925"/>
      <c r="DX129" s="510" t="str">
        <f t="shared" si="29"/>
        <v>PTL-EV-5</v>
      </c>
      <c r="DY129" s="511" t="str">
        <f t="shared" ref="DY129" si="34">UPPER(IF(VLOOKUP(A129,TabladeServicio,MATCH($B$2,$A$8:$DT$8,0),0)=0,"",VLOOKUP(A129,TabladeServicio,MATCH($B$2,$A$8:$DT$8,0),0)))</f>
        <v/>
      </c>
      <c r="DZ129" s="511" t="str">
        <f t="shared" ref="DZ129" si="35">UPPER(IF(VLOOKUP(A129,TabladeServicio,MATCH($B$2,$A$8:$DT$8,0)+1,0)=0,"",VLOOKUP(A129,TabladeServicio,MATCH($B$2,$A$8:$DT$8,0)+1,0)))</f>
        <v/>
      </c>
    </row>
    <row r="130" spans="1:130" x14ac:dyDescent="0.3">
      <c r="A130" s="286" t="s">
        <v>2573</v>
      </c>
      <c r="B130" s="208" t="str">
        <f>A130&amp;" / "&amp;VLOOKUP(A130,PANELDETRABAJO,2,FALSE)&amp;" "&amp;VLOOKUP(A130,PANELDETRABAJO,3,FALSE)</f>
        <v xml:space="preserve">PTL-EV-6 / - </v>
      </c>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925"/>
      <c r="DX130" s="510" t="str">
        <f t="shared" si="29"/>
        <v>PTL-EV-6</v>
      </c>
      <c r="DY130" s="511" t="str">
        <f>UPPER(IF(VLOOKUP(A130,TabladeServicio,MATCH($B$2,$A$8:$DT$8,0),0)=0,"",VLOOKUP(A130,TabladeServicio,MATCH($B$2,$A$8:$DT$8,0),0)))</f>
        <v/>
      </c>
      <c r="DZ130" s="511" t="str">
        <f>UPPER(IF(VLOOKUP(A130,TabladeServicio,MATCH($B$2,$A$8:$DT$8,0)+1,0)=0,"",VLOOKUP(A130,TabladeServicio,MATCH($B$2,$A$8:$DT$8,0)+1,0)))</f>
        <v/>
      </c>
    </row>
    <row r="131" spans="1:130" x14ac:dyDescent="0.3">
      <c r="A131" s="286" t="s">
        <v>2574</v>
      </c>
      <c r="B131" s="208" t="str">
        <f t="shared" ref="B131" si="36">A131&amp;" / "&amp;VLOOKUP(A131,PANELDETRABAJO,2,FALSE)&amp;" "&amp;VLOOKUP(A131,PANELDETRABAJO,3,FALSE)</f>
        <v xml:space="preserve">PTL-EV-7 / - </v>
      </c>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925"/>
      <c r="DX131" s="510" t="str">
        <f t="shared" si="29"/>
        <v>PTL-EV-7</v>
      </c>
      <c r="DY131" s="511" t="str">
        <f t="shared" ref="DY131" si="37">UPPER(IF(VLOOKUP(A131,TabladeServicio,MATCH($B$2,$A$8:$DT$8,0),0)=0,"",VLOOKUP(A131,TabladeServicio,MATCH($B$2,$A$8:$DT$8,0),0)))</f>
        <v/>
      </c>
      <c r="DZ131" s="511" t="str">
        <f t="shared" ref="DZ131" si="38">UPPER(IF(VLOOKUP(A131,TabladeServicio,MATCH($B$2,$A$8:$DT$8,0)+1,0)=0,"",VLOOKUP(A131,TabladeServicio,MATCH($B$2,$A$8:$DT$8,0)+1,0)))</f>
        <v/>
      </c>
    </row>
    <row r="132" spans="1:130" x14ac:dyDescent="0.3">
      <c r="A132" s="286" t="s">
        <v>2575</v>
      </c>
      <c r="B132" s="208" t="str">
        <f>A132&amp;" / "&amp;VLOOKUP(A132,PANELDETRABAJO,2,FALSE)&amp;" "&amp;VLOOKUP(A132,PANELDETRABAJO,3,FALSE)</f>
        <v xml:space="preserve">PTL-EV-8 / - </v>
      </c>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925"/>
      <c r="DX132" s="510" t="str">
        <f t="shared" si="29"/>
        <v>PTL-EV-8</v>
      </c>
      <c r="DY132" s="511" t="str">
        <f>UPPER(IF(VLOOKUP(A132,TabladeServicio,MATCH($B$2,$A$8:$DT$8,0),0)=0,"",VLOOKUP(A132,TabladeServicio,MATCH($B$2,$A$8:$DT$8,0),0)))</f>
        <v/>
      </c>
      <c r="DZ132" s="511" t="str">
        <f>UPPER(IF(VLOOKUP(A132,TabladeServicio,MATCH($B$2,$A$8:$DT$8,0)+1,0)=0,"",VLOOKUP(A132,TabladeServicio,MATCH($B$2,$A$8:$DT$8,0)+1,0)))</f>
        <v/>
      </c>
    </row>
    <row r="133" spans="1:130" x14ac:dyDescent="0.3">
      <c r="A133" s="286" t="s">
        <v>2576</v>
      </c>
      <c r="B133" s="208" t="str">
        <f t="shared" ref="B133" si="39">A133&amp;" / "&amp;VLOOKUP(A133,PANELDETRABAJO,2,FALSE)&amp;" "&amp;VLOOKUP(A133,PANELDETRABAJO,3,FALSE)</f>
        <v xml:space="preserve">PTL-EV-9 / - </v>
      </c>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925"/>
      <c r="DX133" s="510" t="str">
        <f t="shared" si="29"/>
        <v>PTL-EV-9</v>
      </c>
      <c r="DY133" s="511" t="str">
        <f t="shared" ref="DY133" si="40">UPPER(IF(VLOOKUP(A133,TabladeServicio,MATCH($B$2,$A$8:$DT$8,0),0)=0,"",VLOOKUP(A133,TabladeServicio,MATCH($B$2,$A$8:$DT$8,0),0)))</f>
        <v/>
      </c>
      <c r="DZ133" s="511" t="str">
        <f t="shared" ref="DZ133" si="41">UPPER(IF(VLOOKUP(A133,TabladeServicio,MATCH($B$2,$A$8:$DT$8,0)+1,0)=0,"",VLOOKUP(A133,TabladeServicio,MATCH($B$2,$A$8:$DT$8,0)+1,0)))</f>
        <v/>
      </c>
    </row>
    <row r="134" spans="1:130" x14ac:dyDescent="0.3">
      <c r="A134" s="286" t="s">
        <v>2577</v>
      </c>
      <c r="B134" s="208" t="str">
        <f>A134&amp;" / "&amp;VLOOKUP(A134,PANELDETRABAJO,2,FALSE)&amp;" "&amp;VLOOKUP(A134,PANELDETRABAJO,3,FALSE)</f>
        <v xml:space="preserve">PTL-EV-10 / - </v>
      </c>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925"/>
      <c r="DX134" s="510" t="str">
        <f t="shared" si="29"/>
        <v>PTL-EV-10</v>
      </c>
      <c r="DY134" s="511" t="str">
        <f>UPPER(IF(VLOOKUP(A134,TabladeServicio,MATCH($B$2,$A$8:$DT$8,0),0)=0,"",VLOOKUP(A134,TabladeServicio,MATCH($B$2,$A$8:$DT$8,0),0)))</f>
        <v/>
      </c>
      <c r="DZ134" s="511" t="str">
        <f>UPPER(IF(VLOOKUP(A134,TabladeServicio,MATCH($B$2,$A$8:$DT$8,0)+1,0)=0,"",VLOOKUP(A134,TabladeServicio,MATCH($B$2,$A$8:$DT$8,0)+1,0)))</f>
        <v/>
      </c>
    </row>
    <row r="135" spans="1:130" s="694" customFormat="1" x14ac:dyDescent="0.3">
      <c r="B135" s="698"/>
      <c r="C135" s="699"/>
      <c r="D135" s="699"/>
      <c r="E135" s="699"/>
      <c r="F135" s="699"/>
      <c r="G135" s="699"/>
      <c r="H135" s="699"/>
      <c r="I135" s="699"/>
      <c r="J135" s="699"/>
      <c r="K135" s="699"/>
      <c r="L135" s="699"/>
      <c r="M135" s="699"/>
      <c r="N135" s="699"/>
      <c r="O135" s="699"/>
      <c r="P135" s="699"/>
      <c r="Q135" s="699"/>
      <c r="R135" s="699"/>
      <c r="S135" s="699"/>
      <c r="T135" s="699"/>
      <c r="U135" s="699"/>
      <c r="V135" s="699"/>
      <c r="W135" s="699"/>
      <c r="X135" s="699"/>
      <c r="Y135" s="699"/>
      <c r="Z135" s="699"/>
      <c r="AA135" s="699"/>
      <c r="AB135" s="699"/>
      <c r="AC135" s="699"/>
      <c r="AD135" s="699"/>
      <c r="AE135" s="699"/>
      <c r="AF135" s="699"/>
      <c r="AG135" s="699"/>
      <c r="AH135" s="699"/>
      <c r="AI135" s="699"/>
      <c r="AJ135" s="699"/>
      <c r="AK135" s="699"/>
      <c r="AL135" s="699"/>
      <c r="AM135" s="699"/>
      <c r="AN135" s="699"/>
      <c r="AO135" s="699"/>
      <c r="AP135" s="699"/>
      <c r="AQ135" s="699"/>
      <c r="AR135" s="699"/>
      <c r="AS135" s="699"/>
      <c r="AT135" s="699"/>
      <c r="AU135" s="699"/>
      <c r="AV135" s="699"/>
      <c r="AW135" s="699"/>
      <c r="AX135" s="699"/>
      <c r="AY135" s="699"/>
      <c r="AZ135" s="699"/>
      <c r="BA135" s="699"/>
      <c r="BB135" s="699"/>
      <c r="BC135" s="699"/>
      <c r="BD135" s="699"/>
      <c r="BE135" s="699"/>
      <c r="BF135" s="699"/>
      <c r="BG135" s="699"/>
      <c r="BH135" s="699"/>
      <c r="BI135" s="699"/>
      <c r="BJ135" s="699"/>
      <c r="BK135" s="699"/>
      <c r="BL135" s="699"/>
      <c r="BM135" s="699"/>
      <c r="BN135" s="699"/>
      <c r="BO135" s="699"/>
      <c r="BP135" s="699"/>
      <c r="BQ135" s="699"/>
      <c r="BR135" s="699"/>
      <c r="BS135" s="699"/>
      <c r="BT135" s="699"/>
      <c r="BU135" s="699"/>
      <c r="BV135" s="699"/>
      <c r="BW135" s="699"/>
      <c r="BX135" s="699"/>
      <c r="BY135" s="699"/>
      <c r="BZ135" s="699"/>
      <c r="CA135" s="699"/>
      <c r="CB135" s="699"/>
      <c r="CC135" s="699"/>
      <c r="CD135" s="699"/>
      <c r="CE135" s="699"/>
      <c r="CF135" s="699"/>
      <c r="CG135" s="699"/>
      <c r="CH135" s="699"/>
      <c r="CI135" s="699"/>
      <c r="CJ135" s="699"/>
      <c r="CK135" s="699"/>
      <c r="CL135" s="699"/>
      <c r="CM135" s="699"/>
      <c r="CN135" s="699"/>
      <c r="CO135" s="699"/>
      <c r="CP135" s="699"/>
      <c r="CQ135" s="699"/>
      <c r="CR135" s="699"/>
      <c r="CS135" s="699"/>
      <c r="CT135" s="699"/>
      <c r="CU135" s="699"/>
      <c r="CV135" s="699"/>
      <c r="CW135" s="699"/>
      <c r="CX135" s="699"/>
      <c r="CY135" s="699"/>
      <c r="CZ135" s="699"/>
      <c r="DA135" s="699"/>
      <c r="DB135" s="699"/>
      <c r="DC135" s="699"/>
      <c r="DD135" s="699"/>
      <c r="DE135" s="699"/>
      <c r="DF135" s="699"/>
      <c r="DG135" s="699"/>
      <c r="DH135" s="699"/>
      <c r="DI135" s="699"/>
      <c r="DJ135" s="699"/>
      <c r="DK135" s="699"/>
      <c r="DL135" s="699"/>
      <c r="DM135" s="699"/>
      <c r="DN135" s="699"/>
      <c r="DO135" s="699"/>
      <c r="DP135" s="699"/>
      <c r="DQ135" s="699"/>
      <c r="DR135" s="699"/>
      <c r="DS135" s="699"/>
      <c r="DT135" s="699"/>
      <c r="DU135" s="699"/>
      <c r="DV135" s="699"/>
      <c r="DW135" s="926"/>
      <c r="DX135" s="692"/>
      <c r="DY135" s="693"/>
      <c r="DZ135" s="693"/>
    </row>
    <row r="136" spans="1:130" s="516" customFormat="1" ht="28.8" x14ac:dyDescent="0.3">
      <c r="A136" s="458" t="s">
        <v>793</v>
      </c>
      <c r="B136" s="459" t="str">
        <f t="shared" ref="B136:B150" si="42">A136&amp;" / "&amp;VLOOKUP(A136,PANELDETRABAJO,2,FALSE)</f>
        <v>GUARDIA CUARTEL 1 / SGTO 1RO. REYES MUÑOZ OSCAR</v>
      </c>
      <c r="C136" s="209" t="s">
        <v>945</v>
      </c>
      <c r="D136" s="209" t="s">
        <v>2762</v>
      </c>
      <c r="E136" s="466" t="s">
        <v>2125</v>
      </c>
      <c r="F136" s="466" t="s">
        <v>2762</v>
      </c>
      <c r="G136" s="466" t="s">
        <v>944</v>
      </c>
      <c r="H136" s="467" t="s">
        <v>2762</v>
      </c>
      <c r="I136" s="466" t="s">
        <v>945</v>
      </c>
      <c r="J136" s="466" t="s">
        <v>2762</v>
      </c>
      <c r="K136" s="466" t="s">
        <v>2125</v>
      </c>
      <c r="L136" s="466" t="s">
        <v>2762</v>
      </c>
      <c r="M136" s="466" t="s">
        <v>944</v>
      </c>
      <c r="N136" s="466" t="s">
        <v>2762</v>
      </c>
      <c r="O136" s="466" t="s">
        <v>945</v>
      </c>
      <c r="P136" s="466" t="s">
        <v>2762</v>
      </c>
      <c r="Q136" s="466" t="s">
        <v>2125</v>
      </c>
      <c r="R136" s="466" t="s">
        <v>2762</v>
      </c>
      <c r="S136" s="466" t="s">
        <v>944</v>
      </c>
      <c r="T136" s="466" t="s">
        <v>2762</v>
      </c>
      <c r="U136" s="466" t="s">
        <v>945</v>
      </c>
      <c r="V136" s="466" t="s">
        <v>2762</v>
      </c>
      <c r="W136" s="466" t="s">
        <v>2125</v>
      </c>
      <c r="X136" s="466" t="s">
        <v>2762</v>
      </c>
      <c r="Y136" s="466" t="s">
        <v>944</v>
      </c>
      <c r="Z136" s="466"/>
      <c r="AA136" s="466" t="s">
        <v>945</v>
      </c>
      <c r="AB136" s="466" t="s">
        <v>2762</v>
      </c>
      <c r="AC136" s="466" t="s">
        <v>2125</v>
      </c>
      <c r="AD136" s="466" t="s">
        <v>2762</v>
      </c>
      <c r="AE136" s="466" t="s">
        <v>944</v>
      </c>
      <c r="AF136" s="466" t="s">
        <v>2762</v>
      </c>
      <c r="AG136" s="466" t="s">
        <v>945</v>
      </c>
      <c r="AH136" s="466" t="s">
        <v>2762</v>
      </c>
      <c r="AI136" s="466" t="s">
        <v>2125</v>
      </c>
      <c r="AJ136" s="466" t="s">
        <v>2762</v>
      </c>
      <c r="AK136" s="466" t="s">
        <v>944</v>
      </c>
      <c r="AL136" s="466" t="s">
        <v>2762</v>
      </c>
      <c r="AM136" s="466" t="s">
        <v>945</v>
      </c>
      <c r="AN136" s="466" t="s">
        <v>2762</v>
      </c>
      <c r="AO136" s="466" t="s">
        <v>2125</v>
      </c>
      <c r="AP136" s="466" t="s">
        <v>2762</v>
      </c>
      <c r="AQ136" s="466" t="s">
        <v>944</v>
      </c>
      <c r="AR136" s="466" t="s">
        <v>2762</v>
      </c>
      <c r="AS136" s="466" t="s">
        <v>945</v>
      </c>
      <c r="AT136" s="466" t="s">
        <v>2762</v>
      </c>
      <c r="AU136" s="466" t="s">
        <v>2125</v>
      </c>
      <c r="AV136" s="466" t="s">
        <v>2762</v>
      </c>
      <c r="AW136" s="466" t="s">
        <v>944</v>
      </c>
      <c r="AX136" s="466" t="s">
        <v>2762</v>
      </c>
      <c r="AY136" s="466" t="s">
        <v>945</v>
      </c>
      <c r="AZ136" s="466" t="s">
        <v>2762</v>
      </c>
      <c r="BA136" s="466" t="s">
        <v>2125</v>
      </c>
      <c r="BB136" s="466" t="s">
        <v>2762</v>
      </c>
      <c r="BC136" s="466" t="s">
        <v>944</v>
      </c>
      <c r="BD136" s="466" t="s">
        <v>2762</v>
      </c>
      <c r="BE136" s="466" t="s">
        <v>945</v>
      </c>
      <c r="BF136" s="466" t="s">
        <v>2762</v>
      </c>
      <c r="BG136" s="209" t="s">
        <v>2125</v>
      </c>
      <c r="BH136" s="209" t="s">
        <v>2762</v>
      </c>
      <c r="BI136" s="209" t="s">
        <v>944</v>
      </c>
      <c r="BJ136" s="209" t="s">
        <v>2762</v>
      </c>
      <c r="BK136" s="209" t="s">
        <v>945</v>
      </c>
      <c r="BL136" s="209" t="s">
        <v>2762</v>
      </c>
      <c r="BM136" s="466" t="s">
        <v>2125</v>
      </c>
      <c r="BN136" s="466" t="s">
        <v>2762</v>
      </c>
      <c r="BO136" s="466" t="s">
        <v>944</v>
      </c>
      <c r="BP136" s="466" t="s">
        <v>2762</v>
      </c>
      <c r="BQ136" s="466" t="s">
        <v>945</v>
      </c>
      <c r="BR136" s="467" t="s">
        <v>2762</v>
      </c>
      <c r="BS136" s="466" t="s">
        <v>2125</v>
      </c>
      <c r="BT136" s="466" t="s">
        <v>2762</v>
      </c>
      <c r="BU136" s="466" t="s">
        <v>944</v>
      </c>
      <c r="BV136" s="466" t="s">
        <v>2762</v>
      </c>
      <c r="BW136" s="466" t="s">
        <v>855</v>
      </c>
      <c r="BX136" s="466" t="s">
        <v>2762</v>
      </c>
      <c r="BY136" s="466" t="s">
        <v>855</v>
      </c>
      <c r="BZ136" s="466" t="s">
        <v>2762</v>
      </c>
      <c r="CA136" s="466"/>
      <c r="CB136" s="466"/>
      <c r="CC136" s="466"/>
      <c r="CD136" s="466"/>
      <c r="CE136" s="466"/>
      <c r="CF136" s="466"/>
      <c r="CG136" s="466"/>
      <c r="CH136" s="466"/>
      <c r="CI136" s="466"/>
      <c r="CJ136" s="466"/>
      <c r="CK136" s="466"/>
      <c r="CL136" s="466"/>
      <c r="CM136" s="466"/>
      <c r="CN136" s="466"/>
      <c r="CO136" s="466"/>
      <c r="CP136" s="466"/>
      <c r="CQ136" s="466"/>
      <c r="CR136" s="466"/>
      <c r="CS136" s="466"/>
      <c r="CT136" s="466"/>
      <c r="CU136" s="466"/>
      <c r="CV136" s="466"/>
      <c r="CW136" s="466"/>
      <c r="CX136" s="466"/>
      <c r="CY136" s="466"/>
      <c r="CZ136" s="466"/>
      <c r="DA136" s="466"/>
      <c r="DB136" s="466"/>
      <c r="DC136" s="466"/>
      <c r="DD136" s="466"/>
      <c r="DE136" s="466"/>
      <c r="DF136" s="466"/>
      <c r="DG136" s="466"/>
      <c r="DH136" s="466"/>
      <c r="DI136" s="466"/>
      <c r="DJ136" s="466"/>
      <c r="DK136" s="466"/>
      <c r="DL136" s="466"/>
      <c r="DM136" s="466"/>
      <c r="DN136" s="466"/>
      <c r="DO136" s="466"/>
      <c r="DP136" s="466"/>
      <c r="DQ136" s="209"/>
      <c r="DR136" s="209"/>
      <c r="DS136" s="209"/>
      <c r="DT136" s="209"/>
      <c r="DU136" s="209"/>
      <c r="DV136" s="209"/>
      <c r="DW136" s="375"/>
      <c r="DX136" s="517" t="str">
        <f>A136</f>
        <v>GUARDIA CUARTEL 1</v>
      </c>
      <c r="DY136" s="518" t="str">
        <f>UPPER(IF(VLOOKUP(A136,TabladeServicio,MATCH($B$2,$A$8:$DT$8,0),0)=0,"",VLOOKUP(A136,TabladeServicio,MATCH($B$2,$A$8:$DT$8,0),0)))</f>
        <v>F</v>
      </c>
      <c r="DZ136" s="518" t="str">
        <f>UPPER(IF(VLOOKUP(A136,TabladeServicio,MATCH($B$2,$A$8:$DT$8,0)+1,0)=0,"",VLOOKUP(A136,TabladeServicio,MATCH($B$2,$A$8:$DT$8,0)+1,0)))</f>
        <v>GUARDIA</v>
      </c>
    </row>
    <row r="137" spans="1:130" s="516" customFormat="1" ht="28.8" x14ac:dyDescent="0.3">
      <c r="A137" s="458" t="s">
        <v>794</v>
      </c>
      <c r="B137" s="459" t="str">
        <f t="shared" si="42"/>
        <v>GUARDIA CUARTEL 2 / SGTO 1RO. VERGARA BARRERA ROBINSON EDGARDO</v>
      </c>
      <c r="C137" s="209" t="s">
        <v>2125</v>
      </c>
      <c r="D137" s="209"/>
      <c r="E137" s="466" t="s">
        <v>944</v>
      </c>
      <c r="F137" s="467" t="s">
        <v>2762</v>
      </c>
      <c r="G137" s="466" t="s">
        <v>945</v>
      </c>
      <c r="H137" s="466" t="s">
        <v>2762</v>
      </c>
      <c r="I137" s="466" t="s">
        <v>2125</v>
      </c>
      <c r="J137" s="466" t="s">
        <v>2762</v>
      </c>
      <c r="K137" s="466" t="s">
        <v>944</v>
      </c>
      <c r="L137" s="466" t="s">
        <v>2762</v>
      </c>
      <c r="M137" s="466" t="s">
        <v>945</v>
      </c>
      <c r="N137" s="467" t="s">
        <v>2762</v>
      </c>
      <c r="O137" s="466" t="s">
        <v>2125</v>
      </c>
      <c r="P137" s="466" t="s">
        <v>2762</v>
      </c>
      <c r="Q137" s="466" t="s">
        <v>944</v>
      </c>
      <c r="R137" s="466" t="s">
        <v>2762</v>
      </c>
      <c r="S137" s="466" t="s">
        <v>945</v>
      </c>
      <c r="T137" s="466" t="s">
        <v>2762</v>
      </c>
      <c r="U137" s="466" t="s">
        <v>2125</v>
      </c>
      <c r="V137" s="466" t="s">
        <v>2762</v>
      </c>
      <c r="W137" s="466" t="s">
        <v>944</v>
      </c>
      <c r="X137" s="466" t="s">
        <v>2762</v>
      </c>
      <c r="Y137" s="466" t="s">
        <v>945</v>
      </c>
      <c r="Z137" s="466"/>
      <c r="AA137" s="466" t="s">
        <v>2125</v>
      </c>
      <c r="AB137" s="466" t="s">
        <v>2762</v>
      </c>
      <c r="AC137" s="466" t="s">
        <v>944</v>
      </c>
      <c r="AD137" s="466" t="s">
        <v>2762</v>
      </c>
      <c r="AE137" s="466" t="s">
        <v>945</v>
      </c>
      <c r="AF137" s="466" t="s">
        <v>2762</v>
      </c>
      <c r="AG137" s="466" t="s">
        <v>2125</v>
      </c>
      <c r="AH137" s="466" t="s">
        <v>2762</v>
      </c>
      <c r="AI137" s="466" t="s">
        <v>944</v>
      </c>
      <c r="AJ137" s="466" t="s">
        <v>2762</v>
      </c>
      <c r="AK137" s="466" t="s">
        <v>945</v>
      </c>
      <c r="AL137" s="466" t="s">
        <v>2762</v>
      </c>
      <c r="AM137" s="466" t="s">
        <v>2125</v>
      </c>
      <c r="AN137" s="466" t="s">
        <v>2762</v>
      </c>
      <c r="AO137" s="466" t="s">
        <v>944</v>
      </c>
      <c r="AP137" s="466" t="s">
        <v>2762</v>
      </c>
      <c r="AQ137" s="466" t="s">
        <v>945</v>
      </c>
      <c r="AR137" s="466" t="s">
        <v>2762</v>
      </c>
      <c r="AS137" s="466" t="s">
        <v>2125</v>
      </c>
      <c r="AT137" s="466" t="s">
        <v>2762</v>
      </c>
      <c r="AU137" s="466" t="s">
        <v>944</v>
      </c>
      <c r="AV137" s="466" t="s">
        <v>2762</v>
      </c>
      <c r="AW137" s="466" t="s">
        <v>945</v>
      </c>
      <c r="AX137" s="466" t="s">
        <v>2762</v>
      </c>
      <c r="AY137" s="466" t="s">
        <v>2125</v>
      </c>
      <c r="AZ137" s="466" t="s">
        <v>2762</v>
      </c>
      <c r="BA137" s="466" t="s">
        <v>944</v>
      </c>
      <c r="BB137" s="466" t="s">
        <v>2762</v>
      </c>
      <c r="BC137" s="466" t="s">
        <v>945</v>
      </c>
      <c r="BD137" s="466" t="s">
        <v>2762</v>
      </c>
      <c r="BE137" s="466" t="s">
        <v>2125</v>
      </c>
      <c r="BF137" s="466" t="s">
        <v>2762</v>
      </c>
      <c r="BG137" s="209" t="s">
        <v>944</v>
      </c>
      <c r="BH137" s="209" t="s">
        <v>2762</v>
      </c>
      <c r="BI137" s="209" t="s">
        <v>945</v>
      </c>
      <c r="BJ137" s="209" t="s">
        <v>2762</v>
      </c>
      <c r="BK137" s="209" t="s">
        <v>2125</v>
      </c>
      <c r="BL137" s="209" t="s">
        <v>2762</v>
      </c>
      <c r="BM137" s="466" t="s">
        <v>944</v>
      </c>
      <c r="BN137" s="466" t="s">
        <v>2762</v>
      </c>
      <c r="BO137" s="466" t="s">
        <v>945</v>
      </c>
      <c r="BP137" s="466" t="s">
        <v>2762</v>
      </c>
      <c r="BQ137" s="466" t="s">
        <v>2125</v>
      </c>
      <c r="BR137" s="466" t="s">
        <v>2762</v>
      </c>
      <c r="BS137" s="466" t="s">
        <v>944</v>
      </c>
      <c r="BT137" s="466" t="s">
        <v>2762</v>
      </c>
      <c r="BU137" s="466" t="s">
        <v>945</v>
      </c>
      <c r="BV137" s="466" t="s">
        <v>2762</v>
      </c>
      <c r="BW137" s="466" t="s">
        <v>2125</v>
      </c>
      <c r="BX137" s="467" t="s">
        <v>2762</v>
      </c>
      <c r="BY137" s="466" t="s">
        <v>944</v>
      </c>
      <c r="BZ137" s="466" t="s">
        <v>2762</v>
      </c>
      <c r="CA137" s="466"/>
      <c r="CB137" s="466"/>
      <c r="CC137" s="466"/>
      <c r="CD137" s="466"/>
      <c r="CE137" s="466"/>
      <c r="CF137" s="466"/>
      <c r="CG137" s="466"/>
      <c r="CH137" s="466"/>
      <c r="CI137" s="466"/>
      <c r="CJ137" s="466"/>
      <c r="CK137" s="466"/>
      <c r="CL137" s="466"/>
      <c r="CM137" s="466"/>
      <c r="CN137" s="466"/>
      <c r="CO137" s="466"/>
      <c r="CP137" s="466"/>
      <c r="CQ137" s="466"/>
      <c r="CR137" s="466"/>
      <c r="CS137" s="466"/>
      <c r="CT137" s="466"/>
      <c r="CU137" s="466"/>
      <c r="CV137" s="466"/>
      <c r="CW137" s="466"/>
      <c r="CX137" s="466"/>
      <c r="CY137" s="466"/>
      <c r="CZ137" s="466"/>
      <c r="DA137" s="466"/>
      <c r="DB137" s="466"/>
      <c r="DC137" s="466"/>
      <c r="DD137" s="466"/>
      <c r="DE137" s="466"/>
      <c r="DF137" s="466"/>
      <c r="DG137" s="466"/>
      <c r="DH137" s="466"/>
      <c r="DI137" s="466"/>
      <c r="DJ137" s="466"/>
      <c r="DK137" s="466"/>
      <c r="DL137" s="466"/>
      <c r="DM137" s="466"/>
      <c r="DN137" s="466"/>
      <c r="DO137" s="466"/>
      <c r="DP137" s="466"/>
      <c r="DQ137" s="209"/>
      <c r="DR137" s="209"/>
      <c r="DS137" s="209"/>
      <c r="DT137" s="209"/>
      <c r="DU137" s="209"/>
      <c r="DV137" s="209"/>
      <c r="DW137" s="375"/>
      <c r="DX137" s="517" t="str">
        <f t="shared" ref="DX137:DX147" si="43">A137</f>
        <v>GUARDIA CUARTEL 2</v>
      </c>
      <c r="DY137" s="518" t="str">
        <f t="shared" ref="DY137:DY147" si="44">UPPER(IF(VLOOKUP(A137,TabladeServicio,MATCH($B$2,$A$8:$DT$8,0),0)=0,"",VLOOKUP(A137,TabladeServicio,MATCH($B$2,$A$8:$DT$8,0),0)))</f>
        <v>SN</v>
      </c>
      <c r="DZ137" s="518" t="str">
        <f t="shared" ref="DZ137:DZ147" si="45">UPPER(IF(VLOOKUP(A137,TabladeServicio,MATCH($B$2,$A$8:$DT$8,0)+1,0)=0,"",VLOOKUP(A137,TabladeServicio,MATCH($B$2,$A$8:$DT$8,0)+1,0)))</f>
        <v>GUARDIA</v>
      </c>
    </row>
    <row r="138" spans="1:130" s="516" customFormat="1" ht="28.8" x14ac:dyDescent="0.3">
      <c r="A138" s="458" t="s">
        <v>795</v>
      </c>
      <c r="B138" s="459" t="str">
        <f t="shared" si="42"/>
        <v>GUARDIA CUARTEL 3 / SGTO 1RO. CAYUPAN ANTIPIL CESAR ABRAHAM</v>
      </c>
      <c r="C138" s="209" t="s">
        <v>944</v>
      </c>
      <c r="D138" s="209"/>
      <c r="E138" s="466" t="s">
        <v>945</v>
      </c>
      <c r="F138" s="466" t="s">
        <v>2762</v>
      </c>
      <c r="G138" s="466" t="s">
        <v>2125</v>
      </c>
      <c r="H138" s="466" t="s">
        <v>2762</v>
      </c>
      <c r="I138" s="466" t="s">
        <v>944</v>
      </c>
      <c r="J138" s="466" t="s">
        <v>2762</v>
      </c>
      <c r="K138" s="466" t="s">
        <v>945</v>
      </c>
      <c r="L138" s="466" t="s">
        <v>2762</v>
      </c>
      <c r="M138" s="466" t="s">
        <v>2125</v>
      </c>
      <c r="N138" s="466" t="s">
        <v>2762</v>
      </c>
      <c r="O138" s="466" t="s">
        <v>944</v>
      </c>
      <c r="P138" s="466" t="s">
        <v>2762</v>
      </c>
      <c r="Q138" s="466" t="s">
        <v>945</v>
      </c>
      <c r="R138" s="466" t="s">
        <v>2762</v>
      </c>
      <c r="S138" s="466" t="s">
        <v>2125</v>
      </c>
      <c r="T138" s="466" t="s">
        <v>2762</v>
      </c>
      <c r="U138" s="466" t="s">
        <v>944</v>
      </c>
      <c r="V138" s="466" t="s">
        <v>2762</v>
      </c>
      <c r="W138" s="466" t="s">
        <v>945</v>
      </c>
      <c r="X138" s="466" t="s">
        <v>2762</v>
      </c>
      <c r="Y138" s="466" t="s">
        <v>2125</v>
      </c>
      <c r="Z138" s="466" t="s">
        <v>2762</v>
      </c>
      <c r="AA138" s="466" t="s">
        <v>944</v>
      </c>
      <c r="AB138" s="466" t="s">
        <v>2762</v>
      </c>
      <c r="AC138" s="466" t="s">
        <v>945</v>
      </c>
      <c r="AD138" s="466" t="s">
        <v>2762</v>
      </c>
      <c r="AE138" s="466" t="s">
        <v>2125</v>
      </c>
      <c r="AF138" s="466" t="s">
        <v>2762</v>
      </c>
      <c r="AG138" s="466" t="s">
        <v>944</v>
      </c>
      <c r="AH138" s="466" t="s">
        <v>2762</v>
      </c>
      <c r="AI138" s="466" t="s">
        <v>945</v>
      </c>
      <c r="AJ138" s="466" t="s">
        <v>2762</v>
      </c>
      <c r="AK138" s="466" t="s">
        <v>2125</v>
      </c>
      <c r="AL138" s="466" t="s">
        <v>2762</v>
      </c>
      <c r="AM138" s="466" t="s">
        <v>944</v>
      </c>
      <c r="AN138" s="466" t="s">
        <v>2762</v>
      </c>
      <c r="AO138" s="466" t="s">
        <v>945</v>
      </c>
      <c r="AP138" s="466" t="s">
        <v>2762</v>
      </c>
      <c r="AQ138" s="466" t="s">
        <v>2125</v>
      </c>
      <c r="AR138" s="466" t="s">
        <v>2762</v>
      </c>
      <c r="AS138" s="466" t="s">
        <v>944</v>
      </c>
      <c r="AT138" s="466" t="s">
        <v>2762</v>
      </c>
      <c r="AU138" s="466" t="s">
        <v>945</v>
      </c>
      <c r="AV138" s="466" t="s">
        <v>2762</v>
      </c>
      <c r="AW138" s="466" t="s">
        <v>2125</v>
      </c>
      <c r="AX138" s="466" t="s">
        <v>2762</v>
      </c>
      <c r="AY138" s="466" t="s">
        <v>944</v>
      </c>
      <c r="AZ138" s="466" t="s">
        <v>2762</v>
      </c>
      <c r="BA138" s="466" t="s">
        <v>945</v>
      </c>
      <c r="BB138" s="466" t="s">
        <v>2762</v>
      </c>
      <c r="BC138" s="466" t="s">
        <v>2125</v>
      </c>
      <c r="BD138" s="466" t="s">
        <v>2762</v>
      </c>
      <c r="BE138" s="466" t="s">
        <v>944</v>
      </c>
      <c r="BF138" s="466" t="s">
        <v>2762</v>
      </c>
      <c r="BG138" s="209" t="s">
        <v>945</v>
      </c>
      <c r="BH138" s="209" t="s">
        <v>2762</v>
      </c>
      <c r="BI138" s="209" t="s">
        <v>2125</v>
      </c>
      <c r="BJ138" s="209" t="s">
        <v>2762</v>
      </c>
      <c r="BK138" s="209" t="s">
        <v>944</v>
      </c>
      <c r="BL138" s="209" t="s">
        <v>2762</v>
      </c>
      <c r="BM138" s="466" t="s">
        <v>945</v>
      </c>
      <c r="BN138" s="466" t="s">
        <v>2762</v>
      </c>
      <c r="BO138" s="466" t="s">
        <v>2125</v>
      </c>
      <c r="BP138" s="466" t="s">
        <v>2762</v>
      </c>
      <c r="BQ138" s="466" t="s">
        <v>944</v>
      </c>
      <c r="BR138" s="466" t="s">
        <v>2762</v>
      </c>
      <c r="BS138" s="466" t="s">
        <v>945</v>
      </c>
      <c r="BT138" s="466" t="s">
        <v>2762</v>
      </c>
      <c r="BU138" s="466" t="s">
        <v>2125</v>
      </c>
      <c r="BV138" s="466" t="s">
        <v>2762</v>
      </c>
      <c r="BW138" s="466" t="s">
        <v>944</v>
      </c>
      <c r="BX138" s="466" t="s">
        <v>2762</v>
      </c>
      <c r="BY138" s="466" t="s">
        <v>945</v>
      </c>
      <c r="BZ138" s="466" t="s">
        <v>2762</v>
      </c>
      <c r="CA138" s="466"/>
      <c r="CB138" s="466"/>
      <c r="CC138" s="466"/>
      <c r="CD138" s="466"/>
      <c r="CE138" s="466"/>
      <c r="CF138" s="466"/>
      <c r="CG138" s="466"/>
      <c r="CH138" s="466"/>
      <c r="CI138" s="466"/>
      <c r="CJ138" s="466"/>
      <c r="CK138" s="466"/>
      <c r="CL138" s="466"/>
      <c r="CM138" s="466"/>
      <c r="CN138" s="466"/>
      <c r="CO138" s="466"/>
      <c r="CP138" s="466"/>
      <c r="CQ138" s="466"/>
      <c r="CR138" s="466"/>
      <c r="CS138" s="466"/>
      <c r="CT138" s="466"/>
      <c r="CU138" s="466"/>
      <c r="CV138" s="466"/>
      <c r="CW138" s="466"/>
      <c r="CX138" s="466"/>
      <c r="CY138" s="466"/>
      <c r="CZ138" s="466"/>
      <c r="DA138" s="466"/>
      <c r="DB138" s="466"/>
      <c r="DC138" s="466"/>
      <c r="DD138" s="466"/>
      <c r="DE138" s="466"/>
      <c r="DF138" s="466"/>
      <c r="DG138" s="466"/>
      <c r="DH138" s="466"/>
      <c r="DI138" s="466"/>
      <c r="DJ138" s="466"/>
      <c r="DK138" s="466"/>
      <c r="DL138" s="466"/>
      <c r="DM138" s="466"/>
      <c r="DN138" s="466"/>
      <c r="DO138" s="466"/>
      <c r="DP138" s="466"/>
      <c r="DQ138" s="209"/>
      <c r="DR138" s="209"/>
      <c r="DS138" s="209"/>
      <c r="DT138" s="209"/>
      <c r="DU138" s="209"/>
      <c r="DV138" s="209"/>
      <c r="DW138" s="375"/>
      <c r="DX138" s="517" t="str">
        <f t="shared" si="43"/>
        <v>GUARDIA CUARTEL 3</v>
      </c>
      <c r="DY138" s="518" t="str">
        <f t="shared" si="44"/>
        <v>1G</v>
      </c>
      <c r="DZ138" s="518" t="str">
        <f t="shared" si="45"/>
        <v>GUARDIA</v>
      </c>
    </row>
    <row r="139" spans="1:130" s="516" customFormat="1" x14ac:dyDescent="0.3">
      <c r="A139" s="458" t="s">
        <v>820</v>
      </c>
      <c r="B139" s="459" t="str">
        <f t="shared" si="42"/>
        <v>GUARDIA CUARTEL 4 / SGTO 2DO. NEUMANN VIDAL CRISTIAN ALEJANDRO</v>
      </c>
      <c r="C139" s="209"/>
      <c r="D139" s="209"/>
      <c r="E139" s="466"/>
      <c r="F139" s="466"/>
      <c r="G139" s="466"/>
      <c r="H139" s="466"/>
      <c r="I139" s="466"/>
      <c r="J139" s="466"/>
      <c r="K139" s="466"/>
      <c r="L139" s="466"/>
      <c r="M139" s="466"/>
      <c r="N139" s="466"/>
      <c r="O139" s="466"/>
      <c r="P139" s="466"/>
      <c r="Q139" s="466"/>
      <c r="R139" s="466"/>
      <c r="S139" s="466"/>
      <c r="T139" s="466"/>
      <c r="U139" s="466"/>
      <c r="V139" s="466"/>
      <c r="W139" s="466"/>
      <c r="X139" s="466"/>
      <c r="Y139" s="466"/>
      <c r="Z139" s="466"/>
      <c r="AA139" s="466"/>
      <c r="AB139" s="466"/>
      <c r="AC139" s="466"/>
      <c r="AD139" s="466"/>
      <c r="AE139" s="466"/>
      <c r="AF139" s="466"/>
      <c r="AG139" s="466"/>
      <c r="AH139" s="466"/>
      <c r="AI139" s="466"/>
      <c r="AJ139" s="466"/>
      <c r="AK139" s="466"/>
      <c r="AL139" s="466"/>
      <c r="AM139" s="466"/>
      <c r="AN139" s="466"/>
      <c r="AO139" s="466"/>
      <c r="AP139" s="466"/>
      <c r="AQ139" s="466"/>
      <c r="AR139" s="466"/>
      <c r="AS139" s="466"/>
      <c r="AT139" s="466"/>
      <c r="AU139" s="466"/>
      <c r="AV139" s="466"/>
      <c r="AW139" s="466"/>
      <c r="AX139" s="466"/>
      <c r="AY139" s="466"/>
      <c r="AZ139" s="466"/>
      <c r="BA139" s="466"/>
      <c r="BB139" s="466"/>
      <c r="BC139" s="466"/>
      <c r="BD139" s="466"/>
      <c r="BE139" s="466"/>
      <c r="BF139" s="466"/>
      <c r="BG139" s="209"/>
      <c r="BH139" s="209"/>
      <c r="BI139" s="209"/>
      <c r="BJ139" s="209"/>
      <c r="BK139" s="209"/>
      <c r="BL139" s="209"/>
      <c r="BM139" s="466"/>
      <c r="BN139" s="466"/>
      <c r="BO139" s="466"/>
      <c r="BP139" s="466"/>
      <c r="BQ139" s="466"/>
      <c r="BR139" s="466"/>
      <c r="BS139" s="466"/>
      <c r="BT139" s="466"/>
      <c r="BU139" s="466"/>
      <c r="BV139" s="466"/>
      <c r="BW139" s="466" t="s">
        <v>945</v>
      </c>
      <c r="BX139" s="466"/>
      <c r="BY139" s="466" t="s">
        <v>2125</v>
      </c>
      <c r="BZ139" s="466"/>
      <c r="CA139" s="466"/>
      <c r="CB139" s="466"/>
      <c r="CC139" s="466"/>
      <c r="CD139" s="466"/>
      <c r="CE139" s="466"/>
      <c r="CF139" s="466"/>
      <c r="CG139" s="466"/>
      <c r="CH139" s="466"/>
      <c r="CI139" s="466"/>
      <c r="CJ139" s="466"/>
      <c r="CK139" s="466"/>
      <c r="CL139" s="466"/>
      <c r="CM139" s="466"/>
      <c r="CN139" s="466"/>
      <c r="CO139" s="466"/>
      <c r="CP139" s="466"/>
      <c r="CQ139" s="466"/>
      <c r="CR139" s="466"/>
      <c r="CS139" s="466"/>
      <c r="CT139" s="466"/>
      <c r="CU139" s="466"/>
      <c r="CV139" s="466"/>
      <c r="CW139" s="466"/>
      <c r="CX139" s="466"/>
      <c r="CY139" s="466"/>
      <c r="CZ139" s="466"/>
      <c r="DA139" s="466"/>
      <c r="DB139" s="466"/>
      <c r="DC139" s="466"/>
      <c r="DD139" s="466"/>
      <c r="DE139" s="466"/>
      <c r="DF139" s="466"/>
      <c r="DG139" s="466"/>
      <c r="DH139" s="466"/>
      <c r="DI139" s="466"/>
      <c r="DJ139" s="466"/>
      <c r="DK139" s="466"/>
      <c r="DL139" s="466"/>
      <c r="DM139" s="466"/>
      <c r="DN139" s="466"/>
      <c r="DO139" s="466"/>
      <c r="DP139" s="466"/>
      <c r="DQ139" s="209"/>
      <c r="DR139" s="209"/>
      <c r="DS139" s="209"/>
      <c r="DT139" s="209"/>
      <c r="DU139" s="209"/>
      <c r="DV139" s="209"/>
      <c r="DW139" s="375"/>
      <c r="DX139" s="517" t="str">
        <f t="shared" si="43"/>
        <v>GUARDIA CUARTEL 4</v>
      </c>
      <c r="DY139" s="518" t="str">
        <f t="shared" si="44"/>
        <v>2G</v>
      </c>
      <c r="DZ139" s="518" t="str">
        <f t="shared" si="45"/>
        <v/>
      </c>
    </row>
    <row r="140" spans="1:130" s="516" customFormat="1" ht="28.8" x14ac:dyDescent="0.3">
      <c r="A140" s="42" t="s">
        <v>708</v>
      </c>
      <c r="B140" s="208" t="str">
        <f t="shared" si="42"/>
        <v>INTERNO 1 / SGTO 1RO. ROMERO VENEGAS SERGIO HERNAN</v>
      </c>
      <c r="C140" s="209" t="s">
        <v>2125</v>
      </c>
      <c r="D140" s="209" t="s">
        <v>2807</v>
      </c>
      <c r="E140" s="210" t="s">
        <v>944</v>
      </c>
      <c r="F140" s="210" t="s">
        <v>2762</v>
      </c>
      <c r="G140" s="209" t="s">
        <v>945</v>
      </c>
      <c r="H140" s="209" t="s">
        <v>2807</v>
      </c>
      <c r="I140" s="209" t="s">
        <v>2125</v>
      </c>
      <c r="J140" s="209" t="s">
        <v>2807</v>
      </c>
      <c r="K140" s="209" t="s">
        <v>855</v>
      </c>
      <c r="L140" s="209" t="s">
        <v>2807</v>
      </c>
      <c r="M140" s="209" t="s">
        <v>944</v>
      </c>
      <c r="N140" s="209" t="s">
        <v>2807</v>
      </c>
      <c r="O140" s="209" t="s">
        <v>945</v>
      </c>
      <c r="P140" s="209" t="s">
        <v>2807</v>
      </c>
      <c r="Q140" s="209" t="s">
        <v>2125</v>
      </c>
      <c r="R140" s="209" t="s">
        <v>2807</v>
      </c>
      <c r="S140" s="209" t="s">
        <v>855</v>
      </c>
      <c r="T140" s="209" t="s">
        <v>2807</v>
      </c>
      <c r="U140" s="209" t="s">
        <v>944</v>
      </c>
      <c r="V140" s="209" t="s">
        <v>2807</v>
      </c>
      <c r="W140" s="209" t="s">
        <v>945</v>
      </c>
      <c r="X140" s="209" t="s">
        <v>2807</v>
      </c>
      <c r="Y140" s="209" t="s">
        <v>2125</v>
      </c>
      <c r="Z140" s="209" t="s">
        <v>2807</v>
      </c>
      <c r="AA140" s="209" t="s">
        <v>855</v>
      </c>
      <c r="AB140" s="209" t="s">
        <v>2807</v>
      </c>
      <c r="AC140" s="209" t="s">
        <v>944</v>
      </c>
      <c r="AD140" s="209" t="s">
        <v>2807</v>
      </c>
      <c r="AE140" s="209" t="s">
        <v>945</v>
      </c>
      <c r="AF140" s="209" t="s">
        <v>2807</v>
      </c>
      <c r="AG140" s="209" t="s">
        <v>2125</v>
      </c>
      <c r="AH140" s="209" t="s">
        <v>2807</v>
      </c>
      <c r="AI140" s="209" t="s">
        <v>855</v>
      </c>
      <c r="AJ140" s="209" t="s">
        <v>2807</v>
      </c>
      <c r="AK140" s="209" t="s">
        <v>944</v>
      </c>
      <c r="AL140" s="209" t="s">
        <v>2807</v>
      </c>
      <c r="AM140" s="209" t="s">
        <v>945</v>
      </c>
      <c r="AN140" s="209" t="s">
        <v>2807</v>
      </c>
      <c r="AO140" s="209" t="s">
        <v>2125</v>
      </c>
      <c r="AP140" s="209" t="s">
        <v>2807</v>
      </c>
      <c r="AQ140" s="209" t="s">
        <v>855</v>
      </c>
      <c r="AR140" s="209" t="s">
        <v>2807</v>
      </c>
      <c r="AS140" s="209" t="s">
        <v>944</v>
      </c>
      <c r="AT140" s="209" t="s">
        <v>2807</v>
      </c>
      <c r="AU140" s="209" t="s">
        <v>945</v>
      </c>
      <c r="AV140" s="209" t="s">
        <v>2807</v>
      </c>
      <c r="AW140" s="209" t="s">
        <v>2125</v>
      </c>
      <c r="AX140" s="209" t="s">
        <v>2807</v>
      </c>
      <c r="AY140" s="209" t="s">
        <v>855</v>
      </c>
      <c r="AZ140" s="209" t="s">
        <v>2807</v>
      </c>
      <c r="BA140" s="209" t="s">
        <v>944</v>
      </c>
      <c r="BB140" s="209" t="s">
        <v>2807</v>
      </c>
      <c r="BC140" s="209" t="s">
        <v>945</v>
      </c>
      <c r="BD140" s="209" t="s">
        <v>2807</v>
      </c>
      <c r="BE140" s="209" t="s">
        <v>2125</v>
      </c>
      <c r="BF140" s="209" t="s">
        <v>2807</v>
      </c>
      <c r="BG140" s="209" t="s">
        <v>855</v>
      </c>
      <c r="BH140" s="209" t="s">
        <v>2807</v>
      </c>
      <c r="BI140" s="209" t="s">
        <v>944</v>
      </c>
      <c r="BJ140" s="209" t="s">
        <v>2807</v>
      </c>
      <c r="BK140" s="209" t="s">
        <v>945</v>
      </c>
      <c r="BL140" s="209" t="s">
        <v>2807</v>
      </c>
      <c r="BM140" s="209" t="s">
        <v>2125</v>
      </c>
      <c r="BN140" s="210" t="s">
        <v>2807</v>
      </c>
      <c r="BO140" s="209" t="s">
        <v>855</v>
      </c>
      <c r="BP140" s="210" t="s">
        <v>2807</v>
      </c>
      <c r="BQ140" s="209" t="s">
        <v>944</v>
      </c>
      <c r="BR140" s="210" t="s">
        <v>2807</v>
      </c>
      <c r="BS140" s="209" t="s">
        <v>945</v>
      </c>
      <c r="BT140" s="209" t="s">
        <v>2807</v>
      </c>
      <c r="BU140" s="209" t="s">
        <v>2125</v>
      </c>
      <c r="BV140" s="209" t="s">
        <v>2807</v>
      </c>
      <c r="BW140" s="209" t="s">
        <v>855</v>
      </c>
      <c r="BX140" s="209" t="s">
        <v>2807</v>
      </c>
      <c r="BY140" s="209" t="s">
        <v>944</v>
      </c>
      <c r="BZ140" s="209" t="s">
        <v>2807</v>
      </c>
      <c r="CA140" s="209"/>
      <c r="CB140" s="209"/>
      <c r="CC140" s="209"/>
      <c r="CD140" s="209"/>
      <c r="CE140" s="209"/>
      <c r="CF140" s="209"/>
      <c r="CG140" s="209"/>
      <c r="CH140" s="209"/>
      <c r="CI140" s="209"/>
      <c r="CJ140" s="209"/>
      <c r="CK140" s="209"/>
      <c r="CL140" s="209"/>
      <c r="CM140" s="209"/>
      <c r="CN140" s="209"/>
      <c r="CO140" s="209"/>
      <c r="CP140" s="209"/>
      <c r="CQ140" s="209"/>
      <c r="CR140" s="209"/>
      <c r="CS140" s="209"/>
      <c r="CT140" s="209"/>
      <c r="CU140" s="209"/>
      <c r="CV140" s="209"/>
      <c r="CW140" s="209"/>
      <c r="CX140" s="209"/>
      <c r="CY140" s="209"/>
      <c r="CZ140" s="209"/>
      <c r="DA140" s="209"/>
      <c r="DB140" s="209"/>
      <c r="DC140" s="209"/>
      <c r="DD140" s="209"/>
      <c r="DE140" s="209"/>
      <c r="DF140" s="209"/>
      <c r="DG140" s="209"/>
      <c r="DH140" s="209"/>
      <c r="DI140" s="209"/>
      <c r="DJ140" s="209"/>
      <c r="DK140" s="209"/>
      <c r="DL140" s="209"/>
      <c r="DM140" s="209"/>
      <c r="DN140" s="209"/>
      <c r="DO140" s="209"/>
      <c r="DP140" s="209"/>
      <c r="DQ140" s="209"/>
      <c r="DR140" s="209"/>
      <c r="DS140" s="209"/>
      <c r="DT140" s="209"/>
      <c r="DU140" s="209"/>
      <c r="DV140" s="209"/>
      <c r="DW140" s="375"/>
      <c r="DX140" s="517" t="str">
        <f t="shared" si="43"/>
        <v>INTERNO 1</v>
      </c>
      <c r="DY140" s="518" t="str">
        <f t="shared" si="44"/>
        <v>F</v>
      </c>
      <c r="DZ140" s="518" t="str">
        <f t="shared" si="45"/>
        <v>INTERNO</v>
      </c>
    </row>
    <row r="141" spans="1:130" s="516" customFormat="1" ht="28.8" x14ac:dyDescent="0.3">
      <c r="A141" s="42" t="s">
        <v>705</v>
      </c>
      <c r="B141" s="208" t="str">
        <f t="shared" si="42"/>
        <v>INTERNO 2 / SUBOFICIAL JARAMILLO VIDAL RUBEN PATRICIO</v>
      </c>
      <c r="C141" s="209" t="s">
        <v>885</v>
      </c>
      <c r="D141" s="209" t="s">
        <v>2807</v>
      </c>
      <c r="E141" s="210" t="s">
        <v>885</v>
      </c>
      <c r="F141" s="210" t="s">
        <v>2807</v>
      </c>
      <c r="G141" s="209" t="s">
        <v>885</v>
      </c>
      <c r="H141" s="209" t="s">
        <v>2807</v>
      </c>
      <c r="I141" s="209" t="s">
        <v>885</v>
      </c>
      <c r="J141" s="209" t="s">
        <v>2807</v>
      </c>
      <c r="K141" s="209" t="s">
        <v>944</v>
      </c>
      <c r="L141" s="209" t="s">
        <v>2807</v>
      </c>
      <c r="M141" s="209" t="s">
        <v>945</v>
      </c>
      <c r="N141" s="209" t="s">
        <v>2807</v>
      </c>
      <c r="O141" s="209" t="s">
        <v>2125</v>
      </c>
      <c r="P141" s="209" t="s">
        <v>2807</v>
      </c>
      <c r="Q141" s="209" t="s">
        <v>855</v>
      </c>
      <c r="R141" s="209" t="s">
        <v>2807</v>
      </c>
      <c r="S141" s="209" t="s">
        <v>944</v>
      </c>
      <c r="T141" s="209" t="s">
        <v>2807</v>
      </c>
      <c r="U141" s="209" t="s">
        <v>945</v>
      </c>
      <c r="V141" s="209" t="s">
        <v>2807</v>
      </c>
      <c r="W141" s="209" t="s">
        <v>2125</v>
      </c>
      <c r="X141" s="209" t="s">
        <v>2807</v>
      </c>
      <c r="Y141" s="209" t="s">
        <v>855</v>
      </c>
      <c r="Z141" s="209" t="s">
        <v>2807</v>
      </c>
      <c r="AA141" s="209" t="s">
        <v>944</v>
      </c>
      <c r="AB141" s="209" t="s">
        <v>2807</v>
      </c>
      <c r="AC141" s="209" t="s">
        <v>945</v>
      </c>
      <c r="AD141" s="209" t="s">
        <v>2807</v>
      </c>
      <c r="AE141" s="209" t="s">
        <v>2125</v>
      </c>
      <c r="AF141" s="209" t="s">
        <v>2807</v>
      </c>
      <c r="AG141" s="209" t="s">
        <v>855</v>
      </c>
      <c r="AH141" s="209" t="s">
        <v>2807</v>
      </c>
      <c r="AI141" s="209" t="s">
        <v>944</v>
      </c>
      <c r="AJ141" s="209" t="s">
        <v>2807</v>
      </c>
      <c r="AK141" s="209" t="s">
        <v>945</v>
      </c>
      <c r="AL141" s="209" t="s">
        <v>2807</v>
      </c>
      <c r="AM141" s="209" t="s">
        <v>2125</v>
      </c>
      <c r="AN141" s="209" t="s">
        <v>2807</v>
      </c>
      <c r="AO141" s="209" t="s">
        <v>855</v>
      </c>
      <c r="AP141" s="209" t="s">
        <v>2807</v>
      </c>
      <c r="AQ141" s="209" t="s">
        <v>944</v>
      </c>
      <c r="AR141" s="209" t="s">
        <v>2807</v>
      </c>
      <c r="AS141" s="209" t="s">
        <v>945</v>
      </c>
      <c r="AT141" s="209" t="s">
        <v>2807</v>
      </c>
      <c r="AU141" s="209" t="s">
        <v>2125</v>
      </c>
      <c r="AV141" s="209" t="s">
        <v>2807</v>
      </c>
      <c r="AW141" s="209" t="s">
        <v>855</v>
      </c>
      <c r="AX141" s="209" t="s">
        <v>2807</v>
      </c>
      <c r="AY141" s="209" t="s">
        <v>944</v>
      </c>
      <c r="AZ141" s="209" t="s">
        <v>2807</v>
      </c>
      <c r="BA141" s="209" t="s">
        <v>945</v>
      </c>
      <c r="BB141" s="209" t="s">
        <v>2807</v>
      </c>
      <c r="BC141" s="209" t="s">
        <v>2125</v>
      </c>
      <c r="BD141" s="209" t="s">
        <v>2807</v>
      </c>
      <c r="BE141" s="209" t="s">
        <v>855</v>
      </c>
      <c r="BF141" s="209" t="s">
        <v>2807</v>
      </c>
      <c r="BG141" s="209" t="s">
        <v>944</v>
      </c>
      <c r="BH141" s="209" t="s">
        <v>2807</v>
      </c>
      <c r="BI141" s="209" t="s">
        <v>945</v>
      </c>
      <c r="BJ141" s="209" t="s">
        <v>2807</v>
      </c>
      <c r="BK141" s="209" t="s">
        <v>2125</v>
      </c>
      <c r="BL141" s="209" t="s">
        <v>2807</v>
      </c>
      <c r="BM141" s="209" t="s">
        <v>855</v>
      </c>
      <c r="BN141" s="210" t="s">
        <v>2807</v>
      </c>
      <c r="BO141" s="210" t="s">
        <v>944</v>
      </c>
      <c r="BP141" s="210" t="s">
        <v>2807</v>
      </c>
      <c r="BQ141" s="209" t="s">
        <v>945</v>
      </c>
      <c r="BR141" s="209" t="s">
        <v>2807</v>
      </c>
      <c r="BS141" s="209" t="s">
        <v>2125</v>
      </c>
      <c r="BT141" s="209" t="s">
        <v>2807</v>
      </c>
      <c r="BU141" s="209" t="s">
        <v>855</v>
      </c>
      <c r="BV141" s="209" t="s">
        <v>2807</v>
      </c>
      <c r="BW141" s="209" t="s">
        <v>944</v>
      </c>
      <c r="BX141" s="209" t="s">
        <v>2807</v>
      </c>
      <c r="BY141" s="209" t="s">
        <v>945</v>
      </c>
      <c r="BZ141" s="209" t="s">
        <v>2807</v>
      </c>
      <c r="CA141" s="209"/>
      <c r="CB141" s="209"/>
      <c r="CC141" s="209"/>
      <c r="CD141" s="209"/>
      <c r="CE141" s="209"/>
      <c r="CF141" s="209"/>
      <c r="CG141" s="209"/>
      <c r="CH141" s="209"/>
      <c r="CI141" s="209"/>
      <c r="CJ141" s="209"/>
      <c r="CK141" s="209"/>
      <c r="CL141" s="209"/>
      <c r="CM141" s="209"/>
      <c r="CN141" s="209"/>
      <c r="CO141" s="209"/>
      <c r="CP141" s="209"/>
      <c r="CQ141" s="209"/>
      <c r="CR141" s="209"/>
      <c r="CS141" s="209"/>
      <c r="CT141" s="209"/>
      <c r="CU141" s="209"/>
      <c r="CV141" s="209"/>
      <c r="CW141" s="209"/>
      <c r="CX141" s="209"/>
      <c r="CY141" s="209"/>
      <c r="CZ141" s="209"/>
      <c r="DA141" s="209"/>
      <c r="DB141" s="209"/>
      <c r="DC141" s="209"/>
      <c r="DD141" s="209"/>
      <c r="DE141" s="209"/>
      <c r="DF141" s="209"/>
      <c r="DG141" s="209"/>
      <c r="DH141" s="209"/>
      <c r="DI141" s="209"/>
      <c r="DJ141" s="209"/>
      <c r="DK141" s="209"/>
      <c r="DL141" s="209"/>
      <c r="DM141" s="209"/>
      <c r="DN141" s="209"/>
      <c r="DO141" s="209"/>
      <c r="DP141" s="209"/>
      <c r="DQ141" s="209"/>
      <c r="DR141" s="209"/>
      <c r="DS141" s="209"/>
      <c r="DT141" s="209"/>
      <c r="DU141" s="209"/>
      <c r="DV141" s="209"/>
      <c r="DW141" s="375"/>
      <c r="DX141" s="517" t="str">
        <f t="shared" si="43"/>
        <v>INTERNO 2</v>
      </c>
      <c r="DY141" s="518" t="str">
        <f t="shared" si="44"/>
        <v>1G</v>
      </c>
      <c r="DZ141" s="518" t="str">
        <f t="shared" si="45"/>
        <v>INTERNO</v>
      </c>
    </row>
    <row r="142" spans="1:130" s="516" customFormat="1" ht="28.8" x14ac:dyDescent="0.3">
      <c r="A142" s="42" t="s">
        <v>706</v>
      </c>
      <c r="B142" s="208" t="str">
        <f t="shared" si="42"/>
        <v>INTERNO 3 / SGTO 2DO. LIRA MUÑOZ OSCAR FABIAN</v>
      </c>
      <c r="C142" s="209" t="s">
        <v>944</v>
      </c>
      <c r="D142" s="209" t="s">
        <v>2807</v>
      </c>
      <c r="E142" s="210" t="s">
        <v>945</v>
      </c>
      <c r="F142" s="210" t="s">
        <v>2807</v>
      </c>
      <c r="G142" s="209" t="s">
        <v>2125</v>
      </c>
      <c r="H142" s="209" t="s">
        <v>2807</v>
      </c>
      <c r="I142" s="209" t="s">
        <v>944</v>
      </c>
      <c r="J142" s="209" t="s">
        <v>2807</v>
      </c>
      <c r="K142" s="209" t="s">
        <v>945</v>
      </c>
      <c r="L142" s="209" t="s">
        <v>2807</v>
      </c>
      <c r="M142" s="209" t="s">
        <v>2125</v>
      </c>
      <c r="N142" s="209" t="s">
        <v>2807</v>
      </c>
      <c r="O142" s="209" t="s">
        <v>855</v>
      </c>
      <c r="P142" s="209" t="s">
        <v>2807</v>
      </c>
      <c r="Q142" s="209" t="s">
        <v>944</v>
      </c>
      <c r="R142" s="209" t="s">
        <v>2807</v>
      </c>
      <c r="S142" s="209" t="s">
        <v>945</v>
      </c>
      <c r="T142" s="209" t="s">
        <v>2807</v>
      </c>
      <c r="U142" s="209" t="s">
        <v>2125</v>
      </c>
      <c r="V142" s="209" t="s">
        <v>2807</v>
      </c>
      <c r="W142" s="209" t="s">
        <v>855</v>
      </c>
      <c r="X142" s="209" t="s">
        <v>2807</v>
      </c>
      <c r="Y142" s="209" t="s">
        <v>944</v>
      </c>
      <c r="Z142" s="209" t="s">
        <v>2807</v>
      </c>
      <c r="AA142" s="209" t="s">
        <v>945</v>
      </c>
      <c r="AB142" s="209" t="s">
        <v>2807</v>
      </c>
      <c r="AC142" s="209" t="s">
        <v>2125</v>
      </c>
      <c r="AD142" s="209" t="s">
        <v>2807</v>
      </c>
      <c r="AE142" s="209" t="s">
        <v>855</v>
      </c>
      <c r="AF142" s="209" t="s">
        <v>2807</v>
      </c>
      <c r="AG142" s="209" t="s">
        <v>944</v>
      </c>
      <c r="AH142" s="209" t="s">
        <v>2807</v>
      </c>
      <c r="AI142" s="209" t="s">
        <v>945</v>
      </c>
      <c r="AJ142" s="209" t="s">
        <v>2807</v>
      </c>
      <c r="AK142" s="209" t="s">
        <v>2125</v>
      </c>
      <c r="AL142" s="209" t="s">
        <v>2807</v>
      </c>
      <c r="AM142" s="209" t="s">
        <v>855</v>
      </c>
      <c r="AN142" s="209" t="s">
        <v>2807</v>
      </c>
      <c r="AO142" s="209" t="s">
        <v>944</v>
      </c>
      <c r="AP142" s="209" t="s">
        <v>2807</v>
      </c>
      <c r="AQ142" s="209" t="s">
        <v>945</v>
      </c>
      <c r="AR142" s="209" t="s">
        <v>2807</v>
      </c>
      <c r="AS142" s="209" t="s">
        <v>2125</v>
      </c>
      <c r="AT142" s="209" t="s">
        <v>2807</v>
      </c>
      <c r="AU142" s="209" t="s">
        <v>855</v>
      </c>
      <c r="AV142" s="209" t="s">
        <v>2807</v>
      </c>
      <c r="AW142" s="209" t="s">
        <v>944</v>
      </c>
      <c r="AX142" s="209" t="s">
        <v>2807</v>
      </c>
      <c r="AY142" s="209" t="s">
        <v>945</v>
      </c>
      <c r="AZ142" s="209" t="s">
        <v>2807</v>
      </c>
      <c r="BA142" s="209" t="s">
        <v>2125</v>
      </c>
      <c r="BB142" s="209" t="s">
        <v>2807</v>
      </c>
      <c r="BC142" s="209" t="s">
        <v>855</v>
      </c>
      <c r="BD142" s="209" t="s">
        <v>2807</v>
      </c>
      <c r="BE142" s="209" t="s">
        <v>944</v>
      </c>
      <c r="BF142" s="209" t="s">
        <v>2807</v>
      </c>
      <c r="BG142" s="209" t="s">
        <v>945</v>
      </c>
      <c r="BH142" s="209" t="s">
        <v>2807</v>
      </c>
      <c r="BI142" s="209" t="s">
        <v>2125</v>
      </c>
      <c r="BJ142" s="209" t="s">
        <v>2807</v>
      </c>
      <c r="BK142" s="209" t="s">
        <v>855</v>
      </c>
      <c r="BL142" s="209" t="s">
        <v>2807</v>
      </c>
      <c r="BM142" s="209" t="s">
        <v>944</v>
      </c>
      <c r="BN142" s="210" t="s">
        <v>2807</v>
      </c>
      <c r="BO142" s="210" t="s">
        <v>945</v>
      </c>
      <c r="BP142" s="210" t="s">
        <v>2807</v>
      </c>
      <c r="BQ142" s="209" t="s">
        <v>2125</v>
      </c>
      <c r="BR142" s="209" t="s">
        <v>2807</v>
      </c>
      <c r="BS142" s="209" t="s">
        <v>855</v>
      </c>
      <c r="BT142" s="209" t="s">
        <v>2807</v>
      </c>
      <c r="BU142" s="209" t="s">
        <v>944</v>
      </c>
      <c r="BV142" s="209" t="s">
        <v>2807</v>
      </c>
      <c r="BW142" s="209" t="s">
        <v>945</v>
      </c>
      <c r="BX142" s="209" t="s">
        <v>2807</v>
      </c>
      <c r="BY142" s="209" t="s">
        <v>2125</v>
      </c>
      <c r="BZ142" s="209" t="s">
        <v>2807</v>
      </c>
      <c r="CA142" s="209"/>
      <c r="CB142" s="209"/>
      <c r="CC142" s="209"/>
      <c r="CD142" s="209"/>
      <c r="CE142" s="209"/>
      <c r="CF142" s="209"/>
      <c r="CG142" s="209"/>
      <c r="CH142" s="209"/>
      <c r="CI142" s="209"/>
      <c r="CJ142" s="209"/>
      <c r="CK142" s="209"/>
      <c r="CL142" s="209"/>
      <c r="CM142" s="209"/>
      <c r="CN142" s="209"/>
      <c r="CO142" s="209"/>
      <c r="CP142" s="209"/>
      <c r="CQ142" s="209"/>
      <c r="CR142" s="209"/>
      <c r="CS142" s="209"/>
      <c r="CT142" s="209"/>
      <c r="CU142" s="209"/>
      <c r="CV142" s="209"/>
      <c r="CW142" s="209"/>
      <c r="CX142" s="209"/>
      <c r="CY142" s="209"/>
      <c r="CZ142" s="209"/>
      <c r="DA142" s="209"/>
      <c r="DB142" s="209"/>
      <c r="DC142" s="209"/>
      <c r="DD142" s="209"/>
      <c r="DE142" s="209"/>
      <c r="DF142" s="209"/>
      <c r="DG142" s="209"/>
      <c r="DH142" s="209"/>
      <c r="DI142" s="209"/>
      <c r="DJ142" s="209"/>
      <c r="DK142" s="209"/>
      <c r="DL142" s="209"/>
      <c r="DM142" s="209"/>
      <c r="DN142" s="209"/>
      <c r="DO142" s="209"/>
      <c r="DP142" s="209"/>
      <c r="DQ142" s="209"/>
      <c r="DR142" s="209"/>
      <c r="DS142" s="209"/>
      <c r="DT142" s="209"/>
      <c r="DU142" s="209"/>
      <c r="DV142" s="209"/>
      <c r="DW142" s="375"/>
      <c r="DX142" s="517" t="str">
        <f t="shared" si="43"/>
        <v>INTERNO 3</v>
      </c>
      <c r="DY142" s="518" t="str">
        <f t="shared" si="44"/>
        <v>2G</v>
      </c>
      <c r="DZ142" s="518" t="str">
        <f t="shared" si="45"/>
        <v>INTERNO</v>
      </c>
    </row>
    <row r="143" spans="1:130" s="516" customFormat="1" ht="28.8" x14ac:dyDescent="0.3">
      <c r="A143" s="42" t="s">
        <v>707</v>
      </c>
      <c r="B143" s="208" t="str">
        <f t="shared" si="42"/>
        <v>INTERNO 4 / SGTO 2DO. PILQUIMAN MANQUI MIGUEL ANGEL</v>
      </c>
      <c r="C143" s="209" t="s">
        <v>945</v>
      </c>
      <c r="D143" s="209" t="s">
        <v>2807</v>
      </c>
      <c r="E143" s="209" t="s">
        <v>2125</v>
      </c>
      <c r="F143" s="210" t="s">
        <v>2807</v>
      </c>
      <c r="G143" s="209" t="s">
        <v>944</v>
      </c>
      <c r="H143" s="209" t="s">
        <v>2807</v>
      </c>
      <c r="I143" s="209" t="s">
        <v>945</v>
      </c>
      <c r="J143" s="209" t="s">
        <v>2807</v>
      </c>
      <c r="K143" s="209" t="s">
        <v>2125</v>
      </c>
      <c r="L143" s="209" t="s">
        <v>2807</v>
      </c>
      <c r="M143" s="209" t="s">
        <v>855</v>
      </c>
      <c r="N143" s="209" t="s">
        <v>2807</v>
      </c>
      <c r="O143" s="209" t="s">
        <v>944</v>
      </c>
      <c r="P143" s="209" t="s">
        <v>2807</v>
      </c>
      <c r="Q143" s="209" t="s">
        <v>945</v>
      </c>
      <c r="R143" s="209" t="s">
        <v>2807</v>
      </c>
      <c r="S143" s="209" t="s">
        <v>2125</v>
      </c>
      <c r="T143" s="209" t="s">
        <v>2807</v>
      </c>
      <c r="U143" s="209" t="s">
        <v>855</v>
      </c>
      <c r="V143" s="209" t="s">
        <v>2807</v>
      </c>
      <c r="W143" s="209" t="s">
        <v>944</v>
      </c>
      <c r="X143" s="209" t="s">
        <v>2807</v>
      </c>
      <c r="Y143" s="209" t="s">
        <v>945</v>
      </c>
      <c r="Z143" s="209" t="s">
        <v>2807</v>
      </c>
      <c r="AA143" s="209" t="s">
        <v>2125</v>
      </c>
      <c r="AB143" s="209" t="s">
        <v>2807</v>
      </c>
      <c r="AC143" s="209" t="s">
        <v>855</v>
      </c>
      <c r="AD143" s="209" t="s">
        <v>2807</v>
      </c>
      <c r="AE143" s="209" t="s">
        <v>944</v>
      </c>
      <c r="AF143" s="209" t="s">
        <v>2807</v>
      </c>
      <c r="AG143" s="209" t="s">
        <v>945</v>
      </c>
      <c r="AH143" s="209" t="s">
        <v>2807</v>
      </c>
      <c r="AI143" s="209" t="s">
        <v>2125</v>
      </c>
      <c r="AJ143" s="209" t="s">
        <v>2807</v>
      </c>
      <c r="AK143" s="209" t="s">
        <v>855</v>
      </c>
      <c r="AL143" s="209" t="s">
        <v>2807</v>
      </c>
      <c r="AM143" s="209" t="s">
        <v>944</v>
      </c>
      <c r="AN143" s="209" t="s">
        <v>2807</v>
      </c>
      <c r="AO143" s="209" t="s">
        <v>945</v>
      </c>
      <c r="AP143" s="209" t="s">
        <v>2807</v>
      </c>
      <c r="AQ143" s="209" t="s">
        <v>2125</v>
      </c>
      <c r="AR143" s="209" t="s">
        <v>2807</v>
      </c>
      <c r="AS143" s="209" t="s">
        <v>855</v>
      </c>
      <c r="AT143" s="209" t="s">
        <v>2807</v>
      </c>
      <c r="AU143" s="209" t="s">
        <v>944</v>
      </c>
      <c r="AV143" s="209" t="s">
        <v>2807</v>
      </c>
      <c r="AW143" s="209" t="s">
        <v>945</v>
      </c>
      <c r="AX143" s="209" t="s">
        <v>2807</v>
      </c>
      <c r="AY143" s="209" t="s">
        <v>2125</v>
      </c>
      <c r="AZ143" s="209" t="s">
        <v>2807</v>
      </c>
      <c r="BA143" s="209" t="s">
        <v>855</v>
      </c>
      <c r="BB143" s="209" t="s">
        <v>2807</v>
      </c>
      <c r="BC143" s="209" t="s">
        <v>944</v>
      </c>
      <c r="BD143" s="209" t="s">
        <v>2807</v>
      </c>
      <c r="BE143" s="209" t="s">
        <v>945</v>
      </c>
      <c r="BF143" s="209" t="s">
        <v>2807</v>
      </c>
      <c r="BG143" s="209" t="s">
        <v>2125</v>
      </c>
      <c r="BH143" s="209" t="s">
        <v>2807</v>
      </c>
      <c r="BI143" s="209" t="s">
        <v>855</v>
      </c>
      <c r="BJ143" s="209" t="s">
        <v>2807</v>
      </c>
      <c r="BK143" s="209" t="s">
        <v>944</v>
      </c>
      <c r="BL143" s="209" t="s">
        <v>2807</v>
      </c>
      <c r="BM143" s="209" t="s">
        <v>945</v>
      </c>
      <c r="BN143" s="210" t="s">
        <v>2807</v>
      </c>
      <c r="BO143" s="209" t="s">
        <v>2125</v>
      </c>
      <c r="BP143" s="210" t="s">
        <v>2807</v>
      </c>
      <c r="BQ143" s="209" t="s">
        <v>855</v>
      </c>
      <c r="BR143" s="209" t="s">
        <v>2807</v>
      </c>
      <c r="BS143" s="209" t="s">
        <v>944</v>
      </c>
      <c r="BT143" s="209" t="s">
        <v>2807</v>
      </c>
      <c r="BU143" s="209" t="s">
        <v>945</v>
      </c>
      <c r="BV143" s="209" t="s">
        <v>2807</v>
      </c>
      <c r="BW143" s="209" t="s">
        <v>2125</v>
      </c>
      <c r="BX143" s="209" t="s">
        <v>2807</v>
      </c>
      <c r="BY143" s="209" t="s">
        <v>855</v>
      </c>
      <c r="BZ143" s="209" t="s">
        <v>2807</v>
      </c>
      <c r="CA143" s="209"/>
      <c r="CB143" s="209"/>
      <c r="CC143" s="209"/>
      <c r="CD143" s="209"/>
      <c r="CE143" s="209"/>
      <c r="CF143" s="209"/>
      <c r="CG143" s="209"/>
      <c r="CH143" s="209"/>
      <c r="CI143" s="209"/>
      <c r="CJ143" s="209"/>
      <c r="CK143" s="209"/>
      <c r="CL143" s="209"/>
      <c r="CM143" s="209"/>
      <c r="CN143" s="209"/>
      <c r="CO143" s="209"/>
      <c r="CP143" s="209"/>
      <c r="CQ143" s="209"/>
      <c r="CR143" s="209"/>
      <c r="CS143" s="209"/>
      <c r="CT143" s="209"/>
      <c r="CU143" s="209"/>
      <c r="CV143" s="209"/>
      <c r="CW143" s="209"/>
      <c r="CX143" s="209"/>
      <c r="CY143" s="209"/>
      <c r="CZ143" s="209"/>
      <c r="DA143" s="209"/>
      <c r="DB143" s="209"/>
      <c r="DC143" s="209"/>
      <c r="DD143" s="209"/>
      <c r="DE143" s="209"/>
      <c r="DF143" s="209"/>
      <c r="DG143" s="209"/>
      <c r="DH143" s="209"/>
      <c r="DI143" s="209"/>
      <c r="DJ143" s="209"/>
      <c r="DK143" s="209"/>
      <c r="DL143" s="209"/>
      <c r="DM143" s="209"/>
      <c r="DN143" s="209"/>
      <c r="DO143" s="209"/>
      <c r="DP143" s="209"/>
      <c r="DQ143" s="209"/>
      <c r="DR143" s="209"/>
      <c r="DS143" s="209"/>
      <c r="DT143" s="209"/>
      <c r="DU143" s="209"/>
      <c r="DV143" s="209"/>
      <c r="DW143" s="375"/>
      <c r="DX143" s="517" t="str">
        <f t="shared" si="43"/>
        <v>INTERNO 4</v>
      </c>
      <c r="DY143" s="518" t="str">
        <f t="shared" si="44"/>
        <v>SN</v>
      </c>
      <c r="DZ143" s="518" t="str">
        <f t="shared" si="45"/>
        <v>INTERNO</v>
      </c>
    </row>
    <row r="144" spans="1:130" s="516" customFormat="1" ht="28.8" x14ac:dyDescent="0.3">
      <c r="A144" s="42" t="s">
        <v>821</v>
      </c>
      <c r="B144" s="208" t="str">
        <f t="shared" si="42"/>
        <v>P.F. ROBERTO DEL RIO 1 / CABO 1RO. GARCES ORELLANA DIEGO ANDRES</v>
      </c>
      <c r="C144" s="209" t="s">
        <v>2</v>
      </c>
      <c r="D144" s="209" t="s">
        <v>2851</v>
      </c>
      <c r="E144" s="210" t="s">
        <v>854</v>
      </c>
      <c r="F144" s="210" t="s">
        <v>2851</v>
      </c>
      <c r="G144" s="209" t="s">
        <v>2125</v>
      </c>
      <c r="H144" s="209" t="s">
        <v>2851</v>
      </c>
      <c r="I144" s="209" t="s">
        <v>1</v>
      </c>
      <c r="J144" s="209" t="s">
        <v>2851</v>
      </c>
      <c r="K144" s="209" t="s">
        <v>2</v>
      </c>
      <c r="L144" s="209" t="s">
        <v>2851</v>
      </c>
      <c r="M144" s="209" t="s">
        <v>854</v>
      </c>
      <c r="N144" s="209" t="s">
        <v>2851</v>
      </c>
      <c r="O144" s="209" t="s">
        <v>2125</v>
      </c>
      <c r="P144" s="209" t="s">
        <v>2851</v>
      </c>
      <c r="Q144" s="209" t="s">
        <v>1</v>
      </c>
      <c r="R144" s="209" t="s">
        <v>2851</v>
      </c>
      <c r="S144" s="209" t="s">
        <v>2</v>
      </c>
      <c r="T144" s="209" t="s">
        <v>2851</v>
      </c>
      <c r="U144" s="209" t="s">
        <v>6</v>
      </c>
      <c r="V144" s="209" t="s">
        <v>2851</v>
      </c>
      <c r="W144" s="209" t="s">
        <v>2125</v>
      </c>
      <c r="X144" s="209" t="s">
        <v>2851</v>
      </c>
      <c r="Y144" s="209" t="s">
        <v>1</v>
      </c>
      <c r="Z144" s="209" t="s">
        <v>2851</v>
      </c>
      <c r="AA144" s="209" t="s">
        <v>2</v>
      </c>
      <c r="AB144" s="209" t="s">
        <v>2851</v>
      </c>
      <c r="AC144" s="209" t="s">
        <v>854</v>
      </c>
      <c r="AD144" s="209" t="s">
        <v>2851</v>
      </c>
      <c r="AE144" s="209" t="s">
        <v>2125</v>
      </c>
      <c r="AF144" s="209" t="s">
        <v>2851</v>
      </c>
      <c r="AG144" s="209" t="s">
        <v>855</v>
      </c>
      <c r="AH144" s="209" t="s">
        <v>2851</v>
      </c>
      <c r="AI144" s="209" t="s">
        <v>855</v>
      </c>
      <c r="AJ144" s="209" t="s">
        <v>2851</v>
      </c>
      <c r="AK144" s="209" t="s">
        <v>854</v>
      </c>
      <c r="AL144" s="209" t="s">
        <v>2851</v>
      </c>
      <c r="AM144" s="209" t="s">
        <v>2125</v>
      </c>
      <c r="AN144" s="209" t="s">
        <v>2851</v>
      </c>
      <c r="AO144" s="209" t="s">
        <v>1</v>
      </c>
      <c r="AP144" s="209" t="s">
        <v>2851</v>
      </c>
      <c r="AQ144" s="209" t="s">
        <v>2</v>
      </c>
      <c r="AR144" s="209" t="s">
        <v>2851</v>
      </c>
      <c r="AS144" s="209" t="s">
        <v>854</v>
      </c>
      <c r="AT144" s="209" t="s">
        <v>2851</v>
      </c>
      <c r="AU144" s="209" t="s">
        <v>2125</v>
      </c>
      <c r="AV144" s="209" t="s">
        <v>2851</v>
      </c>
      <c r="AW144" s="209" t="s">
        <v>853</v>
      </c>
      <c r="AX144" s="209" t="s">
        <v>2851</v>
      </c>
      <c r="AY144" s="209" t="s">
        <v>2</v>
      </c>
      <c r="AZ144" s="209" t="s">
        <v>2851</v>
      </c>
      <c r="BA144" s="209" t="s">
        <v>854</v>
      </c>
      <c r="BB144" s="209" t="s">
        <v>2851</v>
      </c>
      <c r="BC144" s="209" t="s">
        <v>2125</v>
      </c>
      <c r="BD144" s="209" t="s">
        <v>2851</v>
      </c>
      <c r="BE144" s="209" t="s">
        <v>1</v>
      </c>
      <c r="BF144" s="209" t="s">
        <v>2851</v>
      </c>
      <c r="BG144" s="209" t="s">
        <v>2</v>
      </c>
      <c r="BH144" s="209" t="s">
        <v>2851</v>
      </c>
      <c r="BI144" s="209" t="s">
        <v>854</v>
      </c>
      <c r="BJ144" s="209" t="s">
        <v>2851</v>
      </c>
      <c r="BK144" s="209" t="s">
        <v>2125</v>
      </c>
      <c r="BL144" s="209" t="s">
        <v>2851</v>
      </c>
      <c r="BM144" s="209" t="s">
        <v>1</v>
      </c>
      <c r="BN144" s="210" t="s">
        <v>2701</v>
      </c>
      <c r="BO144" s="210" t="s">
        <v>2</v>
      </c>
      <c r="BP144" s="210" t="s">
        <v>2701</v>
      </c>
      <c r="BQ144" s="209" t="s">
        <v>854</v>
      </c>
      <c r="BR144" s="209" t="s">
        <v>2701</v>
      </c>
      <c r="BS144" s="209" t="s">
        <v>2125</v>
      </c>
      <c r="BT144" s="209" t="s">
        <v>2701</v>
      </c>
      <c r="BU144" s="209" t="s">
        <v>1</v>
      </c>
      <c r="BV144" s="209" t="s">
        <v>2701</v>
      </c>
      <c r="BW144" s="209" t="s">
        <v>853</v>
      </c>
      <c r="BX144" s="209" t="s">
        <v>2701</v>
      </c>
      <c r="BY144" s="209" t="s">
        <v>854</v>
      </c>
      <c r="BZ144" s="209" t="s">
        <v>2701</v>
      </c>
      <c r="CA144" s="209"/>
      <c r="CB144" s="209"/>
      <c r="CC144" s="209"/>
      <c r="CD144" s="209"/>
      <c r="CE144" s="209"/>
      <c r="CF144" s="209"/>
      <c r="CG144" s="209"/>
      <c r="CH144" s="209"/>
      <c r="CI144" s="209"/>
      <c r="CJ144" s="209"/>
      <c r="CK144" s="209"/>
      <c r="CL144" s="209"/>
      <c r="CM144" s="209"/>
      <c r="CN144" s="209"/>
      <c r="CO144" s="209"/>
      <c r="CP144" s="209"/>
      <c r="CQ144" s="209"/>
      <c r="CR144" s="209"/>
      <c r="CS144" s="209"/>
      <c r="CT144" s="209"/>
      <c r="CU144" s="209"/>
      <c r="CV144" s="209"/>
      <c r="CW144" s="209"/>
      <c r="CX144" s="209"/>
      <c r="CY144" s="209"/>
      <c r="CZ144" s="209"/>
      <c r="DA144" s="209"/>
      <c r="DB144" s="209"/>
      <c r="DC144" s="209"/>
      <c r="DD144" s="209"/>
      <c r="DE144" s="209"/>
      <c r="DF144" s="209"/>
      <c r="DG144" s="209"/>
      <c r="DH144" s="209"/>
      <c r="DI144" s="209"/>
      <c r="DJ144" s="209"/>
      <c r="DK144" s="209"/>
      <c r="DL144" s="209"/>
      <c r="DM144" s="209"/>
      <c r="DN144" s="209"/>
      <c r="DO144" s="209"/>
      <c r="DP144" s="209"/>
      <c r="DQ144" s="209"/>
      <c r="DR144" s="209"/>
      <c r="DS144" s="209"/>
      <c r="DT144" s="209"/>
      <c r="DU144" s="209"/>
      <c r="DV144" s="209"/>
      <c r="DW144" s="375"/>
      <c r="DX144" s="517" t="str">
        <f t="shared" si="43"/>
        <v>P.F. ROBERTO DEL RIO 1</v>
      </c>
      <c r="DY144" s="518" t="str">
        <f t="shared" si="44"/>
        <v>1P</v>
      </c>
      <c r="DZ144" s="518" t="str">
        <f t="shared" si="45"/>
        <v>R. RIO</v>
      </c>
    </row>
    <row r="145" spans="1:130" s="516" customFormat="1" ht="28.8" x14ac:dyDescent="0.3">
      <c r="A145" s="42" t="s">
        <v>822</v>
      </c>
      <c r="B145" s="208" t="str">
        <f t="shared" si="42"/>
        <v>P.F. ROBERTO DEL RIO 2 / SGTO 2DO. MELLA GUTIERREZ SEBASTIAN ANDRES</v>
      </c>
      <c r="C145" s="209" t="s">
        <v>6</v>
      </c>
      <c r="D145" s="209" t="s">
        <v>2851</v>
      </c>
      <c r="E145" s="210" t="s">
        <v>2125</v>
      </c>
      <c r="F145" s="210" t="s">
        <v>2851</v>
      </c>
      <c r="G145" s="209" t="s">
        <v>1</v>
      </c>
      <c r="H145" s="209" t="s">
        <v>2851</v>
      </c>
      <c r="I145" s="209" t="s">
        <v>2</v>
      </c>
      <c r="J145" s="209" t="s">
        <v>2851</v>
      </c>
      <c r="K145" s="209" t="s">
        <v>854</v>
      </c>
      <c r="L145" s="209" t="s">
        <v>2851</v>
      </c>
      <c r="M145" s="209" t="s">
        <v>2125</v>
      </c>
      <c r="N145" s="209" t="s">
        <v>2851</v>
      </c>
      <c r="O145" s="209" t="s">
        <v>1</v>
      </c>
      <c r="P145" s="209" t="s">
        <v>2851</v>
      </c>
      <c r="Q145" s="209" t="s">
        <v>2</v>
      </c>
      <c r="R145" s="209" t="s">
        <v>2851</v>
      </c>
      <c r="S145" s="209" t="s">
        <v>854</v>
      </c>
      <c r="T145" s="209" t="s">
        <v>2851</v>
      </c>
      <c r="U145" s="209" t="s">
        <v>2125</v>
      </c>
      <c r="V145" s="209" t="s">
        <v>2851</v>
      </c>
      <c r="W145" s="209" t="s">
        <v>1</v>
      </c>
      <c r="X145" s="209" t="s">
        <v>2851</v>
      </c>
      <c r="Y145" s="209" t="s">
        <v>2</v>
      </c>
      <c r="Z145" s="209" t="s">
        <v>2851</v>
      </c>
      <c r="AA145" s="209" t="s">
        <v>854</v>
      </c>
      <c r="AB145" s="209" t="s">
        <v>2851</v>
      </c>
      <c r="AC145" s="209" t="s">
        <v>2125</v>
      </c>
      <c r="AD145" s="209" t="s">
        <v>2851</v>
      </c>
      <c r="AE145" s="209" t="s">
        <v>1</v>
      </c>
      <c r="AF145" s="209" t="s">
        <v>2851</v>
      </c>
      <c r="AG145" s="209" t="s">
        <v>853</v>
      </c>
      <c r="AH145" s="209" t="s">
        <v>2851</v>
      </c>
      <c r="AI145" s="209" t="s">
        <v>854</v>
      </c>
      <c r="AJ145" s="209" t="s">
        <v>2851</v>
      </c>
      <c r="AK145" s="209" t="s">
        <v>2125</v>
      </c>
      <c r="AL145" s="209" t="s">
        <v>2851</v>
      </c>
      <c r="AM145" s="209" t="s">
        <v>1</v>
      </c>
      <c r="AN145" s="209" t="s">
        <v>2851</v>
      </c>
      <c r="AO145" s="209" t="s">
        <v>2</v>
      </c>
      <c r="AP145" s="209" t="s">
        <v>2851</v>
      </c>
      <c r="AQ145" s="209" t="s">
        <v>854</v>
      </c>
      <c r="AR145" s="209" t="s">
        <v>2851</v>
      </c>
      <c r="AS145" s="209" t="s">
        <v>2125</v>
      </c>
      <c r="AT145" s="209" t="s">
        <v>2851</v>
      </c>
      <c r="AU145" s="209" t="s">
        <v>855</v>
      </c>
      <c r="AV145" s="209" t="s">
        <v>2851</v>
      </c>
      <c r="AW145" s="209" t="s">
        <v>855</v>
      </c>
      <c r="AX145" s="209" t="s">
        <v>2851</v>
      </c>
      <c r="AY145" s="209" t="s">
        <v>854</v>
      </c>
      <c r="AZ145" s="209" t="s">
        <v>2851</v>
      </c>
      <c r="BA145" s="209" t="s">
        <v>2125</v>
      </c>
      <c r="BB145" s="209" t="s">
        <v>2851</v>
      </c>
      <c r="BC145" s="209" t="s">
        <v>1</v>
      </c>
      <c r="BD145" s="209" t="s">
        <v>2851</v>
      </c>
      <c r="BE145" s="209" t="s">
        <v>2</v>
      </c>
      <c r="BF145" s="209" t="s">
        <v>2851</v>
      </c>
      <c r="BG145" s="209" t="s">
        <v>6</v>
      </c>
      <c r="BH145" s="209" t="s">
        <v>2851</v>
      </c>
      <c r="BI145" s="209" t="s">
        <v>2125</v>
      </c>
      <c r="BJ145" s="209" t="s">
        <v>2851</v>
      </c>
      <c r="BK145" s="209" t="s">
        <v>853</v>
      </c>
      <c r="BL145" s="209" t="s">
        <v>2851</v>
      </c>
      <c r="BM145" s="209" t="s">
        <v>2</v>
      </c>
      <c r="BN145" s="210" t="s">
        <v>2701</v>
      </c>
      <c r="BO145" s="210" t="s">
        <v>854</v>
      </c>
      <c r="BP145" s="210" t="s">
        <v>2701</v>
      </c>
      <c r="BQ145" s="209" t="s">
        <v>2125</v>
      </c>
      <c r="BR145" s="209" t="s">
        <v>2701</v>
      </c>
      <c r="BS145" s="209" t="s">
        <v>1</v>
      </c>
      <c r="BT145" s="209" t="s">
        <v>2701</v>
      </c>
      <c r="BU145" s="209" t="s">
        <v>2</v>
      </c>
      <c r="BV145" s="209" t="s">
        <v>2701</v>
      </c>
      <c r="BW145" s="209" t="s">
        <v>854</v>
      </c>
      <c r="BX145" s="209" t="s">
        <v>2701</v>
      </c>
      <c r="BY145" s="209" t="s">
        <v>2125</v>
      </c>
      <c r="BZ145" s="209" t="s">
        <v>2701</v>
      </c>
      <c r="CA145" s="209"/>
      <c r="CB145" s="209"/>
      <c r="CC145" s="209"/>
      <c r="CD145" s="209"/>
      <c r="CE145" s="209"/>
      <c r="CF145" s="209"/>
      <c r="CG145" s="209"/>
      <c r="CH145" s="209"/>
      <c r="CI145" s="209"/>
      <c r="CJ145" s="209"/>
      <c r="CK145" s="209"/>
      <c r="CL145" s="209"/>
      <c r="CM145" s="209"/>
      <c r="CN145" s="209"/>
      <c r="CO145" s="209"/>
      <c r="CP145" s="209"/>
      <c r="CQ145" s="209"/>
      <c r="CR145" s="209"/>
      <c r="CS145" s="209"/>
      <c r="CT145" s="209"/>
      <c r="CU145" s="209"/>
      <c r="CV145" s="209"/>
      <c r="CW145" s="209"/>
      <c r="CX145" s="209"/>
      <c r="CY145" s="209"/>
      <c r="CZ145" s="209"/>
      <c r="DA145" s="209"/>
      <c r="DB145" s="209"/>
      <c r="DC145" s="209"/>
      <c r="DD145" s="209"/>
      <c r="DE145" s="209"/>
      <c r="DF145" s="209"/>
      <c r="DG145" s="209"/>
      <c r="DH145" s="209"/>
      <c r="DI145" s="209"/>
      <c r="DJ145" s="209"/>
      <c r="DK145" s="209"/>
      <c r="DL145" s="209"/>
      <c r="DM145" s="209"/>
      <c r="DN145" s="209"/>
      <c r="DO145" s="209"/>
      <c r="DP145" s="209"/>
      <c r="DQ145" s="209"/>
      <c r="DR145" s="209"/>
      <c r="DS145" s="209"/>
      <c r="DT145" s="209"/>
      <c r="DU145" s="209"/>
      <c r="DV145" s="209"/>
      <c r="DW145" s="375"/>
      <c r="DX145" s="517" t="str">
        <f t="shared" si="43"/>
        <v>P.F. ROBERTO DEL RIO 2</v>
      </c>
      <c r="DY145" s="518" t="str">
        <f t="shared" si="44"/>
        <v>2P</v>
      </c>
      <c r="DZ145" s="518" t="str">
        <f t="shared" si="45"/>
        <v>R. RIO</v>
      </c>
    </row>
    <row r="146" spans="1:130" s="516" customFormat="1" ht="28.8" x14ac:dyDescent="0.3">
      <c r="A146" s="42" t="s">
        <v>823</v>
      </c>
      <c r="B146" s="208" t="str">
        <f t="shared" si="42"/>
        <v>P.F. ROBERTO DEL RIO 3 / SGTO 2DO. REYES CORDOVA CARLOS HUMBERTO</v>
      </c>
      <c r="C146" s="209" t="s">
        <v>2125</v>
      </c>
      <c r="D146" s="209" t="s">
        <v>2851</v>
      </c>
      <c r="E146" s="210" t="s">
        <v>1</v>
      </c>
      <c r="F146" s="210" t="s">
        <v>2851</v>
      </c>
      <c r="G146" s="209" t="s">
        <v>2</v>
      </c>
      <c r="H146" s="209" t="s">
        <v>2851</v>
      </c>
      <c r="I146" s="209" t="s">
        <v>854</v>
      </c>
      <c r="J146" s="209" t="s">
        <v>2851</v>
      </c>
      <c r="K146" s="209" t="s">
        <v>2125</v>
      </c>
      <c r="L146" s="209" t="s">
        <v>2851</v>
      </c>
      <c r="M146" s="209" t="s">
        <v>1</v>
      </c>
      <c r="N146" s="209" t="s">
        <v>2851</v>
      </c>
      <c r="O146" s="209" t="s">
        <v>2</v>
      </c>
      <c r="P146" s="209" t="s">
        <v>2851</v>
      </c>
      <c r="Q146" s="209" t="s">
        <v>854</v>
      </c>
      <c r="R146" s="209" t="s">
        <v>2851</v>
      </c>
      <c r="S146" s="209" t="s">
        <v>2125</v>
      </c>
      <c r="T146" s="209" t="s">
        <v>2851</v>
      </c>
      <c r="U146" s="209" t="s">
        <v>1</v>
      </c>
      <c r="V146" s="209" t="s">
        <v>2851</v>
      </c>
      <c r="W146" s="209" t="s">
        <v>2</v>
      </c>
      <c r="X146" s="209" t="s">
        <v>2851</v>
      </c>
      <c r="Y146" s="209" t="s">
        <v>854</v>
      </c>
      <c r="Z146" s="209" t="s">
        <v>2851</v>
      </c>
      <c r="AA146" s="209" t="s">
        <v>2125</v>
      </c>
      <c r="AB146" s="209" t="s">
        <v>2851</v>
      </c>
      <c r="AC146" s="209" t="s">
        <v>1</v>
      </c>
      <c r="AD146" s="209" t="s">
        <v>2851</v>
      </c>
      <c r="AE146" s="209" t="s">
        <v>2</v>
      </c>
      <c r="AF146" s="209" t="s">
        <v>2851</v>
      </c>
      <c r="AG146" s="209" t="s">
        <v>854</v>
      </c>
      <c r="AH146" s="209" t="s">
        <v>2851</v>
      </c>
      <c r="AI146" s="209" t="s">
        <v>2125</v>
      </c>
      <c r="AJ146" s="209" t="s">
        <v>2851</v>
      </c>
      <c r="AK146" s="209" t="s">
        <v>1</v>
      </c>
      <c r="AL146" s="209" t="s">
        <v>2851</v>
      </c>
      <c r="AM146" s="209" t="s">
        <v>2</v>
      </c>
      <c r="AN146" s="209" t="s">
        <v>2851</v>
      </c>
      <c r="AO146" s="209" t="s">
        <v>854</v>
      </c>
      <c r="AP146" s="209" t="s">
        <v>2851</v>
      </c>
      <c r="AQ146" s="209" t="s">
        <v>2125</v>
      </c>
      <c r="AR146" s="209" t="s">
        <v>2851</v>
      </c>
      <c r="AS146" s="209" t="s">
        <v>1</v>
      </c>
      <c r="AT146" s="209" t="s">
        <v>2851</v>
      </c>
      <c r="AU146" s="209" t="s">
        <v>853</v>
      </c>
      <c r="AV146" s="209" t="s">
        <v>2851</v>
      </c>
      <c r="AW146" s="209" t="s">
        <v>854</v>
      </c>
      <c r="AX146" s="209" t="s">
        <v>2851</v>
      </c>
      <c r="AY146" s="209" t="s">
        <v>2125</v>
      </c>
      <c r="AZ146" s="209" t="s">
        <v>2851</v>
      </c>
      <c r="BA146" s="209" t="s">
        <v>1</v>
      </c>
      <c r="BB146" s="209" t="s">
        <v>2851</v>
      </c>
      <c r="BC146" s="209" t="s">
        <v>2</v>
      </c>
      <c r="BD146" s="209" t="s">
        <v>2851</v>
      </c>
      <c r="BE146" s="209" t="s">
        <v>854</v>
      </c>
      <c r="BF146" s="209" t="s">
        <v>2851</v>
      </c>
      <c r="BG146" s="209" t="s">
        <v>2125</v>
      </c>
      <c r="BH146" s="209" t="s">
        <v>2851</v>
      </c>
      <c r="BI146" s="209" t="s">
        <v>855</v>
      </c>
      <c r="BJ146" s="209" t="s">
        <v>1220</v>
      </c>
      <c r="BK146" s="209" t="s">
        <v>855</v>
      </c>
      <c r="BL146" s="209" t="s">
        <v>1220</v>
      </c>
      <c r="BM146" s="209" t="s">
        <v>854</v>
      </c>
      <c r="BN146" s="210" t="s">
        <v>2701</v>
      </c>
      <c r="BO146" s="210" t="s">
        <v>2125</v>
      </c>
      <c r="BP146" s="210" t="s">
        <v>2701</v>
      </c>
      <c r="BQ146" s="209" t="s">
        <v>1</v>
      </c>
      <c r="BR146" s="209" t="s">
        <v>2701</v>
      </c>
      <c r="BS146" s="209" t="s">
        <v>2</v>
      </c>
      <c r="BT146" s="209" t="s">
        <v>2701</v>
      </c>
      <c r="BU146" s="209" t="s">
        <v>854</v>
      </c>
      <c r="BV146" s="209" t="s">
        <v>2701</v>
      </c>
      <c r="BW146" s="209" t="s">
        <v>2125</v>
      </c>
      <c r="BX146" s="209" t="s">
        <v>2701</v>
      </c>
      <c r="BY146" s="209" t="s">
        <v>853</v>
      </c>
      <c r="BZ146" s="209" t="s">
        <v>2701</v>
      </c>
      <c r="CA146" s="209"/>
      <c r="CB146" s="209"/>
      <c r="CC146" s="209"/>
      <c r="CD146" s="209"/>
      <c r="CE146" s="209"/>
      <c r="CF146" s="209"/>
      <c r="CG146" s="209"/>
      <c r="CH146" s="209"/>
      <c r="CI146" s="209"/>
      <c r="CJ146" s="209"/>
      <c r="CK146" s="209"/>
      <c r="CL146" s="209"/>
      <c r="CM146" s="209"/>
      <c r="CN146" s="209"/>
      <c r="CO146" s="209"/>
      <c r="CP146" s="209"/>
      <c r="CQ146" s="209"/>
      <c r="CR146" s="209"/>
      <c r="CS146" s="209"/>
      <c r="CT146" s="209"/>
      <c r="CU146" s="209"/>
      <c r="CV146" s="209"/>
      <c r="CW146" s="209"/>
      <c r="CX146" s="209"/>
      <c r="CY146" s="209"/>
      <c r="CZ146" s="209"/>
      <c r="DA146" s="209"/>
      <c r="DB146" s="209"/>
      <c r="DC146" s="209"/>
      <c r="DD146" s="209"/>
      <c r="DE146" s="209"/>
      <c r="DF146" s="209"/>
      <c r="DG146" s="209"/>
      <c r="DH146" s="209"/>
      <c r="DI146" s="209"/>
      <c r="DJ146" s="209"/>
      <c r="DK146" s="209"/>
      <c r="DL146" s="209"/>
      <c r="DM146" s="209"/>
      <c r="DN146" s="209"/>
      <c r="DO146" s="209"/>
      <c r="DP146" s="209"/>
      <c r="DQ146" s="209"/>
      <c r="DR146" s="209"/>
      <c r="DS146" s="209"/>
      <c r="DT146" s="209"/>
      <c r="DU146" s="209"/>
      <c r="DV146" s="209"/>
      <c r="DW146" s="375"/>
      <c r="DX146" s="517" t="str">
        <f t="shared" si="43"/>
        <v>P.F. ROBERTO DEL RIO 3</v>
      </c>
      <c r="DY146" s="518" t="str">
        <f t="shared" si="44"/>
        <v>SN</v>
      </c>
      <c r="DZ146" s="518" t="str">
        <f t="shared" si="45"/>
        <v>R. RIO</v>
      </c>
    </row>
    <row r="147" spans="1:130" s="516" customFormat="1" ht="28.8" x14ac:dyDescent="0.3">
      <c r="A147" s="42" t="s">
        <v>824</v>
      </c>
      <c r="B147" s="208" t="str">
        <f t="shared" si="42"/>
        <v>P.F. ROBERTO DEL RIO 4 / CABO 1RO. PACHECO CIFUENTES HUMBERTO ARIEL</v>
      </c>
      <c r="C147" s="209" t="s">
        <v>1</v>
      </c>
      <c r="D147" s="209" t="s">
        <v>2851</v>
      </c>
      <c r="E147" s="210" t="s">
        <v>2</v>
      </c>
      <c r="F147" s="210" t="s">
        <v>2851</v>
      </c>
      <c r="G147" s="209" t="s">
        <v>854</v>
      </c>
      <c r="H147" s="209" t="s">
        <v>2851</v>
      </c>
      <c r="I147" s="209" t="s">
        <v>2125</v>
      </c>
      <c r="J147" s="209" t="s">
        <v>2851</v>
      </c>
      <c r="K147" s="209" t="s">
        <v>1</v>
      </c>
      <c r="L147" s="209" t="s">
        <v>2851</v>
      </c>
      <c r="M147" s="209" t="s">
        <v>2</v>
      </c>
      <c r="N147" s="209" t="s">
        <v>2851</v>
      </c>
      <c r="O147" s="209" t="s">
        <v>854</v>
      </c>
      <c r="P147" s="209" t="s">
        <v>2851</v>
      </c>
      <c r="Q147" s="209" t="s">
        <v>2125</v>
      </c>
      <c r="R147" s="209" t="s">
        <v>2851</v>
      </c>
      <c r="S147" s="209" t="s">
        <v>1</v>
      </c>
      <c r="T147" s="209" t="s">
        <v>2851</v>
      </c>
      <c r="U147" s="209" t="s">
        <v>2</v>
      </c>
      <c r="V147" s="209" t="s">
        <v>2851</v>
      </c>
      <c r="W147" s="209" t="s">
        <v>854</v>
      </c>
      <c r="X147" s="209" t="s">
        <v>2851</v>
      </c>
      <c r="Y147" s="209" t="s">
        <v>2125</v>
      </c>
      <c r="Z147" s="209" t="s">
        <v>2851</v>
      </c>
      <c r="AA147" s="209" t="s">
        <v>1</v>
      </c>
      <c r="AB147" s="209" t="s">
        <v>2851</v>
      </c>
      <c r="AC147" s="209" t="s">
        <v>2</v>
      </c>
      <c r="AD147" s="209" t="s">
        <v>2851</v>
      </c>
      <c r="AE147" s="209" t="s">
        <v>854</v>
      </c>
      <c r="AF147" s="209" t="s">
        <v>2851</v>
      </c>
      <c r="AG147" s="209" t="s">
        <v>2125</v>
      </c>
      <c r="AH147" s="209" t="s">
        <v>2851</v>
      </c>
      <c r="AI147" s="209" t="s">
        <v>853</v>
      </c>
      <c r="AJ147" s="209" t="s">
        <v>2851</v>
      </c>
      <c r="AK147" s="209" t="s">
        <v>2</v>
      </c>
      <c r="AL147" s="209" t="s">
        <v>2851</v>
      </c>
      <c r="AM147" s="209" t="s">
        <v>854</v>
      </c>
      <c r="AN147" s="209" t="s">
        <v>2851</v>
      </c>
      <c r="AO147" s="209" t="s">
        <v>2125</v>
      </c>
      <c r="AP147" s="209" t="s">
        <v>2851</v>
      </c>
      <c r="AQ147" s="209" t="s">
        <v>1</v>
      </c>
      <c r="AR147" s="209" t="s">
        <v>2851</v>
      </c>
      <c r="AS147" s="209" t="s">
        <v>2</v>
      </c>
      <c r="AT147" s="209" t="s">
        <v>2851</v>
      </c>
      <c r="AU147" s="209" t="s">
        <v>854</v>
      </c>
      <c r="AV147" s="209" t="s">
        <v>2851</v>
      </c>
      <c r="AW147" s="209" t="s">
        <v>2125</v>
      </c>
      <c r="AX147" s="209" t="s">
        <v>2851</v>
      </c>
      <c r="AY147" s="209" t="s">
        <v>1</v>
      </c>
      <c r="AZ147" s="209" t="s">
        <v>2851</v>
      </c>
      <c r="BA147" s="209" t="s">
        <v>2</v>
      </c>
      <c r="BB147" s="209" t="s">
        <v>2851</v>
      </c>
      <c r="BC147" s="209" t="s">
        <v>854</v>
      </c>
      <c r="BD147" s="209" t="s">
        <v>2851</v>
      </c>
      <c r="BE147" s="209" t="s">
        <v>2125</v>
      </c>
      <c r="BF147" s="209" t="s">
        <v>2851</v>
      </c>
      <c r="BG147" s="209" t="s">
        <v>1</v>
      </c>
      <c r="BH147" s="209" t="s">
        <v>2851</v>
      </c>
      <c r="BI147" s="209" t="s">
        <v>853</v>
      </c>
      <c r="BJ147" s="209" t="s">
        <v>2851</v>
      </c>
      <c r="BK147" s="209" t="s">
        <v>854</v>
      </c>
      <c r="BL147" s="209" t="s">
        <v>2851</v>
      </c>
      <c r="BM147" s="209" t="s">
        <v>2125</v>
      </c>
      <c r="BN147" s="210" t="s">
        <v>2701</v>
      </c>
      <c r="BO147" s="210" t="s">
        <v>1</v>
      </c>
      <c r="BP147" s="210" t="s">
        <v>2701</v>
      </c>
      <c r="BQ147" s="209" t="s">
        <v>2</v>
      </c>
      <c r="BR147" s="209" t="s">
        <v>2701</v>
      </c>
      <c r="BS147" s="209" t="s">
        <v>854</v>
      </c>
      <c r="BT147" s="209" t="s">
        <v>2701</v>
      </c>
      <c r="BU147" s="209" t="s">
        <v>2125</v>
      </c>
      <c r="BV147" s="209" t="s">
        <v>2701</v>
      </c>
      <c r="BW147" s="209" t="s">
        <v>855</v>
      </c>
      <c r="BX147" s="209" t="s">
        <v>2701</v>
      </c>
      <c r="BY147" s="209" t="s">
        <v>855</v>
      </c>
      <c r="BZ147" s="209" t="s">
        <v>2701</v>
      </c>
      <c r="CA147" s="209"/>
      <c r="CB147" s="209"/>
      <c r="CC147" s="209"/>
      <c r="CD147" s="209"/>
      <c r="CE147" s="209"/>
      <c r="CF147" s="209"/>
      <c r="CG147" s="209"/>
      <c r="CH147" s="209"/>
      <c r="CI147" s="209"/>
      <c r="CJ147" s="209"/>
      <c r="CK147" s="209"/>
      <c r="CL147" s="209"/>
      <c r="CM147" s="209"/>
      <c r="CN147" s="209"/>
      <c r="CO147" s="209"/>
      <c r="CP147" s="209"/>
      <c r="CQ147" s="209"/>
      <c r="CR147" s="209"/>
      <c r="CS147" s="209"/>
      <c r="CT147" s="209"/>
      <c r="CU147" s="209"/>
      <c r="CV147" s="209"/>
      <c r="CW147" s="209"/>
      <c r="CX147" s="209"/>
      <c r="CY147" s="209"/>
      <c r="CZ147" s="209"/>
      <c r="DA147" s="209"/>
      <c r="DB147" s="209"/>
      <c r="DC147" s="209"/>
      <c r="DD147" s="209"/>
      <c r="DE147" s="209"/>
      <c r="DF147" s="209"/>
      <c r="DG147" s="209"/>
      <c r="DH147" s="209"/>
      <c r="DI147" s="209"/>
      <c r="DJ147" s="209"/>
      <c r="DK147" s="209"/>
      <c r="DL147" s="209"/>
      <c r="DM147" s="209"/>
      <c r="DN147" s="209"/>
      <c r="DO147" s="209"/>
      <c r="DP147" s="209"/>
      <c r="DQ147" s="209"/>
      <c r="DR147" s="209"/>
      <c r="DS147" s="209"/>
      <c r="DT147" s="209"/>
      <c r="DU147" s="209"/>
      <c r="DV147" s="209"/>
      <c r="DW147" s="375"/>
      <c r="DX147" s="517" t="str">
        <f t="shared" si="43"/>
        <v>P.F. ROBERTO DEL RIO 4</v>
      </c>
      <c r="DY147" s="518" t="str">
        <f t="shared" si="44"/>
        <v>F</v>
      </c>
      <c r="DZ147" s="518" t="str">
        <f t="shared" si="45"/>
        <v>R. RIO</v>
      </c>
    </row>
    <row r="148" spans="1:130" s="702" customFormat="1" x14ac:dyDescent="0.3">
      <c r="A148" s="694"/>
      <c r="B148" s="698"/>
      <c r="C148" s="699"/>
      <c r="D148" s="699"/>
      <c r="E148" s="699"/>
      <c r="F148" s="699"/>
      <c r="G148" s="699"/>
      <c r="H148" s="699"/>
      <c r="I148" s="699"/>
      <c r="J148" s="699"/>
      <c r="K148" s="699"/>
      <c r="L148" s="699"/>
      <c r="M148" s="699"/>
      <c r="N148" s="699"/>
      <c r="O148" s="699"/>
      <c r="P148" s="699"/>
      <c r="Q148" s="699"/>
      <c r="R148" s="699"/>
      <c r="S148" s="699"/>
      <c r="T148" s="699"/>
      <c r="U148" s="699"/>
      <c r="V148" s="699"/>
      <c r="W148" s="699"/>
      <c r="X148" s="699"/>
      <c r="Y148" s="699"/>
      <c r="Z148" s="699"/>
      <c r="AA148" s="699"/>
      <c r="AB148" s="699"/>
      <c r="AC148" s="699"/>
      <c r="AD148" s="699"/>
      <c r="AE148" s="699"/>
      <c r="AF148" s="699"/>
      <c r="AG148" s="699"/>
      <c r="AH148" s="699"/>
      <c r="AI148" s="699"/>
      <c r="AJ148" s="699"/>
      <c r="AK148" s="699"/>
      <c r="AL148" s="699"/>
      <c r="AM148" s="699"/>
      <c r="AN148" s="699"/>
      <c r="AO148" s="699"/>
      <c r="AP148" s="699"/>
      <c r="AQ148" s="699"/>
      <c r="AR148" s="699"/>
      <c r="AS148" s="699"/>
      <c r="AT148" s="699"/>
      <c r="AU148" s="699"/>
      <c r="AV148" s="699"/>
      <c r="AW148" s="699"/>
      <c r="AX148" s="699"/>
      <c r="AY148" s="699"/>
      <c r="AZ148" s="699"/>
      <c r="BA148" s="699"/>
      <c r="BB148" s="699"/>
      <c r="BC148" s="699"/>
      <c r="BD148" s="699"/>
      <c r="BE148" s="699"/>
      <c r="BF148" s="699"/>
      <c r="BG148" s="699"/>
      <c r="BH148" s="699"/>
      <c r="BI148" s="699"/>
      <c r="BJ148" s="699"/>
      <c r="BK148" s="699"/>
      <c r="BL148" s="699"/>
      <c r="BM148" s="699"/>
      <c r="BN148" s="699"/>
      <c r="BO148" s="699"/>
      <c r="BP148" s="699"/>
      <c r="BQ148" s="699"/>
      <c r="BR148" s="699"/>
      <c r="BS148" s="699"/>
      <c r="BT148" s="699"/>
      <c r="BU148" s="699"/>
      <c r="BV148" s="699"/>
      <c r="BW148" s="699"/>
      <c r="BX148" s="699"/>
      <c r="BY148" s="699"/>
      <c r="BZ148" s="699"/>
      <c r="CA148" s="699"/>
      <c r="CB148" s="699"/>
      <c r="CC148" s="699"/>
      <c r="CD148" s="699"/>
      <c r="CE148" s="699"/>
      <c r="CF148" s="699"/>
      <c r="CG148" s="699"/>
      <c r="CH148" s="699"/>
      <c r="CI148" s="699"/>
      <c r="CJ148" s="699"/>
      <c r="CK148" s="699"/>
      <c r="CL148" s="699"/>
      <c r="CM148" s="699"/>
      <c r="CN148" s="699"/>
      <c r="CO148" s="699"/>
      <c r="CP148" s="699"/>
      <c r="CQ148" s="699"/>
      <c r="CR148" s="699"/>
      <c r="CS148" s="699"/>
      <c r="CT148" s="699"/>
      <c r="CU148" s="699"/>
      <c r="CV148" s="699"/>
      <c r="CW148" s="699"/>
      <c r="CX148" s="699"/>
      <c r="CY148" s="699"/>
      <c r="CZ148" s="699"/>
      <c r="DA148" s="699"/>
      <c r="DB148" s="699"/>
      <c r="DC148" s="699"/>
      <c r="DD148" s="699"/>
      <c r="DE148" s="699"/>
      <c r="DF148" s="699"/>
      <c r="DG148" s="699"/>
      <c r="DH148" s="699"/>
      <c r="DI148" s="699"/>
      <c r="DJ148" s="699"/>
      <c r="DK148" s="699"/>
      <c r="DL148" s="699"/>
      <c r="DM148" s="699"/>
      <c r="DN148" s="699"/>
      <c r="DO148" s="699"/>
      <c r="DP148" s="699"/>
      <c r="DQ148" s="699"/>
      <c r="DR148" s="699"/>
      <c r="DS148" s="699"/>
      <c r="DT148" s="699"/>
      <c r="DU148" s="699"/>
      <c r="DV148" s="699"/>
      <c r="DW148" s="926"/>
      <c r="DX148" s="700"/>
      <c r="DY148" s="701"/>
      <c r="DZ148" s="701"/>
    </row>
    <row r="149" spans="1:130" s="516" customFormat="1" ht="28.8" x14ac:dyDescent="0.3">
      <c r="A149" s="42" t="s">
        <v>770</v>
      </c>
      <c r="B149" s="208" t="str">
        <f t="shared" si="42"/>
        <v>PTI-1 / SUBOFICIAL GUTIERREZ YAUPE GASTON GONZALO</v>
      </c>
      <c r="C149" s="209" t="s">
        <v>2</v>
      </c>
      <c r="D149" s="209" t="s">
        <v>2849</v>
      </c>
      <c r="E149" s="209" t="s">
        <v>855</v>
      </c>
      <c r="F149" s="209" t="s">
        <v>1220</v>
      </c>
      <c r="G149" s="209" t="s">
        <v>855</v>
      </c>
      <c r="H149" s="209" t="s">
        <v>1220</v>
      </c>
      <c r="I149" s="209" t="s">
        <v>1</v>
      </c>
      <c r="J149" s="209" t="s">
        <v>2849</v>
      </c>
      <c r="K149" s="209" t="s">
        <v>2</v>
      </c>
      <c r="L149" s="209" t="s">
        <v>2849</v>
      </c>
      <c r="M149" s="209" t="s">
        <v>1</v>
      </c>
      <c r="N149" s="209" t="s">
        <v>2849</v>
      </c>
      <c r="O149" s="209" t="s">
        <v>2</v>
      </c>
      <c r="P149" s="209" t="s">
        <v>2849</v>
      </c>
      <c r="Q149" s="209" t="s">
        <v>1</v>
      </c>
      <c r="R149" s="209" t="s">
        <v>2849</v>
      </c>
      <c r="S149" s="209" t="s">
        <v>2</v>
      </c>
      <c r="T149" s="209" t="s">
        <v>2849</v>
      </c>
      <c r="U149" s="209" t="s">
        <v>853</v>
      </c>
      <c r="V149" s="209" t="s">
        <v>2849</v>
      </c>
      <c r="W149" s="209" t="s">
        <v>2</v>
      </c>
      <c r="X149" s="209" t="s">
        <v>2849</v>
      </c>
      <c r="Y149" s="209" t="s">
        <v>1</v>
      </c>
      <c r="Z149" s="209" t="s">
        <v>2849</v>
      </c>
      <c r="AA149" s="209" t="s">
        <v>2</v>
      </c>
      <c r="AB149" s="209" t="s">
        <v>2849</v>
      </c>
      <c r="AC149" s="209" t="s">
        <v>1</v>
      </c>
      <c r="AD149" s="209" t="s">
        <v>2849</v>
      </c>
      <c r="AE149" s="209" t="s">
        <v>2</v>
      </c>
      <c r="AF149" s="209" t="s">
        <v>2849</v>
      </c>
      <c r="AG149" s="209" t="s">
        <v>855</v>
      </c>
      <c r="AH149" s="209" t="s">
        <v>1220</v>
      </c>
      <c r="AI149" s="209" t="s">
        <v>855</v>
      </c>
      <c r="AJ149" s="209" t="s">
        <v>1220</v>
      </c>
      <c r="AK149" s="209" t="s">
        <v>1</v>
      </c>
      <c r="AL149" s="209" t="s">
        <v>2849</v>
      </c>
      <c r="AM149" s="209"/>
      <c r="AN149" s="209"/>
      <c r="AO149" s="209" t="s">
        <v>2</v>
      </c>
      <c r="AP149" s="209" t="s">
        <v>2849</v>
      </c>
      <c r="AQ149" s="209" t="s">
        <v>2</v>
      </c>
      <c r="AR149" s="209" t="s">
        <v>2849</v>
      </c>
      <c r="AS149" s="209" t="s">
        <v>1</v>
      </c>
      <c r="AT149" s="209" t="s">
        <v>2849</v>
      </c>
      <c r="AU149" s="209" t="s">
        <v>853</v>
      </c>
      <c r="AV149" s="209" t="s">
        <v>2849</v>
      </c>
      <c r="AW149" s="209" t="s">
        <v>853</v>
      </c>
      <c r="AX149" s="209" t="s">
        <v>2849</v>
      </c>
      <c r="AY149" s="209" t="s">
        <v>2</v>
      </c>
      <c r="AZ149" s="209" t="s">
        <v>2849</v>
      </c>
      <c r="BA149" s="209" t="s">
        <v>1</v>
      </c>
      <c r="BB149" s="209" t="s">
        <v>2849</v>
      </c>
      <c r="BC149" s="209" t="s">
        <v>2</v>
      </c>
      <c r="BD149" s="209" t="s">
        <v>2849</v>
      </c>
      <c r="BE149" s="209" t="s">
        <v>1</v>
      </c>
      <c r="BF149" s="209" t="s">
        <v>2849</v>
      </c>
      <c r="BG149" s="209" t="s">
        <v>2</v>
      </c>
      <c r="BH149" s="209" t="s">
        <v>2849</v>
      </c>
      <c r="BI149" s="209" t="s">
        <v>855</v>
      </c>
      <c r="BJ149" s="209" t="s">
        <v>2849</v>
      </c>
      <c r="BK149" s="209" t="s">
        <v>855</v>
      </c>
      <c r="BL149" s="209" t="s">
        <v>2849</v>
      </c>
      <c r="BM149" s="209" t="s">
        <v>1</v>
      </c>
      <c r="BN149" s="209" t="s">
        <v>2455</v>
      </c>
      <c r="BO149" s="209" t="s">
        <v>2</v>
      </c>
      <c r="BP149" s="209" t="s">
        <v>2455</v>
      </c>
      <c r="BQ149" s="209" t="s">
        <v>1</v>
      </c>
      <c r="BR149" s="209" t="s">
        <v>2455</v>
      </c>
      <c r="BS149" s="209" t="s">
        <v>2</v>
      </c>
      <c r="BT149" s="209" t="s">
        <v>2455</v>
      </c>
      <c r="BU149" s="209" t="s">
        <v>1</v>
      </c>
      <c r="BV149" s="209" t="s">
        <v>2455</v>
      </c>
      <c r="BW149" s="209" t="s">
        <v>853</v>
      </c>
      <c r="BX149" s="209" t="s">
        <v>2455</v>
      </c>
      <c r="BY149" s="209" t="s">
        <v>853</v>
      </c>
      <c r="BZ149" s="209" t="s">
        <v>2455</v>
      </c>
      <c r="CA149" s="209"/>
      <c r="CB149" s="209"/>
      <c r="CC149" s="209"/>
      <c r="CD149" s="209"/>
      <c r="CE149" s="209"/>
      <c r="CF149" s="209"/>
      <c r="CG149" s="209"/>
      <c r="CH149" s="209"/>
      <c r="CI149" s="209"/>
      <c r="CJ149" s="209"/>
      <c r="CK149" s="209"/>
      <c r="CL149" s="209"/>
      <c r="CM149" s="209"/>
      <c r="CN149" s="209"/>
      <c r="CO149" s="209"/>
      <c r="CP149" s="209"/>
      <c r="CQ149" s="209"/>
      <c r="CR149" s="209"/>
      <c r="CS149" s="209"/>
      <c r="CT149" s="209"/>
      <c r="CU149" s="209"/>
      <c r="CV149" s="209"/>
      <c r="CW149" s="209"/>
      <c r="CX149" s="209"/>
      <c r="CY149" s="209"/>
      <c r="CZ149" s="209"/>
      <c r="DA149" s="209"/>
      <c r="DB149" s="209"/>
      <c r="DC149" s="209"/>
      <c r="DD149" s="209"/>
      <c r="DE149" s="209"/>
      <c r="DF149" s="209"/>
      <c r="DG149" s="209"/>
      <c r="DH149" s="209"/>
      <c r="DI149" s="209"/>
      <c r="DJ149" s="209"/>
      <c r="DK149" s="209"/>
      <c r="DL149" s="209"/>
      <c r="DM149" s="209"/>
      <c r="DN149" s="209"/>
      <c r="DO149" s="209"/>
      <c r="DP149" s="209"/>
      <c r="DQ149" s="209"/>
      <c r="DR149" s="209"/>
      <c r="DS149" s="209"/>
      <c r="DT149" s="209"/>
      <c r="DU149" s="209"/>
      <c r="DV149" s="209"/>
      <c r="DW149" s="375"/>
      <c r="DX149" s="510" t="str">
        <f>A149</f>
        <v>PTI-1</v>
      </c>
      <c r="DY149" s="511" t="str">
        <f>UPPER(IF(VLOOKUP(A149,TabladeServicio,MATCH($B$2,$A$8:$DT$8,0),0)=0,"",VLOOKUP(A149,TabladeServicio,MATCH($B$2,$A$8:$DT$8,0),0)))</f>
        <v>1P</v>
      </c>
      <c r="DZ149" s="511" t="str">
        <f>UPPER(IF(VLOOKUP(A149,TabladeServicio,MATCH($B$2,$A$8:$DT$8,0)+1,0)=0,"",VLOOKUP(A149,TabladeServicio,MATCH($B$2,$A$8:$DT$8,0)+1,0)))</f>
        <v>TRASLADO DE IMPUTADO</v>
      </c>
    </row>
    <row r="150" spans="1:130" s="516" customFormat="1" ht="29.4" thickBot="1" x14ac:dyDescent="0.35">
      <c r="A150" s="42" t="s">
        <v>771</v>
      </c>
      <c r="B150" s="208" t="str">
        <f t="shared" si="42"/>
        <v>PTI-2 / SGTO 1RO. FERNANDEZ MONTES JOSE DEL CARMEN</v>
      </c>
      <c r="C150" s="209" t="s">
        <v>1</v>
      </c>
      <c r="D150" s="209" t="s">
        <v>2849</v>
      </c>
      <c r="E150" s="209" t="s">
        <v>853</v>
      </c>
      <c r="F150" s="209" t="s">
        <v>2849</v>
      </c>
      <c r="G150" s="209" t="s">
        <v>853</v>
      </c>
      <c r="H150" s="209" t="s">
        <v>2849</v>
      </c>
      <c r="I150" s="209" t="s">
        <v>2</v>
      </c>
      <c r="J150" s="209" t="s">
        <v>2849</v>
      </c>
      <c r="K150" s="209" t="s">
        <v>1</v>
      </c>
      <c r="L150" s="209" t="s">
        <v>2849</v>
      </c>
      <c r="M150" s="209" t="s">
        <v>2</v>
      </c>
      <c r="N150" s="209" t="s">
        <v>2849</v>
      </c>
      <c r="O150" s="209" t="s">
        <v>1</v>
      </c>
      <c r="P150" s="209" t="s">
        <v>2849</v>
      </c>
      <c r="Q150" s="209" t="s">
        <v>2</v>
      </c>
      <c r="R150" s="209" t="s">
        <v>2849</v>
      </c>
      <c r="S150" s="209" t="s">
        <v>1</v>
      </c>
      <c r="T150" s="209" t="s">
        <v>2849</v>
      </c>
      <c r="U150" s="209" t="s">
        <v>855</v>
      </c>
      <c r="V150" s="209" t="s">
        <v>2849</v>
      </c>
      <c r="W150" s="209" t="s">
        <v>1</v>
      </c>
      <c r="X150" s="209" t="s">
        <v>2849</v>
      </c>
      <c r="Y150" s="209" t="s">
        <v>2</v>
      </c>
      <c r="Z150" s="209" t="s">
        <v>2849</v>
      </c>
      <c r="AA150" s="209" t="s">
        <v>1</v>
      </c>
      <c r="AB150" s="209" t="s">
        <v>2849</v>
      </c>
      <c r="AC150" s="209" t="s">
        <v>2</v>
      </c>
      <c r="AD150" s="209" t="s">
        <v>2849</v>
      </c>
      <c r="AE150" s="209" t="s">
        <v>1</v>
      </c>
      <c r="AF150" s="209" t="s">
        <v>2849</v>
      </c>
      <c r="AG150" s="209" t="s">
        <v>853</v>
      </c>
      <c r="AH150" s="209" t="s">
        <v>2849</v>
      </c>
      <c r="AI150" s="209" t="s">
        <v>853</v>
      </c>
      <c r="AJ150" s="209" t="s">
        <v>2849</v>
      </c>
      <c r="AK150" s="209" t="s">
        <v>2</v>
      </c>
      <c r="AL150" s="209" t="s">
        <v>2849</v>
      </c>
      <c r="AM150" s="209" t="s">
        <v>853</v>
      </c>
      <c r="AN150" s="209" t="s">
        <v>2849</v>
      </c>
      <c r="AO150" s="209" t="s">
        <v>1</v>
      </c>
      <c r="AP150" s="209" t="s">
        <v>2849</v>
      </c>
      <c r="AQ150" s="209" t="s">
        <v>1</v>
      </c>
      <c r="AR150" s="209" t="s">
        <v>2849</v>
      </c>
      <c r="AS150" s="209" t="s">
        <v>2</v>
      </c>
      <c r="AT150" s="209" t="s">
        <v>2849</v>
      </c>
      <c r="AU150" s="209" t="s">
        <v>855</v>
      </c>
      <c r="AV150" s="209" t="s">
        <v>1220</v>
      </c>
      <c r="AW150" s="209" t="s">
        <v>855</v>
      </c>
      <c r="AX150" s="209" t="s">
        <v>1220</v>
      </c>
      <c r="AY150" s="209" t="s">
        <v>1</v>
      </c>
      <c r="AZ150" s="209" t="s">
        <v>2849</v>
      </c>
      <c r="BA150" s="209" t="s">
        <v>2</v>
      </c>
      <c r="BB150" s="209" t="s">
        <v>2849</v>
      </c>
      <c r="BC150" s="209" t="s">
        <v>1</v>
      </c>
      <c r="BD150" s="209" t="s">
        <v>2849</v>
      </c>
      <c r="BE150" s="209" t="s">
        <v>2</v>
      </c>
      <c r="BF150" s="209" t="s">
        <v>2849</v>
      </c>
      <c r="BG150" s="209" t="s">
        <v>1</v>
      </c>
      <c r="BH150" s="209" t="s">
        <v>2849</v>
      </c>
      <c r="BI150" s="209" t="s">
        <v>853</v>
      </c>
      <c r="BJ150" s="209" t="s">
        <v>2849</v>
      </c>
      <c r="BK150" s="209" t="s">
        <v>853</v>
      </c>
      <c r="BL150" s="209" t="s">
        <v>2849</v>
      </c>
      <c r="BM150" s="209" t="s">
        <v>2</v>
      </c>
      <c r="BN150" s="209" t="s">
        <v>2455</v>
      </c>
      <c r="BO150" s="209" t="s">
        <v>1</v>
      </c>
      <c r="BP150" s="209" t="s">
        <v>2455</v>
      </c>
      <c r="BQ150" s="209" t="s">
        <v>2</v>
      </c>
      <c r="BR150" s="209" t="s">
        <v>2455</v>
      </c>
      <c r="BS150" s="209" t="s">
        <v>1</v>
      </c>
      <c r="BT150" s="209" t="s">
        <v>2455</v>
      </c>
      <c r="BU150" s="209" t="s">
        <v>2</v>
      </c>
      <c r="BV150" s="209" t="s">
        <v>2455</v>
      </c>
      <c r="BW150" s="209" t="s">
        <v>855</v>
      </c>
      <c r="BX150" s="209" t="s">
        <v>2455</v>
      </c>
      <c r="BY150" s="209" t="s">
        <v>855</v>
      </c>
      <c r="BZ150" s="209" t="s">
        <v>2455</v>
      </c>
      <c r="CA150" s="209"/>
      <c r="CB150" s="209"/>
      <c r="CC150" s="209"/>
      <c r="CD150" s="209"/>
      <c r="CE150" s="209"/>
      <c r="CF150" s="209"/>
      <c r="CG150" s="209"/>
      <c r="CH150" s="209"/>
      <c r="CI150" s="209"/>
      <c r="CJ150" s="209"/>
      <c r="CK150" s="209"/>
      <c r="CL150" s="209"/>
      <c r="CM150" s="209"/>
      <c r="CN150" s="209"/>
      <c r="CO150" s="209"/>
      <c r="CP150" s="209"/>
      <c r="CQ150" s="209"/>
      <c r="CR150" s="209"/>
      <c r="CS150" s="209"/>
      <c r="CT150" s="209"/>
      <c r="CU150" s="209"/>
      <c r="CV150" s="209"/>
      <c r="CW150" s="209"/>
      <c r="CX150" s="209"/>
      <c r="CY150" s="209"/>
      <c r="CZ150" s="209"/>
      <c r="DA150" s="209"/>
      <c r="DB150" s="209"/>
      <c r="DC150" s="209"/>
      <c r="DD150" s="209"/>
      <c r="DE150" s="209"/>
      <c r="DF150" s="209"/>
      <c r="DG150" s="209"/>
      <c r="DH150" s="209"/>
      <c r="DI150" s="209"/>
      <c r="DJ150" s="209"/>
      <c r="DK150" s="209"/>
      <c r="DL150" s="209"/>
      <c r="DM150" s="209"/>
      <c r="DN150" s="209"/>
      <c r="DO150" s="209"/>
      <c r="DP150" s="209"/>
      <c r="DQ150" s="209"/>
      <c r="DR150" s="209"/>
      <c r="DS150" s="209"/>
      <c r="DT150" s="209"/>
      <c r="DU150" s="209"/>
      <c r="DV150" s="209"/>
      <c r="DW150" s="375"/>
      <c r="DX150" s="512" t="str">
        <f>A150</f>
        <v>PTI-2</v>
      </c>
      <c r="DY150" s="513" t="str">
        <f>UPPER(IF(VLOOKUP(A150,TabladeServicio,MATCH($B$2,$A$8:$DT$8,0),0)=0,"",VLOOKUP(A150,TabladeServicio,MATCH($B$2,$A$8:$DT$8,0),0)))</f>
        <v>F</v>
      </c>
      <c r="DZ150" s="513" t="str">
        <f>UPPER(IF(VLOOKUP(A150,TabladeServicio,MATCH($B$2,$A$8:$DT$8,0)+1,0)=0,"",VLOOKUP(A150,TabladeServicio,MATCH($B$2,$A$8:$DT$8,0)+1,0)))</f>
        <v>TRASLADO DE IMPUTADO</v>
      </c>
    </row>
  </sheetData>
  <sheetProtection algorithmName="SHA-512" hashValue="E3WWeCOdfuWi9H+CpYGgSu4uBEcB/MsN3a1upM5JY9aWlqxq6wM+aB3zckrJ93UbgtUzv/WX7kUlplHLeCmjKA==" saltValue="YiwUwS1zyQBsTw5fCb568g==" spinCount="100000" sheet="1" objects="1" scenarios="1"/>
  <sortState xmlns:xlrd2="http://schemas.microsoft.com/office/spreadsheetml/2017/richdata2" ref="A54:EQ110">
    <sortCondition ref="A54:A110"/>
  </sortState>
  <mergeCells count="129">
    <mergeCell ref="DU9:DV9"/>
    <mergeCell ref="DU10:DV10"/>
    <mergeCell ref="W10:X10"/>
    <mergeCell ref="Y9:Z9"/>
    <mergeCell ref="Y10:Z10"/>
    <mergeCell ref="BM7:DR7"/>
    <mergeCell ref="DS7:FZ7"/>
    <mergeCell ref="C7:BL7"/>
    <mergeCell ref="A7:A10"/>
    <mergeCell ref="B7:B10"/>
    <mergeCell ref="BI10:BJ10"/>
    <mergeCell ref="BI9:BJ9"/>
    <mergeCell ref="BG9:BH9"/>
    <mergeCell ref="BG10:BH10"/>
    <mergeCell ref="BE9:BF9"/>
    <mergeCell ref="BE10:BF10"/>
    <mergeCell ref="BC9:BD9"/>
    <mergeCell ref="BC10:BD10"/>
    <mergeCell ref="BA9:BB9"/>
    <mergeCell ref="BA10:BB10"/>
    <mergeCell ref="AY9:AZ9"/>
    <mergeCell ref="AY10:AZ10"/>
    <mergeCell ref="AW9:AX9"/>
    <mergeCell ref="AW10:AX10"/>
    <mergeCell ref="C10:D10"/>
    <mergeCell ref="E9:F9"/>
    <mergeCell ref="E10:F10"/>
    <mergeCell ref="G9:H9"/>
    <mergeCell ref="G10:H10"/>
    <mergeCell ref="I9:J9"/>
    <mergeCell ref="K9:L9"/>
    <mergeCell ref="K10:L10"/>
    <mergeCell ref="M9:N9"/>
    <mergeCell ref="M10:N10"/>
    <mergeCell ref="C9:D9"/>
    <mergeCell ref="O9:P9"/>
    <mergeCell ref="O10:P10"/>
    <mergeCell ref="I10:J10"/>
    <mergeCell ref="BK9:BL9"/>
    <mergeCell ref="BK10:BL10"/>
    <mergeCell ref="Q9:R9"/>
    <mergeCell ref="AK9:AL9"/>
    <mergeCell ref="AK10:AL10"/>
    <mergeCell ref="AA9:AB9"/>
    <mergeCell ref="AA10:AB10"/>
    <mergeCell ref="AC9:AD9"/>
    <mergeCell ref="AC10:AD10"/>
    <mergeCell ref="AE9:AF9"/>
    <mergeCell ref="AE10:AF10"/>
    <mergeCell ref="Q10:R10"/>
    <mergeCell ref="S9:T9"/>
    <mergeCell ref="S10:T10"/>
    <mergeCell ref="U9:V9"/>
    <mergeCell ref="U10:V10"/>
    <mergeCell ref="AG9:AH9"/>
    <mergeCell ref="AG10:AH10"/>
    <mergeCell ref="AI9:AJ9"/>
    <mergeCell ref="AI10:AJ10"/>
    <mergeCell ref="W9:X9"/>
    <mergeCell ref="AM9:AN9"/>
    <mergeCell ref="AM10:AN10"/>
    <mergeCell ref="AO9:AP9"/>
    <mergeCell ref="AO10:AP10"/>
    <mergeCell ref="AQ9:AR9"/>
    <mergeCell ref="AQ10:AR10"/>
    <mergeCell ref="CG9:CH9"/>
    <mergeCell ref="CG10:CH10"/>
    <mergeCell ref="CI9:CJ9"/>
    <mergeCell ref="CI10:CJ10"/>
    <mergeCell ref="BQ9:BR9"/>
    <mergeCell ref="BQ10:BR10"/>
    <mergeCell ref="BM9:BN9"/>
    <mergeCell ref="BM10:BN10"/>
    <mergeCell ref="BO9:BP9"/>
    <mergeCell ref="BO10:BP10"/>
    <mergeCell ref="AS9:AT9"/>
    <mergeCell ref="AS10:AT10"/>
    <mergeCell ref="AU9:AV9"/>
    <mergeCell ref="AU10:AV10"/>
    <mergeCell ref="BS9:BT9"/>
    <mergeCell ref="BS10:BT10"/>
    <mergeCell ref="BU9:BV9"/>
    <mergeCell ref="BU10:BV10"/>
    <mergeCell ref="BW9:BX9"/>
    <mergeCell ref="BW10:BX10"/>
    <mergeCell ref="BY9:BZ9"/>
    <mergeCell ref="BY10:BZ10"/>
    <mergeCell ref="CA9:CB9"/>
    <mergeCell ref="CA10:CB10"/>
    <mergeCell ref="CM9:CN9"/>
    <mergeCell ref="CM10:CN10"/>
    <mergeCell ref="CY9:CZ9"/>
    <mergeCell ref="CY10:CZ10"/>
    <mergeCell ref="CC9:CD9"/>
    <mergeCell ref="CC10:CD10"/>
    <mergeCell ref="CE9:CF9"/>
    <mergeCell ref="CE10:CF10"/>
    <mergeCell ref="CK9:CL9"/>
    <mergeCell ref="CK10:CL10"/>
    <mergeCell ref="DC9:DD9"/>
    <mergeCell ref="DC10:DD10"/>
    <mergeCell ref="DA9:DB9"/>
    <mergeCell ref="DA10:DB10"/>
    <mergeCell ref="CU9:CV9"/>
    <mergeCell ref="CU10:CV10"/>
    <mergeCell ref="CW9:CX9"/>
    <mergeCell ref="CW10:CX10"/>
    <mergeCell ref="CO9:CP9"/>
    <mergeCell ref="CO10:CP10"/>
    <mergeCell ref="CQ9:CR9"/>
    <mergeCell ref="CQ10:CR10"/>
    <mergeCell ref="CS9:CT9"/>
    <mergeCell ref="CS10:CT10"/>
    <mergeCell ref="DE9:DF9"/>
    <mergeCell ref="DE10:DF10"/>
    <mergeCell ref="DS9:DT9"/>
    <mergeCell ref="DS10:DT10"/>
    <mergeCell ref="DM9:DN9"/>
    <mergeCell ref="DM10:DN10"/>
    <mergeCell ref="DO9:DP9"/>
    <mergeCell ref="DO10:DP10"/>
    <mergeCell ref="DQ9:DR9"/>
    <mergeCell ref="DQ10:DR10"/>
    <mergeCell ref="DG9:DH9"/>
    <mergeCell ref="DG10:DH10"/>
    <mergeCell ref="DI9:DJ9"/>
    <mergeCell ref="DI10:DJ10"/>
    <mergeCell ref="DK9:DL9"/>
    <mergeCell ref="DK10:DL10"/>
  </mergeCells>
  <phoneticPr fontId="13" type="noConversion"/>
  <conditionalFormatting sqref="CC37:DT37 CK115:DT115 CW76:DT76 S37:CA37 C37:Q37 C76:AK76 E115:Y115 C30:Q30 S30:BL30 CA72:DT75 CA76:CU76 DU11:DX150 C31:DT36 C72:BL75 AM76:BL76 C28:BL29 C77:BL82 BM72:BP82 BM28:DT30 AA115:CI115 BQ72:BZ76 BQ77:DT82 C38:DT71 C83:DT113 E114:DT114 E116:DT124 C114:D124 C11:DT27 C125:DT150">
    <cfRule type="containsText" dxfId="230" priority="1" operator="containsText" text="SN">
      <formula>NOT(ISERROR(SEARCH("SN",C11)))</formula>
    </cfRule>
    <cfRule type="cellIs" dxfId="229" priority="39" operator="equal">
      <formula>"AG."</formula>
    </cfRule>
    <cfRule type="cellIs" dxfId="228" priority="40" operator="equal">
      <formula>"LIC."</formula>
    </cfRule>
    <cfRule type="cellIs" dxfId="227" priority="41" operator="equal">
      <formula>"2P"</formula>
    </cfRule>
    <cfRule type="cellIs" dxfId="226" priority="42" operator="equal">
      <formula>"F"</formula>
    </cfRule>
    <cfRule type="cellIs" dxfId="225" priority="43" operator="equal">
      <formula>"3T"</formula>
    </cfRule>
    <cfRule type="cellIs" dxfId="224" priority="44" operator="equal">
      <formula>"2T"</formula>
    </cfRule>
    <cfRule type="cellIs" dxfId="223" priority="45" operator="equal">
      <formula>"1P"</formula>
    </cfRule>
    <cfRule type="cellIs" dxfId="222" priority="46" operator="equal">
      <formula>"1T"</formula>
    </cfRule>
    <cfRule type="cellIs" dxfId="221" priority="47" operator="equal">
      <formula>"AG."</formula>
    </cfRule>
    <cfRule type="cellIs" dxfId="220" priority="48" operator="equal">
      <formula>"LIC."</formula>
    </cfRule>
    <cfRule type="cellIs" dxfId="219" priority="49" operator="equal">
      <formula>"2P"</formula>
    </cfRule>
    <cfRule type="cellIs" dxfId="218" priority="50" operator="equal">
      <formula>"F"</formula>
    </cfRule>
    <cfRule type="cellIs" dxfId="217" priority="51" operator="equal">
      <formula>"3T"</formula>
    </cfRule>
    <cfRule type="cellIs" dxfId="216" priority="52" operator="equal">
      <formula>"2T"</formula>
    </cfRule>
    <cfRule type="cellIs" dxfId="215" priority="53" operator="equal">
      <formula>"FER."</formula>
    </cfRule>
    <cfRule type="cellIs" dxfId="214" priority="56" operator="equal">
      <formula>"AG."</formula>
    </cfRule>
    <cfRule type="cellIs" dxfId="213" priority="57" operator="equal">
      <formula>"LIC."</formula>
    </cfRule>
    <cfRule type="cellIs" dxfId="212" priority="58" operator="equal">
      <formula>"2P"</formula>
    </cfRule>
    <cfRule type="cellIs" dxfId="211" priority="59" operator="equal">
      <formula>"F"</formula>
    </cfRule>
    <cfRule type="cellIs" dxfId="210" priority="60" operator="equal">
      <formula>"3T"</formula>
    </cfRule>
    <cfRule type="cellIs" dxfId="209" priority="61" operator="equal">
      <formula>"2T"</formula>
    </cfRule>
    <cfRule type="cellIs" dxfId="208" priority="62" operator="equal">
      <formula>"1P"</formula>
    </cfRule>
    <cfRule type="cellIs" dxfId="207" priority="63" operator="equal">
      <formula>"1T"</formula>
    </cfRule>
    <cfRule type="cellIs" dxfId="206" priority="64" operator="equal">
      <formula>"AG."</formula>
    </cfRule>
    <cfRule type="cellIs" dxfId="205" priority="65" operator="equal">
      <formula>"LIC."</formula>
    </cfRule>
    <cfRule type="cellIs" dxfId="204" priority="66" operator="equal">
      <formula>"2P"</formula>
    </cfRule>
    <cfRule type="cellIs" dxfId="203" priority="67" operator="equal">
      <formula>"F"</formula>
    </cfRule>
    <cfRule type="cellIs" dxfId="202" priority="68" operator="equal">
      <formula>"3T"</formula>
    </cfRule>
    <cfRule type="cellIs" dxfId="201" priority="69" operator="equal">
      <formula>"2T"</formula>
    </cfRule>
    <cfRule type="cellIs" dxfId="200" priority="70" operator="equal">
      <formula>"FER."</formula>
    </cfRule>
  </conditionalFormatting>
  <dataValidations count="3">
    <dataValidation type="list" allowBlank="1" showInputMessage="1" showErrorMessage="1" sqref="BM112:BM123 BS112:BS123 BW112:BW123 BQ17:BQ21 BU11:BU15 BY54:BY110 BW11:BW15 CA112:CA123 BY17:BY21 CC112:CC123 CA11:CA15 CE112:CE123 CC11:CC15 CG112:CG123 CE11:CE15 CG11:CG15 CM112:CM123 CI11:CI15 CK11:CK15 BO11:BO15 CO112:CO123 CM11:CM15 CO11:CO15 CQ122:CQ124 CQ11:CQ15 CU112:CU123 CS11:CS15 CW112:CW123 CU11:CU15 CY112:CY123 CW11:CW15 DA112:DA123 CY11:CY15 DC112:DC123 DA11:DA15 DE112:DE123 DC11:DC15 DG112:DG123 DE11:DE15 DI112:DI123 DG11:DG15 DK112:DK123 DI11:DI15 DM112:DM123 DK11:DK15 DO112:DO123 DM11:DM15 DQ112:DQ123 DO11:DO15 DS112:DS123 DQ11:DQ15 CK112:CK123 DS12:DS15 BU112:BU123 BQ37 BQ49:BQ52 CM37 DS37 DQ37 DO37 DM37 DK37 DI37 DG37 DE37 DC37 DA37 CY37 CW37 CS32:CS37 CQ32:CQ37 CO37 CQ23:CQ27 CK37 CG37 CE37 CC37 CA37 BY37 BW37 BU37 BS37 CI37 CI51:CI52 CA51:CA52 CC51:CC52 CE51:CE52 CG51:CG52 CK51:CK52 CQ51:CQ52 CO51:CO52 CS51:CS52 CU51:CU52 CW51:CW52 CY51:CY52 K54:K110 BW17:BW21 BU17:BU21 BS11:BS15 BO112:BO123 BS17:BS21 BK17:BK21 CM17:CM21 CU17:CU21 CS17:CS21 CQ17:CQ21 CO17:CO21 CK17:CK21 CI17:CI21 CW17:CW21 CY17:CY21 DA17:DA21 DC17:DC21 DE17:DE21 DG17:DG21 DI17:DI21 DK17:DK21 DM17:DM21 DO17:DO21 DQ17:DQ21 DS17:DS21 CG17:CG21 CE17:CE21 CC17:CC21 CA17:CA21 CI23:CI27 BO54:BO110 BS23:BS27 BU23:BU27 BW23:BW27 BY11:BY15 CC23:CC27 CE23:CE27 CG23:CG27 CK23:CK27 CU37 CO23:CO27 CS23:CS27 CU23:CU27 CW23:CW27 CY23:CY27 DA23:DA27 DC23:DC27 DE23:DE27 DG23:DG27 DI23:DI27 DK23:DK27 DM23:DM27 DO23:DO27 DQ23:DQ27 DS23:DS27 CM23:CM27 CI112:CI121 DA51:DA52 DC51:DC52 DE51:DE52 DG51:DG52 DI51:DI52 DK51:DK52 DM51:DM52 DO51:DO52 DQ51:DQ52 DS51:DS52 CM51:CM52 CY45:CY49 CS112:CS123 CQ112:CQ120 CI123 BQ23:BQ24 BK51:BK52 BM54:BM110 BK115:BK122 BK26:BK27 BM11:BM15 BM23:BM27 CW45:CW49 CU45:CU49 CS45:CS49 CO45:CO49 CQ45:CQ49 CK45:CK49 CG45:CG49 CE45:CE49 CC45:CC49 CA45:CA49 CI45:CI49 BS49:BS52 BQ112:BQ123 BK11:BK15 BO32:BO37 BM32:BM37 BK89:BK93 BU49:BU52 BW49:BW52 BY49:BY52 CM45:CM49 DS45:DS49 DQ45:DQ49 DO45:DO49 DM45:DM49 DK45:DK49 DI45:DI49 DG45:DG49 DE45:DE49 DC45:DC49 DA45:DA49 BM49:BM52 BK112:BK113 BY112:BY123 BQ26:BQ27 BK95:BK110 BK45:BK49 BQ39 BO23:BO27 E49:E52 C17:C21 I112:I123 M112:M123 G17:G21 K11:K15 O112:O123 M11:M15 Q112:Q123 O11:O15 S112:S123 Q11:Q15 U112:U123 S11:S15 W112:W123 U11:U15 W11:W15 AC112:AC123 Y11:Y15 AA11:AA15 E15 AE112:AE123 AC11:AC15 AE11:AE15 AG122:AG124 AG11:AG15 AK112:AK123 AI11:AI15 AM112:AM123 AK11:AK15 AO112:AO123 AM11:AM15 AQ112:AQ123 AO11:AO15 AS112:AS123 AQ11:AQ15 AU112:AU123 AS11:AS15 AW112:AW123 AU11:AU15 AY112:AY123 AW11:AW15 BA112:BA123 AY11:AY15 BC112:BC123 BA11:BA15 BE112:BE123 BC11:BC15 BG112:BG123 BE11:BE15 BI112:BI123 BG11:BG15 AA112:AA123 BI11:BI15 K112:K123 G37 G49:G52 AC37 BI37 BG37 BE37 BC37 BA37 AY37 AW37 AU37 AS37 AQ37 AO37 AM37 AI32:AI37 AG32:AG37 AE37 AG23:AG27 AA37 W37 U37 S37 Q37 O37 M37 K37 I37 C54:C110 Y37 Y51:Y52 Q51:Q52 S51:S52 U51:U52 W51:W52 AA51:AA52 AG51:AG52 AE51:AE52 AI51:AI52 AK51:AK52 AM51:AM52 AO51:AO52 O17:O21 M17:M21 K17:K21 I11:I15 G11:G15 I17:I21 AC17:AC21 AK17:AK21 AI17:AI21 AG17:AG21 AE17:AE21 AA17:AA21 Y17:Y21 AM17:AM21 AO17:AO21 AQ17:AQ21 AS17:AS21 AU17:AU21 AW17:AW21 AY17:AY21 BA17:BA21 BC17:BC21 BE17:BE21 BG17:BG21 BI17:BI21 W17:W21 U17:U21 S17:S21 Q17:Q21 Y23:Y27 E17:E21 I23:I27 K23:K27 M23:M27 O23:O27 Q23:Q27 S23:S27 U23:U27 W23:W27 AA23:AA27 AK37 AE23:AE27 AI23:AI27 AK23:AK27 AM23:AM27 AO23:AO27 AQ23:AQ27 AS23:AS27 AU23:AU27 AW23:AW27 AY23:AY27 BA23:BA27 BC23:BC27 BE23:BE27 BG23:BG27 BI23:BI27 AC23:AC27 Y112:Y121 AQ51:AQ52 AS51:AS52 AU51:AU52 AW51:AW52 AY51:AY52 BA51:BA52 BC51:BC52 BE51:BE52 BG51:BG52 BI51:BI52 AC51:AC52 AO45:AO49 AI112:AI123 AG112:AG120 Y123 G23:G24 E112:E123 E11:E13 C112:C123 AM45:AM49 AK45:AK49 AI45:AI49 AE45:AE49 AG45:AG49 AA45:AA49 W45:W49 U45:U49 S45:S49 Q45:Q49 Y45:Y49 I49:I52 G112:G123 E32:E37 C32:C37 K49:K52 M49:M52 O49:O52 AC45:AC49 BI45:BI49 BG45:BG49 BE45:BE49 BC45:BC49 BA45:BA49 AY45:AY49 AW45:AW49 AU45:AU49 AS45:AS49 AQ45:AQ49 C49:C52 G26:G27 C11:C15 G32 G39 E23:E27 E54:E110 BQ54:BQ110 G54:G110 BO49:BO52 AC54:AC110 BI54:BI110 AG54:AG110 BG54:BG110 BE54:BE110 BC54:BC110 BA54:BA110 AY54:AY110 AW54:AW110 AU54:AU110 AS54:AS110 AQ54:AQ110 AO54:AO110 AM54:AM110 AK54:AK110 AE54:AE110 AA54:AA110 Y54:Y110 AI54:AI110 W54:W110 U54:U110 I54:I110 S54:S110 Q54:Q110 O54:O110 M54:M110 BQ11:BQ15 BK54:BK87 BK23:BK24 CA30:CA35 BU54:BU110 CM54:CM110 DS54:DS110 CQ54:CQ110 DQ54:DQ110 DO54:DO110 DM54:DM110 DK54:DK110 DI54:DI110 DG54:DG110 DE54:DE110 DC54:DC110 DA54:DA110 CY54:CY110 CW54:CW110 CU54:CU110 CO54:CO110 CK54:CK110 CI54:CI110 CS54:CS110 CG54:CG110 CE54:CE110 BS54:BS110 CC54:CC110 CA54:CA110 BY30:BY35 BW54:BW110 BQ30 CM30 DS30 DQ30 DO30 DM30 DK30 DI30 DG30 DE30 DC30 DA30 CY30 CW30 CS29:CS30 CQ29:CQ30 CO30 CK30 CG30 CE30 CC30 CA23:CA27 BY23:BY27 BW30 BU30 BS30 CI30 CU30 BQ34:BQ35 CY32:CY35 CW32:CW35 CU32:CU35 CO32:CO35 CK32:CK35 CG32:CG35 CE32:CE35 CC32:CC35 CI32:CI35 BO17:BO21 BM17:BM21 BS32:BS35 BU32:BU35 BW32:BW35 CM32:CM35 DS32:DS35 DQ32:DQ35 DO32:DO35 DM32:DM35 DK32:DK35 DI32:DI35 DG32:DG35 DE32:DE35 DC32:DC35 DA32:DA35 BQ32 BK31:BK35 G30 AC30 BI30 BG30 BE30 BC30 BA30 AY30 AW30 AU30 AS30 AQ30 AO30 AM30 AI29:AI30 AG29:AG30 AE30 AA30 W30 U30 S30 Q30 O30 M30 K30 I30 Y30 AK30 G34:G35 AO32:AO35 AM32:AM35 AK32:AK35 AE32:AE35 AA32:AA35 W32:W35 U32:U35 S32:S35 Q32:Q35 Y32:Y35 E29:E30 C29:C30 I32:I35 K32:K35 M32:M35 O32:O35 AC32:AC35 BI32:BI35 BG32:BG35 BE32:BE35 BC32:BC35 BA32:BA35 AY32:AY35 AW32:AW35 AU32:AU35 AS32:AS35 AQ32:AQ35 C39:C47 AQ39:AQ43 AS39:AS43 AU39:AU43 AW39:AW43 AY39:AY43 BA39:BA43 BC39:BC43 BE39:BE43 BG39:BG43 BI39:BI43 AC39:AC43 O39:O47 M39:M47 K39:K47 I39:I47 Y39:Y43 Q39:Q43 S39:S43 U39:U43 W39:W43 AA39:AA43 AG39:AG43 AE39:AE43 AI39:AI43 AK39:AK43 AM39:AM43 AO39:AO43 G41:G47 E39:E47 BK39:BK43 BM39:BM47 DA39:DA43 DC39:DC43 DE39:DE43 DG39:DG43 DI39:DI43 DK39:DK43 DM39:DM43 DO39:DO43 DQ39:DQ43 DS39:DS43 CM39:CM43 BY39:BY47 BW39:BW47 BU39:BU47 BS39:BS47 CI39:CI43 CA39:CA43 CC39:CC43 CE39:CE43 CG39:CG43 CK39:CK43 CQ39:CQ43 CO39:CO43 CS39:CS43 CU39:CU43 CW39:CW43 CY39:CY43 BQ41:BQ47 BO39:BO47 C23:C27" xr:uid="{00000000-0002-0000-0900-000000000000}">
      <formula1>TURNOS</formula1>
    </dataValidation>
    <dataValidation type="list" allowBlank="1" showInputMessage="1" showErrorMessage="1" sqref="B2" xr:uid="{00000000-0002-0000-0900-000001000000}">
      <formula1>$C$8:$DT$8</formula1>
    </dataValidation>
    <dataValidation type="list" errorStyle="warning" allowBlank="1" showInputMessage="1" showErrorMessage="1" sqref="E14" xr:uid="{00000000-0002-0000-0900-000002000000}">
      <formula1>TURNOS</formula1>
    </dataValidation>
  </dataValidations>
  <pageMargins left="0.7" right="0.7" top="0.75" bottom="0.75" header="0.3" footer="0.3"/>
  <pageSetup orientation="portrait" horizontalDpi="300" verticalDpi="300" r:id="rId1"/>
  <ignoredErrors>
    <ignoredError sqref="DS1:FZ7 DW15:FZ16 DS10:DW10 DZ10:FZ10 DS9:DX9 DS8:DX8 DZ8:FZ8 DZ9:FZ9 DW143:FZ143 DW140:FZ140 DW148:FZ148 DW145:FZ145 DW144:FZ144 DW146:FZ147 DW141:FZ141 DW142:FZ142 DW89:FZ89 DW84:FZ88 DW33:FZ33 DW29:FZ29 DW125:FZ135 DW121:FZ121 DW28:FZ28 DW49:FZ53 DW48:FZ48 DW136:FZ139 DS151:FZ1048576 DW150:FZ150 DW149:FZ149 DW59:FZ59 DW58:FZ58 DW54:FZ54 DW56:FZ56 DW55:FZ55 DW57:FZ57 DW61:FZ61 DW60:FZ60 DW63:FZ63 DW62:FZ62 DW65:FZ65 DW64:FZ64 DW67:FZ67 DW66:FZ66 DW69:FZ69 DW68:FZ68 DW71:FZ71 DW70:FZ70 DW83:FZ83 DW72:FZ82 DW91:FZ91 DW90:FZ90 DW93:FZ93 DW92:FZ92 DW95:FZ96 DW94:FZ94 DW99:FZ103 DW97:FZ98 DW105:FZ113 DW104:FZ104 DW120:FZ120 DW114:FZ114 DW115:FZ115 DW116:FZ116 DW117:FZ117 DW118:FZ119 DW122:FZ122 DW123:FZ123 DW124:FZ124 DW30:FZ30 DW37:FZ47 DW34:FZ34 DW11:FZ14 DW21:FZ22 DW17:FZ20 DW27:FZ27 DW23:FZ23 DW24:FZ24 DW25:FZ25 DW26:FZ26 DW31:FZ31 DW32:FZ32 DW35:FZ35 DW36:FZ3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4" r:id="rId4" name="Button 6">
              <controlPr defaultSize="0" print="0" autoFill="0" autoPict="0" macro="[0]!PasarAPaneldeTrabajo">
                <anchor moveWithCells="1" sizeWithCells="1">
                  <from>
                    <xdr:col>1</xdr:col>
                    <xdr:colOff>99060</xdr:colOff>
                    <xdr:row>2</xdr:row>
                    <xdr:rowOff>137160</xdr:rowOff>
                  </from>
                  <to>
                    <xdr:col>1</xdr:col>
                    <xdr:colOff>1485900</xdr:colOff>
                    <xdr:row>4</xdr:row>
                    <xdr:rowOff>99060</xdr:rowOff>
                  </to>
                </anchor>
              </controlPr>
            </control>
          </mc:Choice>
        </mc:AlternateContent>
        <mc:AlternateContent xmlns:mc="http://schemas.openxmlformats.org/markup-compatibility/2006">
          <mc:Choice Requires="x14">
            <control shapeId="53256" r:id="rId5" name="Button 8">
              <controlPr defaultSize="0" print="0" autoFill="0" autoPict="0" macro="[0]!CerrarSesion">
                <anchor moveWithCells="1" sizeWithCells="1">
                  <from>
                    <xdr:col>1</xdr:col>
                    <xdr:colOff>60960</xdr:colOff>
                    <xdr:row>4</xdr:row>
                    <xdr:rowOff>137160</xdr:rowOff>
                  </from>
                  <to>
                    <xdr:col>1</xdr:col>
                    <xdr:colOff>1493520</xdr:colOff>
                    <xdr:row>5</xdr:row>
                    <xdr:rowOff>182880</xdr:rowOff>
                  </to>
                </anchor>
              </controlPr>
            </control>
          </mc:Choice>
        </mc:AlternateContent>
        <mc:AlternateContent xmlns:mc="http://schemas.openxmlformats.org/markup-compatibility/2006">
          <mc:Choice Requires="x14">
            <control shapeId="53263" r:id="rId6" name="Button 15">
              <controlPr defaultSize="0" print="0" autoFill="0" autoPict="0" macro="[0]!MostrarServicios">
                <anchor moveWithCells="1">
                  <from>
                    <xdr:col>1</xdr:col>
                    <xdr:colOff>1684020</xdr:colOff>
                    <xdr:row>2</xdr:row>
                    <xdr:rowOff>137160</xdr:rowOff>
                  </from>
                  <to>
                    <xdr:col>1</xdr:col>
                    <xdr:colOff>2941320</xdr:colOff>
                    <xdr:row>4</xdr:row>
                    <xdr:rowOff>68580</xdr:rowOff>
                  </to>
                </anchor>
              </controlPr>
            </control>
          </mc:Choice>
        </mc:AlternateContent>
        <mc:AlternateContent xmlns:mc="http://schemas.openxmlformats.org/markup-compatibility/2006">
          <mc:Choice Requires="x14">
            <control shapeId="53264" r:id="rId7" name="Button 16">
              <controlPr defaultSize="0" print="0" autoFill="0" autoPict="0" macro="[0]!OcultarServicios">
                <anchor moveWithCells="1">
                  <from>
                    <xdr:col>1</xdr:col>
                    <xdr:colOff>1676400</xdr:colOff>
                    <xdr:row>4</xdr:row>
                    <xdr:rowOff>106680</xdr:rowOff>
                  </from>
                  <to>
                    <xdr:col>1</xdr:col>
                    <xdr:colOff>2964180</xdr:colOff>
                    <xdr:row>5</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36" operator="containsText" id="{3575B41B-C957-4047-87A0-F550A4B25715}">
            <xm:f>NOT(ISERROR(SEARCH("2G",C11)))</xm:f>
            <xm:f>"2G"</xm:f>
            <x14:dxf>
              <font>
                <color theme="0"/>
              </font>
              <fill>
                <patternFill>
                  <bgColor rgb="FFFF0000"/>
                </patternFill>
              </fill>
            </x14:dxf>
          </x14:cfRule>
          <x14:cfRule type="containsText" priority="37" operator="containsText" id="{343464AC-D80D-4B35-8DF8-C19A6A6AC36E}">
            <xm:f>NOT(ISERROR(SEARCH("1G",C11)))</xm:f>
            <xm:f>"1G"</xm:f>
            <x14:dxf>
              <font>
                <color theme="0"/>
              </font>
              <fill>
                <patternFill>
                  <bgColor theme="9" tint="-0.499984740745262"/>
                </patternFill>
              </fill>
            </x14:dxf>
          </x14:cfRule>
          <x14:cfRule type="containsText" priority="38" operator="containsText" id="{A4338569-4292-4F0E-AE6E-4C58ADAF3DDC}">
            <xm:f>NOT(ISERROR(SEARCH("PER.",C11)))</xm:f>
            <xm:f>"PER."</xm:f>
            <x14:dxf>
              <font>
                <color theme="1"/>
              </font>
              <fill>
                <patternFill>
                  <bgColor rgb="FFFFFF00"/>
                </patternFill>
              </fill>
            </x14:dxf>
          </x14:cfRule>
          <x14:cfRule type="containsText" priority="54" operator="containsText" id="{EDC0554D-9799-487B-8CB0-93959C26D2BE}">
            <xm:f>NOT(ISERROR(SEARCH("PER.",C11)))</xm:f>
            <xm:f>"PER."</xm:f>
            <x14:dxf>
              <font>
                <color theme="1"/>
              </font>
              <fill>
                <patternFill>
                  <bgColor rgb="FFFFFF00"/>
                </patternFill>
              </fill>
            </x14:dxf>
          </x14:cfRule>
          <xm:sqref>CC37:DT37 CK115:DT115 CW76:DT76 S37:CA37 C37:Q37 C76:AK76 E115:Y115 C30:Q30 S30:BL30 CA72:DT75 CA76:CU76 DU11:DX150 C31:DT36 C72:BL75 AM76:BL76 C28:BL29 C77:BL82 BM72:BP82 BM28:DT30 AA115:CI115 BQ72:BZ76 BQ77:DT82 C38:DT71 C83:DT113 E114:DT114 E116:DT124 C114:D124 C11:DT27 C125:DT150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4">
    <pageSetUpPr fitToPage="1"/>
  </sheetPr>
  <dimension ref="A1:AL132"/>
  <sheetViews>
    <sheetView view="pageBreakPreview" topLeftCell="G124" zoomScale="70" zoomScaleNormal="70" zoomScaleSheetLayoutView="70" workbookViewId="0">
      <selection activeCell="G15" sqref="G15:G39 G43:G67 G71:G95 G99:G123"/>
    </sheetView>
  </sheetViews>
  <sheetFormatPr baseColWidth="10" defaultColWidth="8.6640625" defaultRowHeight="13.2" x14ac:dyDescent="0.25"/>
  <cols>
    <col min="1" max="1" width="19.5546875" style="289" bestFit="1" customWidth="1"/>
    <col min="2" max="3" width="11.109375" style="289" customWidth="1"/>
    <col min="4" max="4" width="5.6640625" style="289" bestFit="1" customWidth="1"/>
    <col min="5" max="5" width="12.5546875" style="289" bestFit="1" customWidth="1"/>
    <col min="6" max="6" width="44.5546875" style="290" bestFit="1" customWidth="1"/>
    <col min="7" max="7" width="10.6640625" style="291" customWidth="1"/>
    <col min="8" max="8" width="9.33203125" style="289" customWidth="1"/>
    <col min="9" max="35" width="7.6640625" style="289" customWidth="1"/>
    <col min="36" max="36" width="5.5546875" style="289" customWidth="1"/>
    <col min="37" max="38" width="7.6640625" style="289" customWidth="1"/>
    <col min="39" max="16384" width="8.6640625" style="289"/>
  </cols>
  <sheetData>
    <row r="1" spans="1:38" x14ac:dyDescent="0.3">
      <c r="A1" s="289" t="s">
        <v>1725</v>
      </c>
      <c r="B1" s="289">
        <v>22</v>
      </c>
      <c r="G1" s="289"/>
    </row>
    <row r="2" spans="1:38" x14ac:dyDescent="0.3">
      <c r="A2" s="289" t="str">
        <f>IFERROR(VLOOKUP(A1,ESCUADRONES,2,FALSE),0)</f>
        <v>P.F. ROBERTO DEL RIO 1</v>
      </c>
      <c r="B2" s="289">
        <v>22</v>
      </c>
      <c r="G2" s="289"/>
    </row>
    <row r="3" spans="1:38" x14ac:dyDescent="0.3">
      <c r="A3" s="289" t="str">
        <f>IFERROR(VLOOKUP(A1,ESCUADRONES,3,FALSE),0)</f>
        <v>P.F. ROBERTO DEL RIO 2</v>
      </c>
      <c r="B3" s="289">
        <v>22</v>
      </c>
      <c r="G3" s="289"/>
    </row>
    <row r="4" spans="1:38" x14ac:dyDescent="0.3">
      <c r="A4" s="289" t="str">
        <f>IFERROR(VLOOKUP(A1,ESCUADRONES,4,FALSE),0)</f>
        <v>P.F. ROBERTO DEL RIO 3</v>
      </c>
      <c r="B4" s="289">
        <v>22</v>
      </c>
      <c r="G4" s="289"/>
    </row>
    <row r="5" spans="1:38" x14ac:dyDescent="0.3">
      <c r="A5" s="289" t="str">
        <f>IFERROR(VLOOKUP(A1,ESCUADRONES,5,FALSE),0)</f>
        <v>P.F. ROBERTO DEL RIO 4</v>
      </c>
      <c r="B5" s="289">
        <v>22</v>
      </c>
      <c r="G5" s="289"/>
    </row>
    <row r="6" spans="1:38" x14ac:dyDescent="0.3">
      <c r="B6" s="289">
        <v>22</v>
      </c>
      <c r="C6" s="289" t="s">
        <v>1723</v>
      </c>
      <c r="G6" s="289"/>
    </row>
    <row r="7" spans="1:38" x14ac:dyDescent="0.3">
      <c r="B7" s="289">
        <v>22</v>
      </c>
      <c r="G7" s="289"/>
    </row>
    <row r="8" spans="1:38" ht="13.8" thickBot="1" x14ac:dyDescent="0.35">
      <c r="B8" s="289">
        <v>22</v>
      </c>
      <c r="G8" s="289"/>
    </row>
    <row r="9" spans="1:38" ht="25.2" thickBot="1" x14ac:dyDescent="0.35">
      <c r="A9" s="289" t="str">
        <f>UPPER(TEXT(H11,"MMMM"))</f>
        <v>ABRIL</v>
      </c>
      <c r="B9" s="289">
        <v>22</v>
      </c>
      <c r="D9" s="1205" t="str">
        <f>CONCATENATE("TABLA DE SERVICIO ",A1,", CORRESPONDIENTE AL MES DE ",UPPER(A9)," DEL AÑO ",A10)</f>
        <v>TABLA DE SERVICIO ROBERTO DEL RIO, CORRESPONDIENTE AL MES DE ABRIL DEL AÑO 2024</v>
      </c>
      <c r="E9" s="1206"/>
      <c r="F9" s="1206"/>
      <c r="G9" s="1206"/>
      <c r="H9" s="1206"/>
      <c r="I9" s="1206"/>
      <c r="J9" s="1206"/>
      <c r="K9" s="1206"/>
      <c r="L9" s="1206"/>
      <c r="M9" s="1206"/>
      <c r="N9" s="1206"/>
      <c r="O9" s="1206"/>
      <c r="P9" s="1206"/>
      <c r="Q9" s="1206"/>
      <c r="R9" s="1206"/>
      <c r="S9" s="1206"/>
      <c r="T9" s="1206"/>
      <c r="U9" s="1206"/>
      <c r="V9" s="1206"/>
      <c r="W9" s="1206"/>
      <c r="X9" s="1206"/>
      <c r="Y9" s="1206"/>
      <c r="Z9" s="1206"/>
      <c r="AA9" s="1206"/>
      <c r="AB9" s="1206"/>
      <c r="AC9" s="1206"/>
      <c r="AD9" s="1206"/>
      <c r="AE9" s="1206"/>
      <c r="AF9" s="1206"/>
      <c r="AG9" s="1206"/>
      <c r="AH9" s="1206"/>
      <c r="AI9" s="1206"/>
      <c r="AJ9" s="1206"/>
      <c r="AK9" s="1206"/>
      <c r="AL9" s="1207"/>
    </row>
    <row r="10" spans="1:38" x14ac:dyDescent="0.25">
      <c r="A10" s="289" t="str">
        <f>TEXT(H11,"YYYY")</f>
        <v>2024</v>
      </c>
      <c r="B10" s="289">
        <v>22</v>
      </c>
      <c r="C10" s="291"/>
      <c r="D10" s="291"/>
      <c r="E10" s="291"/>
      <c r="F10" s="291"/>
    </row>
    <row r="11" spans="1:38" x14ac:dyDescent="0.25">
      <c r="B11" s="398">
        <v>0</v>
      </c>
      <c r="C11" s="291"/>
      <c r="D11" s="291"/>
      <c r="E11" s="291"/>
      <c r="F11" s="291"/>
      <c r="H11" s="292">
        <f>'DISTRIBUCION DIARIA'!AB2</f>
        <v>45383</v>
      </c>
      <c r="I11" s="292">
        <f>H11+1</f>
        <v>45384</v>
      </c>
      <c r="J11" s="292">
        <f t="shared" ref="J11:AL11" si="0">I11+1</f>
        <v>45385</v>
      </c>
      <c r="K11" s="292">
        <f t="shared" si="0"/>
        <v>45386</v>
      </c>
      <c r="L11" s="292">
        <f t="shared" si="0"/>
        <v>45387</v>
      </c>
      <c r="M11" s="292">
        <f t="shared" si="0"/>
        <v>45388</v>
      </c>
      <c r="N11" s="292">
        <f t="shared" si="0"/>
        <v>45389</v>
      </c>
      <c r="O11" s="292">
        <f t="shared" si="0"/>
        <v>45390</v>
      </c>
      <c r="P11" s="292">
        <f t="shared" si="0"/>
        <v>45391</v>
      </c>
      <c r="Q11" s="292">
        <f t="shared" si="0"/>
        <v>45392</v>
      </c>
      <c r="R11" s="292">
        <f t="shared" si="0"/>
        <v>45393</v>
      </c>
      <c r="S11" s="292">
        <f t="shared" si="0"/>
        <v>45394</v>
      </c>
      <c r="T11" s="292">
        <f t="shared" si="0"/>
        <v>45395</v>
      </c>
      <c r="U11" s="292">
        <f t="shared" si="0"/>
        <v>45396</v>
      </c>
      <c r="V11" s="292">
        <f t="shared" si="0"/>
        <v>45397</v>
      </c>
      <c r="W11" s="292">
        <f t="shared" si="0"/>
        <v>45398</v>
      </c>
      <c r="X11" s="292">
        <f t="shared" si="0"/>
        <v>45399</v>
      </c>
      <c r="Y11" s="292">
        <f t="shared" si="0"/>
        <v>45400</v>
      </c>
      <c r="Z11" s="292">
        <f t="shared" si="0"/>
        <v>45401</v>
      </c>
      <c r="AA11" s="292">
        <f t="shared" si="0"/>
        <v>45402</v>
      </c>
      <c r="AB11" s="292">
        <f t="shared" si="0"/>
        <v>45403</v>
      </c>
      <c r="AC11" s="292">
        <f t="shared" si="0"/>
        <v>45404</v>
      </c>
      <c r="AD11" s="292">
        <f t="shared" si="0"/>
        <v>45405</v>
      </c>
      <c r="AE11" s="292">
        <f t="shared" si="0"/>
        <v>45406</v>
      </c>
      <c r="AF11" s="292">
        <f t="shared" si="0"/>
        <v>45407</v>
      </c>
      <c r="AG11" s="292">
        <f t="shared" si="0"/>
        <v>45408</v>
      </c>
      <c r="AH11" s="292">
        <f t="shared" si="0"/>
        <v>45409</v>
      </c>
      <c r="AI11" s="292">
        <f t="shared" si="0"/>
        <v>45410</v>
      </c>
      <c r="AJ11" s="292">
        <f t="shared" si="0"/>
        <v>45411</v>
      </c>
      <c r="AK11" s="292">
        <f t="shared" si="0"/>
        <v>45412</v>
      </c>
      <c r="AL11" s="292">
        <f t="shared" si="0"/>
        <v>45413</v>
      </c>
    </row>
    <row r="12" spans="1:38" ht="14.4" x14ac:dyDescent="0.3">
      <c r="A12" s="730">
        <f>H11+31</f>
        <v>45414</v>
      </c>
      <c r="B12" s="398">
        <f>IF(H12=0,0,22)</f>
        <v>22</v>
      </c>
      <c r="C12" s="291"/>
      <c r="D12" s="291"/>
      <c r="E12" s="291"/>
      <c r="F12" s="291"/>
      <c r="G12"/>
      <c r="H12" s="1208" t="str">
        <f>A2</f>
        <v>P.F. ROBERTO DEL RIO 1</v>
      </c>
      <c r="I12" s="1209"/>
      <c r="J12" s="1209"/>
      <c r="K12" s="1209"/>
      <c r="L12" s="1209"/>
      <c r="M12" s="1209"/>
      <c r="N12" s="1209"/>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0"/>
    </row>
    <row r="13" spans="1:38" ht="14.4" x14ac:dyDescent="0.3">
      <c r="B13" s="398">
        <f>IF(H12=0,0,22)</f>
        <v>22</v>
      </c>
      <c r="C13" s="291"/>
      <c r="D13" s="291"/>
      <c r="E13" s="291"/>
      <c r="F13" s="291"/>
      <c r="G13"/>
      <c r="H13" s="293" t="str">
        <f t="shared" ref="H13:AL13" si="1">TEXT(H11,"DDD")</f>
        <v>lun</v>
      </c>
      <c r="I13" s="293" t="str">
        <f t="shared" si="1"/>
        <v>mar</v>
      </c>
      <c r="J13" s="293" t="str">
        <f t="shared" si="1"/>
        <v>mié</v>
      </c>
      <c r="K13" s="293" t="str">
        <f t="shared" si="1"/>
        <v>jue</v>
      </c>
      <c r="L13" s="293" t="str">
        <f t="shared" si="1"/>
        <v>vie</v>
      </c>
      <c r="M13" s="293" t="str">
        <f t="shared" si="1"/>
        <v>sáb</v>
      </c>
      <c r="N13" s="293" t="str">
        <f t="shared" si="1"/>
        <v>dom</v>
      </c>
      <c r="O13" s="293" t="str">
        <f t="shared" si="1"/>
        <v>lun</v>
      </c>
      <c r="P13" s="293" t="str">
        <f t="shared" si="1"/>
        <v>mar</v>
      </c>
      <c r="Q13" s="293" t="str">
        <f t="shared" si="1"/>
        <v>mié</v>
      </c>
      <c r="R13" s="293" t="str">
        <f t="shared" si="1"/>
        <v>jue</v>
      </c>
      <c r="S13" s="293" t="str">
        <f t="shared" si="1"/>
        <v>vie</v>
      </c>
      <c r="T13" s="293" t="str">
        <f t="shared" si="1"/>
        <v>sáb</v>
      </c>
      <c r="U13" s="293" t="str">
        <f t="shared" si="1"/>
        <v>dom</v>
      </c>
      <c r="V13" s="293" t="str">
        <f t="shared" si="1"/>
        <v>lun</v>
      </c>
      <c r="W13" s="293" t="str">
        <f t="shared" si="1"/>
        <v>mar</v>
      </c>
      <c r="X13" s="293" t="str">
        <f t="shared" si="1"/>
        <v>mié</v>
      </c>
      <c r="Y13" s="293" t="str">
        <f t="shared" si="1"/>
        <v>jue</v>
      </c>
      <c r="Z13" s="293" t="str">
        <f t="shared" si="1"/>
        <v>vie</v>
      </c>
      <c r="AA13" s="293" t="str">
        <f t="shared" si="1"/>
        <v>sáb</v>
      </c>
      <c r="AB13" s="293" t="str">
        <f t="shared" si="1"/>
        <v>dom</v>
      </c>
      <c r="AC13" s="293" t="str">
        <f t="shared" si="1"/>
        <v>lun</v>
      </c>
      <c r="AD13" s="293" t="str">
        <f t="shared" si="1"/>
        <v>mar</v>
      </c>
      <c r="AE13" s="293" t="str">
        <f t="shared" si="1"/>
        <v>mié</v>
      </c>
      <c r="AF13" s="293" t="str">
        <f t="shared" si="1"/>
        <v>jue</v>
      </c>
      <c r="AG13" s="293" t="str">
        <f t="shared" si="1"/>
        <v>vie</v>
      </c>
      <c r="AH13" s="293" t="str">
        <f t="shared" si="1"/>
        <v>sáb</v>
      </c>
      <c r="AI13" s="293" t="str">
        <f t="shared" si="1"/>
        <v>dom</v>
      </c>
      <c r="AJ13" s="293" t="str">
        <f t="shared" si="1"/>
        <v>lun</v>
      </c>
      <c r="AK13" s="293" t="str">
        <f t="shared" si="1"/>
        <v>mar</v>
      </c>
      <c r="AL13" s="293" t="str">
        <f t="shared" si="1"/>
        <v>mié</v>
      </c>
    </row>
    <row r="14" spans="1:38" x14ac:dyDescent="0.3">
      <c r="B14" s="289">
        <f>IF(H12=0,0,22)</f>
        <v>22</v>
      </c>
      <c r="D14" s="294" t="s">
        <v>1173</v>
      </c>
      <c r="E14" s="294" t="s">
        <v>0</v>
      </c>
      <c r="F14" s="295" t="s">
        <v>693</v>
      </c>
      <c r="G14" s="294" t="s">
        <v>815</v>
      </c>
      <c r="H14" s="294" t="str">
        <f t="shared" ref="H14:AL14" si="2">TEXT(H11,"D")</f>
        <v>1</v>
      </c>
      <c r="I14" s="294" t="str">
        <f t="shared" si="2"/>
        <v>2</v>
      </c>
      <c r="J14" s="294" t="str">
        <f t="shared" si="2"/>
        <v>3</v>
      </c>
      <c r="K14" s="294" t="str">
        <f t="shared" si="2"/>
        <v>4</v>
      </c>
      <c r="L14" s="294" t="str">
        <f t="shared" si="2"/>
        <v>5</v>
      </c>
      <c r="M14" s="294" t="str">
        <f t="shared" si="2"/>
        <v>6</v>
      </c>
      <c r="N14" s="294" t="str">
        <f t="shared" si="2"/>
        <v>7</v>
      </c>
      <c r="O14" s="294" t="str">
        <f t="shared" si="2"/>
        <v>8</v>
      </c>
      <c r="P14" s="294" t="str">
        <f t="shared" si="2"/>
        <v>9</v>
      </c>
      <c r="Q14" s="294" t="str">
        <f t="shared" si="2"/>
        <v>10</v>
      </c>
      <c r="R14" s="294" t="str">
        <f t="shared" si="2"/>
        <v>11</v>
      </c>
      <c r="S14" s="294" t="str">
        <f t="shared" si="2"/>
        <v>12</v>
      </c>
      <c r="T14" s="294" t="str">
        <f t="shared" si="2"/>
        <v>13</v>
      </c>
      <c r="U14" s="294" t="str">
        <f t="shared" si="2"/>
        <v>14</v>
      </c>
      <c r="V14" s="294" t="str">
        <f t="shared" si="2"/>
        <v>15</v>
      </c>
      <c r="W14" s="294" t="str">
        <f t="shared" si="2"/>
        <v>16</v>
      </c>
      <c r="X14" s="294" t="str">
        <f t="shared" si="2"/>
        <v>17</v>
      </c>
      <c r="Y14" s="294" t="str">
        <f t="shared" si="2"/>
        <v>18</v>
      </c>
      <c r="Z14" s="294" t="str">
        <f t="shared" si="2"/>
        <v>19</v>
      </c>
      <c r="AA14" s="294" t="str">
        <f t="shared" si="2"/>
        <v>20</v>
      </c>
      <c r="AB14" s="294" t="str">
        <f t="shared" si="2"/>
        <v>21</v>
      </c>
      <c r="AC14" s="294" t="str">
        <f t="shared" si="2"/>
        <v>22</v>
      </c>
      <c r="AD14" s="294" t="str">
        <f t="shared" si="2"/>
        <v>23</v>
      </c>
      <c r="AE14" s="294" t="str">
        <f t="shared" si="2"/>
        <v>24</v>
      </c>
      <c r="AF14" s="294" t="str">
        <f t="shared" si="2"/>
        <v>25</v>
      </c>
      <c r="AG14" s="294" t="str">
        <f t="shared" si="2"/>
        <v>26</v>
      </c>
      <c r="AH14" s="294" t="str">
        <f t="shared" si="2"/>
        <v>27</v>
      </c>
      <c r="AI14" s="294" t="str">
        <f t="shared" si="2"/>
        <v>28</v>
      </c>
      <c r="AJ14" s="294" t="str">
        <f t="shared" si="2"/>
        <v>29</v>
      </c>
      <c r="AK14" s="294" t="str">
        <f t="shared" si="2"/>
        <v>30</v>
      </c>
      <c r="AL14" s="294" t="str">
        <f t="shared" si="2"/>
        <v>1</v>
      </c>
    </row>
    <row r="15" spans="1:38" x14ac:dyDescent="0.3">
      <c r="B15" s="289">
        <f t="shared" ref="B15:B39" si="3">IF(G15&lt;&gt;"",22,0)</f>
        <v>22</v>
      </c>
      <c r="D15" s="296">
        <v>1</v>
      </c>
      <c r="E15" s="296" t="str">
        <f>IFERROR(VLOOKUP(G15,BD_PRINCIPAL[],7,FALSE),"")</f>
        <v>CABO 1RO.</v>
      </c>
      <c r="F15" s="297" t="str">
        <f>IFERROR(VLOOKUP(G15,BD_PRINCIPAL[],2,FALSE),"")</f>
        <v>GARCES ORELLANA DIEGO ANDRES</v>
      </c>
      <c r="G15" s="197" t="s">
        <v>301</v>
      </c>
      <c r="H15" s="296" t="str">
        <f>IFERROR(IF(VLOOKUP($G15,BD_PRINCIPAL[],28,FALSE)=0,"",VLOOKUP($G15,BD_PRINCIPAL[],28,FALSE)),"")</f>
        <v>2T</v>
      </c>
      <c r="I15" s="296" t="str">
        <f>IFERROR(IF(VLOOKUP($G15,BD_PRINCIPAL[],29,FALSE)=0,"",VLOOKUP($G15,BD_PRINCIPAL[],29,FALSE)),"")</f>
        <v>1T</v>
      </c>
      <c r="J15" s="296" t="str">
        <f>IFERROR(IF(VLOOKUP($G15,BD_PRINCIPAL[],30,FALSE)=0,"",VLOOKUP($G15,BD_PRINCIPAL[],30,FALSE)),"")</f>
        <v>2P</v>
      </c>
      <c r="K15" s="296" t="str">
        <f>IFERROR(IF(VLOOKUP($G15,BD_PRINCIPAL[],31,FALSE)=0,"",VLOOKUP($G15,BD_PRINCIPAL[],31,FALSE)),"")</f>
        <v>SN</v>
      </c>
      <c r="L15" s="296" t="str">
        <f>IFERROR(IF(VLOOKUP($G15,BD_PRINCIPAL[],32,FALSE)=0,"",VLOOKUP($G15,BD_PRINCIPAL[],32,FALSE)),"")</f>
        <v>2T</v>
      </c>
      <c r="M15" s="296" t="str">
        <f>IFERROR(IF(VLOOKUP($G15,BD_PRINCIPAL[],33,FALSE)=0,"",VLOOKUP($G15,BD_PRINCIPAL[],33,FALSE)),"")</f>
        <v>1P</v>
      </c>
      <c r="N15" s="296" t="str">
        <f>IFERROR(IF(VLOOKUP($G15,BD_PRINCIPAL[],34,FALSE)=0,"",VLOOKUP($G15,BD_PRINCIPAL[],34,FALSE)),"")</f>
        <v/>
      </c>
      <c r="O15" s="296" t="str">
        <f>IFERROR(IF(VLOOKUP($G15,BD_PRINCIPAL[],35,FALSE)=0,"",VLOOKUP($G15,BD_PRINCIPAL[],35,FALSE)),"")</f>
        <v/>
      </c>
      <c r="P15" s="296" t="str">
        <f>IFERROR(IF(VLOOKUP($G15,BD_PRINCIPAL[],36,FALSE)=0,"",VLOOKUP($G15,BD_PRINCIPAL[],36,FALSE)),"")</f>
        <v/>
      </c>
      <c r="Q15" s="296" t="str">
        <f>IFERROR(IF(VLOOKUP($G15,BD_PRINCIPAL[],37,FALSE)=0,"",VLOOKUP($G15,BD_PRINCIPAL[],37,FALSE)),"")</f>
        <v/>
      </c>
      <c r="R15" s="296" t="str">
        <f>IFERROR(IF(VLOOKUP($G15,BD_PRINCIPAL[],38,FALSE)=0,"",VLOOKUP($G15,BD_PRINCIPAL[],38,FALSE)),"")</f>
        <v/>
      </c>
      <c r="S15" s="296" t="str">
        <f>IFERROR(IF(VLOOKUP($G15,BD_PRINCIPAL[],39,FALSE)=0,"",VLOOKUP($G15,BD_PRINCIPAL[],39,FALSE)),"")</f>
        <v/>
      </c>
      <c r="T15" s="296" t="str">
        <f>IFERROR(IF(VLOOKUP($G15,BD_PRINCIPAL[],40,FALSE)=0,"",VLOOKUP($G15,BD_PRINCIPAL[],40,FALSE)),"")</f>
        <v/>
      </c>
      <c r="U15" s="296" t="str">
        <f>IFERROR(IF(VLOOKUP($G15,BD_PRINCIPAL[],41,FALSE)=0,"",VLOOKUP($G15,BD_PRINCIPAL[],41,FALSE)),"")</f>
        <v/>
      </c>
      <c r="V15" s="296" t="str">
        <f>IFERROR(IF(VLOOKUP($G15,BD_PRINCIPAL[],42,FALSE)=0,"",VLOOKUP($G15,BD_PRINCIPAL[],42,FALSE)),"")</f>
        <v/>
      </c>
      <c r="W15" s="296" t="str">
        <f>IFERROR(IF(VLOOKUP($G15,BD_PRINCIPAL[],43,FALSE)=0,"",VLOOKUP($G15,BD_PRINCIPAL[],43,FALSE)),"")</f>
        <v/>
      </c>
      <c r="X15" s="296" t="str">
        <f>IFERROR(IF(VLOOKUP($G15,BD_PRINCIPAL[],44,FALSE)=0,"",VLOOKUP($G15,BD_PRINCIPAL[],44,FALSE)),"")</f>
        <v/>
      </c>
      <c r="Y15" s="296" t="str">
        <f>IFERROR(IF(VLOOKUP($G15,BD_PRINCIPAL[],45,FALSE)=0,"",VLOOKUP($G15,BD_PRINCIPAL[],45,FALSE)),"")</f>
        <v/>
      </c>
      <c r="Z15" s="296" t="str">
        <f>IFERROR(IF(VLOOKUP($G15,BD_PRINCIPAL[],46,FALSE)=0,"",VLOOKUP($G15,BD_PRINCIPAL[],46,FALSE)),"")</f>
        <v/>
      </c>
      <c r="AA15" s="296" t="str">
        <f>IFERROR(IF(VLOOKUP($G15,BD_PRINCIPAL[],47,FALSE)=0,"",VLOOKUP($G15,BD_PRINCIPAL[],47,FALSE)),"")</f>
        <v/>
      </c>
      <c r="AB15" s="296" t="str">
        <f>IFERROR(IF(VLOOKUP($G15,BD_PRINCIPAL[],48,FALSE)=0,"",VLOOKUP($G15,BD_PRINCIPAL[],48,FALSE)),"")</f>
        <v/>
      </c>
      <c r="AC15" s="296" t="str">
        <f>IFERROR(IF(VLOOKUP($G15,BD_PRINCIPAL[],49,FALSE)=0,"",VLOOKUP($G15,BD_PRINCIPAL[],49,FALSE)),"")</f>
        <v/>
      </c>
      <c r="AD15" s="296" t="str">
        <f>IFERROR(IF(VLOOKUP($G15,BD_PRINCIPAL[],50,FALSE)=0,"",VLOOKUP($G15,BD_PRINCIPAL[],50,FALSE)),"")</f>
        <v/>
      </c>
      <c r="AE15" s="296" t="str">
        <f>IFERROR(IF(VLOOKUP($G15,BD_PRINCIPAL[],51,FALSE)=0,"",VLOOKUP($G15,BD_PRINCIPAL[],51,FALSE)),"")</f>
        <v/>
      </c>
      <c r="AF15" s="296" t="str">
        <f>IFERROR(IF(VLOOKUP($G15,BD_PRINCIPAL[],52,FALSE)=0,"",VLOOKUP($G15,BD_PRINCIPAL[],52,FALSE)),"")</f>
        <v/>
      </c>
      <c r="AG15" s="296" t="str">
        <f>IFERROR(IF(VLOOKUP($G15,BD_PRINCIPAL[],53,FALSE)=0,"",VLOOKUP($G15,BD_PRINCIPAL[],53,FALSE)),"")</f>
        <v/>
      </c>
      <c r="AH15" s="296" t="str">
        <f>IFERROR(IF(VLOOKUP($G15,BD_PRINCIPAL[],54,FALSE)=0,"",VLOOKUP($G15,BD_PRINCIPAL[],54,FALSE)),"")</f>
        <v/>
      </c>
      <c r="AI15" s="296" t="str">
        <f>IFERROR(IF(VLOOKUP($G15,BD_PRINCIPAL[],55,FALSE)=0,"",VLOOKUP($G15,BD_PRINCIPAL[],55,FALSE)),"")</f>
        <v/>
      </c>
      <c r="AJ15" s="296" t="str">
        <f>IFERROR(IF(VLOOKUP($G15,BD_PRINCIPAL[],56,FALSE)=0,"",VLOOKUP($G15,BD_PRINCIPAL[],56,FALSE)),"")</f>
        <v/>
      </c>
      <c r="AK15" s="296" t="str">
        <f>IFERROR(IF(VLOOKUP($G15,BD_PRINCIPAL[],57,FALSE)=0,"",VLOOKUP($G15,BD_PRINCIPAL[],57,FALSE)),"")</f>
        <v/>
      </c>
      <c r="AL15" s="296" t="str">
        <f>IFERROR(IF(VLOOKUP($G15,BD_PRINCIPAL[],58,FALSE)=0,"",VLOOKUP($G15,BD_PRINCIPAL[],58,FALSE)),"")</f>
        <v/>
      </c>
    </row>
    <row r="16" spans="1:38" x14ac:dyDescent="0.3">
      <c r="B16" s="289">
        <f t="shared" si="3"/>
        <v>22</v>
      </c>
      <c r="D16" s="296">
        <v>2</v>
      </c>
      <c r="E16" s="296" t="str">
        <f>IFERROR(VLOOKUP(G16,BD_PRINCIPAL[],7,FALSE),"")</f>
        <v>CABO 2DO.</v>
      </c>
      <c r="F16" s="297" t="str">
        <f>IFERROR(VLOOKUP(G16,BD_PRINCIPAL[],2,FALSE),"")</f>
        <v>GREZ BRAVO JUAN JESUS</v>
      </c>
      <c r="G16" s="197" t="s">
        <v>300</v>
      </c>
      <c r="H16" s="296" t="str">
        <f>IFERROR(IF(VLOOKUP($G16,BD_PRINCIPAL[],28,FALSE)=0,"",VLOOKUP($G16,BD_PRINCIPAL[],28,FALSE)),"")</f>
        <v>2T</v>
      </c>
      <c r="I16" s="296" t="str">
        <f>IFERROR(IF(VLOOKUP($G16,BD_PRINCIPAL[],29,FALSE)=0,"",VLOOKUP($G16,BD_PRINCIPAL[],29,FALSE)),"")</f>
        <v>1T</v>
      </c>
      <c r="J16" s="296" t="str">
        <f>IFERROR(IF(VLOOKUP($G16,BD_PRINCIPAL[],30,FALSE)=0,"",VLOOKUP($G16,BD_PRINCIPAL[],30,FALSE)),"")</f>
        <v>2P</v>
      </c>
      <c r="K16" s="296" t="str">
        <f>IFERROR(IF(VLOOKUP($G16,BD_PRINCIPAL[],31,FALSE)=0,"",VLOOKUP($G16,BD_PRINCIPAL[],31,FALSE)),"")</f>
        <v>SN</v>
      </c>
      <c r="L16" s="296" t="str">
        <f>IFERROR(IF(VLOOKUP($G16,BD_PRINCIPAL[],32,FALSE)=0,"",VLOOKUP($G16,BD_PRINCIPAL[],32,FALSE)),"")</f>
        <v>2T</v>
      </c>
      <c r="M16" s="296" t="str">
        <f>IFERROR(IF(VLOOKUP($G16,BD_PRINCIPAL[],33,FALSE)=0,"",VLOOKUP($G16,BD_PRINCIPAL[],33,FALSE)),"")</f>
        <v>1P</v>
      </c>
      <c r="N16" s="296" t="str">
        <f>IFERROR(IF(VLOOKUP($G16,BD_PRINCIPAL[],34,FALSE)=0,"",VLOOKUP($G16,BD_PRINCIPAL[],34,FALSE)),"")</f>
        <v/>
      </c>
      <c r="O16" s="296" t="str">
        <f>IFERROR(IF(VLOOKUP($G16,BD_PRINCIPAL[],35,FALSE)=0,"",VLOOKUP($G16,BD_PRINCIPAL[],35,FALSE)),"")</f>
        <v/>
      </c>
      <c r="P16" s="296" t="str">
        <f>IFERROR(IF(VLOOKUP($G16,BD_PRINCIPAL[],36,FALSE)=0,"",VLOOKUP($G16,BD_PRINCIPAL[],36,FALSE)),"")</f>
        <v/>
      </c>
      <c r="Q16" s="296" t="str">
        <f>IFERROR(IF(VLOOKUP($G16,BD_PRINCIPAL[],37,FALSE)=0,"",VLOOKUP($G16,BD_PRINCIPAL[],37,FALSE)),"")</f>
        <v/>
      </c>
      <c r="R16" s="296" t="str">
        <f>IFERROR(IF(VLOOKUP($G16,BD_PRINCIPAL[],38,FALSE)=0,"",VLOOKUP($G16,BD_PRINCIPAL[],38,FALSE)),"")</f>
        <v/>
      </c>
      <c r="S16" s="296" t="str">
        <f>IFERROR(IF(VLOOKUP($G16,BD_PRINCIPAL[],39,FALSE)=0,"",VLOOKUP($G16,BD_PRINCIPAL[],39,FALSE)),"")</f>
        <v/>
      </c>
      <c r="T16" s="296" t="str">
        <f>IFERROR(IF(VLOOKUP($G16,BD_PRINCIPAL[],40,FALSE)=0,"",VLOOKUP($G16,BD_PRINCIPAL[],40,FALSE)),"")</f>
        <v/>
      </c>
      <c r="U16" s="296" t="str">
        <f>IFERROR(IF(VLOOKUP($G16,BD_PRINCIPAL[],41,FALSE)=0,"",VLOOKUP($G16,BD_PRINCIPAL[],41,FALSE)),"")</f>
        <v/>
      </c>
      <c r="V16" s="296" t="str">
        <f>IFERROR(IF(VLOOKUP($G16,BD_PRINCIPAL[],42,FALSE)=0,"",VLOOKUP($G16,BD_PRINCIPAL[],42,FALSE)),"")</f>
        <v/>
      </c>
      <c r="W16" s="296" t="str">
        <f>IFERROR(IF(VLOOKUP($G16,BD_PRINCIPAL[],43,FALSE)=0,"",VLOOKUP($G16,BD_PRINCIPAL[],43,FALSE)),"")</f>
        <v/>
      </c>
      <c r="X16" s="296" t="str">
        <f>IFERROR(IF(VLOOKUP($G16,BD_PRINCIPAL[],44,FALSE)=0,"",VLOOKUP($G16,BD_PRINCIPAL[],44,FALSE)),"")</f>
        <v/>
      </c>
      <c r="Y16" s="296" t="str">
        <f>IFERROR(IF(VLOOKUP($G16,BD_PRINCIPAL[],45,FALSE)=0,"",VLOOKUP($G16,BD_PRINCIPAL[],45,FALSE)),"")</f>
        <v/>
      </c>
      <c r="Z16" s="296" t="str">
        <f>IFERROR(IF(VLOOKUP($G16,BD_PRINCIPAL[],46,FALSE)=0,"",VLOOKUP($G16,BD_PRINCIPAL[],46,FALSE)),"")</f>
        <v/>
      </c>
      <c r="AA16" s="296" t="str">
        <f>IFERROR(IF(VLOOKUP($G16,BD_PRINCIPAL[],47,FALSE)=0,"",VLOOKUP($G16,BD_PRINCIPAL[],47,FALSE)),"")</f>
        <v/>
      </c>
      <c r="AB16" s="296" t="str">
        <f>IFERROR(IF(VLOOKUP($G16,BD_PRINCIPAL[],48,FALSE)=0,"",VLOOKUP($G16,BD_PRINCIPAL[],48,FALSE)),"")</f>
        <v/>
      </c>
      <c r="AC16" s="296" t="str">
        <f>IFERROR(IF(VLOOKUP($G16,BD_PRINCIPAL[],49,FALSE)=0,"",VLOOKUP($G16,BD_PRINCIPAL[],49,FALSE)),"")</f>
        <v/>
      </c>
      <c r="AD16" s="296" t="str">
        <f>IFERROR(IF(VLOOKUP($G16,BD_PRINCIPAL[],50,FALSE)=0,"",VLOOKUP($G16,BD_PRINCIPAL[],50,FALSE)),"")</f>
        <v/>
      </c>
      <c r="AE16" s="296" t="str">
        <f>IFERROR(IF(VLOOKUP($G16,BD_PRINCIPAL[],51,FALSE)=0,"",VLOOKUP($G16,BD_PRINCIPAL[],51,FALSE)),"")</f>
        <v/>
      </c>
      <c r="AF16" s="296" t="str">
        <f>IFERROR(IF(VLOOKUP($G16,BD_PRINCIPAL[],52,FALSE)=0,"",VLOOKUP($G16,BD_PRINCIPAL[],52,FALSE)),"")</f>
        <v/>
      </c>
      <c r="AG16" s="296" t="str">
        <f>IFERROR(IF(VLOOKUP($G16,BD_PRINCIPAL[],53,FALSE)=0,"",VLOOKUP($G16,BD_PRINCIPAL[],53,FALSE)),"")</f>
        <v/>
      </c>
      <c r="AH16" s="296" t="str">
        <f>IFERROR(IF(VLOOKUP($G16,BD_PRINCIPAL[],54,FALSE)=0,"",VLOOKUP($G16,BD_PRINCIPAL[],54,FALSE)),"")</f>
        <v/>
      </c>
      <c r="AI16" s="296" t="str">
        <f>IFERROR(IF(VLOOKUP($G16,BD_PRINCIPAL[],55,FALSE)=0,"",VLOOKUP($G16,BD_PRINCIPAL[],55,FALSE)),"")</f>
        <v/>
      </c>
      <c r="AJ16" s="296" t="str">
        <f>IFERROR(IF(VLOOKUP($G16,BD_PRINCIPAL[],56,FALSE)=0,"",VLOOKUP($G16,BD_PRINCIPAL[],56,FALSE)),"")</f>
        <v/>
      </c>
      <c r="AK16" s="296" t="str">
        <f>IFERROR(IF(VLOOKUP($G16,BD_PRINCIPAL[],57,FALSE)=0,"",VLOOKUP($G16,BD_PRINCIPAL[],57,FALSE)),"")</f>
        <v/>
      </c>
      <c r="AL16" s="296" t="str">
        <f>IFERROR(IF(VLOOKUP($G16,BD_PRINCIPAL[],58,FALSE)=0,"",VLOOKUP($G16,BD_PRINCIPAL[],58,FALSE)),"")</f>
        <v/>
      </c>
    </row>
    <row r="17" spans="2:38" x14ac:dyDescent="0.3">
      <c r="B17" s="289">
        <f t="shared" si="3"/>
        <v>0</v>
      </c>
      <c r="D17" s="296">
        <v>3</v>
      </c>
      <c r="E17" s="296" t="str">
        <f>IFERROR(VLOOKUP(G17,BD_PRINCIPAL[],7,FALSE),"")</f>
        <v/>
      </c>
      <c r="F17" s="297" t="str">
        <f>IFERROR(VLOOKUP(G17,BD_PRINCIPAL[],2,FALSE),"")</f>
        <v/>
      </c>
      <c r="G17" s="197"/>
      <c r="H17" s="296" t="str">
        <f>IFERROR(IF(VLOOKUP($G17,BD_PRINCIPAL[],28,FALSE)=0,"",VLOOKUP($G17,BD_PRINCIPAL[],28,FALSE)),"")</f>
        <v/>
      </c>
      <c r="I17" s="296" t="str">
        <f>IFERROR(IF(VLOOKUP($G17,BD_PRINCIPAL[],29,FALSE)=0,"",VLOOKUP($G17,BD_PRINCIPAL[],29,FALSE)),"")</f>
        <v/>
      </c>
      <c r="J17" s="296" t="str">
        <f>IFERROR(IF(VLOOKUP($G17,BD_PRINCIPAL[],30,FALSE)=0,"",VLOOKUP($G17,BD_PRINCIPAL[],30,FALSE)),"")</f>
        <v/>
      </c>
      <c r="K17" s="296" t="str">
        <f>IFERROR(IF(VLOOKUP($G17,BD_PRINCIPAL[],31,FALSE)=0,"",VLOOKUP($G17,BD_PRINCIPAL[],31,FALSE)),"")</f>
        <v/>
      </c>
      <c r="L17" s="296" t="str">
        <f>IFERROR(IF(VLOOKUP($G17,BD_PRINCIPAL[],32,FALSE)=0,"",VLOOKUP($G17,BD_PRINCIPAL[],32,FALSE)),"")</f>
        <v/>
      </c>
      <c r="M17" s="296" t="str">
        <f>IFERROR(IF(VLOOKUP($G17,BD_PRINCIPAL[],33,FALSE)=0,"",VLOOKUP($G17,BD_PRINCIPAL[],33,FALSE)),"")</f>
        <v/>
      </c>
      <c r="N17" s="296" t="str">
        <f>IFERROR(IF(VLOOKUP($G17,BD_PRINCIPAL[],34,FALSE)=0,"",VLOOKUP($G17,BD_PRINCIPAL[],34,FALSE)),"")</f>
        <v/>
      </c>
      <c r="O17" s="296" t="str">
        <f>IFERROR(IF(VLOOKUP($G17,BD_PRINCIPAL[],35,FALSE)=0,"",VLOOKUP($G17,BD_PRINCIPAL[],35,FALSE)),"")</f>
        <v/>
      </c>
      <c r="P17" s="296" t="str">
        <f>IFERROR(IF(VLOOKUP($G17,BD_PRINCIPAL[],36,FALSE)=0,"",VLOOKUP($G17,BD_PRINCIPAL[],36,FALSE)),"")</f>
        <v/>
      </c>
      <c r="Q17" s="296" t="str">
        <f>IFERROR(IF(VLOOKUP($G17,BD_PRINCIPAL[],37,FALSE)=0,"",VLOOKUP($G17,BD_PRINCIPAL[],37,FALSE)),"")</f>
        <v/>
      </c>
      <c r="R17" s="296" t="str">
        <f>IFERROR(IF(VLOOKUP($G17,BD_PRINCIPAL[],38,FALSE)=0,"",VLOOKUP($G17,BD_PRINCIPAL[],38,FALSE)),"")</f>
        <v/>
      </c>
      <c r="S17" s="296" t="str">
        <f>IFERROR(IF(VLOOKUP($G17,BD_PRINCIPAL[],39,FALSE)=0,"",VLOOKUP($G17,BD_PRINCIPAL[],39,FALSE)),"")</f>
        <v/>
      </c>
      <c r="T17" s="296" t="str">
        <f>IFERROR(IF(VLOOKUP($G17,BD_PRINCIPAL[],40,FALSE)=0,"",VLOOKUP($G17,BD_PRINCIPAL[],40,FALSE)),"")</f>
        <v/>
      </c>
      <c r="U17" s="296" t="str">
        <f>IFERROR(IF(VLOOKUP($G17,BD_PRINCIPAL[],41,FALSE)=0,"",VLOOKUP($G17,BD_PRINCIPAL[],41,FALSE)),"")</f>
        <v/>
      </c>
      <c r="V17" s="296" t="str">
        <f>IFERROR(IF(VLOOKUP($G17,BD_PRINCIPAL[],42,FALSE)=0,"",VLOOKUP($G17,BD_PRINCIPAL[],42,FALSE)),"")</f>
        <v/>
      </c>
      <c r="W17" s="296" t="str">
        <f>IFERROR(IF(VLOOKUP($G17,BD_PRINCIPAL[],43,FALSE)=0,"",VLOOKUP($G17,BD_PRINCIPAL[],43,FALSE)),"")</f>
        <v/>
      </c>
      <c r="X17" s="296" t="str">
        <f>IFERROR(IF(VLOOKUP($G17,BD_PRINCIPAL[],44,FALSE)=0,"",VLOOKUP($G17,BD_PRINCIPAL[],44,FALSE)),"")</f>
        <v/>
      </c>
      <c r="Y17" s="296" t="str">
        <f>IFERROR(IF(VLOOKUP($G17,BD_PRINCIPAL[],45,FALSE)=0,"",VLOOKUP($G17,BD_PRINCIPAL[],45,FALSE)),"")</f>
        <v/>
      </c>
      <c r="Z17" s="296" t="str">
        <f>IFERROR(IF(VLOOKUP($G17,BD_PRINCIPAL[],46,FALSE)=0,"",VLOOKUP($G17,BD_PRINCIPAL[],46,FALSE)),"")</f>
        <v/>
      </c>
      <c r="AA17" s="296" t="str">
        <f>IFERROR(IF(VLOOKUP($G17,BD_PRINCIPAL[],47,FALSE)=0,"",VLOOKUP($G17,BD_PRINCIPAL[],47,FALSE)),"")</f>
        <v/>
      </c>
      <c r="AB17" s="296" t="str">
        <f>IFERROR(IF(VLOOKUP($G17,BD_PRINCIPAL[],48,FALSE)=0,"",VLOOKUP($G17,BD_PRINCIPAL[],48,FALSE)),"")</f>
        <v/>
      </c>
      <c r="AC17" s="296" t="str">
        <f>IFERROR(IF(VLOOKUP($G17,BD_PRINCIPAL[],49,FALSE)=0,"",VLOOKUP($G17,BD_PRINCIPAL[],49,FALSE)),"")</f>
        <v/>
      </c>
      <c r="AD17" s="296" t="str">
        <f>IFERROR(IF(VLOOKUP($G17,BD_PRINCIPAL[],50,FALSE)=0,"",VLOOKUP($G17,BD_PRINCIPAL[],50,FALSE)),"")</f>
        <v/>
      </c>
      <c r="AE17" s="296" t="str">
        <f>IFERROR(IF(VLOOKUP($G17,BD_PRINCIPAL[],51,FALSE)=0,"",VLOOKUP($G17,BD_PRINCIPAL[],51,FALSE)),"")</f>
        <v/>
      </c>
      <c r="AF17" s="296" t="str">
        <f>IFERROR(IF(VLOOKUP($G17,BD_PRINCIPAL[],52,FALSE)=0,"",VLOOKUP($G17,BD_PRINCIPAL[],52,FALSE)),"")</f>
        <v/>
      </c>
      <c r="AG17" s="296" t="str">
        <f>IFERROR(IF(VLOOKUP($G17,BD_PRINCIPAL[],53,FALSE)=0,"",VLOOKUP($G17,BD_PRINCIPAL[],53,FALSE)),"")</f>
        <v/>
      </c>
      <c r="AH17" s="296" t="str">
        <f>IFERROR(IF(VLOOKUP($G17,BD_PRINCIPAL[],54,FALSE)=0,"",VLOOKUP($G17,BD_PRINCIPAL[],54,FALSE)),"")</f>
        <v/>
      </c>
      <c r="AI17" s="296" t="str">
        <f>IFERROR(IF(VLOOKUP($G17,BD_PRINCIPAL[],55,FALSE)=0,"",VLOOKUP($G17,BD_PRINCIPAL[],55,FALSE)),"")</f>
        <v/>
      </c>
      <c r="AJ17" s="296" t="str">
        <f>IFERROR(IF(VLOOKUP($G17,BD_PRINCIPAL[],56,FALSE)=0,"",VLOOKUP($G17,BD_PRINCIPAL[],56,FALSE)),"")</f>
        <v/>
      </c>
      <c r="AK17" s="296" t="str">
        <f>IFERROR(IF(VLOOKUP($G17,BD_PRINCIPAL[],57,FALSE)=0,"",VLOOKUP($G17,BD_PRINCIPAL[],57,FALSE)),"")</f>
        <v/>
      </c>
      <c r="AL17" s="296" t="str">
        <f>IFERROR(IF(VLOOKUP($G17,BD_PRINCIPAL[],58,FALSE)=0,"",VLOOKUP($G17,BD_PRINCIPAL[],58,FALSE)),"")</f>
        <v/>
      </c>
    </row>
    <row r="18" spans="2:38" x14ac:dyDescent="0.3">
      <c r="B18" s="289">
        <f t="shared" si="3"/>
        <v>0</v>
      </c>
      <c r="D18" s="296">
        <v>4</v>
      </c>
      <c r="E18" s="296" t="str">
        <f>IFERROR(VLOOKUP(G18,BD_PRINCIPAL[],7,FALSE),"")</f>
        <v/>
      </c>
      <c r="F18" s="297" t="str">
        <f>IFERROR(VLOOKUP(G18,BD_PRINCIPAL[],2,FALSE),"")</f>
        <v/>
      </c>
      <c r="G18" s="914"/>
      <c r="H18" s="296" t="str">
        <f>IFERROR(IF(VLOOKUP($G18,BD_PRINCIPAL[],28,FALSE)=0,"",VLOOKUP($G18,BD_PRINCIPAL[],28,FALSE)),"")</f>
        <v/>
      </c>
      <c r="I18" s="296" t="str">
        <f>IFERROR(IF(VLOOKUP($G18,BD_PRINCIPAL[],29,FALSE)=0,"",VLOOKUP($G18,BD_PRINCIPAL[],29,FALSE)),"")</f>
        <v/>
      </c>
      <c r="J18" s="296" t="str">
        <f>IFERROR(IF(VLOOKUP($G18,BD_PRINCIPAL[],30,FALSE)=0,"",VLOOKUP($G18,BD_PRINCIPAL[],30,FALSE)),"")</f>
        <v/>
      </c>
      <c r="K18" s="296" t="str">
        <f>IFERROR(IF(VLOOKUP($G18,BD_PRINCIPAL[],31,FALSE)=0,"",VLOOKUP($G18,BD_PRINCIPAL[],31,FALSE)),"")</f>
        <v/>
      </c>
      <c r="L18" s="296" t="str">
        <f>IFERROR(IF(VLOOKUP($G18,BD_PRINCIPAL[],32,FALSE)=0,"",VLOOKUP($G18,BD_PRINCIPAL[],32,FALSE)),"")</f>
        <v/>
      </c>
      <c r="M18" s="296" t="str">
        <f>IFERROR(IF(VLOOKUP($G18,BD_PRINCIPAL[],33,FALSE)=0,"",VLOOKUP($G18,BD_PRINCIPAL[],33,FALSE)),"")</f>
        <v/>
      </c>
      <c r="N18" s="296" t="str">
        <f>IFERROR(IF(VLOOKUP($G18,BD_PRINCIPAL[],34,FALSE)=0,"",VLOOKUP($G18,BD_PRINCIPAL[],34,FALSE)),"")</f>
        <v/>
      </c>
      <c r="O18" s="296" t="str">
        <f>IFERROR(IF(VLOOKUP($G18,BD_PRINCIPAL[],35,FALSE)=0,"",VLOOKUP($G18,BD_PRINCIPAL[],35,FALSE)),"")</f>
        <v/>
      </c>
      <c r="P18" s="296" t="str">
        <f>IFERROR(IF(VLOOKUP($G18,BD_PRINCIPAL[],36,FALSE)=0,"",VLOOKUP($G18,BD_PRINCIPAL[],36,FALSE)),"")</f>
        <v/>
      </c>
      <c r="Q18" s="296" t="str">
        <f>IFERROR(IF(VLOOKUP($G18,BD_PRINCIPAL[],37,FALSE)=0,"",VLOOKUP($G18,BD_PRINCIPAL[],37,FALSE)),"")</f>
        <v/>
      </c>
      <c r="R18" s="296" t="str">
        <f>IFERROR(IF(VLOOKUP($G18,BD_PRINCIPAL[],38,FALSE)=0,"",VLOOKUP($G18,BD_PRINCIPAL[],38,FALSE)),"")</f>
        <v/>
      </c>
      <c r="S18" s="296" t="str">
        <f>IFERROR(IF(VLOOKUP($G18,BD_PRINCIPAL[],39,FALSE)=0,"",VLOOKUP($G18,BD_PRINCIPAL[],39,FALSE)),"")</f>
        <v/>
      </c>
      <c r="T18" s="296" t="str">
        <f>IFERROR(IF(VLOOKUP($G18,BD_PRINCIPAL[],40,FALSE)=0,"",VLOOKUP($G18,BD_PRINCIPAL[],40,FALSE)),"")</f>
        <v/>
      </c>
      <c r="U18" s="296" t="str">
        <f>IFERROR(IF(VLOOKUP($G18,BD_PRINCIPAL[],41,FALSE)=0,"",VLOOKUP($G18,BD_PRINCIPAL[],41,FALSE)),"")</f>
        <v/>
      </c>
      <c r="V18" s="296" t="str">
        <f>IFERROR(IF(VLOOKUP($G18,BD_PRINCIPAL[],42,FALSE)=0,"",VLOOKUP($G18,BD_PRINCIPAL[],42,FALSE)),"")</f>
        <v/>
      </c>
      <c r="W18" s="296" t="str">
        <f>IFERROR(IF(VLOOKUP($G18,BD_PRINCIPAL[],43,FALSE)=0,"",VLOOKUP($G18,BD_PRINCIPAL[],43,FALSE)),"")</f>
        <v/>
      </c>
      <c r="X18" s="296" t="str">
        <f>IFERROR(IF(VLOOKUP($G18,BD_PRINCIPAL[],44,FALSE)=0,"",VLOOKUP($G18,BD_PRINCIPAL[],44,FALSE)),"")</f>
        <v/>
      </c>
      <c r="Y18" s="296" t="str">
        <f>IFERROR(IF(VLOOKUP($G18,BD_PRINCIPAL[],45,FALSE)=0,"",VLOOKUP($G18,BD_PRINCIPAL[],45,FALSE)),"")</f>
        <v/>
      </c>
      <c r="Z18" s="296" t="str">
        <f>IFERROR(IF(VLOOKUP($G18,BD_PRINCIPAL[],46,FALSE)=0,"",VLOOKUP($G18,BD_PRINCIPAL[],46,FALSE)),"")</f>
        <v/>
      </c>
      <c r="AA18" s="296" t="str">
        <f>IFERROR(IF(VLOOKUP($G18,BD_PRINCIPAL[],47,FALSE)=0,"",VLOOKUP($G18,BD_PRINCIPAL[],47,FALSE)),"")</f>
        <v/>
      </c>
      <c r="AB18" s="296" t="str">
        <f>IFERROR(IF(VLOOKUP($G18,BD_PRINCIPAL[],48,FALSE)=0,"",VLOOKUP($G18,BD_PRINCIPAL[],48,FALSE)),"")</f>
        <v/>
      </c>
      <c r="AC18" s="296" t="str">
        <f>IFERROR(IF(VLOOKUP($G18,BD_PRINCIPAL[],49,FALSE)=0,"",VLOOKUP($G18,BD_PRINCIPAL[],49,FALSE)),"")</f>
        <v/>
      </c>
      <c r="AD18" s="296" t="str">
        <f>IFERROR(IF(VLOOKUP($G18,BD_PRINCIPAL[],50,FALSE)=0,"",VLOOKUP($G18,BD_PRINCIPAL[],50,FALSE)),"")</f>
        <v/>
      </c>
      <c r="AE18" s="296" t="str">
        <f>IFERROR(IF(VLOOKUP($G18,BD_PRINCIPAL[],51,FALSE)=0,"",VLOOKUP($G18,BD_PRINCIPAL[],51,FALSE)),"")</f>
        <v/>
      </c>
      <c r="AF18" s="296" t="str">
        <f>IFERROR(IF(VLOOKUP($G18,BD_PRINCIPAL[],52,FALSE)=0,"",VLOOKUP($G18,BD_PRINCIPAL[],52,FALSE)),"")</f>
        <v/>
      </c>
      <c r="AG18" s="296" t="str">
        <f>IFERROR(IF(VLOOKUP($G18,BD_PRINCIPAL[],53,FALSE)=0,"",VLOOKUP($G18,BD_PRINCIPAL[],53,FALSE)),"")</f>
        <v/>
      </c>
      <c r="AH18" s="296" t="str">
        <f>IFERROR(IF(VLOOKUP($G18,BD_PRINCIPAL[],54,FALSE)=0,"",VLOOKUP($G18,BD_PRINCIPAL[],54,FALSE)),"")</f>
        <v/>
      </c>
      <c r="AI18" s="296" t="str">
        <f>IFERROR(IF(VLOOKUP($G18,BD_PRINCIPAL[],55,FALSE)=0,"",VLOOKUP($G18,BD_PRINCIPAL[],55,FALSE)),"")</f>
        <v/>
      </c>
      <c r="AJ18" s="296" t="str">
        <f>IFERROR(IF(VLOOKUP($G18,BD_PRINCIPAL[],56,FALSE)=0,"",VLOOKUP($G18,BD_PRINCIPAL[],56,FALSE)),"")</f>
        <v/>
      </c>
      <c r="AK18" s="296" t="str">
        <f>IFERROR(IF(VLOOKUP($G18,BD_PRINCIPAL[],57,FALSE)=0,"",VLOOKUP($G18,BD_PRINCIPAL[],57,FALSE)),"")</f>
        <v/>
      </c>
      <c r="AL18" s="296" t="str">
        <f>IFERROR(IF(VLOOKUP($G18,BD_PRINCIPAL[],58,FALSE)=0,"",VLOOKUP($G18,BD_PRINCIPAL[],58,FALSE)),"")</f>
        <v/>
      </c>
    </row>
    <row r="19" spans="2:38" x14ac:dyDescent="0.3">
      <c r="B19" s="289">
        <f t="shared" si="3"/>
        <v>0</v>
      </c>
      <c r="D19" s="296">
        <v>5</v>
      </c>
      <c r="E19" s="296" t="str">
        <f>IFERROR(VLOOKUP(G19,BD_PRINCIPAL[],7,FALSE),"")</f>
        <v/>
      </c>
      <c r="F19" s="297" t="str">
        <f>IFERROR(VLOOKUP(G19,BD_PRINCIPAL[],2,FALSE),"")</f>
        <v/>
      </c>
      <c r="G19" s="197"/>
      <c r="H19" s="296" t="str">
        <f>IFERROR(IF(VLOOKUP($G19,BD_PRINCIPAL[],28,FALSE)=0,"",VLOOKUP($G19,BD_PRINCIPAL[],28,FALSE)),"")</f>
        <v/>
      </c>
      <c r="I19" s="296" t="str">
        <f>IFERROR(IF(VLOOKUP($G19,BD_PRINCIPAL[],29,FALSE)=0,"",VLOOKUP($G19,BD_PRINCIPAL[],29,FALSE)),"")</f>
        <v/>
      </c>
      <c r="J19" s="296" t="str">
        <f>IFERROR(IF(VLOOKUP($G19,BD_PRINCIPAL[],30,FALSE)=0,"",VLOOKUP($G19,BD_PRINCIPAL[],30,FALSE)),"")</f>
        <v/>
      </c>
      <c r="K19" s="296" t="str">
        <f>IFERROR(IF(VLOOKUP($G19,BD_PRINCIPAL[],31,FALSE)=0,"",VLOOKUP($G19,BD_PRINCIPAL[],31,FALSE)),"")</f>
        <v/>
      </c>
      <c r="L19" s="296" t="str">
        <f>IFERROR(IF(VLOOKUP($G19,BD_PRINCIPAL[],32,FALSE)=0,"",VLOOKUP($G19,BD_PRINCIPAL[],32,FALSE)),"")</f>
        <v/>
      </c>
      <c r="M19" s="296" t="str">
        <f>IFERROR(IF(VLOOKUP($G19,BD_PRINCIPAL[],33,FALSE)=0,"",VLOOKUP($G19,BD_PRINCIPAL[],33,FALSE)),"")</f>
        <v/>
      </c>
      <c r="N19" s="296" t="str">
        <f>IFERROR(IF(VLOOKUP($G19,BD_PRINCIPAL[],34,FALSE)=0,"",VLOOKUP($G19,BD_PRINCIPAL[],34,FALSE)),"")</f>
        <v/>
      </c>
      <c r="O19" s="296" t="str">
        <f>IFERROR(IF(VLOOKUP($G19,BD_PRINCIPAL[],35,FALSE)=0,"",VLOOKUP($G19,BD_PRINCIPAL[],35,FALSE)),"")</f>
        <v/>
      </c>
      <c r="P19" s="296" t="str">
        <f>IFERROR(IF(VLOOKUP($G19,BD_PRINCIPAL[],36,FALSE)=0,"",VLOOKUP($G19,BD_PRINCIPAL[],36,FALSE)),"")</f>
        <v/>
      </c>
      <c r="Q19" s="296" t="str">
        <f>IFERROR(IF(VLOOKUP($G19,BD_PRINCIPAL[],37,FALSE)=0,"",VLOOKUP($G19,BD_PRINCIPAL[],37,FALSE)),"")</f>
        <v/>
      </c>
      <c r="R19" s="296" t="str">
        <f>IFERROR(IF(VLOOKUP($G19,BD_PRINCIPAL[],38,FALSE)=0,"",VLOOKUP($G19,BD_PRINCIPAL[],38,FALSE)),"")</f>
        <v/>
      </c>
      <c r="S19" s="296" t="str">
        <f>IFERROR(IF(VLOOKUP($G19,BD_PRINCIPAL[],39,FALSE)=0,"",VLOOKUP($G19,BD_PRINCIPAL[],39,FALSE)),"")</f>
        <v/>
      </c>
      <c r="T19" s="296" t="str">
        <f>IFERROR(IF(VLOOKUP($G19,BD_PRINCIPAL[],40,FALSE)=0,"",VLOOKUP($G19,BD_PRINCIPAL[],40,FALSE)),"")</f>
        <v/>
      </c>
      <c r="U19" s="296" t="str">
        <f>IFERROR(IF(VLOOKUP($G19,BD_PRINCIPAL[],41,FALSE)=0,"",VLOOKUP($G19,BD_PRINCIPAL[],41,FALSE)),"")</f>
        <v/>
      </c>
      <c r="V19" s="296" t="str">
        <f>IFERROR(IF(VLOOKUP($G19,BD_PRINCIPAL[],42,FALSE)=0,"",VLOOKUP($G19,BD_PRINCIPAL[],42,FALSE)),"")</f>
        <v/>
      </c>
      <c r="W19" s="296" t="str">
        <f>IFERROR(IF(VLOOKUP($G19,BD_PRINCIPAL[],43,FALSE)=0,"",VLOOKUP($G19,BD_PRINCIPAL[],43,FALSE)),"")</f>
        <v/>
      </c>
      <c r="X19" s="296" t="str">
        <f>IFERROR(IF(VLOOKUP($G19,BD_PRINCIPAL[],44,FALSE)=0,"",VLOOKUP($G19,BD_PRINCIPAL[],44,FALSE)),"")</f>
        <v/>
      </c>
      <c r="Y19" s="296" t="str">
        <f>IFERROR(IF(VLOOKUP($G19,BD_PRINCIPAL[],45,FALSE)=0,"",VLOOKUP($G19,BD_PRINCIPAL[],45,FALSE)),"")</f>
        <v/>
      </c>
      <c r="Z19" s="296" t="str">
        <f>IFERROR(IF(VLOOKUP($G19,BD_PRINCIPAL[],46,FALSE)=0,"",VLOOKUP($G19,BD_PRINCIPAL[],46,FALSE)),"")</f>
        <v/>
      </c>
      <c r="AA19" s="296" t="str">
        <f>IFERROR(IF(VLOOKUP($G19,BD_PRINCIPAL[],47,FALSE)=0,"",VLOOKUP($G19,BD_PRINCIPAL[],47,FALSE)),"")</f>
        <v/>
      </c>
      <c r="AB19" s="296" t="str">
        <f>IFERROR(IF(VLOOKUP($G19,BD_PRINCIPAL[],48,FALSE)=0,"",VLOOKUP($G19,BD_PRINCIPAL[],48,FALSE)),"")</f>
        <v/>
      </c>
      <c r="AC19" s="296" t="str">
        <f>IFERROR(IF(VLOOKUP($G19,BD_PRINCIPAL[],49,FALSE)=0,"",VLOOKUP($G19,BD_PRINCIPAL[],49,FALSE)),"")</f>
        <v/>
      </c>
      <c r="AD19" s="296" t="str">
        <f>IFERROR(IF(VLOOKUP($G19,BD_PRINCIPAL[],50,FALSE)=0,"",VLOOKUP($G19,BD_PRINCIPAL[],50,FALSE)),"")</f>
        <v/>
      </c>
      <c r="AE19" s="296" t="str">
        <f>IFERROR(IF(VLOOKUP($G19,BD_PRINCIPAL[],51,FALSE)=0,"",VLOOKUP($G19,BD_PRINCIPAL[],51,FALSE)),"")</f>
        <v/>
      </c>
      <c r="AF19" s="296" t="str">
        <f>IFERROR(IF(VLOOKUP($G19,BD_PRINCIPAL[],52,FALSE)=0,"",VLOOKUP($G19,BD_PRINCIPAL[],52,FALSE)),"")</f>
        <v/>
      </c>
      <c r="AG19" s="296" t="str">
        <f>IFERROR(IF(VLOOKUP($G19,BD_PRINCIPAL[],53,FALSE)=0,"",VLOOKUP($G19,BD_PRINCIPAL[],53,FALSE)),"")</f>
        <v/>
      </c>
      <c r="AH19" s="296" t="str">
        <f>IFERROR(IF(VLOOKUP($G19,BD_PRINCIPAL[],54,FALSE)=0,"",VLOOKUP($G19,BD_PRINCIPAL[],54,FALSE)),"")</f>
        <v/>
      </c>
      <c r="AI19" s="296" t="str">
        <f>IFERROR(IF(VLOOKUP($G19,BD_PRINCIPAL[],55,FALSE)=0,"",VLOOKUP($G19,BD_PRINCIPAL[],55,FALSE)),"")</f>
        <v/>
      </c>
      <c r="AJ19" s="296" t="str">
        <f>IFERROR(IF(VLOOKUP($G19,BD_PRINCIPAL[],56,FALSE)=0,"",VLOOKUP($G19,BD_PRINCIPAL[],56,FALSE)),"")</f>
        <v/>
      </c>
      <c r="AK19" s="296" t="str">
        <f>IFERROR(IF(VLOOKUP($G19,BD_PRINCIPAL[],57,FALSE)=0,"",VLOOKUP($G19,BD_PRINCIPAL[],57,FALSE)),"")</f>
        <v/>
      </c>
      <c r="AL19" s="296" t="str">
        <f>IFERROR(IF(VLOOKUP($G19,BD_PRINCIPAL[],58,FALSE)=0,"",VLOOKUP($G19,BD_PRINCIPAL[],58,FALSE)),"")</f>
        <v/>
      </c>
    </row>
    <row r="20" spans="2:38" x14ac:dyDescent="0.3">
      <c r="B20" s="289">
        <f t="shared" si="3"/>
        <v>0</v>
      </c>
      <c r="D20" s="296">
        <v>6</v>
      </c>
      <c r="E20" s="296" t="str">
        <f>IFERROR(VLOOKUP(G20,BD_PRINCIPAL[],7,FALSE),"")</f>
        <v/>
      </c>
      <c r="F20" s="297" t="str">
        <f>IFERROR(VLOOKUP(G20,BD_PRINCIPAL[],2,FALSE),"")</f>
        <v/>
      </c>
      <c r="G20" s="914"/>
      <c r="H20" s="296" t="str">
        <f>IFERROR(IF(VLOOKUP($G20,BD_PRINCIPAL[],28,FALSE)=0,"",VLOOKUP($G20,BD_PRINCIPAL[],28,FALSE)),"")</f>
        <v/>
      </c>
      <c r="I20" s="296" t="str">
        <f>IFERROR(IF(VLOOKUP($G20,BD_PRINCIPAL[],29,FALSE)=0,"",VLOOKUP($G20,BD_PRINCIPAL[],29,FALSE)),"")</f>
        <v/>
      </c>
      <c r="J20" s="296" t="str">
        <f>IFERROR(IF(VLOOKUP($G20,BD_PRINCIPAL[],30,FALSE)=0,"",VLOOKUP($G20,BD_PRINCIPAL[],30,FALSE)),"")</f>
        <v/>
      </c>
      <c r="K20" s="296" t="str">
        <f>IFERROR(IF(VLOOKUP($G20,BD_PRINCIPAL[],31,FALSE)=0,"",VLOOKUP($G20,BD_PRINCIPAL[],31,FALSE)),"")</f>
        <v/>
      </c>
      <c r="L20" s="296" t="str">
        <f>IFERROR(IF(VLOOKUP($G20,BD_PRINCIPAL[],32,FALSE)=0,"",VLOOKUP($G20,BD_PRINCIPAL[],32,FALSE)),"")</f>
        <v/>
      </c>
      <c r="M20" s="296" t="str">
        <f>IFERROR(IF(VLOOKUP($G20,BD_PRINCIPAL[],33,FALSE)=0,"",VLOOKUP($G20,BD_PRINCIPAL[],33,FALSE)),"")</f>
        <v/>
      </c>
      <c r="N20" s="296" t="str">
        <f>IFERROR(IF(VLOOKUP($G20,BD_PRINCIPAL[],34,FALSE)=0,"",VLOOKUP($G20,BD_PRINCIPAL[],34,FALSE)),"")</f>
        <v/>
      </c>
      <c r="O20" s="296" t="str">
        <f>IFERROR(IF(VLOOKUP($G20,BD_PRINCIPAL[],35,FALSE)=0,"",VLOOKUP($G20,BD_PRINCIPAL[],35,FALSE)),"")</f>
        <v/>
      </c>
      <c r="P20" s="296" t="str">
        <f>IFERROR(IF(VLOOKUP($G20,BD_PRINCIPAL[],36,FALSE)=0,"",VLOOKUP($G20,BD_PRINCIPAL[],36,FALSE)),"")</f>
        <v/>
      </c>
      <c r="Q20" s="296" t="str">
        <f>IFERROR(IF(VLOOKUP($G20,BD_PRINCIPAL[],37,FALSE)=0,"",VLOOKUP($G20,BD_PRINCIPAL[],37,FALSE)),"")</f>
        <v/>
      </c>
      <c r="R20" s="296" t="str">
        <f>IFERROR(IF(VLOOKUP($G20,BD_PRINCIPAL[],38,FALSE)=0,"",VLOOKUP($G20,BD_PRINCIPAL[],38,FALSE)),"")</f>
        <v/>
      </c>
      <c r="S20" s="296" t="str">
        <f>IFERROR(IF(VLOOKUP($G20,BD_PRINCIPAL[],39,FALSE)=0,"",VLOOKUP($G20,BD_PRINCIPAL[],39,FALSE)),"")</f>
        <v/>
      </c>
      <c r="T20" s="296" t="str">
        <f>IFERROR(IF(VLOOKUP($G20,BD_PRINCIPAL[],40,FALSE)=0,"",VLOOKUP($G20,BD_PRINCIPAL[],40,FALSE)),"")</f>
        <v/>
      </c>
      <c r="U20" s="296" t="str">
        <f>IFERROR(IF(VLOOKUP($G20,BD_PRINCIPAL[],41,FALSE)=0,"",VLOOKUP($G20,BD_PRINCIPAL[],41,FALSE)),"")</f>
        <v/>
      </c>
      <c r="V20" s="296" t="str">
        <f>IFERROR(IF(VLOOKUP($G20,BD_PRINCIPAL[],42,FALSE)=0,"",VLOOKUP($G20,BD_PRINCIPAL[],42,FALSE)),"")</f>
        <v/>
      </c>
      <c r="W20" s="296" t="str">
        <f>IFERROR(IF(VLOOKUP($G20,BD_PRINCIPAL[],43,FALSE)=0,"",VLOOKUP($G20,BD_PRINCIPAL[],43,FALSE)),"")</f>
        <v/>
      </c>
      <c r="X20" s="296" t="str">
        <f>IFERROR(IF(VLOOKUP($G20,BD_PRINCIPAL[],44,FALSE)=0,"",VLOOKUP($G20,BD_PRINCIPAL[],44,FALSE)),"")</f>
        <v/>
      </c>
      <c r="Y20" s="296" t="str">
        <f>IFERROR(IF(VLOOKUP($G20,BD_PRINCIPAL[],45,FALSE)=0,"",VLOOKUP($G20,BD_PRINCIPAL[],45,FALSE)),"")</f>
        <v/>
      </c>
      <c r="Z20" s="296" t="str">
        <f>IFERROR(IF(VLOOKUP($G20,BD_PRINCIPAL[],46,FALSE)=0,"",VLOOKUP($G20,BD_PRINCIPAL[],46,FALSE)),"")</f>
        <v/>
      </c>
      <c r="AA20" s="296" t="str">
        <f>IFERROR(IF(VLOOKUP($G20,BD_PRINCIPAL[],47,FALSE)=0,"",VLOOKUP($G20,BD_PRINCIPAL[],47,FALSE)),"")</f>
        <v/>
      </c>
      <c r="AB20" s="296" t="str">
        <f>IFERROR(IF(VLOOKUP($G20,BD_PRINCIPAL[],48,FALSE)=0,"",VLOOKUP($G20,BD_PRINCIPAL[],48,FALSE)),"")</f>
        <v/>
      </c>
      <c r="AC20" s="296" t="str">
        <f>IFERROR(IF(VLOOKUP($G20,BD_PRINCIPAL[],49,FALSE)=0,"",VLOOKUP($G20,BD_PRINCIPAL[],49,FALSE)),"")</f>
        <v/>
      </c>
      <c r="AD20" s="296" t="str">
        <f>IFERROR(IF(VLOOKUP($G20,BD_PRINCIPAL[],50,FALSE)=0,"",VLOOKUP($G20,BD_PRINCIPAL[],50,FALSE)),"")</f>
        <v/>
      </c>
      <c r="AE20" s="296" t="str">
        <f>IFERROR(IF(VLOOKUP($G20,BD_PRINCIPAL[],51,FALSE)=0,"",VLOOKUP($G20,BD_PRINCIPAL[],51,FALSE)),"")</f>
        <v/>
      </c>
      <c r="AF20" s="296" t="str">
        <f>IFERROR(IF(VLOOKUP($G20,BD_PRINCIPAL[],52,FALSE)=0,"",VLOOKUP($G20,BD_PRINCIPAL[],52,FALSE)),"")</f>
        <v/>
      </c>
      <c r="AG20" s="296" t="str">
        <f>IFERROR(IF(VLOOKUP($G20,BD_PRINCIPAL[],53,FALSE)=0,"",VLOOKUP($G20,BD_PRINCIPAL[],53,FALSE)),"")</f>
        <v/>
      </c>
      <c r="AH20" s="296" t="str">
        <f>IFERROR(IF(VLOOKUP($G20,BD_PRINCIPAL[],54,FALSE)=0,"",VLOOKUP($G20,BD_PRINCIPAL[],54,FALSE)),"")</f>
        <v/>
      </c>
      <c r="AI20" s="296" t="str">
        <f>IFERROR(IF(VLOOKUP($G20,BD_PRINCIPAL[],55,FALSE)=0,"",VLOOKUP($G20,BD_PRINCIPAL[],55,FALSE)),"")</f>
        <v/>
      </c>
      <c r="AJ20" s="296" t="str">
        <f>IFERROR(IF(VLOOKUP($G20,BD_PRINCIPAL[],56,FALSE)=0,"",VLOOKUP($G20,BD_PRINCIPAL[],56,FALSE)),"")</f>
        <v/>
      </c>
      <c r="AK20" s="296" t="str">
        <f>IFERROR(IF(VLOOKUP($G20,BD_PRINCIPAL[],57,FALSE)=0,"",VLOOKUP($G20,BD_PRINCIPAL[],57,FALSE)),"")</f>
        <v/>
      </c>
      <c r="AL20" s="296" t="str">
        <f>IFERROR(IF(VLOOKUP($G20,BD_PRINCIPAL[],58,FALSE)=0,"",VLOOKUP($G20,BD_PRINCIPAL[],58,FALSE)),"")</f>
        <v/>
      </c>
    </row>
    <row r="21" spans="2:38" x14ac:dyDescent="0.3">
      <c r="B21" s="289">
        <f t="shared" si="3"/>
        <v>0</v>
      </c>
      <c r="D21" s="296">
        <v>7</v>
      </c>
      <c r="E21" s="296" t="str">
        <f>IFERROR(VLOOKUP(G21,BD_PRINCIPAL[],7,FALSE),"")</f>
        <v/>
      </c>
      <c r="F21" s="297" t="str">
        <f>IFERROR(VLOOKUP(G21,BD_PRINCIPAL[],2,FALSE),"")</f>
        <v/>
      </c>
      <c r="G21" s="914"/>
      <c r="H21" s="296" t="str">
        <f>IFERROR(IF(VLOOKUP($G21,BD_PRINCIPAL[],28,FALSE)=0,"",VLOOKUP($G21,BD_PRINCIPAL[],28,FALSE)),"")</f>
        <v/>
      </c>
      <c r="I21" s="296" t="str">
        <f>IFERROR(IF(VLOOKUP($G21,BD_PRINCIPAL[],29,FALSE)=0,"",VLOOKUP($G21,BD_PRINCIPAL[],29,FALSE)),"")</f>
        <v/>
      </c>
      <c r="J21" s="296" t="str">
        <f>IFERROR(IF(VLOOKUP($G21,BD_PRINCIPAL[],30,FALSE)=0,"",VLOOKUP($G21,BD_PRINCIPAL[],30,FALSE)),"")</f>
        <v/>
      </c>
      <c r="K21" s="296" t="str">
        <f>IFERROR(IF(VLOOKUP($G21,BD_PRINCIPAL[],31,FALSE)=0,"",VLOOKUP($G21,BD_PRINCIPAL[],31,FALSE)),"")</f>
        <v/>
      </c>
      <c r="L21" s="296" t="str">
        <f>IFERROR(IF(VLOOKUP($G21,BD_PRINCIPAL[],32,FALSE)=0,"",VLOOKUP($G21,BD_PRINCIPAL[],32,FALSE)),"")</f>
        <v/>
      </c>
      <c r="M21" s="296" t="str">
        <f>IFERROR(IF(VLOOKUP($G21,BD_PRINCIPAL[],33,FALSE)=0,"",VLOOKUP($G21,BD_PRINCIPAL[],33,FALSE)),"")</f>
        <v/>
      </c>
      <c r="N21" s="296" t="str">
        <f>IFERROR(IF(VLOOKUP($G21,BD_PRINCIPAL[],34,FALSE)=0,"",VLOOKUP($G21,BD_PRINCIPAL[],34,FALSE)),"")</f>
        <v/>
      </c>
      <c r="O21" s="296" t="str">
        <f>IFERROR(IF(VLOOKUP($G21,BD_PRINCIPAL[],35,FALSE)=0,"",VLOOKUP($G21,BD_PRINCIPAL[],35,FALSE)),"")</f>
        <v/>
      </c>
      <c r="P21" s="296" t="str">
        <f>IFERROR(IF(VLOOKUP($G21,BD_PRINCIPAL[],36,FALSE)=0,"",VLOOKUP($G21,BD_PRINCIPAL[],36,FALSE)),"")</f>
        <v/>
      </c>
      <c r="Q21" s="296" t="str">
        <f>IFERROR(IF(VLOOKUP($G21,BD_PRINCIPAL[],37,FALSE)=0,"",VLOOKUP($G21,BD_PRINCIPAL[],37,FALSE)),"")</f>
        <v/>
      </c>
      <c r="R21" s="296" t="str">
        <f>IFERROR(IF(VLOOKUP($G21,BD_PRINCIPAL[],38,FALSE)=0,"",VLOOKUP($G21,BD_PRINCIPAL[],38,FALSE)),"")</f>
        <v/>
      </c>
      <c r="S21" s="296" t="str">
        <f>IFERROR(IF(VLOOKUP($G21,BD_PRINCIPAL[],39,FALSE)=0,"",VLOOKUP($G21,BD_PRINCIPAL[],39,FALSE)),"")</f>
        <v/>
      </c>
      <c r="T21" s="296" t="str">
        <f>IFERROR(IF(VLOOKUP($G21,BD_PRINCIPAL[],40,FALSE)=0,"",VLOOKUP($G21,BD_PRINCIPAL[],40,FALSE)),"")</f>
        <v/>
      </c>
      <c r="U21" s="296" t="str">
        <f>IFERROR(IF(VLOOKUP($G21,BD_PRINCIPAL[],41,FALSE)=0,"",VLOOKUP($G21,BD_PRINCIPAL[],41,FALSE)),"")</f>
        <v/>
      </c>
      <c r="V21" s="296" t="str">
        <f>IFERROR(IF(VLOOKUP($G21,BD_PRINCIPAL[],42,FALSE)=0,"",VLOOKUP($G21,BD_PRINCIPAL[],42,FALSE)),"")</f>
        <v/>
      </c>
      <c r="W21" s="296" t="str">
        <f>IFERROR(IF(VLOOKUP($G21,BD_PRINCIPAL[],43,FALSE)=0,"",VLOOKUP($G21,BD_PRINCIPAL[],43,FALSE)),"")</f>
        <v/>
      </c>
      <c r="X21" s="296" t="str">
        <f>IFERROR(IF(VLOOKUP($G21,BD_PRINCIPAL[],44,FALSE)=0,"",VLOOKUP($G21,BD_PRINCIPAL[],44,FALSE)),"")</f>
        <v/>
      </c>
      <c r="Y21" s="296" t="str">
        <f>IFERROR(IF(VLOOKUP($G21,BD_PRINCIPAL[],45,FALSE)=0,"",VLOOKUP($G21,BD_PRINCIPAL[],45,FALSE)),"")</f>
        <v/>
      </c>
      <c r="Z21" s="296" t="str">
        <f>IFERROR(IF(VLOOKUP($G21,BD_PRINCIPAL[],46,FALSE)=0,"",VLOOKUP($G21,BD_PRINCIPAL[],46,FALSE)),"")</f>
        <v/>
      </c>
      <c r="AA21" s="296" t="str">
        <f>IFERROR(IF(VLOOKUP($G21,BD_PRINCIPAL[],47,FALSE)=0,"",VLOOKUP($G21,BD_PRINCIPAL[],47,FALSE)),"")</f>
        <v/>
      </c>
      <c r="AB21" s="296" t="str">
        <f>IFERROR(IF(VLOOKUP($G21,BD_PRINCIPAL[],48,FALSE)=0,"",VLOOKUP($G21,BD_PRINCIPAL[],48,FALSE)),"")</f>
        <v/>
      </c>
      <c r="AC21" s="296" t="str">
        <f>IFERROR(IF(VLOOKUP($G21,BD_PRINCIPAL[],49,FALSE)=0,"",VLOOKUP($G21,BD_PRINCIPAL[],49,FALSE)),"")</f>
        <v/>
      </c>
      <c r="AD21" s="296" t="str">
        <f>IFERROR(IF(VLOOKUP($G21,BD_PRINCIPAL[],50,FALSE)=0,"",VLOOKUP($G21,BD_PRINCIPAL[],50,FALSE)),"")</f>
        <v/>
      </c>
      <c r="AE21" s="296" t="str">
        <f>IFERROR(IF(VLOOKUP($G21,BD_PRINCIPAL[],51,FALSE)=0,"",VLOOKUP($G21,BD_PRINCIPAL[],51,FALSE)),"")</f>
        <v/>
      </c>
      <c r="AF21" s="296" t="str">
        <f>IFERROR(IF(VLOOKUP($G21,BD_PRINCIPAL[],52,FALSE)=0,"",VLOOKUP($G21,BD_PRINCIPAL[],52,FALSE)),"")</f>
        <v/>
      </c>
      <c r="AG21" s="296" t="str">
        <f>IFERROR(IF(VLOOKUP($G21,BD_PRINCIPAL[],53,FALSE)=0,"",VLOOKUP($G21,BD_PRINCIPAL[],53,FALSE)),"")</f>
        <v/>
      </c>
      <c r="AH21" s="296" t="str">
        <f>IFERROR(IF(VLOOKUP($G21,BD_PRINCIPAL[],54,FALSE)=0,"",VLOOKUP($G21,BD_PRINCIPAL[],54,FALSE)),"")</f>
        <v/>
      </c>
      <c r="AI21" s="296" t="str">
        <f>IFERROR(IF(VLOOKUP($G21,BD_PRINCIPAL[],55,FALSE)=0,"",VLOOKUP($G21,BD_PRINCIPAL[],55,FALSE)),"")</f>
        <v/>
      </c>
      <c r="AJ21" s="296" t="str">
        <f>IFERROR(IF(VLOOKUP($G21,BD_PRINCIPAL[],56,FALSE)=0,"",VLOOKUP($G21,BD_PRINCIPAL[],56,FALSE)),"")</f>
        <v/>
      </c>
      <c r="AK21" s="296" t="str">
        <f>IFERROR(IF(VLOOKUP($G21,BD_PRINCIPAL[],57,FALSE)=0,"",VLOOKUP($G21,BD_PRINCIPAL[],57,FALSE)),"")</f>
        <v/>
      </c>
      <c r="AL21" s="296" t="str">
        <f>IFERROR(IF(VLOOKUP($G21,BD_PRINCIPAL[],58,FALSE)=0,"",VLOOKUP($G21,BD_PRINCIPAL[],58,FALSE)),"")</f>
        <v/>
      </c>
    </row>
    <row r="22" spans="2:38" x14ac:dyDescent="0.3">
      <c r="B22" s="289">
        <f t="shared" si="3"/>
        <v>0</v>
      </c>
      <c r="D22" s="296">
        <v>8</v>
      </c>
      <c r="E22" s="296" t="str">
        <f>IFERROR(VLOOKUP(G22,BD_PRINCIPAL[],7,FALSE),"")</f>
        <v/>
      </c>
      <c r="F22" s="297" t="str">
        <f>IFERROR(VLOOKUP(G22,BD_PRINCIPAL[],2,FALSE),"")</f>
        <v/>
      </c>
      <c r="G22" s="914"/>
      <c r="H22" s="296" t="str">
        <f>IFERROR(IF(VLOOKUP($G22,BD_PRINCIPAL[],28,FALSE)=0,"",VLOOKUP($G22,BD_PRINCIPAL[],28,FALSE)),"")</f>
        <v/>
      </c>
      <c r="I22" s="296" t="str">
        <f>IFERROR(IF(VLOOKUP($G22,BD_PRINCIPAL[],29,FALSE)=0,"",VLOOKUP($G22,BD_PRINCIPAL[],29,FALSE)),"")</f>
        <v/>
      </c>
      <c r="J22" s="296" t="str">
        <f>IFERROR(IF(VLOOKUP($G22,BD_PRINCIPAL[],30,FALSE)=0,"",VLOOKUP($G22,BD_PRINCIPAL[],30,FALSE)),"")</f>
        <v/>
      </c>
      <c r="K22" s="296" t="str">
        <f>IFERROR(IF(VLOOKUP($G22,BD_PRINCIPAL[],31,FALSE)=0,"",VLOOKUP($G22,BD_PRINCIPAL[],31,FALSE)),"")</f>
        <v/>
      </c>
      <c r="L22" s="296" t="str">
        <f>IFERROR(IF(VLOOKUP($G22,BD_PRINCIPAL[],32,FALSE)=0,"",VLOOKUP($G22,BD_PRINCIPAL[],32,FALSE)),"")</f>
        <v/>
      </c>
      <c r="M22" s="296" t="str">
        <f>IFERROR(IF(VLOOKUP($G22,BD_PRINCIPAL[],33,FALSE)=0,"",VLOOKUP($G22,BD_PRINCIPAL[],33,FALSE)),"")</f>
        <v/>
      </c>
      <c r="N22" s="296" t="str">
        <f>IFERROR(IF(VLOOKUP($G22,BD_PRINCIPAL[],34,FALSE)=0,"",VLOOKUP($G22,BD_PRINCIPAL[],34,FALSE)),"")</f>
        <v/>
      </c>
      <c r="O22" s="296" t="str">
        <f>IFERROR(IF(VLOOKUP($G22,BD_PRINCIPAL[],35,FALSE)=0,"",VLOOKUP($G22,BD_PRINCIPAL[],35,FALSE)),"")</f>
        <v/>
      </c>
      <c r="P22" s="296" t="str">
        <f>IFERROR(IF(VLOOKUP($G22,BD_PRINCIPAL[],36,FALSE)=0,"",VLOOKUP($G22,BD_PRINCIPAL[],36,FALSE)),"")</f>
        <v/>
      </c>
      <c r="Q22" s="296" t="str">
        <f>IFERROR(IF(VLOOKUP($G22,BD_PRINCIPAL[],37,FALSE)=0,"",VLOOKUP($G22,BD_PRINCIPAL[],37,FALSE)),"")</f>
        <v/>
      </c>
      <c r="R22" s="296" t="str">
        <f>IFERROR(IF(VLOOKUP($G22,BD_PRINCIPAL[],38,FALSE)=0,"",VLOOKUP($G22,BD_PRINCIPAL[],38,FALSE)),"")</f>
        <v/>
      </c>
      <c r="S22" s="296" t="str">
        <f>IFERROR(IF(VLOOKUP($G22,BD_PRINCIPAL[],39,FALSE)=0,"",VLOOKUP($G22,BD_PRINCIPAL[],39,FALSE)),"")</f>
        <v/>
      </c>
      <c r="T22" s="296" t="str">
        <f>IFERROR(IF(VLOOKUP($G22,BD_PRINCIPAL[],40,FALSE)=0,"",VLOOKUP($G22,BD_PRINCIPAL[],40,FALSE)),"")</f>
        <v/>
      </c>
      <c r="U22" s="296" t="str">
        <f>IFERROR(IF(VLOOKUP($G22,BD_PRINCIPAL[],41,FALSE)=0,"",VLOOKUP($G22,BD_PRINCIPAL[],41,FALSE)),"")</f>
        <v/>
      </c>
      <c r="V22" s="296" t="str">
        <f>IFERROR(IF(VLOOKUP($G22,BD_PRINCIPAL[],42,FALSE)=0,"",VLOOKUP($G22,BD_PRINCIPAL[],42,FALSE)),"")</f>
        <v/>
      </c>
      <c r="W22" s="296" t="str">
        <f>IFERROR(IF(VLOOKUP($G22,BD_PRINCIPAL[],43,FALSE)=0,"",VLOOKUP($G22,BD_PRINCIPAL[],43,FALSE)),"")</f>
        <v/>
      </c>
      <c r="X22" s="296" t="str">
        <f>IFERROR(IF(VLOOKUP($G22,BD_PRINCIPAL[],44,FALSE)=0,"",VLOOKUP($G22,BD_PRINCIPAL[],44,FALSE)),"")</f>
        <v/>
      </c>
      <c r="Y22" s="296" t="str">
        <f>IFERROR(IF(VLOOKUP($G22,BD_PRINCIPAL[],45,FALSE)=0,"",VLOOKUP($G22,BD_PRINCIPAL[],45,FALSE)),"")</f>
        <v/>
      </c>
      <c r="Z22" s="296" t="str">
        <f>IFERROR(IF(VLOOKUP($G22,BD_PRINCIPAL[],46,FALSE)=0,"",VLOOKUP($G22,BD_PRINCIPAL[],46,FALSE)),"")</f>
        <v/>
      </c>
      <c r="AA22" s="296" t="str">
        <f>IFERROR(IF(VLOOKUP($G22,BD_PRINCIPAL[],47,FALSE)=0,"",VLOOKUP($G22,BD_PRINCIPAL[],47,FALSE)),"")</f>
        <v/>
      </c>
      <c r="AB22" s="296" t="str">
        <f>IFERROR(IF(VLOOKUP($G22,BD_PRINCIPAL[],48,FALSE)=0,"",VLOOKUP($G22,BD_PRINCIPAL[],48,FALSE)),"")</f>
        <v/>
      </c>
      <c r="AC22" s="296" t="str">
        <f>IFERROR(IF(VLOOKUP($G22,BD_PRINCIPAL[],49,FALSE)=0,"",VLOOKUP($G22,BD_PRINCIPAL[],49,FALSE)),"")</f>
        <v/>
      </c>
      <c r="AD22" s="296" t="str">
        <f>IFERROR(IF(VLOOKUP($G22,BD_PRINCIPAL[],50,FALSE)=0,"",VLOOKUP($G22,BD_PRINCIPAL[],50,FALSE)),"")</f>
        <v/>
      </c>
      <c r="AE22" s="296" t="str">
        <f>IFERROR(IF(VLOOKUP($G22,BD_PRINCIPAL[],51,FALSE)=0,"",VLOOKUP($G22,BD_PRINCIPAL[],51,FALSE)),"")</f>
        <v/>
      </c>
      <c r="AF22" s="296" t="str">
        <f>IFERROR(IF(VLOOKUP($G22,BD_PRINCIPAL[],52,FALSE)=0,"",VLOOKUP($G22,BD_PRINCIPAL[],52,FALSE)),"")</f>
        <v/>
      </c>
      <c r="AG22" s="296" t="str">
        <f>IFERROR(IF(VLOOKUP($G22,BD_PRINCIPAL[],53,FALSE)=0,"",VLOOKUP($G22,BD_PRINCIPAL[],53,FALSE)),"")</f>
        <v/>
      </c>
      <c r="AH22" s="296" t="str">
        <f>IFERROR(IF(VLOOKUP($G22,BD_PRINCIPAL[],54,FALSE)=0,"",VLOOKUP($G22,BD_PRINCIPAL[],54,FALSE)),"")</f>
        <v/>
      </c>
      <c r="AI22" s="296" t="str">
        <f>IFERROR(IF(VLOOKUP($G22,BD_PRINCIPAL[],55,FALSE)=0,"",VLOOKUP($G22,BD_PRINCIPAL[],55,FALSE)),"")</f>
        <v/>
      </c>
      <c r="AJ22" s="296" t="str">
        <f>IFERROR(IF(VLOOKUP($G22,BD_PRINCIPAL[],56,FALSE)=0,"",VLOOKUP($G22,BD_PRINCIPAL[],56,FALSE)),"")</f>
        <v/>
      </c>
      <c r="AK22" s="296" t="str">
        <f>IFERROR(IF(VLOOKUP($G22,BD_PRINCIPAL[],57,FALSE)=0,"",VLOOKUP($G22,BD_PRINCIPAL[],57,FALSE)),"")</f>
        <v/>
      </c>
      <c r="AL22" s="296" t="str">
        <f>IFERROR(IF(VLOOKUP($G22,BD_PRINCIPAL[],58,FALSE)=0,"",VLOOKUP($G22,BD_PRINCIPAL[],58,FALSE)),"")</f>
        <v/>
      </c>
    </row>
    <row r="23" spans="2:38" x14ac:dyDescent="0.3">
      <c r="B23" s="289">
        <f t="shared" si="3"/>
        <v>0</v>
      </c>
      <c r="D23" s="296">
        <v>9</v>
      </c>
      <c r="E23" s="296" t="str">
        <f>IFERROR(VLOOKUP(G23,BD_PRINCIPAL[],7,FALSE),"")</f>
        <v/>
      </c>
      <c r="F23" s="297" t="str">
        <f>IFERROR(VLOOKUP(G23,BD_PRINCIPAL[],2,FALSE),"")</f>
        <v/>
      </c>
      <c r="G23" s="914"/>
      <c r="H23" s="296" t="str">
        <f>IFERROR(IF(VLOOKUP($G23,BD_PRINCIPAL[],28,FALSE)=0,"",VLOOKUP($G23,BD_PRINCIPAL[],28,FALSE)),"")</f>
        <v/>
      </c>
      <c r="I23" s="296" t="str">
        <f>IFERROR(IF(VLOOKUP($G23,BD_PRINCIPAL[],29,FALSE)=0,"",VLOOKUP($G23,BD_PRINCIPAL[],29,FALSE)),"")</f>
        <v/>
      </c>
      <c r="J23" s="296" t="str">
        <f>IFERROR(IF(VLOOKUP($G23,BD_PRINCIPAL[],30,FALSE)=0,"",VLOOKUP($G23,BD_PRINCIPAL[],30,FALSE)),"")</f>
        <v/>
      </c>
      <c r="K23" s="296" t="str">
        <f>IFERROR(IF(VLOOKUP($G23,BD_PRINCIPAL[],31,FALSE)=0,"",VLOOKUP($G23,BD_PRINCIPAL[],31,FALSE)),"")</f>
        <v/>
      </c>
      <c r="L23" s="296" t="str">
        <f>IFERROR(IF(VLOOKUP($G23,BD_PRINCIPAL[],32,FALSE)=0,"",VLOOKUP($G23,BD_PRINCIPAL[],32,FALSE)),"")</f>
        <v/>
      </c>
      <c r="M23" s="296" t="str">
        <f>IFERROR(IF(VLOOKUP($G23,BD_PRINCIPAL[],33,FALSE)=0,"",VLOOKUP($G23,BD_PRINCIPAL[],33,FALSE)),"")</f>
        <v/>
      </c>
      <c r="N23" s="296" t="str">
        <f>IFERROR(IF(VLOOKUP($G23,BD_PRINCIPAL[],34,FALSE)=0,"",VLOOKUP($G23,BD_PRINCIPAL[],34,FALSE)),"")</f>
        <v/>
      </c>
      <c r="O23" s="296" t="str">
        <f>IFERROR(IF(VLOOKUP($G23,BD_PRINCIPAL[],35,FALSE)=0,"",VLOOKUP($G23,BD_PRINCIPAL[],35,FALSE)),"")</f>
        <v/>
      </c>
      <c r="P23" s="296" t="str">
        <f>IFERROR(IF(VLOOKUP($G23,BD_PRINCIPAL[],36,FALSE)=0,"",VLOOKUP($G23,BD_PRINCIPAL[],36,FALSE)),"")</f>
        <v/>
      </c>
      <c r="Q23" s="296" t="str">
        <f>IFERROR(IF(VLOOKUP($G23,BD_PRINCIPAL[],37,FALSE)=0,"",VLOOKUP($G23,BD_PRINCIPAL[],37,FALSE)),"")</f>
        <v/>
      </c>
      <c r="R23" s="296" t="str">
        <f>IFERROR(IF(VLOOKUP($G23,BD_PRINCIPAL[],38,FALSE)=0,"",VLOOKUP($G23,BD_PRINCIPAL[],38,FALSE)),"")</f>
        <v/>
      </c>
      <c r="S23" s="296" t="str">
        <f>IFERROR(IF(VLOOKUP($G23,BD_PRINCIPAL[],39,FALSE)=0,"",VLOOKUP($G23,BD_PRINCIPAL[],39,FALSE)),"")</f>
        <v/>
      </c>
      <c r="T23" s="296" t="str">
        <f>IFERROR(IF(VLOOKUP($G23,BD_PRINCIPAL[],40,FALSE)=0,"",VLOOKUP($G23,BD_PRINCIPAL[],40,FALSE)),"")</f>
        <v/>
      </c>
      <c r="U23" s="296" t="str">
        <f>IFERROR(IF(VLOOKUP($G23,BD_PRINCIPAL[],41,FALSE)=0,"",VLOOKUP($G23,BD_PRINCIPAL[],41,FALSE)),"")</f>
        <v/>
      </c>
      <c r="V23" s="296" t="str">
        <f>IFERROR(IF(VLOOKUP($G23,BD_PRINCIPAL[],42,FALSE)=0,"",VLOOKUP($G23,BD_PRINCIPAL[],42,FALSE)),"")</f>
        <v/>
      </c>
      <c r="W23" s="296" t="str">
        <f>IFERROR(IF(VLOOKUP($G23,BD_PRINCIPAL[],43,FALSE)=0,"",VLOOKUP($G23,BD_PRINCIPAL[],43,FALSE)),"")</f>
        <v/>
      </c>
      <c r="X23" s="296" t="str">
        <f>IFERROR(IF(VLOOKUP($G23,BD_PRINCIPAL[],44,FALSE)=0,"",VLOOKUP($G23,BD_PRINCIPAL[],44,FALSE)),"")</f>
        <v/>
      </c>
      <c r="Y23" s="296" t="str">
        <f>IFERROR(IF(VLOOKUP($G23,BD_PRINCIPAL[],45,FALSE)=0,"",VLOOKUP($G23,BD_PRINCIPAL[],45,FALSE)),"")</f>
        <v/>
      </c>
      <c r="Z23" s="296" t="str">
        <f>IFERROR(IF(VLOOKUP($G23,BD_PRINCIPAL[],46,FALSE)=0,"",VLOOKUP($G23,BD_PRINCIPAL[],46,FALSE)),"")</f>
        <v/>
      </c>
      <c r="AA23" s="296" t="str">
        <f>IFERROR(IF(VLOOKUP($G23,BD_PRINCIPAL[],47,FALSE)=0,"",VLOOKUP($G23,BD_PRINCIPAL[],47,FALSE)),"")</f>
        <v/>
      </c>
      <c r="AB23" s="296" t="str">
        <f>IFERROR(IF(VLOOKUP($G23,BD_PRINCIPAL[],48,FALSE)=0,"",VLOOKUP($G23,BD_PRINCIPAL[],48,FALSE)),"")</f>
        <v/>
      </c>
      <c r="AC23" s="296" t="str">
        <f>IFERROR(IF(VLOOKUP($G23,BD_PRINCIPAL[],49,FALSE)=0,"",VLOOKUP($G23,BD_PRINCIPAL[],49,FALSE)),"")</f>
        <v/>
      </c>
      <c r="AD23" s="296" t="str">
        <f>IFERROR(IF(VLOOKUP($G23,BD_PRINCIPAL[],50,FALSE)=0,"",VLOOKUP($G23,BD_PRINCIPAL[],50,FALSE)),"")</f>
        <v/>
      </c>
      <c r="AE23" s="296" t="str">
        <f>IFERROR(IF(VLOOKUP($G23,BD_PRINCIPAL[],51,FALSE)=0,"",VLOOKUP($G23,BD_PRINCIPAL[],51,FALSE)),"")</f>
        <v/>
      </c>
      <c r="AF23" s="296" t="str">
        <f>IFERROR(IF(VLOOKUP($G23,BD_PRINCIPAL[],52,FALSE)=0,"",VLOOKUP($G23,BD_PRINCIPAL[],52,FALSE)),"")</f>
        <v/>
      </c>
      <c r="AG23" s="296" t="str">
        <f>IFERROR(IF(VLOOKUP($G23,BD_PRINCIPAL[],53,FALSE)=0,"",VLOOKUP($G23,BD_PRINCIPAL[],53,FALSE)),"")</f>
        <v/>
      </c>
      <c r="AH23" s="296" t="str">
        <f>IFERROR(IF(VLOOKUP($G23,BD_PRINCIPAL[],54,FALSE)=0,"",VLOOKUP($G23,BD_PRINCIPAL[],54,FALSE)),"")</f>
        <v/>
      </c>
      <c r="AI23" s="296" t="str">
        <f>IFERROR(IF(VLOOKUP($G23,BD_PRINCIPAL[],55,FALSE)=0,"",VLOOKUP($G23,BD_PRINCIPAL[],55,FALSE)),"")</f>
        <v/>
      </c>
      <c r="AJ23" s="296" t="str">
        <f>IFERROR(IF(VLOOKUP($G23,BD_PRINCIPAL[],56,FALSE)=0,"",VLOOKUP($G23,BD_PRINCIPAL[],56,FALSE)),"")</f>
        <v/>
      </c>
      <c r="AK23" s="296" t="str">
        <f>IFERROR(IF(VLOOKUP($G23,BD_PRINCIPAL[],57,FALSE)=0,"",VLOOKUP($G23,BD_PRINCIPAL[],57,FALSE)),"")</f>
        <v/>
      </c>
      <c r="AL23" s="296" t="str">
        <f>IFERROR(IF(VLOOKUP($G23,BD_PRINCIPAL[],58,FALSE)=0,"",VLOOKUP($G23,BD_PRINCIPAL[],58,FALSE)),"")</f>
        <v/>
      </c>
    </row>
    <row r="24" spans="2:38" x14ac:dyDescent="0.3">
      <c r="B24" s="289">
        <f t="shared" si="3"/>
        <v>0</v>
      </c>
      <c r="D24" s="296">
        <v>10</v>
      </c>
      <c r="E24" s="296" t="str">
        <f>IFERROR(VLOOKUP(G24,BD_PRINCIPAL[],7,FALSE),"")</f>
        <v/>
      </c>
      <c r="F24" s="297" t="str">
        <f>IFERROR(VLOOKUP(G24,BD_PRINCIPAL[],2,FALSE),"")</f>
        <v/>
      </c>
      <c r="G24" s="914"/>
      <c r="H24" s="296" t="str">
        <f>IFERROR(IF(VLOOKUP($G24,BD_PRINCIPAL[],28,FALSE)=0,"",VLOOKUP($G24,BD_PRINCIPAL[],28,FALSE)),"")</f>
        <v/>
      </c>
      <c r="I24" s="296" t="str">
        <f>IFERROR(IF(VLOOKUP($G24,BD_PRINCIPAL[],29,FALSE)=0,"",VLOOKUP($G24,BD_PRINCIPAL[],29,FALSE)),"")</f>
        <v/>
      </c>
      <c r="J24" s="296" t="str">
        <f>IFERROR(IF(VLOOKUP($G24,BD_PRINCIPAL[],30,FALSE)=0,"",VLOOKUP($G24,BD_PRINCIPAL[],30,FALSE)),"")</f>
        <v/>
      </c>
      <c r="K24" s="296" t="str">
        <f>IFERROR(IF(VLOOKUP($G24,BD_PRINCIPAL[],31,FALSE)=0,"",VLOOKUP($G24,BD_PRINCIPAL[],31,FALSE)),"")</f>
        <v/>
      </c>
      <c r="L24" s="296" t="str">
        <f>IFERROR(IF(VLOOKUP($G24,BD_PRINCIPAL[],32,FALSE)=0,"",VLOOKUP($G24,BD_PRINCIPAL[],32,FALSE)),"")</f>
        <v/>
      </c>
      <c r="M24" s="296" t="str">
        <f>IFERROR(IF(VLOOKUP($G24,BD_PRINCIPAL[],33,FALSE)=0,"",VLOOKUP($G24,BD_PRINCIPAL[],33,FALSE)),"")</f>
        <v/>
      </c>
      <c r="N24" s="296" t="str">
        <f>IFERROR(IF(VLOOKUP($G24,BD_PRINCIPAL[],34,FALSE)=0,"",VLOOKUP($G24,BD_PRINCIPAL[],34,FALSE)),"")</f>
        <v/>
      </c>
      <c r="O24" s="296" t="str">
        <f>IFERROR(IF(VLOOKUP($G24,BD_PRINCIPAL[],35,FALSE)=0,"",VLOOKUP($G24,BD_PRINCIPAL[],35,FALSE)),"")</f>
        <v/>
      </c>
      <c r="P24" s="296" t="str">
        <f>IFERROR(IF(VLOOKUP($G24,BD_PRINCIPAL[],36,FALSE)=0,"",VLOOKUP($G24,BD_PRINCIPAL[],36,FALSE)),"")</f>
        <v/>
      </c>
      <c r="Q24" s="296" t="str">
        <f>IFERROR(IF(VLOOKUP($G24,BD_PRINCIPAL[],37,FALSE)=0,"",VLOOKUP($G24,BD_PRINCIPAL[],37,FALSE)),"")</f>
        <v/>
      </c>
      <c r="R24" s="296" t="str">
        <f>IFERROR(IF(VLOOKUP($G24,BD_PRINCIPAL[],38,FALSE)=0,"",VLOOKUP($G24,BD_PRINCIPAL[],38,FALSE)),"")</f>
        <v/>
      </c>
      <c r="S24" s="296" t="str">
        <f>IFERROR(IF(VLOOKUP($G24,BD_PRINCIPAL[],39,FALSE)=0,"",VLOOKUP($G24,BD_PRINCIPAL[],39,FALSE)),"")</f>
        <v/>
      </c>
      <c r="T24" s="296" t="str">
        <f>IFERROR(IF(VLOOKUP($G24,BD_PRINCIPAL[],40,FALSE)=0,"",VLOOKUP($G24,BD_PRINCIPAL[],40,FALSE)),"")</f>
        <v/>
      </c>
      <c r="U24" s="296" t="str">
        <f>IFERROR(IF(VLOOKUP($G24,BD_PRINCIPAL[],41,FALSE)=0,"",VLOOKUP($G24,BD_PRINCIPAL[],41,FALSE)),"")</f>
        <v/>
      </c>
      <c r="V24" s="296" t="str">
        <f>IFERROR(IF(VLOOKUP($G24,BD_PRINCIPAL[],42,FALSE)=0,"",VLOOKUP($G24,BD_PRINCIPAL[],42,FALSE)),"")</f>
        <v/>
      </c>
      <c r="W24" s="296" t="str">
        <f>IFERROR(IF(VLOOKUP($G24,BD_PRINCIPAL[],43,FALSE)=0,"",VLOOKUP($G24,BD_PRINCIPAL[],43,FALSE)),"")</f>
        <v/>
      </c>
      <c r="X24" s="296" t="str">
        <f>IFERROR(IF(VLOOKUP($G24,BD_PRINCIPAL[],44,FALSE)=0,"",VLOOKUP($G24,BD_PRINCIPAL[],44,FALSE)),"")</f>
        <v/>
      </c>
      <c r="Y24" s="296" t="str">
        <f>IFERROR(IF(VLOOKUP($G24,BD_PRINCIPAL[],45,FALSE)=0,"",VLOOKUP($G24,BD_PRINCIPAL[],45,FALSE)),"")</f>
        <v/>
      </c>
      <c r="Z24" s="296" t="str">
        <f>IFERROR(IF(VLOOKUP($G24,BD_PRINCIPAL[],46,FALSE)=0,"",VLOOKUP($G24,BD_PRINCIPAL[],46,FALSE)),"")</f>
        <v/>
      </c>
      <c r="AA24" s="296" t="str">
        <f>IFERROR(IF(VLOOKUP($G24,BD_PRINCIPAL[],47,FALSE)=0,"",VLOOKUP($G24,BD_PRINCIPAL[],47,FALSE)),"")</f>
        <v/>
      </c>
      <c r="AB24" s="296" t="str">
        <f>IFERROR(IF(VLOOKUP($G24,BD_PRINCIPAL[],48,FALSE)=0,"",VLOOKUP($G24,BD_PRINCIPAL[],48,FALSE)),"")</f>
        <v/>
      </c>
      <c r="AC24" s="296" t="str">
        <f>IFERROR(IF(VLOOKUP($G24,BD_PRINCIPAL[],49,FALSE)=0,"",VLOOKUP($G24,BD_PRINCIPAL[],49,FALSE)),"")</f>
        <v/>
      </c>
      <c r="AD24" s="296" t="str">
        <f>IFERROR(IF(VLOOKUP($G24,BD_PRINCIPAL[],50,FALSE)=0,"",VLOOKUP($G24,BD_PRINCIPAL[],50,FALSE)),"")</f>
        <v/>
      </c>
      <c r="AE24" s="296" t="str">
        <f>IFERROR(IF(VLOOKUP($G24,BD_PRINCIPAL[],51,FALSE)=0,"",VLOOKUP($G24,BD_PRINCIPAL[],51,FALSE)),"")</f>
        <v/>
      </c>
      <c r="AF24" s="296" t="str">
        <f>IFERROR(IF(VLOOKUP($G24,BD_PRINCIPAL[],52,FALSE)=0,"",VLOOKUP($G24,BD_PRINCIPAL[],52,FALSE)),"")</f>
        <v/>
      </c>
      <c r="AG24" s="296" t="str">
        <f>IFERROR(IF(VLOOKUP($G24,BD_PRINCIPAL[],53,FALSE)=0,"",VLOOKUP($G24,BD_PRINCIPAL[],53,FALSE)),"")</f>
        <v/>
      </c>
      <c r="AH24" s="296" t="str">
        <f>IFERROR(IF(VLOOKUP($G24,BD_PRINCIPAL[],54,FALSE)=0,"",VLOOKUP($G24,BD_PRINCIPAL[],54,FALSE)),"")</f>
        <v/>
      </c>
      <c r="AI24" s="296" t="str">
        <f>IFERROR(IF(VLOOKUP($G24,BD_PRINCIPAL[],55,FALSE)=0,"",VLOOKUP($G24,BD_PRINCIPAL[],55,FALSE)),"")</f>
        <v/>
      </c>
      <c r="AJ24" s="296" t="str">
        <f>IFERROR(IF(VLOOKUP($G24,BD_PRINCIPAL[],56,FALSE)=0,"",VLOOKUP($G24,BD_PRINCIPAL[],56,FALSE)),"")</f>
        <v/>
      </c>
      <c r="AK24" s="296" t="str">
        <f>IFERROR(IF(VLOOKUP($G24,BD_PRINCIPAL[],57,FALSE)=0,"",VLOOKUP($G24,BD_PRINCIPAL[],57,FALSE)),"")</f>
        <v/>
      </c>
      <c r="AL24" s="296" t="str">
        <f>IFERROR(IF(VLOOKUP($G24,BD_PRINCIPAL[],58,FALSE)=0,"",VLOOKUP($G24,BD_PRINCIPAL[],58,FALSE)),"")</f>
        <v/>
      </c>
    </row>
    <row r="25" spans="2:38" x14ac:dyDescent="0.3">
      <c r="B25" s="289">
        <f t="shared" si="3"/>
        <v>0</v>
      </c>
      <c r="D25" s="296">
        <v>11</v>
      </c>
      <c r="E25" s="296" t="str">
        <f>IFERROR(VLOOKUP(G25,BD_PRINCIPAL[],7,FALSE),"")</f>
        <v/>
      </c>
      <c r="F25" s="297" t="str">
        <f>IFERROR(VLOOKUP(G25,BD_PRINCIPAL[],2,FALSE),"")</f>
        <v/>
      </c>
      <c r="G25" s="197"/>
      <c r="H25" s="296" t="str">
        <f>IFERROR(IF(VLOOKUP($G25,BD_PRINCIPAL[],28,FALSE)=0,"",VLOOKUP($G25,BD_PRINCIPAL[],28,FALSE)),"")</f>
        <v/>
      </c>
      <c r="I25" s="296" t="str">
        <f>IFERROR(IF(VLOOKUP($G25,BD_PRINCIPAL[],29,FALSE)=0,"",VLOOKUP($G25,BD_PRINCIPAL[],29,FALSE)),"")</f>
        <v/>
      </c>
      <c r="J25" s="296" t="str">
        <f>IFERROR(IF(VLOOKUP($G25,BD_PRINCIPAL[],30,FALSE)=0,"",VLOOKUP($G25,BD_PRINCIPAL[],30,FALSE)),"")</f>
        <v/>
      </c>
      <c r="K25" s="296" t="str">
        <f>IFERROR(IF(VLOOKUP($G25,BD_PRINCIPAL[],31,FALSE)=0,"",VLOOKUP($G25,BD_PRINCIPAL[],31,FALSE)),"")</f>
        <v/>
      </c>
      <c r="L25" s="296" t="str">
        <f>IFERROR(IF(VLOOKUP($G25,BD_PRINCIPAL[],32,FALSE)=0,"",VLOOKUP($G25,BD_PRINCIPAL[],32,FALSE)),"")</f>
        <v/>
      </c>
      <c r="M25" s="296" t="str">
        <f>IFERROR(IF(VLOOKUP($G25,BD_PRINCIPAL[],33,FALSE)=0,"",VLOOKUP($G25,BD_PRINCIPAL[],33,FALSE)),"")</f>
        <v/>
      </c>
      <c r="N25" s="296" t="str">
        <f>IFERROR(IF(VLOOKUP($G25,BD_PRINCIPAL[],34,FALSE)=0,"",VLOOKUP($G25,BD_PRINCIPAL[],34,FALSE)),"")</f>
        <v/>
      </c>
      <c r="O25" s="296" t="str">
        <f>IFERROR(IF(VLOOKUP($G25,BD_PRINCIPAL[],35,FALSE)=0,"",VLOOKUP($G25,BD_PRINCIPAL[],35,FALSE)),"")</f>
        <v/>
      </c>
      <c r="P25" s="296" t="str">
        <f>IFERROR(IF(VLOOKUP($G25,BD_PRINCIPAL[],36,FALSE)=0,"",VLOOKUP($G25,BD_PRINCIPAL[],36,FALSE)),"")</f>
        <v/>
      </c>
      <c r="Q25" s="296" t="str">
        <f>IFERROR(IF(VLOOKUP($G25,BD_PRINCIPAL[],37,FALSE)=0,"",VLOOKUP($G25,BD_PRINCIPAL[],37,FALSE)),"")</f>
        <v/>
      </c>
      <c r="R25" s="296" t="str">
        <f>IFERROR(IF(VLOOKUP($G25,BD_PRINCIPAL[],38,FALSE)=0,"",VLOOKUP($G25,BD_PRINCIPAL[],38,FALSE)),"")</f>
        <v/>
      </c>
      <c r="S25" s="296" t="str">
        <f>IFERROR(IF(VLOOKUP($G25,BD_PRINCIPAL[],39,FALSE)=0,"",VLOOKUP($G25,BD_PRINCIPAL[],39,FALSE)),"")</f>
        <v/>
      </c>
      <c r="T25" s="296" t="str">
        <f>IFERROR(IF(VLOOKUP($G25,BD_PRINCIPAL[],40,FALSE)=0,"",VLOOKUP($G25,BD_PRINCIPAL[],40,FALSE)),"")</f>
        <v/>
      </c>
      <c r="U25" s="296" t="str">
        <f>IFERROR(IF(VLOOKUP($G25,BD_PRINCIPAL[],41,FALSE)=0,"",VLOOKUP($G25,BD_PRINCIPAL[],41,FALSE)),"")</f>
        <v/>
      </c>
      <c r="V25" s="296" t="str">
        <f>IFERROR(IF(VLOOKUP($G25,BD_PRINCIPAL[],42,FALSE)=0,"",VLOOKUP($G25,BD_PRINCIPAL[],42,FALSE)),"")</f>
        <v/>
      </c>
      <c r="W25" s="296" t="str">
        <f>IFERROR(IF(VLOOKUP($G25,BD_PRINCIPAL[],43,FALSE)=0,"",VLOOKUP($G25,BD_PRINCIPAL[],43,FALSE)),"")</f>
        <v/>
      </c>
      <c r="X25" s="296" t="str">
        <f>IFERROR(IF(VLOOKUP($G25,BD_PRINCIPAL[],44,FALSE)=0,"",VLOOKUP($G25,BD_PRINCIPAL[],44,FALSE)),"")</f>
        <v/>
      </c>
      <c r="Y25" s="296" t="str">
        <f>IFERROR(IF(VLOOKUP($G25,BD_PRINCIPAL[],45,FALSE)=0,"",VLOOKUP($G25,BD_PRINCIPAL[],45,FALSE)),"")</f>
        <v/>
      </c>
      <c r="Z25" s="296" t="str">
        <f>IFERROR(IF(VLOOKUP($G25,BD_PRINCIPAL[],46,FALSE)=0,"",VLOOKUP($G25,BD_PRINCIPAL[],46,FALSE)),"")</f>
        <v/>
      </c>
      <c r="AA25" s="296" t="str">
        <f>IFERROR(IF(VLOOKUP($G25,BD_PRINCIPAL[],47,FALSE)=0,"",VLOOKUP($G25,BD_PRINCIPAL[],47,FALSE)),"")</f>
        <v/>
      </c>
      <c r="AB25" s="296" t="str">
        <f>IFERROR(IF(VLOOKUP($G25,BD_PRINCIPAL[],48,FALSE)=0,"",VLOOKUP($G25,BD_PRINCIPAL[],48,FALSE)),"")</f>
        <v/>
      </c>
      <c r="AC25" s="296" t="str">
        <f>IFERROR(IF(VLOOKUP($G25,BD_PRINCIPAL[],49,FALSE)=0,"",VLOOKUP($G25,BD_PRINCIPAL[],49,FALSE)),"")</f>
        <v/>
      </c>
      <c r="AD25" s="296" t="str">
        <f>IFERROR(IF(VLOOKUP($G25,BD_PRINCIPAL[],50,FALSE)=0,"",VLOOKUP($G25,BD_PRINCIPAL[],50,FALSE)),"")</f>
        <v/>
      </c>
      <c r="AE25" s="296" t="str">
        <f>IFERROR(IF(VLOOKUP($G25,BD_PRINCIPAL[],51,FALSE)=0,"",VLOOKUP($G25,BD_PRINCIPAL[],51,FALSE)),"")</f>
        <v/>
      </c>
      <c r="AF25" s="296" t="str">
        <f>IFERROR(IF(VLOOKUP($G25,BD_PRINCIPAL[],52,FALSE)=0,"",VLOOKUP($G25,BD_PRINCIPAL[],52,FALSE)),"")</f>
        <v/>
      </c>
      <c r="AG25" s="296" t="str">
        <f>IFERROR(IF(VLOOKUP($G25,BD_PRINCIPAL[],53,FALSE)=0,"",VLOOKUP($G25,BD_PRINCIPAL[],53,FALSE)),"")</f>
        <v/>
      </c>
      <c r="AH25" s="296" t="str">
        <f>IFERROR(IF(VLOOKUP($G25,BD_PRINCIPAL[],54,FALSE)=0,"",VLOOKUP($G25,BD_PRINCIPAL[],54,FALSE)),"")</f>
        <v/>
      </c>
      <c r="AI25" s="296" t="str">
        <f>IFERROR(IF(VLOOKUP($G25,BD_PRINCIPAL[],55,FALSE)=0,"",VLOOKUP($G25,BD_PRINCIPAL[],55,FALSE)),"")</f>
        <v/>
      </c>
      <c r="AJ25" s="296" t="str">
        <f>IFERROR(IF(VLOOKUP($G25,BD_PRINCIPAL[],56,FALSE)=0,"",VLOOKUP($G25,BD_PRINCIPAL[],56,FALSE)),"")</f>
        <v/>
      </c>
      <c r="AK25" s="296" t="str">
        <f>IFERROR(IF(VLOOKUP($G25,BD_PRINCIPAL[],57,FALSE)=0,"",VLOOKUP($G25,BD_PRINCIPAL[],57,FALSE)),"")</f>
        <v/>
      </c>
      <c r="AL25" s="296" t="str">
        <f>IFERROR(IF(VLOOKUP($G25,BD_PRINCIPAL[],58,FALSE)=0,"",VLOOKUP($G25,BD_PRINCIPAL[],58,FALSE)),"")</f>
        <v/>
      </c>
    </row>
    <row r="26" spans="2:38" x14ac:dyDescent="0.3">
      <c r="B26" s="289">
        <f t="shared" si="3"/>
        <v>0</v>
      </c>
      <c r="D26" s="296">
        <v>12</v>
      </c>
      <c r="E26" s="296" t="str">
        <f>IFERROR(VLOOKUP(G26,BD_PRINCIPAL[],7,FALSE),"")</f>
        <v/>
      </c>
      <c r="F26" s="297" t="str">
        <f>IFERROR(VLOOKUP(G26,BD_PRINCIPAL[],2,FALSE),"")</f>
        <v/>
      </c>
      <c r="G26" s="197"/>
      <c r="H26" s="296" t="str">
        <f>IFERROR(IF(VLOOKUP($G26,BD_PRINCIPAL[],28,FALSE)=0,"",VLOOKUP($G26,BD_PRINCIPAL[],28,FALSE)),"")</f>
        <v/>
      </c>
      <c r="I26" s="296" t="str">
        <f>IFERROR(IF(VLOOKUP($G26,BD_PRINCIPAL[],29,FALSE)=0,"",VLOOKUP($G26,BD_PRINCIPAL[],29,FALSE)),"")</f>
        <v/>
      </c>
      <c r="J26" s="296" t="str">
        <f>IFERROR(IF(VLOOKUP($G26,BD_PRINCIPAL[],30,FALSE)=0,"",VLOOKUP($G26,BD_PRINCIPAL[],30,FALSE)),"")</f>
        <v/>
      </c>
      <c r="K26" s="296" t="str">
        <f>IFERROR(IF(VLOOKUP($G26,BD_PRINCIPAL[],31,FALSE)=0,"",VLOOKUP($G26,BD_PRINCIPAL[],31,FALSE)),"")</f>
        <v/>
      </c>
      <c r="L26" s="296" t="str">
        <f>IFERROR(IF(VLOOKUP($G26,BD_PRINCIPAL[],32,FALSE)=0,"",VLOOKUP($G26,BD_PRINCIPAL[],32,FALSE)),"")</f>
        <v/>
      </c>
      <c r="M26" s="296" t="str">
        <f>IFERROR(IF(VLOOKUP($G26,BD_PRINCIPAL[],33,FALSE)=0,"",VLOOKUP($G26,BD_PRINCIPAL[],33,FALSE)),"")</f>
        <v/>
      </c>
      <c r="N26" s="296" t="str">
        <f>IFERROR(IF(VLOOKUP($G26,BD_PRINCIPAL[],34,FALSE)=0,"",VLOOKUP($G26,BD_PRINCIPAL[],34,FALSE)),"")</f>
        <v/>
      </c>
      <c r="O26" s="296" t="str">
        <f>IFERROR(IF(VLOOKUP($G26,BD_PRINCIPAL[],35,FALSE)=0,"",VLOOKUP($G26,BD_PRINCIPAL[],35,FALSE)),"")</f>
        <v/>
      </c>
      <c r="P26" s="296" t="str">
        <f>IFERROR(IF(VLOOKUP($G26,BD_PRINCIPAL[],36,FALSE)=0,"",VLOOKUP($G26,BD_PRINCIPAL[],36,FALSE)),"")</f>
        <v/>
      </c>
      <c r="Q26" s="296" t="str">
        <f>IFERROR(IF(VLOOKUP($G26,BD_PRINCIPAL[],37,FALSE)=0,"",VLOOKUP($G26,BD_PRINCIPAL[],37,FALSE)),"")</f>
        <v/>
      </c>
      <c r="R26" s="296" t="str">
        <f>IFERROR(IF(VLOOKUP($G26,BD_PRINCIPAL[],38,FALSE)=0,"",VLOOKUP($G26,BD_PRINCIPAL[],38,FALSE)),"")</f>
        <v/>
      </c>
      <c r="S26" s="296" t="str">
        <f>IFERROR(IF(VLOOKUP($G26,BD_PRINCIPAL[],39,FALSE)=0,"",VLOOKUP($G26,BD_PRINCIPAL[],39,FALSE)),"")</f>
        <v/>
      </c>
      <c r="T26" s="296" t="str">
        <f>IFERROR(IF(VLOOKUP($G26,BD_PRINCIPAL[],40,FALSE)=0,"",VLOOKUP($G26,BD_PRINCIPAL[],40,FALSE)),"")</f>
        <v/>
      </c>
      <c r="U26" s="296" t="str">
        <f>IFERROR(IF(VLOOKUP($G26,BD_PRINCIPAL[],41,FALSE)=0,"",VLOOKUP($G26,BD_PRINCIPAL[],41,FALSE)),"")</f>
        <v/>
      </c>
      <c r="V26" s="296" t="str">
        <f>IFERROR(IF(VLOOKUP($G26,BD_PRINCIPAL[],42,FALSE)=0,"",VLOOKUP($G26,BD_PRINCIPAL[],42,FALSE)),"")</f>
        <v/>
      </c>
      <c r="W26" s="296" t="str">
        <f>IFERROR(IF(VLOOKUP($G26,BD_PRINCIPAL[],43,FALSE)=0,"",VLOOKUP($G26,BD_PRINCIPAL[],43,FALSE)),"")</f>
        <v/>
      </c>
      <c r="X26" s="296" t="str">
        <f>IFERROR(IF(VLOOKUP($G26,BD_PRINCIPAL[],44,FALSE)=0,"",VLOOKUP($G26,BD_PRINCIPAL[],44,FALSE)),"")</f>
        <v/>
      </c>
      <c r="Y26" s="296" t="str">
        <f>IFERROR(IF(VLOOKUP($G26,BD_PRINCIPAL[],45,FALSE)=0,"",VLOOKUP($G26,BD_PRINCIPAL[],45,FALSE)),"")</f>
        <v/>
      </c>
      <c r="Z26" s="296" t="str">
        <f>IFERROR(IF(VLOOKUP($G26,BD_PRINCIPAL[],46,FALSE)=0,"",VLOOKUP($G26,BD_PRINCIPAL[],46,FALSE)),"")</f>
        <v/>
      </c>
      <c r="AA26" s="296" t="str">
        <f>IFERROR(IF(VLOOKUP($G26,BD_PRINCIPAL[],47,FALSE)=0,"",VLOOKUP($G26,BD_PRINCIPAL[],47,FALSE)),"")</f>
        <v/>
      </c>
      <c r="AB26" s="296" t="str">
        <f>IFERROR(IF(VLOOKUP($G26,BD_PRINCIPAL[],48,FALSE)=0,"",VLOOKUP($G26,BD_PRINCIPAL[],48,FALSE)),"")</f>
        <v/>
      </c>
      <c r="AC26" s="296" t="str">
        <f>IFERROR(IF(VLOOKUP($G26,BD_PRINCIPAL[],49,FALSE)=0,"",VLOOKUP($G26,BD_PRINCIPAL[],49,FALSE)),"")</f>
        <v/>
      </c>
      <c r="AD26" s="296" t="str">
        <f>IFERROR(IF(VLOOKUP($G26,BD_PRINCIPAL[],50,FALSE)=0,"",VLOOKUP($G26,BD_PRINCIPAL[],50,FALSE)),"")</f>
        <v/>
      </c>
      <c r="AE26" s="296" t="str">
        <f>IFERROR(IF(VLOOKUP($G26,BD_PRINCIPAL[],51,FALSE)=0,"",VLOOKUP($G26,BD_PRINCIPAL[],51,FALSE)),"")</f>
        <v/>
      </c>
      <c r="AF26" s="296" t="str">
        <f>IFERROR(IF(VLOOKUP($G26,BD_PRINCIPAL[],52,FALSE)=0,"",VLOOKUP($G26,BD_PRINCIPAL[],52,FALSE)),"")</f>
        <v/>
      </c>
      <c r="AG26" s="296" t="str">
        <f>IFERROR(IF(VLOOKUP($G26,BD_PRINCIPAL[],53,FALSE)=0,"",VLOOKUP($G26,BD_PRINCIPAL[],53,FALSE)),"")</f>
        <v/>
      </c>
      <c r="AH26" s="296" t="str">
        <f>IFERROR(IF(VLOOKUP($G26,BD_PRINCIPAL[],54,FALSE)=0,"",VLOOKUP($G26,BD_PRINCIPAL[],54,FALSE)),"")</f>
        <v/>
      </c>
      <c r="AI26" s="296" t="str">
        <f>IFERROR(IF(VLOOKUP($G26,BD_PRINCIPAL[],55,FALSE)=0,"",VLOOKUP($G26,BD_PRINCIPAL[],55,FALSE)),"")</f>
        <v/>
      </c>
      <c r="AJ26" s="296" t="str">
        <f>IFERROR(IF(VLOOKUP($G26,BD_PRINCIPAL[],56,FALSE)=0,"",VLOOKUP($G26,BD_PRINCIPAL[],56,FALSE)),"")</f>
        <v/>
      </c>
      <c r="AK26" s="296" t="str">
        <f>IFERROR(IF(VLOOKUP($G26,BD_PRINCIPAL[],57,FALSE)=0,"",VLOOKUP($G26,BD_PRINCIPAL[],57,FALSE)),"")</f>
        <v/>
      </c>
      <c r="AL26" s="296" t="str">
        <f>IFERROR(IF(VLOOKUP($G26,BD_PRINCIPAL[],58,FALSE)=0,"",VLOOKUP($G26,BD_PRINCIPAL[],58,FALSE)),"")</f>
        <v/>
      </c>
    </row>
    <row r="27" spans="2:38" x14ac:dyDescent="0.3">
      <c r="B27" s="289">
        <f t="shared" si="3"/>
        <v>0</v>
      </c>
      <c r="D27" s="296">
        <v>13</v>
      </c>
      <c r="E27" s="296" t="str">
        <f>IFERROR(VLOOKUP(G27,BD_PRINCIPAL[],7,FALSE),"")</f>
        <v/>
      </c>
      <c r="F27" s="297" t="str">
        <f>IFERROR(VLOOKUP(G27,BD_PRINCIPAL[],2,FALSE),"")</f>
        <v/>
      </c>
      <c r="G27" s="731"/>
      <c r="H27" s="296" t="str">
        <f>IFERROR(IF(VLOOKUP($G27,BD_PRINCIPAL[],28,FALSE)=0,"",VLOOKUP($G27,BD_PRINCIPAL[],28,FALSE)),"")</f>
        <v/>
      </c>
      <c r="I27" s="296" t="str">
        <f>IFERROR(IF(VLOOKUP($G27,BD_PRINCIPAL[],29,FALSE)=0,"",VLOOKUP($G27,BD_PRINCIPAL[],29,FALSE)),"")</f>
        <v/>
      </c>
      <c r="J27" s="296" t="str">
        <f>IFERROR(IF(VLOOKUP($G27,BD_PRINCIPAL[],30,FALSE)=0,"",VLOOKUP($G27,BD_PRINCIPAL[],30,FALSE)),"")</f>
        <v/>
      </c>
      <c r="K27" s="296" t="str">
        <f>IFERROR(IF(VLOOKUP($G27,BD_PRINCIPAL[],31,FALSE)=0,"",VLOOKUP($G27,BD_PRINCIPAL[],31,FALSE)),"")</f>
        <v/>
      </c>
      <c r="L27" s="296" t="str">
        <f>IFERROR(IF(VLOOKUP($G27,BD_PRINCIPAL[],32,FALSE)=0,"",VLOOKUP($G27,BD_PRINCIPAL[],32,FALSE)),"")</f>
        <v/>
      </c>
      <c r="M27" s="296" t="str">
        <f>IFERROR(IF(VLOOKUP($G27,BD_PRINCIPAL[],33,FALSE)=0,"",VLOOKUP($G27,BD_PRINCIPAL[],33,FALSE)),"")</f>
        <v/>
      </c>
      <c r="N27" s="296" t="str">
        <f>IFERROR(IF(VLOOKUP($G27,BD_PRINCIPAL[],34,FALSE)=0,"",VLOOKUP($G27,BD_PRINCIPAL[],34,FALSE)),"")</f>
        <v/>
      </c>
      <c r="O27" s="296" t="str">
        <f>IFERROR(IF(VLOOKUP($G27,BD_PRINCIPAL[],35,FALSE)=0,"",VLOOKUP($G27,BD_PRINCIPAL[],35,FALSE)),"")</f>
        <v/>
      </c>
      <c r="P27" s="296" t="str">
        <f>IFERROR(IF(VLOOKUP($G27,BD_PRINCIPAL[],36,FALSE)=0,"",VLOOKUP($G27,BD_PRINCIPAL[],36,FALSE)),"")</f>
        <v/>
      </c>
      <c r="Q27" s="296" t="str">
        <f>IFERROR(IF(VLOOKUP($G27,BD_PRINCIPAL[],37,FALSE)=0,"",VLOOKUP($G27,BD_PRINCIPAL[],37,FALSE)),"")</f>
        <v/>
      </c>
      <c r="R27" s="296" t="str">
        <f>IFERROR(IF(VLOOKUP($G27,BD_PRINCIPAL[],38,FALSE)=0,"",VLOOKUP($G27,BD_PRINCIPAL[],38,FALSE)),"")</f>
        <v/>
      </c>
      <c r="S27" s="296" t="str">
        <f>IFERROR(IF(VLOOKUP($G27,BD_PRINCIPAL[],39,FALSE)=0,"",VLOOKUP($G27,BD_PRINCIPAL[],39,FALSE)),"")</f>
        <v/>
      </c>
      <c r="T27" s="296" t="str">
        <f>IFERROR(IF(VLOOKUP($G27,BD_PRINCIPAL[],40,FALSE)=0,"",VLOOKUP($G27,BD_PRINCIPAL[],40,FALSE)),"")</f>
        <v/>
      </c>
      <c r="U27" s="296" t="str">
        <f>IFERROR(IF(VLOOKUP($G27,BD_PRINCIPAL[],41,FALSE)=0,"",VLOOKUP($G27,BD_PRINCIPAL[],41,FALSE)),"")</f>
        <v/>
      </c>
      <c r="V27" s="296" t="str">
        <f>IFERROR(IF(VLOOKUP($G27,BD_PRINCIPAL[],42,FALSE)=0,"",VLOOKUP($G27,BD_PRINCIPAL[],42,FALSE)),"")</f>
        <v/>
      </c>
      <c r="W27" s="296" t="str">
        <f>IFERROR(IF(VLOOKUP($G27,BD_PRINCIPAL[],43,FALSE)=0,"",VLOOKUP($G27,BD_PRINCIPAL[],43,FALSE)),"")</f>
        <v/>
      </c>
      <c r="X27" s="296" t="str">
        <f>IFERROR(IF(VLOOKUP($G27,BD_PRINCIPAL[],44,FALSE)=0,"",VLOOKUP($G27,BD_PRINCIPAL[],44,FALSE)),"")</f>
        <v/>
      </c>
      <c r="Y27" s="296" t="str">
        <f>IFERROR(IF(VLOOKUP($G27,BD_PRINCIPAL[],45,FALSE)=0,"",VLOOKUP($G27,BD_PRINCIPAL[],45,FALSE)),"")</f>
        <v/>
      </c>
      <c r="Z27" s="296" t="str">
        <f>IFERROR(IF(VLOOKUP($G27,BD_PRINCIPAL[],46,FALSE)=0,"",VLOOKUP($G27,BD_PRINCIPAL[],46,FALSE)),"")</f>
        <v/>
      </c>
      <c r="AA27" s="296" t="str">
        <f>IFERROR(IF(VLOOKUP($G27,BD_PRINCIPAL[],47,FALSE)=0,"",VLOOKUP($G27,BD_PRINCIPAL[],47,FALSE)),"")</f>
        <v/>
      </c>
      <c r="AB27" s="296" t="str">
        <f>IFERROR(IF(VLOOKUP($G27,BD_PRINCIPAL[],48,FALSE)=0,"",VLOOKUP($G27,BD_PRINCIPAL[],48,FALSE)),"")</f>
        <v/>
      </c>
      <c r="AC27" s="296" t="str">
        <f>IFERROR(IF(VLOOKUP($G27,BD_PRINCIPAL[],49,FALSE)=0,"",VLOOKUP($G27,BD_PRINCIPAL[],49,FALSE)),"")</f>
        <v/>
      </c>
      <c r="AD27" s="296" t="str">
        <f>IFERROR(IF(VLOOKUP($G27,BD_PRINCIPAL[],50,FALSE)=0,"",VLOOKUP($G27,BD_PRINCIPAL[],50,FALSE)),"")</f>
        <v/>
      </c>
      <c r="AE27" s="296" t="str">
        <f>IFERROR(IF(VLOOKUP($G27,BD_PRINCIPAL[],51,FALSE)=0,"",VLOOKUP($G27,BD_PRINCIPAL[],51,FALSE)),"")</f>
        <v/>
      </c>
      <c r="AF27" s="296" t="str">
        <f>IFERROR(IF(VLOOKUP($G27,BD_PRINCIPAL[],52,FALSE)=0,"",VLOOKUP($G27,BD_PRINCIPAL[],52,FALSE)),"")</f>
        <v/>
      </c>
      <c r="AG27" s="296" t="str">
        <f>IFERROR(IF(VLOOKUP($G27,BD_PRINCIPAL[],53,FALSE)=0,"",VLOOKUP($G27,BD_PRINCIPAL[],53,FALSE)),"")</f>
        <v/>
      </c>
      <c r="AH27" s="296" t="str">
        <f>IFERROR(IF(VLOOKUP($G27,BD_PRINCIPAL[],54,FALSE)=0,"",VLOOKUP($G27,BD_PRINCIPAL[],54,FALSE)),"")</f>
        <v/>
      </c>
      <c r="AI27" s="296" t="str">
        <f>IFERROR(IF(VLOOKUP($G27,BD_PRINCIPAL[],55,FALSE)=0,"",VLOOKUP($G27,BD_PRINCIPAL[],55,FALSE)),"")</f>
        <v/>
      </c>
      <c r="AJ27" s="296" t="str">
        <f>IFERROR(IF(VLOOKUP($G27,BD_PRINCIPAL[],56,FALSE)=0,"",VLOOKUP($G27,BD_PRINCIPAL[],56,FALSE)),"")</f>
        <v/>
      </c>
      <c r="AK27" s="296" t="str">
        <f>IFERROR(IF(VLOOKUP($G27,BD_PRINCIPAL[],57,FALSE)=0,"",VLOOKUP($G27,BD_PRINCIPAL[],57,FALSE)),"")</f>
        <v/>
      </c>
      <c r="AL27" s="296" t="str">
        <f>IFERROR(IF(VLOOKUP($G27,BD_PRINCIPAL[],58,FALSE)=0,"",VLOOKUP($G27,BD_PRINCIPAL[],58,FALSE)),"")</f>
        <v/>
      </c>
    </row>
    <row r="28" spans="2:38" x14ac:dyDescent="0.3">
      <c r="B28" s="289">
        <f t="shared" si="3"/>
        <v>0</v>
      </c>
      <c r="D28" s="296">
        <v>14</v>
      </c>
      <c r="E28" s="296" t="str">
        <f>IFERROR(VLOOKUP(G28,BD_PRINCIPAL[],7,FALSE),"")</f>
        <v/>
      </c>
      <c r="F28" s="297" t="str">
        <f>IFERROR(VLOOKUP(G28,BD_PRINCIPAL[],2,FALSE),"")</f>
        <v/>
      </c>
      <c r="G28" s="321"/>
      <c r="H28" s="296" t="str">
        <f>IFERROR(IF(VLOOKUP($G28,BD_PRINCIPAL[],28,FALSE)=0,"",VLOOKUP($G28,BD_PRINCIPAL[],28,FALSE)),"")</f>
        <v/>
      </c>
      <c r="I28" s="296" t="str">
        <f>IFERROR(IF(VLOOKUP($G28,BD_PRINCIPAL[],29,FALSE)=0,"",VLOOKUP($G28,BD_PRINCIPAL[],29,FALSE)),"")</f>
        <v/>
      </c>
      <c r="J28" s="296" t="str">
        <f>IFERROR(IF(VLOOKUP($G28,BD_PRINCIPAL[],30,FALSE)=0,"",VLOOKUP($G28,BD_PRINCIPAL[],30,FALSE)),"")</f>
        <v/>
      </c>
      <c r="K28" s="296" t="str">
        <f>IFERROR(IF(VLOOKUP($G28,BD_PRINCIPAL[],31,FALSE)=0,"",VLOOKUP($G28,BD_PRINCIPAL[],31,FALSE)),"")</f>
        <v/>
      </c>
      <c r="L28" s="296" t="str">
        <f>IFERROR(IF(VLOOKUP($G28,BD_PRINCIPAL[],32,FALSE)=0,"",VLOOKUP($G28,BD_PRINCIPAL[],32,FALSE)),"")</f>
        <v/>
      </c>
      <c r="M28" s="296" t="str">
        <f>IFERROR(IF(VLOOKUP($G28,BD_PRINCIPAL[],33,FALSE)=0,"",VLOOKUP($G28,BD_PRINCIPAL[],33,FALSE)),"")</f>
        <v/>
      </c>
      <c r="N28" s="296" t="str">
        <f>IFERROR(IF(VLOOKUP($G28,BD_PRINCIPAL[],34,FALSE)=0,"",VLOOKUP($G28,BD_PRINCIPAL[],34,FALSE)),"")</f>
        <v/>
      </c>
      <c r="O28" s="296" t="str">
        <f>IFERROR(IF(VLOOKUP($G28,BD_PRINCIPAL[],35,FALSE)=0,"",VLOOKUP($G28,BD_PRINCIPAL[],35,FALSE)),"")</f>
        <v/>
      </c>
      <c r="P28" s="296" t="str">
        <f>IFERROR(IF(VLOOKUP($G28,BD_PRINCIPAL[],36,FALSE)=0,"",VLOOKUP($G28,BD_PRINCIPAL[],36,FALSE)),"")</f>
        <v/>
      </c>
      <c r="Q28" s="296" t="str">
        <f>IFERROR(IF(VLOOKUP($G28,BD_PRINCIPAL[],37,FALSE)=0,"",VLOOKUP($G28,BD_PRINCIPAL[],37,FALSE)),"")</f>
        <v/>
      </c>
      <c r="R28" s="296" t="str">
        <f>IFERROR(IF(VLOOKUP($G28,BD_PRINCIPAL[],38,FALSE)=0,"",VLOOKUP($G28,BD_PRINCIPAL[],38,FALSE)),"")</f>
        <v/>
      </c>
      <c r="S28" s="296" t="str">
        <f>IFERROR(IF(VLOOKUP($G28,BD_PRINCIPAL[],39,FALSE)=0,"",VLOOKUP($G28,BD_PRINCIPAL[],39,FALSE)),"")</f>
        <v/>
      </c>
      <c r="T28" s="296" t="str">
        <f>IFERROR(IF(VLOOKUP($G28,BD_PRINCIPAL[],40,FALSE)=0,"",VLOOKUP($G28,BD_PRINCIPAL[],40,FALSE)),"")</f>
        <v/>
      </c>
      <c r="U28" s="296" t="str">
        <f>IFERROR(IF(VLOOKUP($G28,BD_PRINCIPAL[],41,FALSE)=0,"",VLOOKUP($G28,BD_PRINCIPAL[],41,FALSE)),"")</f>
        <v/>
      </c>
      <c r="V28" s="296" t="str">
        <f>IFERROR(IF(VLOOKUP($G28,BD_PRINCIPAL[],42,FALSE)=0,"",VLOOKUP($G28,BD_PRINCIPAL[],42,FALSE)),"")</f>
        <v/>
      </c>
      <c r="W28" s="296" t="str">
        <f>IFERROR(IF(VLOOKUP($G28,BD_PRINCIPAL[],43,FALSE)=0,"",VLOOKUP($G28,BD_PRINCIPAL[],43,FALSE)),"")</f>
        <v/>
      </c>
      <c r="X28" s="296" t="str">
        <f>IFERROR(IF(VLOOKUP($G28,BD_PRINCIPAL[],44,FALSE)=0,"",VLOOKUP($G28,BD_PRINCIPAL[],44,FALSE)),"")</f>
        <v/>
      </c>
      <c r="Y28" s="296" t="str">
        <f>IFERROR(IF(VLOOKUP($G28,BD_PRINCIPAL[],45,FALSE)=0,"",VLOOKUP($G28,BD_PRINCIPAL[],45,FALSE)),"")</f>
        <v/>
      </c>
      <c r="Z28" s="296" t="str">
        <f>IFERROR(IF(VLOOKUP($G28,BD_PRINCIPAL[],46,FALSE)=0,"",VLOOKUP($G28,BD_PRINCIPAL[],46,FALSE)),"")</f>
        <v/>
      </c>
      <c r="AA28" s="296" t="str">
        <f>IFERROR(IF(VLOOKUP($G28,BD_PRINCIPAL[],47,FALSE)=0,"",VLOOKUP($G28,BD_PRINCIPAL[],47,FALSE)),"")</f>
        <v/>
      </c>
      <c r="AB28" s="296" t="str">
        <f>IFERROR(IF(VLOOKUP($G28,BD_PRINCIPAL[],48,FALSE)=0,"",VLOOKUP($G28,BD_PRINCIPAL[],48,FALSE)),"")</f>
        <v/>
      </c>
      <c r="AC28" s="296" t="str">
        <f>IFERROR(IF(VLOOKUP($G28,BD_PRINCIPAL[],49,FALSE)=0,"",VLOOKUP($G28,BD_PRINCIPAL[],49,FALSE)),"")</f>
        <v/>
      </c>
      <c r="AD28" s="296" t="str">
        <f>IFERROR(IF(VLOOKUP($G28,BD_PRINCIPAL[],50,FALSE)=0,"",VLOOKUP($G28,BD_PRINCIPAL[],50,FALSE)),"")</f>
        <v/>
      </c>
      <c r="AE28" s="296" t="str">
        <f>IFERROR(IF(VLOOKUP($G28,BD_PRINCIPAL[],51,FALSE)=0,"",VLOOKUP($G28,BD_PRINCIPAL[],51,FALSE)),"")</f>
        <v/>
      </c>
      <c r="AF28" s="296" t="str">
        <f>IFERROR(IF(VLOOKUP($G28,BD_PRINCIPAL[],52,FALSE)=0,"",VLOOKUP($G28,BD_PRINCIPAL[],52,FALSE)),"")</f>
        <v/>
      </c>
      <c r="AG28" s="296" t="str">
        <f>IFERROR(IF(VLOOKUP($G28,BD_PRINCIPAL[],53,FALSE)=0,"",VLOOKUP($G28,BD_PRINCIPAL[],53,FALSE)),"")</f>
        <v/>
      </c>
      <c r="AH28" s="296" t="str">
        <f>IFERROR(IF(VLOOKUP($G28,BD_PRINCIPAL[],54,FALSE)=0,"",VLOOKUP($G28,BD_PRINCIPAL[],54,FALSE)),"")</f>
        <v/>
      </c>
      <c r="AI28" s="296" t="str">
        <f>IFERROR(IF(VLOOKUP($G28,BD_PRINCIPAL[],55,FALSE)=0,"",VLOOKUP($G28,BD_PRINCIPAL[],55,FALSE)),"")</f>
        <v/>
      </c>
      <c r="AJ28" s="296" t="str">
        <f>IFERROR(IF(VLOOKUP($G28,BD_PRINCIPAL[],56,FALSE)=0,"",VLOOKUP($G28,BD_PRINCIPAL[],56,FALSE)),"")</f>
        <v/>
      </c>
      <c r="AK28" s="296" t="str">
        <f>IFERROR(IF(VLOOKUP($G28,BD_PRINCIPAL[],57,FALSE)=0,"",VLOOKUP($G28,BD_PRINCIPAL[],57,FALSE)),"")</f>
        <v/>
      </c>
      <c r="AL28" s="296" t="str">
        <f>IFERROR(IF(VLOOKUP($G28,BD_PRINCIPAL[],58,FALSE)=0,"",VLOOKUP($G28,BD_PRINCIPAL[],58,FALSE)),"")</f>
        <v/>
      </c>
    </row>
    <row r="29" spans="2:38" x14ac:dyDescent="0.3">
      <c r="B29" s="289">
        <f t="shared" si="3"/>
        <v>0</v>
      </c>
      <c r="D29" s="296">
        <v>15</v>
      </c>
      <c r="E29" s="296" t="str">
        <f>IFERROR(VLOOKUP(G29,BD_PRINCIPAL[],7,FALSE),"")</f>
        <v/>
      </c>
      <c r="F29" s="297" t="str">
        <f>IFERROR(VLOOKUP(G29,BD_PRINCIPAL[],2,FALSE),"")</f>
        <v/>
      </c>
      <c r="G29" s="321"/>
      <c r="H29" s="296" t="str">
        <f>IFERROR(IF(VLOOKUP($G29,BD_PRINCIPAL[],28,FALSE)=0,"",VLOOKUP($G29,BD_PRINCIPAL[],28,FALSE)),"")</f>
        <v/>
      </c>
      <c r="I29" s="296" t="str">
        <f>IFERROR(IF(VLOOKUP($G29,BD_PRINCIPAL[],29,FALSE)=0,"",VLOOKUP($G29,BD_PRINCIPAL[],29,FALSE)),"")</f>
        <v/>
      </c>
      <c r="J29" s="296" t="str">
        <f>IFERROR(IF(VLOOKUP($G29,BD_PRINCIPAL[],30,FALSE)=0,"",VLOOKUP($G29,BD_PRINCIPAL[],30,FALSE)),"")</f>
        <v/>
      </c>
      <c r="K29" s="296" t="str">
        <f>IFERROR(IF(VLOOKUP($G29,BD_PRINCIPAL[],31,FALSE)=0,"",VLOOKUP($G29,BD_PRINCIPAL[],31,FALSE)),"")</f>
        <v/>
      </c>
      <c r="L29" s="296" t="str">
        <f>IFERROR(IF(VLOOKUP($G29,BD_PRINCIPAL[],32,FALSE)=0,"",VLOOKUP($G29,BD_PRINCIPAL[],32,FALSE)),"")</f>
        <v/>
      </c>
      <c r="M29" s="296" t="str">
        <f>IFERROR(IF(VLOOKUP($G29,BD_PRINCIPAL[],33,FALSE)=0,"",VLOOKUP($G29,BD_PRINCIPAL[],33,FALSE)),"")</f>
        <v/>
      </c>
      <c r="N29" s="296" t="str">
        <f>IFERROR(IF(VLOOKUP($G29,BD_PRINCIPAL[],34,FALSE)=0,"",VLOOKUP($G29,BD_PRINCIPAL[],34,FALSE)),"")</f>
        <v/>
      </c>
      <c r="O29" s="296" t="str">
        <f>IFERROR(IF(VLOOKUP($G29,BD_PRINCIPAL[],35,FALSE)=0,"",VLOOKUP($G29,BD_PRINCIPAL[],35,FALSE)),"")</f>
        <v/>
      </c>
      <c r="P29" s="296" t="str">
        <f>IFERROR(IF(VLOOKUP($G29,BD_PRINCIPAL[],36,FALSE)=0,"",VLOOKUP($G29,BD_PRINCIPAL[],36,FALSE)),"")</f>
        <v/>
      </c>
      <c r="Q29" s="296" t="str">
        <f>IFERROR(IF(VLOOKUP($G29,BD_PRINCIPAL[],37,FALSE)=0,"",VLOOKUP($G29,BD_PRINCIPAL[],37,FALSE)),"")</f>
        <v/>
      </c>
      <c r="R29" s="296" t="str">
        <f>IFERROR(IF(VLOOKUP($G29,BD_PRINCIPAL[],38,FALSE)=0,"",VLOOKUP($G29,BD_PRINCIPAL[],38,FALSE)),"")</f>
        <v/>
      </c>
      <c r="S29" s="296" t="str">
        <f>IFERROR(IF(VLOOKUP($G29,BD_PRINCIPAL[],39,FALSE)=0,"",VLOOKUP($G29,BD_PRINCIPAL[],39,FALSE)),"")</f>
        <v/>
      </c>
      <c r="T29" s="296" t="str">
        <f>IFERROR(IF(VLOOKUP($G29,BD_PRINCIPAL[],40,FALSE)=0,"",VLOOKUP($G29,BD_PRINCIPAL[],40,FALSE)),"")</f>
        <v/>
      </c>
      <c r="U29" s="296" t="str">
        <f>IFERROR(IF(VLOOKUP($G29,BD_PRINCIPAL[],41,FALSE)=0,"",VLOOKUP($G29,BD_PRINCIPAL[],41,FALSE)),"")</f>
        <v/>
      </c>
      <c r="V29" s="296" t="str">
        <f>IFERROR(IF(VLOOKUP($G29,BD_PRINCIPAL[],42,FALSE)=0,"",VLOOKUP($G29,BD_PRINCIPAL[],42,FALSE)),"")</f>
        <v/>
      </c>
      <c r="W29" s="296" t="str">
        <f>IFERROR(IF(VLOOKUP($G29,BD_PRINCIPAL[],43,FALSE)=0,"",VLOOKUP($G29,BD_PRINCIPAL[],43,FALSE)),"")</f>
        <v/>
      </c>
      <c r="X29" s="296" t="str">
        <f>IFERROR(IF(VLOOKUP($G29,BD_PRINCIPAL[],44,FALSE)=0,"",VLOOKUP($G29,BD_PRINCIPAL[],44,FALSE)),"")</f>
        <v/>
      </c>
      <c r="Y29" s="296" t="str">
        <f>IFERROR(IF(VLOOKUP($G29,BD_PRINCIPAL[],45,FALSE)=0,"",VLOOKUP($G29,BD_PRINCIPAL[],45,FALSE)),"")</f>
        <v/>
      </c>
      <c r="Z29" s="296" t="str">
        <f>IFERROR(IF(VLOOKUP($G29,BD_PRINCIPAL[],46,FALSE)=0,"",VLOOKUP($G29,BD_PRINCIPAL[],46,FALSE)),"")</f>
        <v/>
      </c>
      <c r="AA29" s="296" t="str">
        <f>IFERROR(IF(VLOOKUP($G29,BD_PRINCIPAL[],47,FALSE)=0,"",VLOOKUP($G29,BD_PRINCIPAL[],47,FALSE)),"")</f>
        <v/>
      </c>
      <c r="AB29" s="296" t="str">
        <f>IFERROR(IF(VLOOKUP($G29,BD_PRINCIPAL[],48,FALSE)=0,"",VLOOKUP($G29,BD_PRINCIPAL[],48,FALSE)),"")</f>
        <v/>
      </c>
      <c r="AC29" s="296" t="str">
        <f>IFERROR(IF(VLOOKUP($G29,BD_PRINCIPAL[],49,FALSE)=0,"",VLOOKUP($G29,BD_PRINCIPAL[],49,FALSE)),"")</f>
        <v/>
      </c>
      <c r="AD29" s="296" t="str">
        <f>IFERROR(IF(VLOOKUP($G29,BD_PRINCIPAL[],50,FALSE)=0,"",VLOOKUP($G29,BD_PRINCIPAL[],50,FALSE)),"")</f>
        <v/>
      </c>
      <c r="AE29" s="296" t="str">
        <f>IFERROR(IF(VLOOKUP($G29,BD_PRINCIPAL[],51,FALSE)=0,"",VLOOKUP($G29,BD_PRINCIPAL[],51,FALSE)),"")</f>
        <v/>
      </c>
      <c r="AF29" s="296" t="str">
        <f>IFERROR(IF(VLOOKUP($G29,BD_PRINCIPAL[],52,FALSE)=0,"",VLOOKUP($G29,BD_PRINCIPAL[],52,FALSE)),"")</f>
        <v/>
      </c>
      <c r="AG29" s="296" t="str">
        <f>IFERROR(IF(VLOOKUP($G29,BD_PRINCIPAL[],53,FALSE)=0,"",VLOOKUP($G29,BD_PRINCIPAL[],53,FALSE)),"")</f>
        <v/>
      </c>
      <c r="AH29" s="296" t="str">
        <f>IFERROR(IF(VLOOKUP($G29,BD_PRINCIPAL[],54,FALSE)=0,"",VLOOKUP($G29,BD_PRINCIPAL[],54,FALSE)),"")</f>
        <v/>
      </c>
      <c r="AI29" s="296" t="str">
        <f>IFERROR(IF(VLOOKUP($G29,BD_PRINCIPAL[],55,FALSE)=0,"",VLOOKUP($G29,BD_PRINCIPAL[],55,FALSE)),"")</f>
        <v/>
      </c>
      <c r="AJ29" s="296" t="str">
        <f>IFERROR(IF(VLOOKUP($G29,BD_PRINCIPAL[],56,FALSE)=0,"",VLOOKUP($G29,BD_PRINCIPAL[],56,FALSE)),"")</f>
        <v/>
      </c>
      <c r="AK29" s="296" t="str">
        <f>IFERROR(IF(VLOOKUP($G29,BD_PRINCIPAL[],57,FALSE)=0,"",VLOOKUP($G29,BD_PRINCIPAL[],57,FALSE)),"")</f>
        <v/>
      </c>
      <c r="AL29" s="296" t="str">
        <f>IFERROR(IF(VLOOKUP($G29,BD_PRINCIPAL[],58,FALSE)=0,"",VLOOKUP($G29,BD_PRINCIPAL[],58,FALSE)),"")</f>
        <v/>
      </c>
    </row>
    <row r="30" spans="2:38" x14ac:dyDescent="0.3">
      <c r="B30" s="289">
        <f t="shared" si="3"/>
        <v>0</v>
      </c>
      <c r="D30" s="296">
        <v>16</v>
      </c>
      <c r="E30" s="296" t="str">
        <f>IFERROR(VLOOKUP(G30,BD_PRINCIPAL[],7,FALSE),"")</f>
        <v/>
      </c>
      <c r="F30" s="297" t="str">
        <f>IFERROR(VLOOKUP(G30,BD_PRINCIPAL[],2,FALSE),"")</f>
        <v/>
      </c>
      <c r="G30" s="321"/>
      <c r="H30" s="296" t="str">
        <f>IFERROR(IF(VLOOKUP($G30,BD_PRINCIPAL[],28,FALSE)=0,"",VLOOKUP($G30,BD_PRINCIPAL[],28,FALSE)),"")</f>
        <v/>
      </c>
      <c r="I30" s="296" t="str">
        <f>IFERROR(IF(VLOOKUP($G30,BD_PRINCIPAL[],29,FALSE)=0,"",VLOOKUP($G30,BD_PRINCIPAL[],29,FALSE)),"")</f>
        <v/>
      </c>
      <c r="J30" s="296" t="str">
        <f>IFERROR(IF(VLOOKUP($G30,BD_PRINCIPAL[],30,FALSE)=0,"",VLOOKUP($G30,BD_PRINCIPAL[],30,FALSE)),"")</f>
        <v/>
      </c>
      <c r="K30" s="296" t="str">
        <f>IFERROR(IF(VLOOKUP($G30,BD_PRINCIPAL[],31,FALSE)=0,"",VLOOKUP($G30,BD_PRINCIPAL[],31,FALSE)),"")</f>
        <v/>
      </c>
      <c r="L30" s="296" t="str">
        <f>IFERROR(IF(VLOOKUP($G30,BD_PRINCIPAL[],32,FALSE)=0,"",VLOOKUP($G30,BD_PRINCIPAL[],32,FALSE)),"")</f>
        <v/>
      </c>
      <c r="M30" s="296" t="str">
        <f>IFERROR(IF(VLOOKUP($G30,BD_PRINCIPAL[],33,FALSE)=0,"",VLOOKUP($G30,BD_PRINCIPAL[],33,FALSE)),"")</f>
        <v/>
      </c>
      <c r="N30" s="296" t="str">
        <f>IFERROR(IF(VLOOKUP($G30,BD_PRINCIPAL[],34,FALSE)=0,"",VLOOKUP($G30,BD_PRINCIPAL[],34,FALSE)),"")</f>
        <v/>
      </c>
      <c r="O30" s="296" t="str">
        <f>IFERROR(IF(VLOOKUP($G30,BD_PRINCIPAL[],35,FALSE)=0,"",VLOOKUP($G30,BD_PRINCIPAL[],35,FALSE)),"")</f>
        <v/>
      </c>
      <c r="P30" s="296" t="str">
        <f>IFERROR(IF(VLOOKUP($G30,BD_PRINCIPAL[],36,FALSE)=0,"",VLOOKUP($G30,BD_PRINCIPAL[],36,FALSE)),"")</f>
        <v/>
      </c>
      <c r="Q30" s="296" t="str">
        <f>IFERROR(IF(VLOOKUP($G30,BD_PRINCIPAL[],37,FALSE)=0,"",VLOOKUP($G30,BD_PRINCIPAL[],37,FALSE)),"")</f>
        <v/>
      </c>
      <c r="R30" s="296" t="str">
        <f>IFERROR(IF(VLOOKUP($G30,BD_PRINCIPAL[],38,FALSE)=0,"",VLOOKUP($G30,BD_PRINCIPAL[],38,FALSE)),"")</f>
        <v/>
      </c>
      <c r="S30" s="296" t="str">
        <f>IFERROR(IF(VLOOKUP($G30,BD_PRINCIPAL[],39,FALSE)=0,"",VLOOKUP($G30,BD_PRINCIPAL[],39,FALSE)),"")</f>
        <v/>
      </c>
      <c r="T30" s="296" t="str">
        <f>IFERROR(IF(VLOOKUP($G30,BD_PRINCIPAL[],40,FALSE)=0,"",VLOOKUP($G30,BD_PRINCIPAL[],40,FALSE)),"")</f>
        <v/>
      </c>
      <c r="U30" s="296" t="str">
        <f>IFERROR(IF(VLOOKUP($G30,BD_PRINCIPAL[],41,FALSE)=0,"",VLOOKUP($G30,BD_PRINCIPAL[],41,FALSE)),"")</f>
        <v/>
      </c>
      <c r="V30" s="296" t="str">
        <f>IFERROR(IF(VLOOKUP($G30,BD_PRINCIPAL[],42,FALSE)=0,"",VLOOKUP($G30,BD_PRINCIPAL[],42,FALSE)),"")</f>
        <v/>
      </c>
      <c r="W30" s="296" t="str">
        <f>IFERROR(IF(VLOOKUP($G30,BD_PRINCIPAL[],43,FALSE)=0,"",VLOOKUP($G30,BD_PRINCIPAL[],43,FALSE)),"")</f>
        <v/>
      </c>
      <c r="X30" s="296" t="str">
        <f>IFERROR(IF(VLOOKUP($G30,BD_PRINCIPAL[],44,FALSE)=0,"",VLOOKUP($G30,BD_PRINCIPAL[],44,FALSE)),"")</f>
        <v/>
      </c>
      <c r="Y30" s="296" t="str">
        <f>IFERROR(IF(VLOOKUP($G30,BD_PRINCIPAL[],45,FALSE)=0,"",VLOOKUP($G30,BD_PRINCIPAL[],45,FALSE)),"")</f>
        <v/>
      </c>
      <c r="Z30" s="296" t="str">
        <f>IFERROR(IF(VLOOKUP($G30,BD_PRINCIPAL[],46,FALSE)=0,"",VLOOKUP($G30,BD_PRINCIPAL[],46,FALSE)),"")</f>
        <v/>
      </c>
      <c r="AA30" s="296" t="str">
        <f>IFERROR(IF(VLOOKUP($G30,BD_PRINCIPAL[],47,FALSE)=0,"",VLOOKUP($G30,BD_PRINCIPAL[],47,FALSE)),"")</f>
        <v/>
      </c>
      <c r="AB30" s="296" t="str">
        <f>IFERROR(IF(VLOOKUP($G30,BD_PRINCIPAL[],48,FALSE)=0,"",VLOOKUP($G30,BD_PRINCIPAL[],48,FALSE)),"")</f>
        <v/>
      </c>
      <c r="AC30" s="296" t="str">
        <f>IFERROR(IF(VLOOKUP($G30,BD_PRINCIPAL[],49,FALSE)=0,"",VLOOKUP($G30,BD_PRINCIPAL[],49,FALSE)),"")</f>
        <v/>
      </c>
      <c r="AD30" s="296" t="str">
        <f>IFERROR(IF(VLOOKUP($G30,BD_PRINCIPAL[],50,FALSE)=0,"",VLOOKUP($G30,BD_PRINCIPAL[],50,FALSE)),"")</f>
        <v/>
      </c>
      <c r="AE30" s="296" t="str">
        <f>IFERROR(IF(VLOOKUP($G30,BD_PRINCIPAL[],51,FALSE)=0,"",VLOOKUP($G30,BD_PRINCIPAL[],51,FALSE)),"")</f>
        <v/>
      </c>
      <c r="AF30" s="296" t="str">
        <f>IFERROR(IF(VLOOKUP($G30,BD_PRINCIPAL[],52,FALSE)=0,"",VLOOKUP($G30,BD_PRINCIPAL[],52,FALSE)),"")</f>
        <v/>
      </c>
      <c r="AG30" s="296" t="str">
        <f>IFERROR(IF(VLOOKUP($G30,BD_PRINCIPAL[],53,FALSE)=0,"",VLOOKUP($G30,BD_PRINCIPAL[],53,FALSE)),"")</f>
        <v/>
      </c>
      <c r="AH30" s="296" t="str">
        <f>IFERROR(IF(VLOOKUP($G30,BD_PRINCIPAL[],54,FALSE)=0,"",VLOOKUP($G30,BD_PRINCIPAL[],54,FALSE)),"")</f>
        <v/>
      </c>
      <c r="AI30" s="296" t="str">
        <f>IFERROR(IF(VLOOKUP($G30,BD_PRINCIPAL[],55,FALSE)=0,"",VLOOKUP($G30,BD_PRINCIPAL[],55,FALSE)),"")</f>
        <v/>
      </c>
      <c r="AJ30" s="296" t="str">
        <f>IFERROR(IF(VLOOKUP($G30,BD_PRINCIPAL[],56,FALSE)=0,"",VLOOKUP($G30,BD_PRINCIPAL[],56,FALSE)),"")</f>
        <v/>
      </c>
      <c r="AK30" s="296" t="str">
        <f>IFERROR(IF(VLOOKUP($G30,BD_PRINCIPAL[],57,FALSE)=0,"",VLOOKUP($G30,BD_PRINCIPAL[],57,FALSE)),"")</f>
        <v/>
      </c>
      <c r="AL30" s="296" t="str">
        <f>IFERROR(IF(VLOOKUP($G30,BD_PRINCIPAL[],58,FALSE)=0,"",VLOOKUP($G30,BD_PRINCIPAL[],58,FALSE)),"")</f>
        <v/>
      </c>
    </row>
    <row r="31" spans="2:38" x14ac:dyDescent="0.3">
      <c r="B31" s="289">
        <f t="shared" si="3"/>
        <v>0</v>
      </c>
      <c r="D31" s="296">
        <v>17</v>
      </c>
      <c r="E31" s="296" t="str">
        <f>IFERROR(VLOOKUP(G31,BD_PRINCIPAL[],7,FALSE),"")</f>
        <v/>
      </c>
      <c r="F31" s="297" t="str">
        <f>IFERROR(VLOOKUP(G31,BD_PRINCIPAL[],2,FALSE),"")</f>
        <v/>
      </c>
      <c r="G31" s="197"/>
      <c r="H31" s="296" t="str">
        <f>IFERROR(IF(VLOOKUP($G31,BD_PRINCIPAL[],28,FALSE)=0,"",VLOOKUP($G31,BD_PRINCIPAL[],28,FALSE)),"")</f>
        <v/>
      </c>
      <c r="I31" s="296" t="str">
        <f>IFERROR(IF(VLOOKUP($G31,BD_PRINCIPAL[],29,FALSE)=0,"",VLOOKUP($G31,BD_PRINCIPAL[],29,FALSE)),"")</f>
        <v/>
      </c>
      <c r="J31" s="296" t="str">
        <f>IFERROR(IF(VLOOKUP($G31,BD_PRINCIPAL[],30,FALSE)=0,"",VLOOKUP($G31,BD_PRINCIPAL[],30,FALSE)),"")</f>
        <v/>
      </c>
      <c r="K31" s="296" t="str">
        <f>IFERROR(IF(VLOOKUP($G31,BD_PRINCIPAL[],31,FALSE)=0,"",VLOOKUP($G31,BD_PRINCIPAL[],31,FALSE)),"")</f>
        <v/>
      </c>
      <c r="L31" s="296" t="str">
        <f>IFERROR(IF(VLOOKUP($G31,BD_PRINCIPAL[],32,FALSE)=0,"",VLOOKUP($G31,BD_PRINCIPAL[],32,FALSE)),"")</f>
        <v/>
      </c>
      <c r="M31" s="296" t="str">
        <f>IFERROR(IF(VLOOKUP($G31,BD_PRINCIPAL[],33,FALSE)=0,"",VLOOKUP($G31,BD_PRINCIPAL[],33,FALSE)),"")</f>
        <v/>
      </c>
      <c r="N31" s="296" t="str">
        <f>IFERROR(IF(VLOOKUP($G31,BD_PRINCIPAL[],34,FALSE)=0,"",VLOOKUP($G31,BD_PRINCIPAL[],34,FALSE)),"")</f>
        <v/>
      </c>
      <c r="O31" s="296" t="str">
        <f>IFERROR(IF(VLOOKUP($G31,BD_PRINCIPAL[],35,FALSE)=0,"",VLOOKUP($G31,BD_PRINCIPAL[],35,FALSE)),"")</f>
        <v/>
      </c>
      <c r="P31" s="296" t="str">
        <f>IFERROR(IF(VLOOKUP($G31,BD_PRINCIPAL[],36,FALSE)=0,"",VLOOKUP($G31,BD_PRINCIPAL[],36,FALSE)),"")</f>
        <v/>
      </c>
      <c r="Q31" s="296" t="str">
        <f>IFERROR(IF(VLOOKUP($G31,BD_PRINCIPAL[],37,FALSE)=0,"",VLOOKUP($G31,BD_PRINCIPAL[],37,FALSE)),"")</f>
        <v/>
      </c>
      <c r="R31" s="296" t="str">
        <f>IFERROR(IF(VLOOKUP($G31,BD_PRINCIPAL[],38,FALSE)=0,"",VLOOKUP($G31,BD_PRINCIPAL[],38,FALSE)),"")</f>
        <v/>
      </c>
      <c r="S31" s="296" t="str">
        <f>IFERROR(IF(VLOOKUP($G31,BD_PRINCIPAL[],39,FALSE)=0,"",VLOOKUP($G31,BD_PRINCIPAL[],39,FALSE)),"")</f>
        <v/>
      </c>
      <c r="T31" s="296" t="str">
        <f>IFERROR(IF(VLOOKUP($G31,BD_PRINCIPAL[],40,FALSE)=0,"",VLOOKUP($G31,BD_PRINCIPAL[],40,FALSE)),"")</f>
        <v/>
      </c>
      <c r="U31" s="296" t="str">
        <f>IFERROR(IF(VLOOKUP($G31,BD_PRINCIPAL[],41,FALSE)=0,"",VLOOKUP($G31,BD_PRINCIPAL[],41,FALSE)),"")</f>
        <v/>
      </c>
      <c r="V31" s="296" t="str">
        <f>IFERROR(IF(VLOOKUP($G31,BD_PRINCIPAL[],42,FALSE)=0,"",VLOOKUP($G31,BD_PRINCIPAL[],42,FALSE)),"")</f>
        <v/>
      </c>
      <c r="W31" s="296" t="str">
        <f>IFERROR(IF(VLOOKUP($G31,BD_PRINCIPAL[],43,FALSE)=0,"",VLOOKUP($G31,BD_PRINCIPAL[],43,FALSE)),"")</f>
        <v/>
      </c>
      <c r="X31" s="296" t="str">
        <f>IFERROR(IF(VLOOKUP($G31,BD_PRINCIPAL[],44,FALSE)=0,"",VLOOKUP($G31,BD_PRINCIPAL[],44,FALSE)),"")</f>
        <v/>
      </c>
      <c r="Y31" s="296" t="str">
        <f>IFERROR(IF(VLOOKUP($G31,BD_PRINCIPAL[],45,FALSE)=0,"",VLOOKUP($G31,BD_PRINCIPAL[],45,FALSE)),"")</f>
        <v/>
      </c>
      <c r="Z31" s="296" t="str">
        <f>IFERROR(IF(VLOOKUP($G31,BD_PRINCIPAL[],46,FALSE)=0,"",VLOOKUP($G31,BD_PRINCIPAL[],46,FALSE)),"")</f>
        <v/>
      </c>
      <c r="AA31" s="296" t="str">
        <f>IFERROR(IF(VLOOKUP($G31,BD_PRINCIPAL[],47,FALSE)=0,"",VLOOKUP($G31,BD_PRINCIPAL[],47,FALSE)),"")</f>
        <v/>
      </c>
      <c r="AB31" s="296" t="str">
        <f>IFERROR(IF(VLOOKUP($G31,BD_PRINCIPAL[],48,FALSE)=0,"",VLOOKUP($G31,BD_PRINCIPAL[],48,FALSE)),"")</f>
        <v/>
      </c>
      <c r="AC31" s="296" t="str">
        <f>IFERROR(IF(VLOOKUP($G31,BD_PRINCIPAL[],49,FALSE)=0,"",VLOOKUP($G31,BD_PRINCIPAL[],49,FALSE)),"")</f>
        <v/>
      </c>
      <c r="AD31" s="296" t="str">
        <f>IFERROR(IF(VLOOKUP($G31,BD_PRINCIPAL[],50,FALSE)=0,"",VLOOKUP($G31,BD_PRINCIPAL[],50,FALSE)),"")</f>
        <v/>
      </c>
      <c r="AE31" s="296" t="str">
        <f>IFERROR(IF(VLOOKUP($G31,BD_PRINCIPAL[],51,FALSE)=0,"",VLOOKUP($G31,BD_PRINCIPAL[],51,FALSE)),"")</f>
        <v/>
      </c>
      <c r="AF31" s="296" t="str">
        <f>IFERROR(IF(VLOOKUP($G31,BD_PRINCIPAL[],52,FALSE)=0,"",VLOOKUP($G31,BD_PRINCIPAL[],52,FALSE)),"")</f>
        <v/>
      </c>
      <c r="AG31" s="296" t="str">
        <f>IFERROR(IF(VLOOKUP($G31,BD_PRINCIPAL[],53,FALSE)=0,"",VLOOKUP($G31,BD_PRINCIPAL[],53,FALSE)),"")</f>
        <v/>
      </c>
      <c r="AH31" s="296" t="str">
        <f>IFERROR(IF(VLOOKUP($G31,BD_PRINCIPAL[],54,FALSE)=0,"",VLOOKUP($G31,BD_PRINCIPAL[],54,FALSE)),"")</f>
        <v/>
      </c>
      <c r="AI31" s="296" t="str">
        <f>IFERROR(IF(VLOOKUP($G31,BD_PRINCIPAL[],55,FALSE)=0,"",VLOOKUP($G31,BD_PRINCIPAL[],55,FALSE)),"")</f>
        <v/>
      </c>
      <c r="AJ31" s="296" t="str">
        <f>IFERROR(IF(VLOOKUP($G31,BD_PRINCIPAL[],56,FALSE)=0,"",VLOOKUP($G31,BD_PRINCIPAL[],56,FALSE)),"")</f>
        <v/>
      </c>
      <c r="AK31" s="296" t="str">
        <f>IFERROR(IF(VLOOKUP($G31,BD_PRINCIPAL[],57,FALSE)=0,"",VLOOKUP($G31,BD_PRINCIPAL[],57,FALSE)),"")</f>
        <v/>
      </c>
      <c r="AL31" s="296" t="str">
        <f>IFERROR(IF(VLOOKUP($G31,BD_PRINCIPAL[],58,FALSE)=0,"",VLOOKUP($G31,BD_PRINCIPAL[],58,FALSE)),"")</f>
        <v/>
      </c>
    </row>
    <row r="32" spans="2:38" x14ac:dyDescent="0.3">
      <c r="B32" s="289">
        <f t="shared" si="3"/>
        <v>0</v>
      </c>
      <c r="D32" s="296">
        <v>18</v>
      </c>
      <c r="E32" s="296" t="str">
        <f>IFERROR(VLOOKUP(G32,BD_PRINCIPAL[],7,FALSE),"")</f>
        <v/>
      </c>
      <c r="F32" s="297" t="str">
        <f>IFERROR(VLOOKUP(G32,BD_PRINCIPAL[],2,FALSE),"")</f>
        <v/>
      </c>
      <c r="G32" s="288"/>
      <c r="H32" s="296" t="str">
        <f>IFERROR(IF(VLOOKUP($G32,BD_PRINCIPAL[],28,FALSE)=0,"",VLOOKUP($G32,BD_PRINCIPAL[],28,FALSE)),"")</f>
        <v/>
      </c>
      <c r="I32" s="296" t="str">
        <f>IFERROR(IF(VLOOKUP($G32,BD_PRINCIPAL[],29,FALSE)=0,"",VLOOKUP($G32,BD_PRINCIPAL[],29,FALSE)),"")</f>
        <v/>
      </c>
      <c r="J32" s="296" t="str">
        <f>IFERROR(IF(VLOOKUP($G32,BD_PRINCIPAL[],30,FALSE)=0,"",VLOOKUP($G32,BD_PRINCIPAL[],30,FALSE)),"")</f>
        <v/>
      </c>
      <c r="K32" s="296" t="str">
        <f>IFERROR(IF(VLOOKUP($G32,BD_PRINCIPAL[],31,FALSE)=0,"",VLOOKUP($G32,BD_PRINCIPAL[],31,FALSE)),"")</f>
        <v/>
      </c>
      <c r="L32" s="296" t="str">
        <f>IFERROR(IF(VLOOKUP($G32,BD_PRINCIPAL[],32,FALSE)=0,"",VLOOKUP($G32,BD_PRINCIPAL[],32,FALSE)),"")</f>
        <v/>
      </c>
      <c r="M32" s="296" t="str">
        <f>IFERROR(IF(VLOOKUP($G32,BD_PRINCIPAL[],33,FALSE)=0,"",VLOOKUP($G32,BD_PRINCIPAL[],33,FALSE)),"")</f>
        <v/>
      </c>
      <c r="N32" s="296" t="str">
        <f>IFERROR(IF(VLOOKUP($G32,BD_PRINCIPAL[],34,FALSE)=0,"",VLOOKUP($G32,BD_PRINCIPAL[],34,FALSE)),"")</f>
        <v/>
      </c>
      <c r="O32" s="296" t="str">
        <f>IFERROR(IF(VLOOKUP($G32,BD_PRINCIPAL[],35,FALSE)=0,"",VLOOKUP($G32,BD_PRINCIPAL[],35,FALSE)),"")</f>
        <v/>
      </c>
      <c r="P32" s="296" t="str">
        <f>IFERROR(IF(VLOOKUP($G32,BD_PRINCIPAL[],36,FALSE)=0,"",VLOOKUP($G32,BD_PRINCIPAL[],36,FALSE)),"")</f>
        <v/>
      </c>
      <c r="Q32" s="296" t="str">
        <f>IFERROR(IF(VLOOKUP($G32,BD_PRINCIPAL[],37,FALSE)=0,"",VLOOKUP($G32,BD_PRINCIPAL[],37,FALSE)),"")</f>
        <v/>
      </c>
      <c r="R32" s="296" t="str">
        <f>IFERROR(IF(VLOOKUP($G32,BD_PRINCIPAL[],38,FALSE)=0,"",VLOOKUP($G32,BD_PRINCIPAL[],38,FALSE)),"")</f>
        <v/>
      </c>
      <c r="S32" s="296" t="str">
        <f>IFERROR(IF(VLOOKUP($G32,BD_PRINCIPAL[],39,FALSE)=0,"",VLOOKUP($G32,BD_PRINCIPAL[],39,FALSE)),"")</f>
        <v/>
      </c>
      <c r="T32" s="296" t="str">
        <f>IFERROR(IF(VLOOKUP($G32,BD_PRINCIPAL[],40,FALSE)=0,"",VLOOKUP($G32,BD_PRINCIPAL[],40,FALSE)),"")</f>
        <v/>
      </c>
      <c r="U32" s="296" t="str">
        <f>IFERROR(IF(VLOOKUP($G32,BD_PRINCIPAL[],41,FALSE)=0,"",VLOOKUP($G32,BD_PRINCIPAL[],41,FALSE)),"")</f>
        <v/>
      </c>
      <c r="V32" s="296" t="str">
        <f>IFERROR(IF(VLOOKUP($G32,BD_PRINCIPAL[],42,FALSE)=0,"",VLOOKUP($G32,BD_PRINCIPAL[],42,FALSE)),"")</f>
        <v/>
      </c>
      <c r="W32" s="296" t="str">
        <f>IFERROR(IF(VLOOKUP($G32,BD_PRINCIPAL[],43,FALSE)=0,"",VLOOKUP($G32,BD_PRINCIPAL[],43,FALSE)),"")</f>
        <v/>
      </c>
      <c r="X32" s="296" t="str">
        <f>IFERROR(IF(VLOOKUP($G32,BD_PRINCIPAL[],44,FALSE)=0,"",VLOOKUP($G32,BD_PRINCIPAL[],44,FALSE)),"")</f>
        <v/>
      </c>
      <c r="Y32" s="296" t="str">
        <f>IFERROR(IF(VLOOKUP($G32,BD_PRINCIPAL[],45,FALSE)=0,"",VLOOKUP($G32,BD_PRINCIPAL[],45,FALSE)),"")</f>
        <v/>
      </c>
      <c r="Z32" s="296" t="str">
        <f>IFERROR(IF(VLOOKUP($G32,BD_PRINCIPAL[],46,FALSE)=0,"",VLOOKUP($G32,BD_PRINCIPAL[],46,FALSE)),"")</f>
        <v/>
      </c>
      <c r="AA32" s="296" t="str">
        <f>IFERROR(IF(VLOOKUP($G32,BD_PRINCIPAL[],47,FALSE)=0,"",VLOOKUP($G32,BD_PRINCIPAL[],47,FALSE)),"")</f>
        <v/>
      </c>
      <c r="AB32" s="296" t="str">
        <f>IFERROR(IF(VLOOKUP($G32,BD_PRINCIPAL[],48,FALSE)=0,"",VLOOKUP($G32,BD_PRINCIPAL[],48,FALSE)),"")</f>
        <v/>
      </c>
      <c r="AC32" s="296" t="str">
        <f>IFERROR(IF(VLOOKUP($G32,BD_PRINCIPAL[],49,FALSE)=0,"",VLOOKUP($G32,BD_PRINCIPAL[],49,FALSE)),"")</f>
        <v/>
      </c>
      <c r="AD32" s="296" t="str">
        <f>IFERROR(IF(VLOOKUP($G32,BD_PRINCIPAL[],50,FALSE)=0,"",VLOOKUP($G32,BD_PRINCIPAL[],50,FALSE)),"")</f>
        <v/>
      </c>
      <c r="AE32" s="296" t="str">
        <f>IFERROR(IF(VLOOKUP($G32,BD_PRINCIPAL[],51,FALSE)=0,"",VLOOKUP($G32,BD_PRINCIPAL[],51,FALSE)),"")</f>
        <v/>
      </c>
      <c r="AF32" s="296" t="str">
        <f>IFERROR(IF(VLOOKUP($G32,BD_PRINCIPAL[],52,FALSE)=0,"",VLOOKUP($G32,BD_PRINCIPAL[],52,FALSE)),"")</f>
        <v/>
      </c>
      <c r="AG32" s="296" t="str">
        <f>IFERROR(IF(VLOOKUP($G32,BD_PRINCIPAL[],53,FALSE)=0,"",VLOOKUP($G32,BD_PRINCIPAL[],53,FALSE)),"")</f>
        <v/>
      </c>
      <c r="AH32" s="296" t="str">
        <f>IFERROR(IF(VLOOKUP($G32,BD_PRINCIPAL[],54,FALSE)=0,"",VLOOKUP($G32,BD_PRINCIPAL[],54,FALSE)),"")</f>
        <v/>
      </c>
      <c r="AI32" s="296" t="str">
        <f>IFERROR(IF(VLOOKUP($G32,BD_PRINCIPAL[],55,FALSE)=0,"",VLOOKUP($G32,BD_PRINCIPAL[],55,FALSE)),"")</f>
        <v/>
      </c>
      <c r="AJ32" s="296" t="str">
        <f>IFERROR(IF(VLOOKUP($G32,BD_PRINCIPAL[],56,FALSE)=0,"",VLOOKUP($G32,BD_PRINCIPAL[],56,FALSE)),"")</f>
        <v/>
      </c>
      <c r="AK32" s="296" t="str">
        <f>IFERROR(IF(VLOOKUP($G32,BD_PRINCIPAL[],57,FALSE)=0,"",VLOOKUP($G32,BD_PRINCIPAL[],57,FALSE)),"")</f>
        <v/>
      </c>
      <c r="AL32" s="296" t="str">
        <f>IFERROR(IF(VLOOKUP($G32,BD_PRINCIPAL[],58,FALSE)=0,"",VLOOKUP($G32,BD_PRINCIPAL[],58,FALSE)),"")</f>
        <v/>
      </c>
    </row>
    <row r="33" spans="2:38" x14ac:dyDescent="0.3">
      <c r="B33" s="289">
        <f t="shared" si="3"/>
        <v>0</v>
      </c>
      <c r="D33" s="296">
        <v>19</v>
      </c>
      <c r="E33" s="296" t="str">
        <f>IFERROR(VLOOKUP(G33,BD_PRINCIPAL[],7,FALSE),"")</f>
        <v/>
      </c>
      <c r="F33" s="297" t="str">
        <f>IFERROR(VLOOKUP(G33,BD_PRINCIPAL[],2,FALSE),"")</f>
        <v/>
      </c>
      <c r="G33" s="288"/>
      <c r="H33" s="296" t="str">
        <f>IFERROR(IF(VLOOKUP($G33,BD_PRINCIPAL[],28,FALSE)=0,"",VLOOKUP($G33,BD_PRINCIPAL[],28,FALSE)),"")</f>
        <v/>
      </c>
      <c r="I33" s="296" t="str">
        <f>IFERROR(IF(VLOOKUP($G33,BD_PRINCIPAL[],29,FALSE)=0,"",VLOOKUP($G33,BD_PRINCIPAL[],29,FALSE)),"")</f>
        <v/>
      </c>
      <c r="J33" s="296" t="str">
        <f>IFERROR(IF(VLOOKUP($G33,BD_PRINCIPAL[],30,FALSE)=0,"",VLOOKUP($G33,BD_PRINCIPAL[],30,FALSE)),"")</f>
        <v/>
      </c>
      <c r="K33" s="296" t="str">
        <f>IFERROR(IF(VLOOKUP($G33,BD_PRINCIPAL[],31,FALSE)=0,"",VLOOKUP($G33,BD_PRINCIPAL[],31,FALSE)),"")</f>
        <v/>
      </c>
      <c r="L33" s="296" t="str">
        <f>IFERROR(IF(VLOOKUP($G33,BD_PRINCIPAL[],32,FALSE)=0,"",VLOOKUP($G33,BD_PRINCIPAL[],32,FALSE)),"")</f>
        <v/>
      </c>
      <c r="M33" s="296" t="str">
        <f>IFERROR(IF(VLOOKUP($G33,BD_PRINCIPAL[],33,FALSE)=0,"",VLOOKUP($G33,BD_PRINCIPAL[],33,FALSE)),"")</f>
        <v/>
      </c>
      <c r="N33" s="296" t="str">
        <f>IFERROR(IF(VLOOKUP($G33,BD_PRINCIPAL[],34,FALSE)=0,"",VLOOKUP($G33,BD_PRINCIPAL[],34,FALSE)),"")</f>
        <v/>
      </c>
      <c r="O33" s="296" t="str">
        <f>IFERROR(IF(VLOOKUP($G33,BD_PRINCIPAL[],35,FALSE)=0,"",VLOOKUP($G33,BD_PRINCIPAL[],35,FALSE)),"")</f>
        <v/>
      </c>
      <c r="P33" s="296" t="str">
        <f>IFERROR(IF(VLOOKUP($G33,BD_PRINCIPAL[],36,FALSE)=0,"",VLOOKUP($G33,BD_PRINCIPAL[],36,FALSE)),"")</f>
        <v/>
      </c>
      <c r="Q33" s="296" t="str">
        <f>IFERROR(IF(VLOOKUP($G33,BD_PRINCIPAL[],37,FALSE)=0,"",VLOOKUP($G33,BD_PRINCIPAL[],37,FALSE)),"")</f>
        <v/>
      </c>
      <c r="R33" s="296" t="str">
        <f>IFERROR(IF(VLOOKUP($G33,BD_PRINCIPAL[],38,FALSE)=0,"",VLOOKUP($G33,BD_PRINCIPAL[],38,FALSE)),"")</f>
        <v/>
      </c>
      <c r="S33" s="296" t="str">
        <f>IFERROR(IF(VLOOKUP($G33,BD_PRINCIPAL[],39,FALSE)=0,"",VLOOKUP($G33,BD_PRINCIPAL[],39,FALSE)),"")</f>
        <v/>
      </c>
      <c r="T33" s="296" t="str">
        <f>IFERROR(IF(VLOOKUP($G33,BD_PRINCIPAL[],40,FALSE)=0,"",VLOOKUP($G33,BD_PRINCIPAL[],40,FALSE)),"")</f>
        <v/>
      </c>
      <c r="U33" s="296" t="str">
        <f>IFERROR(IF(VLOOKUP($G33,BD_PRINCIPAL[],41,FALSE)=0,"",VLOOKUP($G33,BD_PRINCIPAL[],41,FALSE)),"")</f>
        <v/>
      </c>
      <c r="V33" s="296" t="str">
        <f>IFERROR(IF(VLOOKUP($G33,BD_PRINCIPAL[],42,FALSE)=0,"",VLOOKUP($G33,BD_PRINCIPAL[],42,FALSE)),"")</f>
        <v/>
      </c>
      <c r="W33" s="296" t="str">
        <f>IFERROR(IF(VLOOKUP($G33,BD_PRINCIPAL[],43,FALSE)=0,"",VLOOKUP($G33,BD_PRINCIPAL[],43,FALSE)),"")</f>
        <v/>
      </c>
      <c r="X33" s="296" t="str">
        <f>IFERROR(IF(VLOOKUP($G33,BD_PRINCIPAL[],44,FALSE)=0,"",VLOOKUP($G33,BD_PRINCIPAL[],44,FALSE)),"")</f>
        <v/>
      </c>
      <c r="Y33" s="296" t="str">
        <f>IFERROR(IF(VLOOKUP($G33,BD_PRINCIPAL[],45,FALSE)=0,"",VLOOKUP($G33,BD_PRINCIPAL[],45,FALSE)),"")</f>
        <v/>
      </c>
      <c r="Z33" s="296" t="str">
        <f>IFERROR(IF(VLOOKUP($G33,BD_PRINCIPAL[],46,FALSE)=0,"",VLOOKUP($G33,BD_PRINCIPAL[],46,FALSE)),"")</f>
        <v/>
      </c>
      <c r="AA33" s="296" t="str">
        <f>IFERROR(IF(VLOOKUP($G33,BD_PRINCIPAL[],47,FALSE)=0,"",VLOOKUP($G33,BD_PRINCIPAL[],47,FALSE)),"")</f>
        <v/>
      </c>
      <c r="AB33" s="296" t="str">
        <f>IFERROR(IF(VLOOKUP($G33,BD_PRINCIPAL[],48,FALSE)=0,"",VLOOKUP($G33,BD_PRINCIPAL[],48,FALSE)),"")</f>
        <v/>
      </c>
      <c r="AC33" s="296" t="str">
        <f>IFERROR(IF(VLOOKUP($G33,BD_PRINCIPAL[],49,FALSE)=0,"",VLOOKUP($G33,BD_PRINCIPAL[],49,FALSE)),"")</f>
        <v/>
      </c>
      <c r="AD33" s="296" t="str">
        <f>IFERROR(IF(VLOOKUP($G33,BD_PRINCIPAL[],50,FALSE)=0,"",VLOOKUP($G33,BD_PRINCIPAL[],50,FALSE)),"")</f>
        <v/>
      </c>
      <c r="AE33" s="296" t="str">
        <f>IFERROR(IF(VLOOKUP($G33,BD_PRINCIPAL[],51,FALSE)=0,"",VLOOKUP($G33,BD_PRINCIPAL[],51,FALSE)),"")</f>
        <v/>
      </c>
      <c r="AF33" s="296" t="str">
        <f>IFERROR(IF(VLOOKUP($G33,BD_PRINCIPAL[],52,FALSE)=0,"",VLOOKUP($G33,BD_PRINCIPAL[],52,FALSE)),"")</f>
        <v/>
      </c>
      <c r="AG33" s="296" t="str">
        <f>IFERROR(IF(VLOOKUP($G33,BD_PRINCIPAL[],53,FALSE)=0,"",VLOOKUP($G33,BD_PRINCIPAL[],53,FALSE)),"")</f>
        <v/>
      </c>
      <c r="AH33" s="296" t="str">
        <f>IFERROR(IF(VLOOKUP($G33,BD_PRINCIPAL[],54,FALSE)=0,"",VLOOKUP($G33,BD_PRINCIPAL[],54,FALSE)),"")</f>
        <v/>
      </c>
      <c r="AI33" s="296" t="str">
        <f>IFERROR(IF(VLOOKUP($G33,BD_PRINCIPAL[],55,FALSE)=0,"",VLOOKUP($G33,BD_PRINCIPAL[],55,FALSE)),"")</f>
        <v/>
      </c>
      <c r="AJ33" s="296" t="str">
        <f>IFERROR(IF(VLOOKUP($G33,BD_PRINCIPAL[],56,FALSE)=0,"",VLOOKUP($G33,BD_PRINCIPAL[],56,FALSE)),"")</f>
        <v/>
      </c>
      <c r="AK33" s="296" t="str">
        <f>IFERROR(IF(VLOOKUP($G33,BD_PRINCIPAL[],57,FALSE)=0,"",VLOOKUP($G33,BD_PRINCIPAL[],57,FALSE)),"")</f>
        <v/>
      </c>
      <c r="AL33" s="296" t="str">
        <f>IFERROR(IF(VLOOKUP($G33,BD_PRINCIPAL[],58,FALSE)=0,"",VLOOKUP($G33,BD_PRINCIPAL[],58,FALSE)),"")</f>
        <v/>
      </c>
    </row>
    <row r="34" spans="2:38" x14ac:dyDescent="0.3">
      <c r="B34" s="289">
        <f t="shared" si="3"/>
        <v>0</v>
      </c>
      <c r="D34" s="296">
        <v>20</v>
      </c>
      <c r="E34" s="296" t="str">
        <f>IFERROR(VLOOKUP(G34,BD_PRINCIPAL[],7,FALSE),"")</f>
        <v/>
      </c>
      <c r="F34" s="297" t="str">
        <f>IFERROR(VLOOKUP(G34,BD_PRINCIPAL[],2,FALSE),"")</f>
        <v/>
      </c>
      <c r="G34" s="288"/>
      <c r="H34" s="296" t="str">
        <f>IFERROR(IF(VLOOKUP($G34,BD_PRINCIPAL[],28,FALSE)=0,"",VLOOKUP($G34,BD_PRINCIPAL[],28,FALSE)),"")</f>
        <v/>
      </c>
      <c r="I34" s="296" t="str">
        <f>IFERROR(IF(VLOOKUP($G34,BD_PRINCIPAL[],29,FALSE)=0,"",VLOOKUP($G34,BD_PRINCIPAL[],29,FALSE)),"")</f>
        <v/>
      </c>
      <c r="J34" s="296" t="str">
        <f>IFERROR(IF(VLOOKUP($G34,BD_PRINCIPAL[],30,FALSE)=0,"",VLOOKUP($G34,BD_PRINCIPAL[],30,FALSE)),"")</f>
        <v/>
      </c>
      <c r="K34" s="296" t="str">
        <f>IFERROR(IF(VLOOKUP($G34,BD_PRINCIPAL[],31,FALSE)=0,"",VLOOKUP($G34,BD_PRINCIPAL[],31,FALSE)),"")</f>
        <v/>
      </c>
      <c r="L34" s="296" t="str">
        <f>IFERROR(IF(VLOOKUP($G34,BD_PRINCIPAL[],32,FALSE)=0,"",VLOOKUP($G34,BD_PRINCIPAL[],32,FALSE)),"")</f>
        <v/>
      </c>
      <c r="M34" s="296" t="str">
        <f>IFERROR(IF(VLOOKUP($G34,BD_PRINCIPAL[],33,FALSE)=0,"",VLOOKUP($G34,BD_PRINCIPAL[],33,FALSE)),"")</f>
        <v/>
      </c>
      <c r="N34" s="296" t="str">
        <f>IFERROR(IF(VLOOKUP($G34,BD_PRINCIPAL[],34,FALSE)=0,"",VLOOKUP($G34,BD_PRINCIPAL[],34,FALSE)),"")</f>
        <v/>
      </c>
      <c r="O34" s="296" t="str">
        <f>IFERROR(IF(VLOOKUP($G34,BD_PRINCIPAL[],35,FALSE)=0,"",VLOOKUP($G34,BD_PRINCIPAL[],35,FALSE)),"")</f>
        <v/>
      </c>
      <c r="P34" s="296" t="str">
        <f>IFERROR(IF(VLOOKUP($G34,BD_PRINCIPAL[],36,FALSE)=0,"",VLOOKUP($G34,BD_PRINCIPAL[],36,FALSE)),"")</f>
        <v/>
      </c>
      <c r="Q34" s="296" t="str">
        <f>IFERROR(IF(VLOOKUP($G34,BD_PRINCIPAL[],37,FALSE)=0,"",VLOOKUP($G34,BD_PRINCIPAL[],37,FALSE)),"")</f>
        <v/>
      </c>
      <c r="R34" s="296" t="str">
        <f>IFERROR(IF(VLOOKUP($G34,BD_PRINCIPAL[],38,FALSE)=0,"",VLOOKUP($G34,BD_PRINCIPAL[],38,FALSE)),"")</f>
        <v/>
      </c>
      <c r="S34" s="296" t="str">
        <f>IFERROR(IF(VLOOKUP($G34,BD_PRINCIPAL[],39,FALSE)=0,"",VLOOKUP($G34,BD_PRINCIPAL[],39,FALSE)),"")</f>
        <v/>
      </c>
      <c r="T34" s="296" t="str">
        <f>IFERROR(IF(VLOOKUP($G34,BD_PRINCIPAL[],40,FALSE)=0,"",VLOOKUP($G34,BD_PRINCIPAL[],40,FALSE)),"")</f>
        <v/>
      </c>
      <c r="U34" s="296" t="str">
        <f>IFERROR(IF(VLOOKUP($G34,BD_PRINCIPAL[],41,FALSE)=0,"",VLOOKUP($G34,BD_PRINCIPAL[],41,FALSE)),"")</f>
        <v/>
      </c>
      <c r="V34" s="296" t="str">
        <f>IFERROR(IF(VLOOKUP($G34,BD_PRINCIPAL[],42,FALSE)=0,"",VLOOKUP($G34,BD_PRINCIPAL[],42,FALSE)),"")</f>
        <v/>
      </c>
      <c r="W34" s="296" t="str">
        <f>IFERROR(IF(VLOOKUP($G34,BD_PRINCIPAL[],43,FALSE)=0,"",VLOOKUP($G34,BD_PRINCIPAL[],43,FALSE)),"")</f>
        <v/>
      </c>
      <c r="X34" s="296" t="str">
        <f>IFERROR(IF(VLOOKUP($G34,BD_PRINCIPAL[],44,FALSE)=0,"",VLOOKUP($G34,BD_PRINCIPAL[],44,FALSE)),"")</f>
        <v/>
      </c>
      <c r="Y34" s="296" t="str">
        <f>IFERROR(IF(VLOOKUP($G34,BD_PRINCIPAL[],45,FALSE)=0,"",VLOOKUP($G34,BD_PRINCIPAL[],45,FALSE)),"")</f>
        <v/>
      </c>
      <c r="Z34" s="296" t="str">
        <f>IFERROR(IF(VLOOKUP($G34,BD_PRINCIPAL[],46,FALSE)=0,"",VLOOKUP($G34,BD_PRINCIPAL[],46,FALSE)),"")</f>
        <v/>
      </c>
      <c r="AA34" s="296" t="str">
        <f>IFERROR(IF(VLOOKUP($G34,BD_PRINCIPAL[],47,FALSE)=0,"",VLOOKUP($G34,BD_PRINCIPAL[],47,FALSE)),"")</f>
        <v/>
      </c>
      <c r="AB34" s="296" t="str">
        <f>IFERROR(IF(VLOOKUP($G34,BD_PRINCIPAL[],48,FALSE)=0,"",VLOOKUP($G34,BD_PRINCIPAL[],48,FALSE)),"")</f>
        <v/>
      </c>
      <c r="AC34" s="296" t="str">
        <f>IFERROR(IF(VLOOKUP($G34,BD_PRINCIPAL[],49,FALSE)=0,"",VLOOKUP($G34,BD_PRINCIPAL[],49,FALSE)),"")</f>
        <v/>
      </c>
      <c r="AD34" s="296" t="str">
        <f>IFERROR(IF(VLOOKUP($G34,BD_PRINCIPAL[],50,FALSE)=0,"",VLOOKUP($G34,BD_PRINCIPAL[],50,FALSE)),"")</f>
        <v/>
      </c>
      <c r="AE34" s="296" t="str">
        <f>IFERROR(IF(VLOOKUP($G34,BD_PRINCIPAL[],51,FALSE)=0,"",VLOOKUP($G34,BD_PRINCIPAL[],51,FALSE)),"")</f>
        <v/>
      </c>
      <c r="AF34" s="296" t="str">
        <f>IFERROR(IF(VLOOKUP($G34,BD_PRINCIPAL[],52,FALSE)=0,"",VLOOKUP($G34,BD_PRINCIPAL[],52,FALSE)),"")</f>
        <v/>
      </c>
      <c r="AG34" s="296" t="str">
        <f>IFERROR(IF(VLOOKUP($G34,BD_PRINCIPAL[],53,FALSE)=0,"",VLOOKUP($G34,BD_PRINCIPAL[],53,FALSE)),"")</f>
        <v/>
      </c>
      <c r="AH34" s="296" t="str">
        <f>IFERROR(IF(VLOOKUP($G34,BD_PRINCIPAL[],54,FALSE)=0,"",VLOOKUP($G34,BD_PRINCIPAL[],54,FALSE)),"")</f>
        <v/>
      </c>
      <c r="AI34" s="296" t="str">
        <f>IFERROR(IF(VLOOKUP($G34,BD_PRINCIPAL[],55,FALSE)=0,"",VLOOKUP($G34,BD_PRINCIPAL[],55,FALSE)),"")</f>
        <v/>
      </c>
      <c r="AJ34" s="296" t="str">
        <f>IFERROR(IF(VLOOKUP($G34,BD_PRINCIPAL[],56,FALSE)=0,"",VLOOKUP($G34,BD_PRINCIPAL[],56,FALSE)),"")</f>
        <v/>
      </c>
      <c r="AK34" s="296" t="str">
        <f>IFERROR(IF(VLOOKUP($G34,BD_PRINCIPAL[],57,FALSE)=0,"",VLOOKUP($G34,BD_PRINCIPAL[],57,FALSE)),"")</f>
        <v/>
      </c>
      <c r="AL34" s="296" t="str">
        <f>IFERROR(IF(VLOOKUP($G34,BD_PRINCIPAL[],58,FALSE)=0,"",VLOOKUP($G34,BD_PRINCIPAL[],58,FALSE)),"")</f>
        <v/>
      </c>
    </row>
    <row r="35" spans="2:38" x14ac:dyDescent="0.3">
      <c r="B35" s="289">
        <f t="shared" si="3"/>
        <v>0</v>
      </c>
      <c r="D35" s="296">
        <v>21</v>
      </c>
      <c r="E35" s="296" t="str">
        <f>IFERROR(VLOOKUP(G35,BD_PRINCIPAL[],7,FALSE),"")</f>
        <v/>
      </c>
      <c r="F35" s="297" t="str">
        <f>IFERROR(VLOOKUP(G35,BD_PRINCIPAL[],2,FALSE),"")</f>
        <v/>
      </c>
      <c r="G35" s="288"/>
      <c r="H35" s="296" t="str">
        <f>IFERROR(IF(VLOOKUP($G35,BD_PRINCIPAL[],28,FALSE)=0,"",VLOOKUP($G35,BD_PRINCIPAL[],28,FALSE)),"")</f>
        <v/>
      </c>
      <c r="I35" s="296" t="str">
        <f>IFERROR(IF(VLOOKUP($G35,BD_PRINCIPAL[],29,FALSE)=0,"",VLOOKUP($G35,BD_PRINCIPAL[],29,FALSE)),"")</f>
        <v/>
      </c>
      <c r="J35" s="296" t="str">
        <f>IFERROR(IF(VLOOKUP($G35,BD_PRINCIPAL[],30,FALSE)=0,"",VLOOKUP($G35,BD_PRINCIPAL[],30,FALSE)),"")</f>
        <v/>
      </c>
      <c r="K35" s="296" t="str">
        <f>IFERROR(IF(VLOOKUP($G35,BD_PRINCIPAL[],31,FALSE)=0,"",VLOOKUP($G35,BD_PRINCIPAL[],31,FALSE)),"")</f>
        <v/>
      </c>
      <c r="L35" s="296" t="str">
        <f>IFERROR(IF(VLOOKUP($G35,BD_PRINCIPAL[],32,FALSE)=0,"",VLOOKUP($G35,BD_PRINCIPAL[],32,FALSE)),"")</f>
        <v/>
      </c>
      <c r="M35" s="296" t="str">
        <f>IFERROR(IF(VLOOKUP($G35,BD_PRINCIPAL[],33,FALSE)=0,"",VLOOKUP($G35,BD_PRINCIPAL[],33,FALSE)),"")</f>
        <v/>
      </c>
      <c r="N35" s="296" t="str">
        <f>IFERROR(IF(VLOOKUP($G35,BD_PRINCIPAL[],34,FALSE)=0,"",VLOOKUP($G35,BD_PRINCIPAL[],34,FALSE)),"")</f>
        <v/>
      </c>
      <c r="O35" s="296" t="str">
        <f>IFERROR(IF(VLOOKUP($G35,BD_PRINCIPAL[],35,FALSE)=0,"",VLOOKUP($G35,BD_PRINCIPAL[],35,FALSE)),"")</f>
        <v/>
      </c>
      <c r="P35" s="296" t="str">
        <f>IFERROR(IF(VLOOKUP($G35,BD_PRINCIPAL[],36,FALSE)=0,"",VLOOKUP($G35,BD_PRINCIPAL[],36,FALSE)),"")</f>
        <v/>
      </c>
      <c r="Q35" s="296" t="str">
        <f>IFERROR(IF(VLOOKUP($G35,BD_PRINCIPAL[],37,FALSE)=0,"",VLOOKUP($G35,BD_PRINCIPAL[],37,FALSE)),"")</f>
        <v/>
      </c>
      <c r="R35" s="296" t="str">
        <f>IFERROR(IF(VLOOKUP($G35,BD_PRINCIPAL[],38,FALSE)=0,"",VLOOKUP($G35,BD_PRINCIPAL[],38,FALSE)),"")</f>
        <v/>
      </c>
      <c r="S35" s="296" t="str">
        <f>IFERROR(IF(VLOOKUP($G35,BD_PRINCIPAL[],39,FALSE)=0,"",VLOOKUP($G35,BD_PRINCIPAL[],39,FALSE)),"")</f>
        <v/>
      </c>
      <c r="T35" s="296" t="str">
        <f>IFERROR(IF(VLOOKUP($G35,BD_PRINCIPAL[],40,FALSE)=0,"",VLOOKUP($G35,BD_PRINCIPAL[],40,FALSE)),"")</f>
        <v/>
      </c>
      <c r="U35" s="296" t="str">
        <f>IFERROR(IF(VLOOKUP($G35,BD_PRINCIPAL[],41,FALSE)=0,"",VLOOKUP($G35,BD_PRINCIPAL[],41,FALSE)),"")</f>
        <v/>
      </c>
      <c r="V35" s="296" t="str">
        <f>IFERROR(IF(VLOOKUP($G35,BD_PRINCIPAL[],42,FALSE)=0,"",VLOOKUP($G35,BD_PRINCIPAL[],42,FALSE)),"")</f>
        <v/>
      </c>
      <c r="W35" s="296" t="str">
        <f>IFERROR(IF(VLOOKUP($G35,BD_PRINCIPAL[],43,FALSE)=0,"",VLOOKUP($G35,BD_PRINCIPAL[],43,FALSE)),"")</f>
        <v/>
      </c>
      <c r="X35" s="296" t="str">
        <f>IFERROR(IF(VLOOKUP($G35,BD_PRINCIPAL[],44,FALSE)=0,"",VLOOKUP($G35,BD_PRINCIPAL[],44,FALSE)),"")</f>
        <v/>
      </c>
      <c r="Y35" s="296" t="str">
        <f>IFERROR(IF(VLOOKUP($G35,BD_PRINCIPAL[],45,FALSE)=0,"",VLOOKUP($G35,BD_PRINCIPAL[],45,FALSE)),"")</f>
        <v/>
      </c>
      <c r="Z35" s="296" t="str">
        <f>IFERROR(IF(VLOOKUP($G35,BD_PRINCIPAL[],46,FALSE)=0,"",VLOOKUP($G35,BD_PRINCIPAL[],46,FALSE)),"")</f>
        <v/>
      </c>
      <c r="AA35" s="296" t="str">
        <f>IFERROR(IF(VLOOKUP($G35,BD_PRINCIPAL[],47,FALSE)=0,"",VLOOKUP($G35,BD_PRINCIPAL[],47,FALSE)),"")</f>
        <v/>
      </c>
      <c r="AB35" s="296" t="str">
        <f>IFERROR(IF(VLOOKUP($G35,BD_PRINCIPAL[],48,FALSE)=0,"",VLOOKUP($G35,BD_PRINCIPAL[],48,FALSE)),"")</f>
        <v/>
      </c>
      <c r="AC35" s="296" t="str">
        <f>IFERROR(IF(VLOOKUP($G35,BD_PRINCIPAL[],49,FALSE)=0,"",VLOOKUP($G35,BD_PRINCIPAL[],49,FALSE)),"")</f>
        <v/>
      </c>
      <c r="AD35" s="296" t="str">
        <f>IFERROR(IF(VLOOKUP($G35,BD_PRINCIPAL[],50,FALSE)=0,"",VLOOKUP($G35,BD_PRINCIPAL[],50,FALSE)),"")</f>
        <v/>
      </c>
      <c r="AE35" s="296" t="str">
        <f>IFERROR(IF(VLOOKUP($G35,BD_PRINCIPAL[],51,FALSE)=0,"",VLOOKUP($G35,BD_PRINCIPAL[],51,FALSE)),"")</f>
        <v/>
      </c>
      <c r="AF35" s="296" t="str">
        <f>IFERROR(IF(VLOOKUP($G35,BD_PRINCIPAL[],52,FALSE)=0,"",VLOOKUP($G35,BD_PRINCIPAL[],52,FALSE)),"")</f>
        <v/>
      </c>
      <c r="AG35" s="296" t="str">
        <f>IFERROR(IF(VLOOKUP($G35,BD_PRINCIPAL[],53,FALSE)=0,"",VLOOKUP($G35,BD_PRINCIPAL[],53,FALSE)),"")</f>
        <v/>
      </c>
      <c r="AH35" s="296" t="str">
        <f>IFERROR(IF(VLOOKUP($G35,BD_PRINCIPAL[],54,FALSE)=0,"",VLOOKUP($G35,BD_PRINCIPAL[],54,FALSE)),"")</f>
        <v/>
      </c>
      <c r="AI35" s="296" t="str">
        <f>IFERROR(IF(VLOOKUP($G35,BD_PRINCIPAL[],55,FALSE)=0,"",VLOOKUP($G35,BD_PRINCIPAL[],55,FALSE)),"")</f>
        <v/>
      </c>
      <c r="AJ35" s="296" t="str">
        <f>IFERROR(IF(VLOOKUP($G35,BD_PRINCIPAL[],56,FALSE)=0,"",VLOOKUP($G35,BD_PRINCIPAL[],56,FALSE)),"")</f>
        <v/>
      </c>
      <c r="AK35" s="296" t="str">
        <f>IFERROR(IF(VLOOKUP($G35,BD_PRINCIPAL[],57,FALSE)=0,"",VLOOKUP($G35,BD_PRINCIPAL[],57,FALSE)),"")</f>
        <v/>
      </c>
      <c r="AL35" s="296" t="str">
        <f>IFERROR(IF(VLOOKUP($G35,BD_PRINCIPAL[],58,FALSE)=0,"",VLOOKUP($G35,BD_PRINCIPAL[],58,FALSE)),"")</f>
        <v/>
      </c>
    </row>
    <row r="36" spans="2:38" x14ac:dyDescent="0.3">
      <c r="B36" s="289">
        <f t="shared" si="3"/>
        <v>0</v>
      </c>
      <c r="D36" s="296">
        <v>22</v>
      </c>
      <c r="E36" s="296" t="str">
        <f>IFERROR(VLOOKUP(G36,BD_PRINCIPAL[],7,FALSE),"")</f>
        <v/>
      </c>
      <c r="F36" s="297" t="str">
        <f>IFERROR(VLOOKUP(G36,BD_PRINCIPAL[],2,FALSE),"")</f>
        <v/>
      </c>
      <c r="G36" s="288"/>
      <c r="H36" s="296" t="str">
        <f>IFERROR(IF(VLOOKUP($G36,BD_PRINCIPAL[],28,FALSE)=0,"",VLOOKUP($G36,BD_PRINCIPAL[],28,FALSE)),"")</f>
        <v/>
      </c>
      <c r="I36" s="296" t="str">
        <f>IFERROR(IF(VLOOKUP($G36,BD_PRINCIPAL[],29,FALSE)=0,"",VLOOKUP($G36,BD_PRINCIPAL[],29,FALSE)),"")</f>
        <v/>
      </c>
      <c r="J36" s="296" t="str">
        <f>IFERROR(IF(VLOOKUP($G36,BD_PRINCIPAL[],30,FALSE)=0,"",VLOOKUP($G36,BD_PRINCIPAL[],30,FALSE)),"")</f>
        <v/>
      </c>
      <c r="K36" s="296" t="str">
        <f>IFERROR(IF(VLOOKUP($G36,BD_PRINCIPAL[],31,FALSE)=0,"",VLOOKUP($G36,BD_PRINCIPAL[],31,FALSE)),"")</f>
        <v/>
      </c>
      <c r="L36" s="296" t="str">
        <f>IFERROR(IF(VLOOKUP($G36,BD_PRINCIPAL[],32,FALSE)=0,"",VLOOKUP($G36,BD_PRINCIPAL[],32,FALSE)),"")</f>
        <v/>
      </c>
      <c r="M36" s="296" t="str">
        <f>IFERROR(IF(VLOOKUP($G36,BD_PRINCIPAL[],33,FALSE)=0,"",VLOOKUP($G36,BD_PRINCIPAL[],33,FALSE)),"")</f>
        <v/>
      </c>
      <c r="N36" s="296" t="str">
        <f>IFERROR(IF(VLOOKUP($G36,BD_PRINCIPAL[],34,FALSE)=0,"",VLOOKUP($G36,BD_PRINCIPAL[],34,FALSE)),"")</f>
        <v/>
      </c>
      <c r="O36" s="296" t="str">
        <f>IFERROR(IF(VLOOKUP($G36,BD_PRINCIPAL[],35,FALSE)=0,"",VLOOKUP($G36,BD_PRINCIPAL[],35,FALSE)),"")</f>
        <v/>
      </c>
      <c r="P36" s="296" t="str">
        <f>IFERROR(IF(VLOOKUP($G36,BD_PRINCIPAL[],36,FALSE)=0,"",VLOOKUP($G36,BD_PRINCIPAL[],36,FALSE)),"")</f>
        <v/>
      </c>
      <c r="Q36" s="296" t="str">
        <f>IFERROR(IF(VLOOKUP($G36,BD_PRINCIPAL[],37,FALSE)=0,"",VLOOKUP($G36,BD_PRINCIPAL[],37,FALSE)),"")</f>
        <v/>
      </c>
      <c r="R36" s="296" t="str">
        <f>IFERROR(IF(VLOOKUP($G36,BD_PRINCIPAL[],38,FALSE)=0,"",VLOOKUP($G36,BD_PRINCIPAL[],38,FALSE)),"")</f>
        <v/>
      </c>
      <c r="S36" s="296" t="str">
        <f>IFERROR(IF(VLOOKUP($G36,BD_PRINCIPAL[],39,FALSE)=0,"",VLOOKUP($G36,BD_PRINCIPAL[],39,FALSE)),"")</f>
        <v/>
      </c>
      <c r="T36" s="296" t="str">
        <f>IFERROR(IF(VLOOKUP($G36,BD_PRINCIPAL[],40,FALSE)=0,"",VLOOKUP($G36,BD_PRINCIPAL[],40,FALSE)),"")</f>
        <v/>
      </c>
      <c r="U36" s="296" t="str">
        <f>IFERROR(IF(VLOOKUP($G36,BD_PRINCIPAL[],41,FALSE)=0,"",VLOOKUP($G36,BD_PRINCIPAL[],41,FALSE)),"")</f>
        <v/>
      </c>
      <c r="V36" s="296" t="str">
        <f>IFERROR(IF(VLOOKUP($G36,BD_PRINCIPAL[],42,FALSE)=0,"",VLOOKUP($G36,BD_PRINCIPAL[],42,FALSE)),"")</f>
        <v/>
      </c>
      <c r="W36" s="296" t="str">
        <f>IFERROR(IF(VLOOKUP($G36,BD_PRINCIPAL[],43,FALSE)=0,"",VLOOKUP($G36,BD_PRINCIPAL[],43,FALSE)),"")</f>
        <v/>
      </c>
      <c r="X36" s="296" t="str">
        <f>IFERROR(IF(VLOOKUP($G36,BD_PRINCIPAL[],44,FALSE)=0,"",VLOOKUP($G36,BD_PRINCIPAL[],44,FALSE)),"")</f>
        <v/>
      </c>
      <c r="Y36" s="296" t="str">
        <f>IFERROR(IF(VLOOKUP($G36,BD_PRINCIPAL[],45,FALSE)=0,"",VLOOKUP($G36,BD_PRINCIPAL[],45,FALSE)),"")</f>
        <v/>
      </c>
      <c r="Z36" s="296" t="str">
        <f>IFERROR(IF(VLOOKUP($G36,BD_PRINCIPAL[],46,FALSE)=0,"",VLOOKUP($G36,BD_PRINCIPAL[],46,FALSE)),"")</f>
        <v/>
      </c>
      <c r="AA36" s="296" t="str">
        <f>IFERROR(IF(VLOOKUP($G36,BD_PRINCIPAL[],47,FALSE)=0,"",VLOOKUP($G36,BD_PRINCIPAL[],47,FALSE)),"")</f>
        <v/>
      </c>
      <c r="AB36" s="296" t="str">
        <f>IFERROR(IF(VLOOKUP($G36,BD_PRINCIPAL[],48,FALSE)=0,"",VLOOKUP($G36,BD_PRINCIPAL[],48,FALSE)),"")</f>
        <v/>
      </c>
      <c r="AC36" s="296" t="str">
        <f>IFERROR(IF(VLOOKUP($G36,BD_PRINCIPAL[],49,FALSE)=0,"",VLOOKUP($G36,BD_PRINCIPAL[],49,FALSE)),"")</f>
        <v/>
      </c>
      <c r="AD36" s="296" t="str">
        <f>IFERROR(IF(VLOOKUP($G36,BD_PRINCIPAL[],50,FALSE)=0,"",VLOOKUP($G36,BD_PRINCIPAL[],50,FALSE)),"")</f>
        <v/>
      </c>
      <c r="AE36" s="296" t="str">
        <f>IFERROR(IF(VLOOKUP($G36,BD_PRINCIPAL[],51,FALSE)=0,"",VLOOKUP($G36,BD_PRINCIPAL[],51,FALSE)),"")</f>
        <v/>
      </c>
      <c r="AF36" s="296" t="str">
        <f>IFERROR(IF(VLOOKUP($G36,BD_PRINCIPAL[],52,FALSE)=0,"",VLOOKUP($G36,BD_PRINCIPAL[],52,FALSE)),"")</f>
        <v/>
      </c>
      <c r="AG36" s="296" t="str">
        <f>IFERROR(IF(VLOOKUP($G36,BD_PRINCIPAL[],53,FALSE)=0,"",VLOOKUP($G36,BD_PRINCIPAL[],53,FALSE)),"")</f>
        <v/>
      </c>
      <c r="AH36" s="296" t="str">
        <f>IFERROR(IF(VLOOKUP($G36,BD_PRINCIPAL[],54,FALSE)=0,"",VLOOKUP($G36,BD_PRINCIPAL[],54,FALSE)),"")</f>
        <v/>
      </c>
      <c r="AI36" s="296" t="str">
        <f>IFERROR(IF(VLOOKUP($G36,BD_PRINCIPAL[],55,FALSE)=0,"",VLOOKUP($G36,BD_PRINCIPAL[],55,FALSE)),"")</f>
        <v/>
      </c>
      <c r="AJ36" s="296" t="str">
        <f>IFERROR(IF(VLOOKUP($G36,BD_PRINCIPAL[],56,FALSE)=0,"",VLOOKUP($G36,BD_PRINCIPAL[],56,FALSE)),"")</f>
        <v/>
      </c>
      <c r="AK36" s="296" t="str">
        <f>IFERROR(IF(VLOOKUP($G36,BD_PRINCIPAL[],57,FALSE)=0,"",VLOOKUP($G36,BD_PRINCIPAL[],57,FALSE)),"")</f>
        <v/>
      </c>
      <c r="AL36" s="296" t="str">
        <f>IFERROR(IF(VLOOKUP($G36,BD_PRINCIPAL[],58,FALSE)=0,"",VLOOKUP($G36,BD_PRINCIPAL[],58,FALSE)),"")</f>
        <v/>
      </c>
    </row>
    <row r="37" spans="2:38" x14ac:dyDescent="0.3">
      <c r="B37" s="289">
        <f t="shared" si="3"/>
        <v>0</v>
      </c>
      <c r="D37" s="296">
        <v>23</v>
      </c>
      <c r="E37" s="296" t="str">
        <f>IFERROR(VLOOKUP(G37,BD_PRINCIPAL[],7,FALSE),"")</f>
        <v/>
      </c>
      <c r="F37" s="297" t="str">
        <f>IFERROR(VLOOKUP(G37,BD_PRINCIPAL[],2,FALSE),"")</f>
        <v/>
      </c>
      <c r="G37" s="288"/>
      <c r="H37" s="296" t="str">
        <f>IFERROR(IF(VLOOKUP($G37,BD_PRINCIPAL[],28,FALSE)=0,"",VLOOKUP($G37,BD_PRINCIPAL[],28,FALSE)),"")</f>
        <v/>
      </c>
      <c r="I37" s="296" t="str">
        <f>IFERROR(IF(VLOOKUP($G37,BD_PRINCIPAL[],29,FALSE)=0,"",VLOOKUP($G37,BD_PRINCIPAL[],29,FALSE)),"")</f>
        <v/>
      </c>
      <c r="J37" s="296" t="str">
        <f>IFERROR(IF(VLOOKUP($G37,BD_PRINCIPAL[],30,FALSE)=0,"",VLOOKUP($G37,BD_PRINCIPAL[],30,FALSE)),"")</f>
        <v/>
      </c>
      <c r="K37" s="296" t="str">
        <f>IFERROR(IF(VLOOKUP($G37,BD_PRINCIPAL[],31,FALSE)=0,"",VLOOKUP($G37,BD_PRINCIPAL[],31,FALSE)),"")</f>
        <v/>
      </c>
      <c r="L37" s="296" t="str">
        <f>IFERROR(IF(VLOOKUP($G37,BD_PRINCIPAL[],32,FALSE)=0,"",VLOOKUP($G37,BD_PRINCIPAL[],32,FALSE)),"")</f>
        <v/>
      </c>
      <c r="M37" s="296" t="str">
        <f>IFERROR(IF(VLOOKUP($G37,BD_PRINCIPAL[],33,FALSE)=0,"",VLOOKUP($G37,BD_PRINCIPAL[],33,FALSE)),"")</f>
        <v/>
      </c>
      <c r="N37" s="296" t="str">
        <f>IFERROR(IF(VLOOKUP($G37,BD_PRINCIPAL[],34,FALSE)=0,"",VLOOKUP($G37,BD_PRINCIPAL[],34,FALSE)),"")</f>
        <v/>
      </c>
      <c r="O37" s="296" t="str">
        <f>IFERROR(IF(VLOOKUP($G37,BD_PRINCIPAL[],35,FALSE)=0,"",VLOOKUP($G37,BD_PRINCIPAL[],35,FALSE)),"")</f>
        <v/>
      </c>
      <c r="P37" s="296" t="str">
        <f>IFERROR(IF(VLOOKUP($G37,BD_PRINCIPAL[],36,FALSE)=0,"",VLOOKUP($G37,BD_PRINCIPAL[],36,FALSE)),"")</f>
        <v/>
      </c>
      <c r="Q37" s="296" t="str">
        <f>IFERROR(IF(VLOOKUP($G37,BD_PRINCIPAL[],37,FALSE)=0,"",VLOOKUP($G37,BD_PRINCIPAL[],37,FALSE)),"")</f>
        <v/>
      </c>
      <c r="R37" s="296" t="str">
        <f>IFERROR(IF(VLOOKUP($G37,BD_PRINCIPAL[],38,FALSE)=0,"",VLOOKUP($G37,BD_PRINCIPAL[],38,FALSE)),"")</f>
        <v/>
      </c>
      <c r="S37" s="296" t="str">
        <f>IFERROR(IF(VLOOKUP($G37,BD_PRINCIPAL[],39,FALSE)=0,"",VLOOKUP($G37,BD_PRINCIPAL[],39,FALSE)),"")</f>
        <v/>
      </c>
      <c r="T37" s="296" t="str">
        <f>IFERROR(IF(VLOOKUP($G37,BD_PRINCIPAL[],40,FALSE)=0,"",VLOOKUP($G37,BD_PRINCIPAL[],40,FALSE)),"")</f>
        <v/>
      </c>
      <c r="U37" s="296" t="str">
        <f>IFERROR(IF(VLOOKUP($G37,BD_PRINCIPAL[],41,FALSE)=0,"",VLOOKUP($G37,BD_PRINCIPAL[],41,FALSE)),"")</f>
        <v/>
      </c>
      <c r="V37" s="296" t="str">
        <f>IFERROR(IF(VLOOKUP($G37,BD_PRINCIPAL[],42,FALSE)=0,"",VLOOKUP($G37,BD_PRINCIPAL[],42,FALSE)),"")</f>
        <v/>
      </c>
      <c r="W37" s="296" t="str">
        <f>IFERROR(IF(VLOOKUP($G37,BD_PRINCIPAL[],43,FALSE)=0,"",VLOOKUP($G37,BD_PRINCIPAL[],43,FALSE)),"")</f>
        <v/>
      </c>
      <c r="X37" s="296" t="str">
        <f>IFERROR(IF(VLOOKUP($G37,BD_PRINCIPAL[],44,FALSE)=0,"",VLOOKUP($G37,BD_PRINCIPAL[],44,FALSE)),"")</f>
        <v/>
      </c>
      <c r="Y37" s="296" t="str">
        <f>IFERROR(IF(VLOOKUP($G37,BD_PRINCIPAL[],45,FALSE)=0,"",VLOOKUP($G37,BD_PRINCIPAL[],45,FALSE)),"")</f>
        <v/>
      </c>
      <c r="Z37" s="296" t="str">
        <f>IFERROR(IF(VLOOKUP($G37,BD_PRINCIPAL[],46,FALSE)=0,"",VLOOKUP($G37,BD_PRINCIPAL[],46,FALSE)),"")</f>
        <v/>
      </c>
      <c r="AA37" s="296" t="str">
        <f>IFERROR(IF(VLOOKUP($G37,BD_PRINCIPAL[],47,FALSE)=0,"",VLOOKUP($G37,BD_PRINCIPAL[],47,FALSE)),"")</f>
        <v/>
      </c>
      <c r="AB37" s="296" t="str">
        <f>IFERROR(IF(VLOOKUP($G37,BD_PRINCIPAL[],48,FALSE)=0,"",VLOOKUP($G37,BD_PRINCIPAL[],48,FALSE)),"")</f>
        <v/>
      </c>
      <c r="AC37" s="296" t="str">
        <f>IFERROR(IF(VLOOKUP($G37,BD_PRINCIPAL[],49,FALSE)=0,"",VLOOKUP($G37,BD_PRINCIPAL[],49,FALSE)),"")</f>
        <v/>
      </c>
      <c r="AD37" s="296" t="str">
        <f>IFERROR(IF(VLOOKUP($G37,BD_PRINCIPAL[],50,FALSE)=0,"",VLOOKUP($G37,BD_PRINCIPAL[],50,FALSE)),"")</f>
        <v/>
      </c>
      <c r="AE37" s="296" t="str">
        <f>IFERROR(IF(VLOOKUP($G37,BD_PRINCIPAL[],51,FALSE)=0,"",VLOOKUP($G37,BD_PRINCIPAL[],51,FALSE)),"")</f>
        <v/>
      </c>
      <c r="AF37" s="296" t="str">
        <f>IFERROR(IF(VLOOKUP($G37,BD_PRINCIPAL[],52,FALSE)=0,"",VLOOKUP($G37,BD_PRINCIPAL[],52,FALSE)),"")</f>
        <v/>
      </c>
      <c r="AG37" s="296" t="str">
        <f>IFERROR(IF(VLOOKUP($G37,BD_PRINCIPAL[],53,FALSE)=0,"",VLOOKUP($G37,BD_PRINCIPAL[],53,FALSE)),"")</f>
        <v/>
      </c>
      <c r="AH37" s="296" t="str">
        <f>IFERROR(IF(VLOOKUP($G37,BD_PRINCIPAL[],54,FALSE)=0,"",VLOOKUP($G37,BD_PRINCIPAL[],54,FALSE)),"")</f>
        <v/>
      </c>
      <c r="AI37" s="296" t="str">
        <f>IFERROR(IF(VLOOKUP($G37,BD_PRINCIPAL[],55,FALSE)=0,"",VLOOKUP($G37,BD_PRINCIPAL[],55,FALSE)),"")</f>
        <v/>
      </c>
      <c r="AJ37" s="296" t="str">
        <f>IFERROR(IF(VLOOKUP($G37,BD_PRINCIPAL[],56,FALSE)=0,"",VLOOKUP($G37,BD_PRINCIPAL[],56,FALSE)),"")</f>
        <v/>
      </c>
      <c r="AK37" s="296" t="str">
        <f>IFERROR(IF(VLOOKUP($G37,BD_PRINCIPAL[],57,FALSE)=0,"",VLOOKUP($G37,BD_PRINCIPAL[],57,FALSE)),"")</f>
        <v/>
      </c>
      <c r="AL37" s="296" t="str">
        <f>IFERROR(IF(VLOOKUP($G37,BD_PRINCIPAL[],58,FALSE)=0,"",VLOOKUP($G37,BD_PRINCIPAL[],58,FALSE)),"")</f>
        <v/>
      </c>
    </row>
    <row r="38" spans="2:38" x14ac:dyDescent="0.3">
      <c r="B38" s="289">
        <f t="shared" si="3"/>
        <v>0</v>
      </c>
      <c r="D38" s="296">
        <v>24</v>
      </c>
      <c r="E38" s="296" t="str">
        <f>IFERROR(VLOOKUP(G38,BD_PRINCIPAL[],7,FALSE),"")</f>
        <v/>
      </c>
      <c r="F38" s="297" t="str">
        <f>IFERROR(VLOOKUP(G38,BD_PRINCIPAL[],2,FALSE),"")</f>
        <v/>
      </c>
      <c r="G38" s="288"/>
      <c r="H38" s="296" t="str">
        <f>IFERROR(IF(VLOOKUP($G38,BD_PRINCIPAL[],28,FALSE)=0,"",VLOOKUP($G38,BD_PRINCIPAL[],28,FALSE)),"")</f>
        <v/>
      </c>
      <c r="I38" s="296" t="str">
        <f>IFERROR(IF(VLOOKUP($G38,BD_PRINCIPAL[],29,FALSE)=0,"",VLOOKUP($G38,BD_PRINCIPAL[],29,FALSE)),"")</f>
        <v/>
      </c>
      <c r="J38" s="296" t="str">
        <f>IFERROR(IF(VLOOKUP($G38,BD_PRINCIPAL[],30,FALSE)=0,"",VLOOKUP($G38,BD_PRINCIPAL[],30,FALSE)),"")</f>
        <v/>
      </c>
      <c r="K38" s="296" t="str">
        <f>IFERROR(IF(VLOOKUP($G38,BD_PRINCIPAL[],31,FALSE)=0,"",VLOOKUP($G38,BD_PRINCIPAL[],31,FALSE)),"")</f>
        <v/>
      </c>
      <c r="L38" s="296" t="str">
        <f>IFERROR(IF(VLOOKUP($G38,BD_PRINCIPAL[],32,FALSE)=0,"",VLOOKUP($G38,BD_PRINCIPAL[],32,FALSE)),"")</f>
        <v/>
      </c>
      <c r="M38" s="296" t="str">
        <f>IFERROR(IF(VLOOKUP($G38,BD_PRINCIPAL[],33,FALSE)=0,"",VLOOKUP($G38,BD_PRINCIPAL[],33,FALSE)),"")</f>
        <v/>
      </c>
      <c r="N38" s="296" t="str">
        <f>IFERROR(IF(VLOOKUP($G38,BD_PRINCIPAL[],34,FALSE)=0,"",VLOOKUP($G38,BD_PRINCIPAL[],34,FALSE)),"")</f>
        <v/>
      </c>
      <c r="O38" s="296" t="str">
        <f>IFERROR(IF(VLOOKUP($G38,BD_PRINCIPAL[],35,FALSE)=0,"",VLOOKUP($G38,BD_PRINCIPAL[],35,FALSE)),"")</f>
        <v/>
      </c>
      <c r="P38" s="296" t="str">
        <f>IFERROR(IF(VLOOKUP($G38,BD_PRINCIPAL[],36,FALSE)=0,"",VLOOKUP($G38,BD_PRINCIPAL[],36,FALSE)),"")</f>
        <v/>
      </c>
      <c r="Q38" s="296" t="str">
        <f>IFERROR(IF(VLOOKUP($G38,BD_PRINCIPAL[],37,FALSE)=0,"",VLOOKUP($G38,BD_PRINCIPAL[],37,FALSE)),"")</f>
        <v/>
      </c>
      <c r="R38" s="296" t="str">
        <f>IFERROR(IF(VLOOKUP($G38,BD_PRINCIPAL[],38,FALSE)=0,"",VLOOKUP($G38,BD_PRINCIPAL[],38,FALSE)),"")</f>
        <v/>
      </c>
      <c r="S38" s="296" t="str">
        <f>IFERROR(IF(VLOOKUP($G38,BD_PRINCIPAL[],39,FALSE)=0,"",VLOOKUP($G38,BD_PRINCIPAL[],39,FALSE)),"")</f>
        <v/>
      </c>
      <c r="T38" s="296" t="str">
        <f>IFERROR(IF(VLOOKUP($G38,BD_PRINCIPAL[],40,FALSE)=0,"",VLOOKUP($G38,BD_PRINCIPAL[],40,FALSE)),"")</f>
        <v/>
      </c>
      <c r="U38" s="296" t="str">
        <f>IFERROR(IF(VLOOKUP($G38,BD_PRINCIPAL[],41,FALSE)=0,"",VLOOKUP($G38,BD_PRINCIPAL[],41,FALSE)),"")</f>
        <v/>
      </c>
      <c r="V38" s="296" t="str">
        <f>IFERROR(IF(VLOOKUP($G38,BD_PRINCIPAL[],42,FALSE)=0,"",VLOOKUP($G38,BD_PRINCIPAL[],42,FALSE)),"")</f>
        <v/>
      </c>
      <c r="W38" s="296" t="str">
        <f>IFERROR(IF(VLOOKUP($G38,BD_PRINCIPAL[],43,FALSE)=0,"",VLOOKUP($G38,BD_PRINCIPAL[],43,FALSE)),"")</f>
        <v/>
      </c>
      <c r="X38" s="296" t="str">
        <f>IFERROR(IF(VLOOKUP($G38,BD_PRINCIPAL[],44,FALSE)=0,"",VLOOKUP($G38,BD_PRINCIPAL[],44,FALSE)),"")</f>
        <v/>
      </c>
      <c r="Y38" s="296" t="str">
        <f>IFERROR(IF(VLOOKUP($G38,BD_PRINCIPAL[],45,FALSE)=0,"",VLOOKUP($G38,BD_PRINCIPAL[],45,FALSE)),"")</f>
        <v/>
      </c>
      <c r="Z38" s="296" t="str">
        <f>IFERROR(IF(VLOOKUP($G38,BD_PRINCIPAL[],46,FALSE)=0,"",VLOOKUP($G38,BD_PRINCIPAL[],46,FALSE)),"")</f>
        <v/>
      </c>
      <c r="AA38" s="296" t="str">
        <f>IFERROR(IF(VLOOKUP($G38,BD_PRINCIPAL[],47,FALSE)=0,"",VLOOKUP($G38,BD_PRINCIPAL[],47,FALSE)),"")</f>
        <v/>
      </c>
      <c r="AB38" s="296" t="str">
        <f>IFERROR(IF(VLOOKUP($G38,BD_PRINCIPAL[],48,FALSE)=0,"",VLOOKUP($G38,BD_PRINCIPAL[],48,FALSE)),"")</f>
        <v/>
      </c>
      <c r="AC38" s="296" t="str">
        <f>IFERROR(IF(VLOOKUP($G38,BD_PRINCIPAL[],49,FALSE)=0,"",VLOOKUP($G38,BD_PRINCIPAL[],49,FALSE)),"")</f>
        <v/>
      </c>
      <c r="AD38" s="296" t="str">
        <f>IFERROR(IF(VLOOKUP($G38,BD_PRINCIPAL[],50,FALSE)=0,"",VLOOKUP($G38,BD_PRINCIPAL[],50,FALSE)),"")</f>
        <v/>
      </c>
      <c r="AE38" s="296" t="str">
        <f>IFERROR(IF(VLOOKUP($G38,BD_PRINCIPAL[],51,FALSE)=0,"",VLOOKUP($G38,BD_PRINCIPAL[],51,FALSE)),"")</f>
        <v/>
      </c>
      <c r="AF38" s="296" t="str">
        <f>IFERROR(IF(VLOOKUP($G38,BD_PRINCIPAL[],52,FALSE)=0,"",VLOOKUP($G38,BD_PRINCIPAL[],52,FALSE)),"")</f>
        <v/>
      </c>
      <c r="AG38" s="296" t="str">
        <f>IFERROR(IF(VLOOKUP($G38,BD_PRINCIPAL[],53,FALSE)=0,"",VLOOKUP($G38,BD_PRINCIPAL[],53,FALSE)),"")</f>
        <v/>
      </c>
      <c r="AH38" s="296" t="str">
        <f>IFERROR(IF(VLOOKUP($G38,BD_PRINCIPAL[],54,FALSE)=0,"",VLOOKUP($G38,BD_PRINCIPAL[],54,FALSE)),"")</f>
        <v/>
      </c>
      <c r="AI38" s="296" t="str">
        <f>IFERROR(IF(VLOOKUP($G38,BD_PRINCIPAL[],55,FALSE)=0,"",VLOOKUP($G38,BD_PRINCIPAL[],55,FALSE)),"")</f>
        <v/>
      </c>
      <c r="AJ38" s="296" t="str">
        <f>IFERROR(IF(VLOOKUP($G38,BD_PRINCIPAL[],56,FALSE)=0,"",VLOOKUP($G38,BD_PRINCIPAL[],56,FALSE)),"")</f>
        <v/>
      </c>
      <c r="AK38" s="296" t="str">
        <f>IFERROR(IF(VLOOKUP($G38,BD_PRINCIPAL[],57,FALSE)=0,"",VLOOKUP($G38,BD_PRINCIPAL[],57,FALSE)),"")</f>
        <v/>
      </c>
      <c r="AL38" s="296" t="str">
        <f>IFERROR(IF(VLOOKUP($G38,BD_PRINCIPAL[],58,FALSE)=0,"",VLOOKUP($G38,BD_PRINCIPAL[],58,FALSE)),"")</f>
        <v/>
      </c>
    </row>
    <row r="39" spans="2:38" x14ac:dyDescent="0.3">
      <c r="B39" s="289">
        <f t="shared" si="3"/>
        <v>0</v>
      </c>
      <c r="D39" s="296">
        <v>25</v>
      </c>
      <c r="E39" s="296" t="str">
        <f>IFERROR(VLOOKUP(G39,BD_PRINCIPAL[],7,FALSE),"")</f>
        <v/>
      </c>
      <c r="F39" s="297" t="str">
        <f>IFERROR(VLOOKUP(G39,BD_PRINCIPAL[],2,FALSE),"")</f>
        <v/>
      </c>
      <c r="G39" s="288"/>
      <c r="H39" s="296" t="str">
        <f>IFERROR(IF(VLOOKUP($G39,BD_PRINCIPAL[],28,FALSE)=0,"",VLOOKUP($G39,BD_PRINCIPAL[],28,FALSE)),"")</f>
        <v/>
      </c>
      <c r="I39" s="296" t="str">
        <f>IFERROR(IF(VLOOKUP($G39,BD_PRINCIPAL[],29,FALSE)=0,"",VLOOKUP($G39,BD_PRINCIPAL[],29,FALSE)),"")</f>
        <v/>
      </c>
      <c r="J39" s="296" t="str">
        <f>IFERROR(IF(VLOOKUP($G39,BD_PRINCIPAL[],30,FALSE)=0,"",VLOOKUP($G39,BD_PRINCIPAL[],30,FALSE)),"")</f>
        <v/>
      </c>
      <c r="K39" s="296" t="str">
        <f>IFERROR(IF(VLOOKUP($G39,BD_PRINCIPAL[],31,FALSE)=0,"",VLOOKUP($G39,BD_PRINCIPAL[],31,FALSE)),"")</f>
        <v/>
      </c>
      <c r="L39" s="296" t="str">
        <f>IFERROR(IF(VLOOKUP($G39,BD_PRINCIPAL[],32,FALSE)=0,"",VLOOKUP($G39,BD_PRINCIPAL[],32,FALSE)),"")</f>
        <v/>
      </c>
      <c r="M39" s="296" t="str">
        <f>IFERROR(IF(VLOOKUP($G39,BD_PRINCIPAL[],33,FALSE)=0,"",VLOOKUP($G39,BD_PRINCIPAL[],33,FALSE)),"")</f>
        <v/>
      </c>
      <c r="N39" s="296" t="str">
        <f>IFERROR(IF(VLOOKUP($G39,BD_PRINCIPAL[],34,FALSE)=0,"",VLOOKUP($G39,BD_PRINCIPAL[],34,FALSE)),"")</f>
        <v/>
      </c>
      <c r="O39" s="296" t="str">
        <f>IFERROR(IF(VLOOKUP($G39,BD_PRINCIPAL[],35,FALSE)=0,"",VLOOKUP($G39,BD_PRINCIPAL[],35,FALSE)),"")</f>
        <v/>
      </c>
      <c r="P39" s="296" t="str">
        <f>IFERROR(IF(VLOOKUP($G39,BD_PRINCIPAL[],36,FALSE)=0,"",VLOOKUP($G39,BD_PRINCIPAL[],36,FALSE)),"")</f>
        <v/>
      </c>
      <c r="Q39" s="296" t="str">
        <f>IFERROR(IF(VLOOKUP($G39,BD_PRINCIPAL[],37,FALSE)=0,"",VLOOKUP($G39,BD_PRINCIPAL[],37,FALSE)),"")</f>
        <v/>
      </c>
      <c r="R39" s="296" t="str">
        <f>IFERROR(IF(VLOOKUP($G39,BD_PRINCIPAL[],38,FALSE)=0,"",VLOOKUP($G39,BD_PRINCIPAL[],38,FALSE)),"")</f>
        <v/>
      </c>
      <c r="S39" s="296" t="str">
        <f>IFERROR(IF(VLOOKUP($G39,BD_PRINCIPAL[],39,FALSE)=0,"",VLOOKUP($G39,BD_PRINCIPAL[],39,FALSE)),"")</f>
        <v/>
      </c>
      <c r="T39" s="296" t="str">
        <f>IFERROR(IF(VLOOKUP($G39,BD_PRINCIPAL[],40,FALSE)=0,"",VLOOKUP($G39,BD_PRINCIPAL[],40,FALSE)),"")</f>
        <v/>
      </c>
      <c r="U39" s="296" t="str">
        <f>IFERROR(IF(VLOOKUP($G39,BD_PRINCIPAL[],41,FALSE)=0,"",VLOOKUP($G39,BD_PRINCIPAL[],41,FALSE)),"")</f>
        <v/>
      </c>
      <c r="V39" s="296" t="str">
        <f>IFERROR(IF(VLOOKUP($G39,BD_PRINCIPAL[],42,FALSE)=0,"",VLOOKUP($G39,BD_PRINCIPAL[],42,FALSE)),"")</f>
        <v/>
      </c>
      <c r="W39" s="296" t="str">
        <f>IFERROR(IF(VLOOKUP($G39,BD_PRINCIPAL[],43,FALSE)=0,"",VLOOKUP($G39,BD_PRINCIPAL[],43,FALSE)),"")</f>
        <v/>
      </c>
      <c r="X39" s="296" t="str">
        <f>IFERROR(IF(VLOOKUP($G39,BD_PRINCIPAL[],44,FALSE)=0,"",VLOOKUP($G39,BD_PRINCIPAL[],44,FALSE)),"")</f>
        <v/>
      </c>
      <c r="Y39" s="296" t="str">
        <f>IFERROR(IF(VLOOKUP($G39,BD_PRINCIPAL[],45,FALSE)=0,"",VLOOKUP($G39,BD_PRINCIPAL[],45,FALSE)),"")</f>
        <v/>
      </c>
      <c r="Z39" s="296" t="str">
        <f>IFERROR(IF(VLOOKUP($G39,BD_PRINCIPAL[],46,FALSE)=0,"",VLOOKUP($G39,BD_PRINCIPAL[],46,FALSE)),"")</f>
        <v/>
      </c>
      <c r="AA39" s="296" t="str">
        <f>IFERROR(IF(VLOOKUP($G39,BD_PRINCIPAL[],47,FALSE)=0,"",VLOOKUP($G39,BD_PRINCIPAL[],47,FALSE)),"")</f>
        <v/>
      </c>
      <c r="AB39" s="296" t="str">
        <f>IFERROR(IF(VLOOKUP($G39,BD_PRINCIPAL[],48,FALSE)=0,"",VLOOKUP($G39,BD_PRINCIPAL[],48,FALSE)),"")</f>
        <v/>
      </c>
      <c r="AC39" s="296" t="str">
        <f>IFERROR(IF(VLOOKUP($G39,BD_PRINCIPAL[],49,FALSE)=0,"",VLOOKUP($G39,BD_PRINCIPAL[],49,FALSE)),"")</f>
        <v/>
      </c>
      <c r="AD39" s="296" t="str">
        <f>IFERROR(IF(VLOOKUP($G39,BD_PRINCIPAL[],50,FALSE)=0,"",VLOOKUP($G39,BD_PRINCIPAL[],50,FALSE)),"")</f>
        <v/>
      </c>
      <c r="AE39" s="296" t="str">
        <f>IFERROR(IF(VLOOKUP($G39,BD_PRINCIPAL[],51,FALSE)=0,"",VLOOKUP($G39,BD_PRINCIPAL[],51,FALSE)),"")</f>
        <v/>
      </c>
      <c r="AF39" s="296" t="str">
        <f>IFERROR(IF(VLOOKUP($G39,BD_PRINCIPAL[],52,FALSE)=0,"",VLOOKUP($G39,BD_PRINCIPAL[],52,FALSE)),"")</f>
        <v/>
      </c>
      <c r="AG39" s="296" t="str">
        <f>IFERROR(IF(VLOOKUP($G39,BD_PRINCIPAL[],53,FALSE)=0,"",VLOOKUP($G39,BD_PRINCIPAL[],53,FALSE)),"")</f>
        <v/>
      </c>
      <c r="AH39" s="296" t="str">
        <f>IFERROR(IF(VLOOKUP($G39,BD_PRINCIPAL[],54,FALSE)=0,"",VLOOKUP($G39,BD_PRINCIPAL[],54,FALSE)),"")</f>
        <v/>
      </c>
      <c r="AI39" s="296" t="str">
        <f>IFERROR(IF(VLOOKUP($G39,BD_PRINCIPAL[],55,FALSE)=0,"",VLOOKUP($G39,BD_PRINCIPAL[],55,FALSE)),"")</f>
        <v/>
      </c>
      <c r="AJ39" s="296" t="str">
        <f>IFERROR(IF(VLOOKUP($G39,BD_PRINCIPAL[],56,FALSE)=0,"",VLOOKUP($G39,BD_PRINCIPAL[],56,FALSE)),"")</f>
        <v/>
      </c>
      <c r="AK39" s="296" t="str">
        <f>IFERROR(IF(VLOOKUP($G39,BD_PRINCIPAL[],57,FALSE)=0,"",VLOOKUP($G39,BD_PRINCIPAL[],57,FALSE)),"")</f>
        <v/>
      </c>
      <c r="AL39" s="296" t="str">
        <f>IFERROR(IF(VLOOKUP($G39,BD_PRINCIPAL[],58,FALSE)=0,"",VLOOKUP($G39,BD_PRINCIPAL[],58,FALSE)),"")</f>
        <v/>
      </c>
    </row>
    <row r="40" spans="2:38" ht="14.4" x14ac:dyDescent="0.3">
      <c r="B40" s="289">
        <f>IF(H40=0,0,22)</f>
        <v>22</v>
      </c>
      <c r="D40" s="291"/>
      <c r="E40" s="291"/>
      <c r="F40" s="291"/>
      <c r="G40"/>
      <c r="H40" s="1208" t="str">
        <f>A3</f>
        <v>P.F. ROBERTO DEL RIO 2</v>
      </c>
      <c r="I40" s="1209"/>
      <c r="J40" s="1209"/>
      <c r="K40" s="1209"/>
      <c r="L40" s="1209"/>
      <c r="M40" s="1209"/>
      <c r="N40" s="1209"/>
      <c r="O40" s="1209"/>
      <c r="P40" s="1209"/>
      <c r="Q40" s="1209"/>
      <c r="R40" s="1209"/>
      <c r="S40" s="1209"/>
      <c r="T40" s="1209"/>
      <c r="U40" s="1209"/>
      <c r="V40" s="1209"/>
      <c r="W40" s="1209"/>
      <c r="X40" s="1209"/>
      <c r="Y40" s="1209"/>
      <c r="Z40" s="1209"/>
      <c r="AA40" s="1209"/>
      <c r="AB40" s="1209"/>
      <c r="AC40" s="1209"/>
      <c r="AD40" s="1209"/>
      <c r="AE40" s="1209"/>
      <c r="AF40" s="1209"/>
      <c r="AG40" s="1209"/>
      <c r="AH40" s="1209"/>
      <c r="AI40" s="1209"/>
      <c r="AJ40" s="1209"/>
      <c r="AK40" s="1209"/>
      <c r="AL40" s="1210"/>
    </row>
    <row r="41" spans="2:38" ht="14.4" x14ac:dyDescent="0.3">
      <c r="B41" s="289">
        <f>IF(H40=0,0,22)</f>
        <v>22</v>
      </c>
      <c r="C41" s="291"/>
      <c r="D41" s="291"/>
      <c r="E41" s="291"/>
      <c r="F41" s="291"/>
      <c r="G41"/>
      <c r="H41" s="293" t="str">
        <f>H13</f>
        <v>lun</v>
      </c>
      <c r="I41" s="293" t="str">
        <f t="shared" ref="I41:AL42" si="4">I13</f>
        <v>mar</v>
      </c>
      <c r="J41" s="293" t="str">
        <f t="shared" si="4"/>
        <v>mié</v>
      </c>
      <c r="K41" s="293" t="str">
        <f t="shared" si="4"/>
        <v>jue</v>
      </c>
      <c r="L41" s="293" t="str">
        <f t="shared" si="4"/>
        <v>vie</v>
      </c>
      <c r="M41" s="293" t="str">
        <f t="shared" si="4"/>
        <v>sáb</v>
      </c>
      <c r="N41" s="293" t="str">
        <f t="shared" si="4"/>
        <v>dom</v>
      </c>
      <c r="O41" s="293" t="str">
        <f t="shared" si="4"/>
        <v>lun</v>
      </c>
      <c r="P41" s="293" t="str">
        <f t="shared" si="4"/>
        <v>mar</v>
      </c>
      <c r="Q41" s="293" t="str">
        <f t="shared" si="4"/>
        <v>mié</v>
      </c>
      <c r="R41" s="293" t="str">
        <f t="shared" si="4"/>
        <v>jue</v>
      </c>
      <c r="S41" s="293" t="str">
        <f t="shared" si="4"/>
        <v>vie</v>
      </c>
      <c r="T41" s="293" t="str">
        <f t="shared" si="4"/>
        <v>sáb</v>
      </c>
      <c r="U41" s="293" t="str">
        <f t="shared" si="4"/>
        <v>dom</v>
      </c>
      <c r="V41" s="293" t="str">
        <f t="shared" si="4"/>
        <v>lun</v>
      </c>
      <c r="W41" s="293" t="str">
        <f t="shared" si="4"/>
        <v>mar</v>
      </c>
      <c r="X41" s="293" t="str">
        <f t="shared" si="4"/>
        <v>mié</v>
      </c>
      <c r="Y41" s="293" t="str">
        <f t="shared" si="4"/>
        <v>jue</v>
      </c>
      <c r="Z41" s="293" t="str">
        <f t="shared" si="4"/>
        <v>vie</v>
      </c>
      <c r="AA41" s="293" t="str">
        <f t="shared" si="4"/>
        <v>sáb</v>
      </c>
      <c r="AB41" s="293" t="str">
        <f t="shared" si="4"/>
        <v>dom</v>
      </c>
      <c r="AC41" s="293" t="str">
        <f t="shared" si="4"/>
        <v>lun</v>
      </c>
      <c r="AD41" s="293" t="str">
        <f t="shared" si="4"/>
        <v>mar</v>
      </c>
      <c r="AE41" s="293" t="str">
        <f t="shared" si="4"/>
        <v>mié</v>
      </c>
      <c r="AF41" s="293" t="str">
        <f t="shared" si="4"/>
        <v>jue</v>
      </c>
      <c r="AG41" s="293" t="str">
        <f t="shared" si="4"/>
        <v>vie</v>
      </c>
      <c r="AH41" s="293" t="str">
        <f t="shared" si="4"/>
        <v>sáb</v>
      </c>
      <c r="AI41" s="293" t="str">
        <f t="shared" si="4"/>
        <v>dom</v>
      </c>
      <c r="AJ41" s="293" t="str">
        <f t="shared" si="4"/>
        <v>lun</v>
      </c>
      <c r="AK41" s="293" t="str">
        <f t="shared" si="4"/>
        <v>mar</v>
      </c>
      <c r="AL41" s="293" t="str">
        <f t="shared" si="4"/>
        <v>mié</v>
      </c>
    </row>
    <row r="42" spans="2:38" x14ac:dyDescent="0.3">
      <c r="B42" s="289">
        <f>IF(H40=0,0,22)</f>
        <v>22</v>
      </c>
      <c r="D42" s="294" t="s">
        <v>1173</v>
      </c>
      <c r="E42" s="294" t="s">
        <v>0</v>
      </c>
      <c r="F42" s="295" t="s">
        <v>693</v>
      </c>
      <c r="G42" s="294" t="s">
        <v>815</v>
      </c>
      <c r="H42" s="294" t="str">
        <f>H14</f>
        <v>1</v>
      </c>
      <c r="I42" s="294" t="str">
        <f t="shared" si="4"/>
        <v>2</v>
      </c>
      <c r="J42" s="294" t="str">
        <f t="shared" si="4"/>
        <v>3</v>
      </c>
      <c r="K42" s="294" t="str">
        <f t="shared" si="4"/>
        <v>4</v>
      </c>
      <c r="L42" s="294" t="str">
        <f t="shared" si="4"/>
        <v>5</v>
      </c>
      <c r="M42" s="294" t="str">
        <f t="shared" si="4"/>
        <v>6</v>
      </c>
      <c r="N42" s="294" t="str">
        <f t="shared" si="4"/>
        <v>7</v>
      </c>
      <c r="O42" s="294" t="str">
        <f t="shared" si="4"/>
        <v>8</v>
      </c>
      <c r="P42" s="294" t="str">
        <f t="shared" si="4"/>
        <v>9</v>
      </c>
      <c r="Q42" s="294" t="str">
        <f t="shared" si="4"/>
        <v>10</v>
      </c>
      <c r="R42" s="294" t="str">
        <f t="shared" si="4"/>
        <v>11</v>
      </c>
      <c r="S42" s="294" t="str">
        <f t="shared" si="4"/>
        <v>12</v>
      </c>
      <c r="T42" s="294" t="str">
        <f t="shared" si="4"/>
        <v>13</v>
      </c>
      <c r="U42" s="294" t="str">
        <f t="shared" si="4"/>
        <v>14</v>
      </c>
      <c r="V42" s="294" t="str">
        <f t="shared" si="4"/>
        <v>15</v>
      </c>
      <c r="W42" s="294" t="str">
        <f t="shared" si="4"/>
        <v>16</v>
      </c>
      <c r="X42" s="294" t="str">
        <f t="shared" si="4"/>
        <v>17</v>
      </c>
      <c r="Y42" s="294" t="str">
        <f t="shared" si="4"/>
        <v>18</v>
      </c>
      <c r="Z42" s="294" t="str">
        <f t="shared" si="4"/>
        <v>19</v>
      </c>
      <c r="AA42" s="294" t="str">
        <f t="shared" si="4"/>
        <v>20</v>
      </c>
      <c r="AB42" s="294" t="str">
        <f t="shared" si="4"/>
        <v>21</v>
      </c>
      <c r="AC42" s="294" t="str">
        <f t="shared" si="4"/>
        <v>22</v>
      </c>
      <c r="AD42" s="294" t="str">
        <f t="shared" si="4"/>
        <v>23</v>
      </c>
      <c r="AE42" s="294" t="str">
        <f t="shared" si="4"/>
        <v>24</v>
      </c>
      <c r="AF42" s="294" t="str">
        <f t="shared" si="4"/>
        <v>25</v>
      </c>
      <c r="AG42" s="294" t="str">
        <f t="shared" si="4"/>
        <v>26</v>
      </c>
      <c r="AH42" s="294" t="str">
        <f t="shared" si="4"/>
        <v>27</v>
      </c>
      <c r="AI42" s="294" t="str">
        <f t="shared" si="4"/>
        <v>28</v>
      </c>
      <c r="AJ42" s="294" t="str">
        <f t="shared" si="4"/>
        <v>29</v>
      </c>
      <c r="AK42" s="294" t="str">
        <f t="shared" si="4"/>
        <v>30</v>
      </c>
      <c r="AL42" s="294" t="str">
        <f t="shared" si="4"/>
        <v>1</v>
      </c>
    </row>
    <row r="43" spans="2:38" x14ac:dyDescent="0.3">
      <c r="B43" s="289">
        <f t="shared" ref="B43:B67" si="5">IF(G43&lt;&gt;"",22,0)</f>
        <v>22</v>
      </c>
      <c r="D43" s="296">
        <v>1</v>
      </c>
      <c r="E43" s="296" t="str">
        <f>IFERROR(VLOOKUP(G43,BD_PRINCIPAL[],7,FALSE),"")</f>
        <v>CABO 1RO.</v>
      </c>
      <c r="F43" s="297" t="str">
        <f>IFERROR(VLOOKUP(G43,BD_PRINCIPAL[],2,FALSE),"")</f>
        <v>PACHECO CIFUENTES HUMBERTO ARIEL</v>
      </c>
      <c r="G43" s="197" t="s">
        <v>2687</v>
      </c>
      <c r="H43" s="296" t="str">
        <f>IFERROR(IF(VLOOKUP($G43,BD_PRINCIPAL[],28,FALSE)=0,"",VLOOKUP($G43,BD_PRINCIPAL[],28,FALSE)),"")</f>
        <v>SN</v>
      </c>
      <c r="I43" s="296" t="str">
        <f>IFERROR(IF(VLOOKUP($G43,BD_PRINCIPAL[],29,FALSE)=0,"",VLOOKUP($G43,BD_PRINCIPAL[],29,FALSE)),"")</f>
        <v>2T</v>
      </c>
      <c r="J43" s="296" t="str">
        <f>IFERROR(IF(VLOOKUP($G43,BD_PRINCIPAL[],30,FALSE)=0,"",VLOOKUP($G43,BD_PRINCIPAL[],30,FALSE)),"")</f>
        <v>1T</v>
      </c>
      <c r="K43" s="296" t="str">
        <f>IFERROR(IF(VLOOKUP($G43,BD_PRINCIPAL[],31,FALSE)=0,"",VLOOKUP($G43,BD_PRINCIPAL[],31,FALSE)),"")</f>
        <v>2P</v>
      </c>
      <c r="L43" s="296" t="str">
        <f>IFERROR(IF(VLOOKUP($G43,BD_PRINCIPAL[],32,FALSE)=0,"",VLOOKUP($G43,BD_PRINCIPAL[],32,FALSE)),"")</f>
        <v>SN</v>
      </c>
      <c r="M43" s="296" t="str">
        <f>IFERROR(IF(VLOOKUP($G43,BD_PRINCIPAL[],33,FALSE)=0,"",VLOOKUP($G43,BD_PRINCIPAL[],33,FALSE)),"")</f>
        <v>F</v>
      </c>
      <c r="N43" s="296" t="str">
        <f>IFERROR(IF(VLOOKUP($G43,BD_PRINCIPAL[],34,FALSE)=0,"",VLOOKUP($G43,BD_PRINCIPAL[],34,FALSE)),"")</f>
        <v/>
      </c>
      <c r="O43" s="296" t="str">
        <f>IFERROR(IF(VLOOKUP($G43,BD_PRINCIPAL[],35,FALSE)=0,"",VLOOKUP($G43,BD_PRINCIPAL[],35,FALSE)),"")</f>
        <v/>
      </c>
      <c r="P43" s="296" t="str">
        <f>IFERROR(IF(VLOOKUP($G43,BD_PRINCIPAL[],36,FALSE)=0,"",VLOOKUP($G43,BD_PRINCIPAL[],36,FALSE)),"")</f>
        <v/>
      </c>
      <c r="Q43" s="296" t="str">
        <f>IFERROR(IF(VLOOKUP($G43,BD_PRINCIPAL[],37,FALSE)=0,"",VLOOKUP($G43,BD_PRINCIPAL[],37,FALSE)),"")</f>
        <v/>
      </c>
      <c r="R43" s="296" t="str">
        <f>IFERROR(IF(VLOOKUP($G43,BD_PRINCIPAL[],38,FALSE)=0,"",VLOOKUP($G43,BD_PRINCIPAL[],38,FALSE)),"")</f>
        <v/>
      </c>
      <c r="S43" s="296" t="str">
        <f>IFERROR(IF(VLOOKUP($G43,BD_PRINCIPAL[],39,FALSE)=0,"",VLOOKUP($G43,BD_PRINCIPAL[],39,FALSE)),"")</f>
        <v/>
      </c>
      <c r="T43" s="296" t="str">
        <f>IFERROR(IF(VLOOKUP($G43,BD_PRINCIPAL[],40,FALSE)=0,"",VLOOKUP($G43,BD_PRINCIPAL[],40,FALSE)),"")</f>
        <v/>
      </c>
      <c r="U43" s="296" t="str">
        <f>IFERROR(IF(VLOOKUP($G43,BD_PRINCIPAL[],41,FALSE)=0,"",VLOOKUP($G43,BD_PRINCIPAL[],41,FALSE)),"")</f>
        <v/>
      </c>
      <c r="V43" s="296" t="str">
        <f>IFERROR(IF(VLOOKUP($G43,BD_PRINCIPAL[],42,FALSE)=0,"",VLOOKUP($G43,BD_PRINCIPAL[],42,FALSE)),"")</f>
        <v/>
      </c>
      <c r="W43" s="296" t="str">
        <f>IFERROR(IF(VLOOKUP($G43,BD_PRINCIPAL[],43,FALSE)=0,"",VLOOKUP($G43,BD_PRINCIPAL[],43,FALSE)),"")</f>
        <v/>
      </c>
      <c r="X43" s="296" t="str">
        <f>IFERROR(IF(VLOOKUP($G43,BD_PRINCIPAL[],44,FALSE)=0,"",VLOOKUP($G43,BD_PRINCIPAL[],44,FALSE)),"")</f>
        <v/>
      </c>
      <c r="Y43" s="296" t="str">
        <f>IFERROR(IF(VLOOKUP($G43,BD_PRINCIPAL[],45,FALSE)=0,"",VLOOKUP($G43,BD_PRINCIPAL[],45,FALSE)),"")</f>
        <v/>
      </c>
      <c r="Z43" s="296" t="str">
        <f>IFERROR(IF(VLOOKUP($G43,BD_PRINCIPAL[],46,FALSE)=0,"",VLOOKUP($G43,BD_PRINCIPAL[],46,FALSE)),"")</f>
        <v/>
      </c>
      <c r="AA43" s="296" t="str">
        <f>IFERROR(IF(VLOOKUP($G43,BD_PRINCIPAL[],47,FALSE)=0,"",VLOOKUP($G43,BD_PRINCIPAL[],47,FALSE)),"")</f>
        <v/>
      </c>
      <c r="AB43" s="296" t="str">
        <f>IFERROR(IF(VLOOKUP($G43,BD_PRINCIPAL[],48,FALSE)=0,"",VLOOKUP($G43,BD_PRINCIPAL[],48,FALSE)),"")</f>
        <v/>
      </c>
      <c r="AC43" s="296" t="str">
        <f>IFERROR(IF(VLOOKUP($G43,BD_PRINCIPAL[],49,FALSE)=0,"",VLOOKUP($G43,BD_PRINCIPAL[],49,FALSE)),"")</f>
        <v/>
      </c>
      <c r="AD43" s="296" t="str">
        <f>IFERROR(IF(VLOOKUP($G43,BD_PRINCIPAL[],50,FALSE)=0,"",VLOOKUP($G43,BD_PRINCIPAL[],50,FALSE)),"")</f>
        <v/>
      </c>
      <c r="AE43" s="296" t="str">
        <f>IFERROR(IF(VLOOKUP($G43,BD_PRINCIPAL[],51,FALSE)=0,"",VLOOKUP($G43,BD_PRINCIPAL[],51,FALSE)),"")</f>
        <v/>
      </c>
      <c r="AF43" s="296" t="str">
        <f>IFERROR(IF(VLOOKUP($G43,BD_PRINCIPAL[],52,FALSE)=0,"",VLOOKUP($G43,BD_PRINCIPAL[],52,FALSE)),"")</f>
        <v/>
      </c>
      <c r="AG43" s="296" t="str">
        <f>IFERROR(IF(VLOOKUP($G43,BD_PRINCIPAL[],53,FALSE)=0,"",VLOOKUP($G43,BD_PRINCIPAL[],53,FALSE)),"")</f>
        <v/>
      </c>
      <c r="AH43" s="296" t="str">
        <f>IFERROR(IF(VLOOKUP($G43,BD_PRINCIPAL[],54,FALSE)=0,"",VLOOKUP($G43,BD_PRINCIPAL[],54,FALSE)),"")</f>
        <v/>
      </c>
      <c r="AI43" s="296" t="str">
        <f>IFERROR(IF(VLOOKUP($G43,BD_PRINCIPAL[],55,FALSE)=0,"",VLOOKUP($G43,BD_PRINCIPAL[],55,FALSE)),"")</f>
        <v/>
      </c>
      <c r="AJ43" s="296" t="str">
        <f>IFERROR(IF(VLOOKUP($G43,BD_PRINCIPAL[],56,FALSE)=0,"",VLOOKUP($G43,BD_PRINCIPAL[],56,FALSE)),"")</f>
        <v/>
      </c>
      <c r="AK43" s="296" t="str">
        <f>IFERROR(IF(VLOOKUP($G43,BD_PRINCIPAL[],57,FALSE)=0,"",VLOOKUP($G43,BD_PRINCIPAL[],57,FALSE)),"")</f>
        <v/>
      </c>
      <c r="AL43" s="296" t="str">
        <f>IFERROR(IF(VLOOKUP($G43,BD_PRINCIPAL[],58,FALSE)=0,"",VLOOKUP($G43,BD_PRINCIPAL[],58,FALSE)),"")</f>
        <v/>
      </c>
    </row>
    <row r="44" spans="2:38" x14ac:dyDescent="0.3">
      <c r="B44" s="289">
        <f t="shared" si="5"/>
        <v>22</v>
      </c>
      <c r="D44" s="296">
        <v>2</v>
      </c>
      <c r="E44" s="296" t="str">
        <f>IFERROR(VLOOKUP(G44,BD_PRINCIPAL[],7,FALSE),"")</f>
        <v>CABO 2DO.</v>
      </c>
      <c r="F44" s="297" t="str">
        <f>IFERROR(VLOOKUP(G44,BD_PRINCIPAL[],2,FALSE),"")</f>
        <v>SEGURA TORRES MIGUEL ARIEL</v>
      </c>
      <c r="G44" s="914" t="s">
        <v>306</v>
      </c>
      <c r="H44" s="296" t="str">
        <f>IFERROR(IF(VLOOKUP($G44,BD_PRINCIPAL[],28,FALSE)=0,"",VLOOKUP($G44,BD_PRINCIPAL[],28,FALSE)),"")</f>
        <v>SN</v>
      </c>
      <c r="I44" s="296" t="str">
        <f>IFERROR(IF(VLOOKUP($G44,BD_PRINCIPAL[],29,FALSE)=0,"",VLOOKUP($G44,BD_PRINCIPAL[],29,FALSE)),"")</f>
        <v>2T</v>
      </c>
      <c r="J44" s="296" t="str">
        <f>IFERROR(IF(VLOOKUP($G44,BD_PRINCIPAL[],30,FALSE)=0,"",VLOOKUP($G44,BD_PRINCIPAL[],30,FALSE)),"")</f>
        <v>1T</v>
      </c>
      <c r="K44" s="296" t="str">
        <f>IFERROR(IF(VLOOKUP($G44,BD_PRINCIPAL[],31,FALSE)=0,"",VLOOKUP($G44,BD_PRINCIPAL[],31,FALSE)),"")</f>
        <v>2P</v>
      </c>
      <c r="L44" s="296" t="str">
        <f>IFERROR(IF(VLOOKUP($G44,BD_PRINCIPAL[],32,FALSE)=0,"",VLOOKUP($G44,BD_PRINCIPAL[],32,FALSE)),"")</f>
        <v>SN</v>
      </c>
      <c r="M44" s="296" t="str">
        <f>IFERROR(IF(VLOOKUP($G44,BD_PRINCIPAL[],33,FALSE)=0,"",VLOOKUP($G44,BD_PRINCIPAL[],33,FALSE)),"")</f>
        <v>F</v>
      </c>
      <c r="N44" s="296" t="str">
        <f>IFERROR(IF(VLOOKUP($G44,BD_PRINCIPAL[],34,FALSE)=0,"",VLOOKUP($G44,BD_PRINCIPAL[],34,FALSE)),"")</f>
        <v/>
      </c>
      <c r="O44" s="296" t="str">
        <f>IFERROR(IF(VLOOKUP($G44,BD_PRINCIPAL[],35,FALSE)=0,"",VLOOKUP($G44,BD_PRINCIPAL[],35,FALSE)),"")</f>
        <v/>
      </c>
      <c r="P44" s="296" t="str">
        <f>IFERROR(IF(VLOOKUP($G44,BD_PRINCIPAL[],36,FALSE)=0,"",VLOOKUP($G44,BD_PRINCIPAL[],36,FALSE)),"")</f>
        <v/>
      </c>
      <c r="Q44" s="296" t="str">
        <f>IFERROR(IF(VLOOKUP($G44,BD_PRINCIPAL[],37,FALSE)=0,"",VLOOKUP($G44,BD_PRINCIPAL[],37,FALSE)),"")</f>
        <v/>
      </c>
      <c r="R44" s="296" t="str">
        <f>IFERROR(IF(VLOOKUP($G44,BD_PRINCIPAL[],38,FALSE)=0,"",VLOOKUP($G44,BD_PRINCIPAL[],38,FALSE)),"")</f>
        <v/>
      </c>
      <c r="S44" s="296" t="str">
        <f>IFERROR(IF(VLOOKUP($G44,BD_PRINCIPAL[],39,FALSE)=0,"",VLOOKUP($G44,BD_PRINCIPAL[],39,FALSE)),"")</f>
        <v/>
      </c>
      <c r="T44" s="296" t="str">
        <f>IFERROR(IF(VLOOKUP($G44,BD_PRINCIPAL[],40,FALSE)=0,"",VLOOKUP($G44,BD_PRINCIPAL[],40,FALSE)),"")</f>
        <v/>
      </c>
      <c r="U44" s="296" t="str">
        <f>IFERROR(IF(VLOOKUP($G44,BD_PRINCIPAL[],41,FALSE)=0,"",VLOOKUP($G44,BD_PRINCIPAL[],41,FALSE)),"")</f>
        <v/>
      </c>
      <c r="V44" s="296" t="str">
        <f>IFERROR(IF(VLOOKUP($G44,BD_PRINCIPAL[],42,FALSE)=0,"",VLOOKUP($G44,BD_PRINCIPAL[],42,FALSE)),"")</f>
        <v/>
      </c>
      <c r="W44" s="296" t="str">
        <f>IFERROR(IF(VLOOKUP($G44,BD_PRINCIPAL[],43,FALSE)=0,"",VLOOKUP($G44,BD_PRINCIPAL[],43,FALSE)),"")</f>
        <v/>
      </c>
      <c r="X44" s="296" t="str">
        <f>IFERROR(IF(VLOOKUP($G44,BD_PRINCIPAL[],44,FALSE)=0,"",VLOOKUP($G44,BD_PRINCIPAL[],44,FALSE)),"")</f>
        <v/>
      </c>
      <c r="Y44" s="296" t="str">
        <f>IFERROR(IF(VLOOKUP($G44,BD_PRINCIPAL[],45,FALSE)=0,"",VLOOKUP($G44,BD_PRINCIPAL[],45,FALSE)),"")</f>
        <v/>
      </c>
      <c r="Z44" s="296" t="str">
        <f>IFERROR(IF(VLOOKUP($G44,BD_PRINCIPAL[],46,FALSE)=0,"",VLOOKUP($G44,BD_PRINCIPAL[],46,FALSE)),"")</f>
        <v/>
      </c>
      <c r="AA44" s="296" t="str">
        <f>IFERROR(IF(VLOOKUP($G44,BD_PRINCIPAL[],47,FALSE)=0,"",VLOOKUP($G44,BD_PRINCIPAL[],47,FALSE)),"")</f>
        <v/>
      </c>
      <c r="AB44" s="296" t="str">
        <f>IFERROR(IF(VLOOKUP($G44,BD_PRINCIPAL[],48,FALSE)=0,"",VLOOKUP($G44,BD_PRINCIPAL[],48,FALSE)),"")</f>
        <v/>
      </c>
      <c r="AC44" s="296" t="str">
        <f>IFERROR(IF(VLOOKUP($G44,BD_PRINCIPAL[],49,FALSE)=0,"",VLOOKUP($G44,BD_PRINCIPAL[],49,FALSE)),"")</f>
        <v/>
      </c>
      <c r="AD44" s="296" t="str">
        <f>IFERROR(IF(VLOOKUP($G44,BD_PRINCIPAL[],50,FALSE)=0,"",VLOOKUP($G44,BD_PRINCIPAL[],50,FALSE)),"")</f>
        <v/>
      </c>
      <c r="AE44" s="296" t="str">
        <f>IFERROR(IF(VLOOKUP($G44,BD_PRINCIPAL[],51,FALSE)=0,"",VLOOKUP($G44,BD_PRINCIPAL[],51,FALSE)),"")</f>
        <v/>
      </c>
      <c r="AF44" s="296" t="str">
        <f>IFERROR(IF(VLOOKUP($G44,BD_PRINCIPAL[],52,FALSE)=0,"",VLOOKUP($G44,BD_PRINCIPAL[],52,FALSE)),"")</f>
        <v/>
      </c>
      <c r="AG44" s="296" t="str">
        <f>IFERROR(IF(VLOOKUP($G44,BD_PRINCIPAL[],53,FALSE)=0,"",VLOOKUP($G44,BD_PRINCIPAL[],53,FALSE)),"")</f>
        <v/>
      </c>
      <c r="AH44" s="296" t="str">
        <f>IFERROR(IF(VLOOKUP($G44,BD_PRINCIPAL[],54,FALSE)=0,"",VLOOKUP($G44,BD_PRINCIPAL[],54,FALSE)),"")</f>
        <v/>
      </c>
      <c r="AI44" s="296" t="str">
        <f>IFERROR(IF(VLOOKUP($G44,BD_PRINCIPAL[],55,FALSE)=0,"",VLOOKUP($G44,BD_PRINCIPAL[],55,FALSE)),"")</f>
        <v/>
      </c>
      <c r="AJ44" s="296" t="str">
        <f>IFERROR(IF(VLOOKUP($G44,BD_PRINCIPAL[],56,FALSE)=0,"",VLOOKUP($G44,BD_PRINCIPAL[],56,FALSE)),"")</f>
        <v/>
      </c>
      <c r="AK44" s="296" t="str">
        <f>IFERROR(IF(VLOOKUP($G44,BD_PRINCIPAL[],57,FALSE)=0,"",VLOOKUP($G44,BD_PRINCIPAL[],57,FALSE)),"")</f>
        <v/>
      </c>
      <c r="AL44" s="296" t="str">
        <f>IFERROR(IF(VLOOKUP($G44,BD_PRINCIPAL[],58,FALSE)=0,"",VLOOKUP($G44,BD_PRINCIPAL[],58,FALSE)),"")</f>
        <v/>
      </c>
    </row>
    <row r="45" spans="2:38" x14ac:dyDescent="0.3">
      <c r="B45" s="289">
        <f t="shared" si="5"/>
        <v>0</v>
      </c>
      <c r="D45" s="296">
        <v>3</v>
      </c>
      <c r="E45" s="296" t="str">
        <f>IFERROR(VLOOKUP(G45,BD_PRINCIPAL[],7,FALSE),"")</f>
        <v/>
      </c>
      <c r="F45" s="297" t="str">
        <f>IFERROR(VLOOKUP(G45,BD_PRINCIPAL[],2,FALSE),"")</f>
        <v/>
      </c>
      <c r="G45" s="197"/>
      <c r="H45" s="296" t="str">
        <f>IFERROR(IF(VLOOKUP($G45,BD_PRINCIPAL[],28,FALSE)=0,"",VLOOKUP($G45,BD_PRINCIPAL[],28,FALSE)),"")</f>
        <v/>
      </c>
      <c r="I45" s="296" t="str">
        <f>IFERROR(IF(VLOOKUP($G45,BD_PRINCIPAL[],29,FALSE)=0,"",VLOOKUP($G45,BD_PRINCIPAL[],29,FALSE)),"")</f>
        <v/>
      </c>
      <c r="J45" s="296" t="str">
        <f>IFERROR(IF(VLOOKUP($G45,BD_PRINCIPAL[],30,FALSE)=0,"",VLOOKUP($G45,BD_PRINCIPAL[],30,FALSE)),"")</f>
        <v/>
      </c>
      <c r="K45" s="296" t="str">
        <f>IFERROR(IF(VLOOKUP($G45,BD_PRINCIPAL[],31,FALSE)=0,"",VLOOKUP($G45,BD_PRINCIPAL[],31,FALSE)),"")</f>
        <v/>
      </c>
      <c r="L45" s="296" t="str">
        <f>IFERROR(IF(VLOOKUP($G45,BD_PRINCIPAL[],32,FALSE)=0,"",VLOOKUP($G45,BD_PRINCIPAL[],32,FALSE)),"")</f>
        <v/>
      </c>
      <c r="M45" s="296" t="str">
        <f>IFERROR(IF(VLOOKUP($G45,BD_PRINCIPAL[],33,FALSE)=0,"",VLOOKUP($G45,BD_PRINCIPAL[],33,FALSE)),"")</f>
        <v/>
      </c>
      <c r="N45" s="296" t="str">
        <f>IFERROR(IF(VLOOKUP($G45,BD_PRINCIPAL[],34,FALSE)=0,"",VLOOKUP($G45,BD_PRINCIPAL[],34,FALSE)),"")</f>
        <v/>
      </c>
      <c r="O45" s="296" t="str">
        <f>IFERROR(IF(VLOOKUP($G45,BD_PRINCIPAL[],35,FALSE)=0,"",VLOOKUP($G45,BD_PRINCIPAL[],35,FALSE)),"")</f>
        <v/>
      </c>
      <c r="P45" s="296" t="str">
        <f>IFERROR(IF(VLOOKUP($G45,BD_PRINCIPAL[],36,FALSE)=0,"",VLOOKUP($G45,BD_PRINCIPAL[],36,FALSE)),"")</f>
        <v/>
      </c>
      <c r="Q45" s="296" t="str">
        <f>IFERROR(IF(VLOOKUP($G45,BD_PRINCIPAL[],37,FALSE)=0,"",VLOOKUP($G45,BD_PRINCIPAL[],37,FALSE)),"")</f>
        <v/>
      </c>
      <c r="R45" s="296" t="str">
        <f>IFERROR(IF(VLOOKUP($G45,BD_PRINCIPAL[],38,FALSE)=0,"",VLOOKUP($G45,BD_PRINCIPAL[],38,FALSE)),"")</f>
        <v/>
      </c>
      <c r="S45" s="296" t="str">
        <f>IFERROR(IF(VLOOKUP($G45,BD_PRINCIPAL[],39,FALSE)=0,"",VLOOKUP($G45,BD_PRINCIPAL[],39,FALSE)),"")</f>
        <v/>
      </c>
      <c r="T45" s="296" t="str">
        <f>IFERROR(IF(VLOOKUP($G45,BD_PRINCIPAL[],40,FALSE)=0,"",VLOOKUP($G45,BD_PRINCIPAL[],40,FALSE)),"")</f>
        <v/>
      </c>
      <c r="U45" s="296" t="str">
        <f>IFERROR(IF(VLOOKUP($G45,BD_PRINCIPAL[],41,FALSE)=0,"",VLOOKUP($G45,BD_PRINCIPAL[],41,FALSE)),"")</f>
        <v/>
      </c>
      <c r="V45" s="296" t="str">
        <f>IFERROR(IF(VLOOKUP($G45,BD_PRINCIPAL[],42,FALSE)=0,"",VLOOKUP($G45,BD_PRINCIPAL[],42,FALSE)),"")</f>
        <v/>
      </c>
      <c r="W45" s="296" t="str">
        <f>IFERROR(IF(VLOOKUP($G45,BD_PRINCIPAL[],43,FALSE)=0,"",VLOOKUP($G45,BD_PRINCIPAL[],43,FALSE)),"")</f>
        <v/>
      </c>
      <c r="X45" s="296" t="str">
        <f>IFERROR(IF(VLOOKUP($G45,BD_PRINCIPAL[],44,FALSE)=0,"",VLOOKUP($G45,BD_PRINCIPAL[],44,FALSE)),"")</f>
        <v/>
      </c>
      <c r="Y45" s="296" t="str">
        <f>IFERROR(IF(VLOOKUP($G45,BD_PRINCIPAL[],45,FALSE)=0,"",VLOOKUP($G45,BD_PRINCIPAL[],45,FALSE)),"")</f>
        <v/>
      </c>
      <c r="Z45" s="296" t="str">
        <f>IFERROR(IF(VLOOKUP($G45,BD_PRINCIPAL[],46,FALSE)=0,"",VLOOKUP($G45,BD_PRINCIPAL[],46,FALSE)),"")</f>
        <v/>
      </c>
      <c r="AA45" s="296" t="str">
        <f>IFERROR(IF(VLOOKUP($G45,BD_PRINCIPAL[],47,FALSE)=0,"",VLOOKUP($G45,BD_PRINCIPAL[],47,FALSE)),"")</f>
        <v/>
      </c>
      <c r="AB45" s="296" t="str">
        <f>IFERROR(IF(VLOOKUP($G45,BD_PRINCIPAL[],48,FALSE)=0,"",VLOOKUP($G45,BD_PRINCIPAL[],48,FALSE)),"")</f>
        <v/>
      </c>
      <c r="AC45" s="296" t="str">
        <f>IFERROR(IF(VLOOKUP($G45,BD_PRINCIPAL[],49,FALSE)=0,"",VLOOKUP($G45,BD_PRINCIPAL[],49,FALSE)),"")</f>
        <v/>
      </c>
      <c r="AD45" s="296" t="str">
        <f>IFERROR(IF(VLOOKUP($G45,BD_PRINCIPAL[],50,FALSE)=0,"",VLOOKUP($G45,BD_PRINCIPAL[],50,FALSE)),"")</f>
        <v/>
      </c>
      <c r="AE45" s="296" t="str">
        <f>IFERROR(IF(VLOOKUP($G45,BD_PRINCIPAL[],51,FALSE)=0,"",VLOOKUP($G45,BD_PRINCIPAL[],51,FALSE)),"")</f>
        <v/>
      </c>
      <c r="AF45" s="296" t="str">
        <f>IFERROR(IF(VLOOKUP($G45,BD_PRINCIPAL[],52,FALSE)=0,"",VLOOKUP($G45,BD_PRINCIPAL[],52,FALSE)),"")</f>
        <v/>
      </c>
      <c r="AG45" s="296" t="str">
        <f>IFERROR(IF(VLOOKUP($G45,BD_PRINCIPAL[],53,FALSE)=0,"",VLOOKUP($G45,BD_PRINCIPAL[],53,FALSE)),"")</f>
        <v/>
      </c>
      <c r="AH45" s="296" t="str">
        <f>IFERROR(IF(VLOOKUP($G45,BD_PRINCIPAL[],54,FALSE)=0,"",VLOOKUP($G45,BD_PRINCIPAL[],54,FALSE)),"")</f>
        <v/>
      </c>
      <c r="AI45" s="296" t="str">
        <f>IFERROR(IF(VLOOKUP($G45,BD_PRINCIPAL[],55,FALSE)=0,"",VLOOKUP($G45,BD_PRINCIPAL[],55,FALSE)),"")</f>
        <v/>
      </c>
      <c r="AJ45" s="296" t="str">
        <f>IFERROR(IF(VLOOKUP($G45,BD_PRINCIPAL[],56,FALSE)=0,"",VLOOKUP($G45,BD_PRINCIPAL[],56,FALSE)),"")</f>
        <v/>
      </c>
      <c r="AK45" s="296" t="str">
        <f>IFERROR(IF(VLOOKUP($G45,BD_PRINCIPAL[],57,FALSE)=0,"",VLOOKUP($G45,BD_PRINCIPAL[],57,FALSE)),"")</f>
        <v/>
      </c>
      <c r="AL45" s="296" t="str">
        <f>IFERROR(IF(VLOOKUP($G45,BD_PRINCIPAL[],58,FALSE)=0,"",VLOOKUP($G45,BD_PRINCIPAL[],58,FALSE)),"")</f>
        <v/>
      </c>
    </row>
    <row r="46" spans="2:38" x14ac:dyDescent="0.3">
      <c r="B46" s="289">
        <f t="shared" si="5"/>
        <v>0</v>
      </c>
      <c r="D46" s="296">
        <v>4</v>
      </c>
      <c r="E46" s="296" t="str">
        <f>IFERROR(VLOOKUP(G46,BD_PRINCIPAL[],7,FALSE),"")</f>
        <v/>
      </c>
      <c r="F46" s="297" t="str">
        <f>IFERROR(VLOOKUP(G46,BD_PRINCIPAL[],2,FALSE),"")</f>
        <v/>
      </c>
      <c r="G46" s="914"/>
      <c r="H46" s="296" t="str">
        <f>IFERROR(IF(VLOOKUP($G46,BD_PRINCIPAL[],28,FALSE)=0,"",VLOOKUP($G46,BD_PRINCIPAL[],28,FALSE)),"")</f>
        <v/>
      </c>
      <c r="I46" s="296" t="str">
        <f>IFERROR(IF(VLOOKUP($G46,BD_PRINCIPAL[],29,FALSE)=0,"",VLOOKUP($G46,BD_PRINCIPAL[],29,FALSE)),"")</f>
        <v/>
      </c>
      <c r="J46" s="296" t="str">
        <f>IFERROR(IF(VLOOKUP($G46,BD_PRINCIPAL[],30,FALSE)=0,"",VLOOKUP($G46,BD_PRINCIPAL[],30,FALSE)),"")</f>
        <v/>
      </c>
      <c r="K46" s="296" t="str">
        <f>IFERROR(IF(VLOOKUP($G46,BD_PRINCIPAL[],31,FALSE)=0,"",VLOOKUP($G46,BD_PRINCIPAL[],31,FALSE)),"")</f>
        <v/>
      </c>
      <c r="L46" s="296" t="str">
        <f>IFERROR(IF(VLOOKUP($G46,BD_PRINCIPAL[],32,FALSE)=0,"",VLOOKUP($G46,BD_PRINCIPAL[],32,FALSE)),"")</f>
        <v/>
      </c>
      <c r="M46" s="296" t="str">
        <f>IFERROR(IF(VLOOKUP($G46,BD_PRINCIPAL[],33,FALSE)=0,"",VLOOKUP($G46,BD_PRINCIPAL[],33,FALSE)),"")</f>
        <v/>
      </c>
      <c r="N46" s="296" t="str">
        <f>IFERROR(IF(VLOOKUP($G46,BD_PRINCIPAL[],34,FALSE)=0,"",VLOOKUP($G46,BD_PRINCIPAL[],34,FALSE)),"")</f>
        <v/>
      </c>
      <c r="O46" s="296" t="str">
        <f>IFERROR(IF(VLOOKUP($G46,BD_PRINCIPAL[],35,FALSE)=0,"",VLOOKUP($G46,BD_PRINCIPAL[],35,FALSE)),"")</f>
        <v/>
      </c>
      <c r="P46" s="296" t="str">
        <f>IFERROR(IF(VLOOKUP($G46,BD_PRINCIPAL[],36,FALSE)=0,"",VLOOKUP($G46,BD_PRINCIPAL[],36,FALSE)),"")</f>
        <v/>
      </c>
      <c r="Q46" s="296" t="str">
        <f>IFERROR(IF(VLOOKUP($G46,BD_PRINCIPAL[],37,FALSE)=0,"",VLOOKUP($G46,BD_PRINCIPAL[],37,FALSE)),"")</f>
        <v/>
      </c>
      <c r="R46" s="296" t="str">
        <f>IFERROR(IF(VLOOKUP($G46,BD_PRINCIPAL[],38,FALSE)=0,"",VLOOKUP($G46,BD_PRINCIPAL[],38,FALSE)),"")</f>
        <v/>
      </c>
      <c r="S46" s="296" t="str">
        <f>IFERROR(IF(VLOOKUP($G46,BD_PRINCIPAL[],39,FALSE)=0,"",VLOOKUP($G46,BD_PRINCIPAL[],39,FALSE)),"")</f>
        <v/>
      </c>
      <c r="T46" s="296" t="str">
        <f>IFERROR(IF(VLOOKUP($G46,BD_PRINCIPAL[],40,FALSE)=0,"",VLOOKUP($G46,BD_PRINCIPAL[],40,FALSE)),"")</f>
        <v/>
      </c>
      <c r="U46" s="296" t="str">
        <f>IFERROR(IF(VLOOKUP($G46,BD_PRINCIPAL[],41,FALSE)=0,"",VLOOKUP($G46,BD_PRINCIPAL[],41,FALSE)),"")</f>
        <v/>
      </c>
      <c r="V46" s="296" t="str">
        <f>IFERROR(IF(VLOOKUP($G46,BD_PRINCIPAL[],42,FALSE)=0,"",VLOOKUP($G46,BD_PRINCIPAL[],42,FALSE)),"")</f>
        <v/>
      </c>
      <c r="W46" s="296" t="str">
        <f>IFERROR(IF(VLOOKUP($G46,BD_PRINCIPAL[],43,FALSE)=0,"",VLOOKUP($G46,BD_PRINCIPAL[],43,FALSE)),"")</f>
        <v/>
      </c>
      <c r="X46" s="296" t="str">
        <f>IFERROR(IF(VLOOKUP($G46,BD_PRINCIPAL[],44,FALSE)=0,"",VLOOKUP($G46,BD_PRINCIPAL[],44,FALSE)),"")</f>
        <v/>
      </c>
      <c r="Y46" s="296" t="str">
        <f>IFERROR(IF(VLOOKUP($G46,BD_PRINCIPAL[],45,FALSE)=0,"",VLOOKUP($G46,BD_PRINCIPAL[],45,FALSE)),"")</f>
        <v/>
      </c>
      <c r="Z46" s="296" t="str">
        <f>IFERROR(IF(VLOOKUP($G46,BD_PRINCIPAL[],46,FALSE)=0,"",VLOOKUP($G46,BD_PRINCIPAL[],46,FALSE)),"")</f>
        <v/>
      </c>
      <c r="AA46" s="296" t="str">
        <f>IFERROR(IF(VLOOKUP($G46,BD_PRINCIPAL[],47,FALSE)=0,"",VLOOKUP($G46,BD_PRINCIPAL[],47,FALSE)),"")</f>
        <v/>
      </c>
      <c r="AB46" s="296" t="str">
        <f>IFERROR(IF(VLOOKUP($G46,BD_PRINCIPAL[],48,FALSE)=0,"",VLOOKUP($G46,BD_PRINCIPAL[],48,FALSE)),"")</f>
        <v/>
      </c>
      <c r="AC46" s="296" t="str">
        <f>IFERROR(IF(VLOOKUP($G46,BD_PRINCIPAL[],49,FALSE)=0,"",VLOOKUP($G46,BD_PRINCIPAL[],49,FALSE)),"")</f>
        <v/>
      </c>
      <c r="AD46" s="296" t="str">
        <f>IFERROR(IF(VLOOKUP($G46,BD_PRINCIPAL[],50,FALSE)=0,"",VLOOKUP($G46,BD_PRINCIPAL[],50,FALSE)),"")</f>
        <v/>
      </c>
      <c r="AE46" s="296" t="str">
        <f>IFERROR(IF(VLOOKUP($G46,BD_PRINCIPAL[],51,FALSE)=0,"",VLOOKUP($G46,BD_PRINCIPAL[],51,FALSE)),"")</f>
        <v/>
      </c>
      <c r="AF46" s="296" t="str">
        <f>IFERROR(IF(VLOOKUP($G46,BD_PRINCIPAL[],52,FALSE)=0,"",VLOOKUP($G46,BD_PRINCIPAL[],52,FALSE)),"")</f>
        <v/>
      </c>
      <c r="AG46" s="296" t="str">
        <f>IFERROR(IF(VLOOKUP($G46,BD_PRINCIPAL[],53,FALSE)=0,"",VLOOKUP($G46,BD_PRINCIPAL[],53,FALSE)),"")</f>
        <v/>
      </c>
      <c r="AH46" s="296" t="str">
        <f>IFERROR(IF(VLOOKUP($G46,BD_PRINCIPAL[],54,FALSE)=0,"",VLOOKUP($G46,BD_PRINCIPAL[],54,FALSE)),"")</f>
        <v/>
      </c>
      <c r="AI46" s="296" t="str">
        <f>IFERROR(IF(VLOOKUP($G46,BD_PRINCIPAL[],55,FALSE)=0,"",VLOOKUP($G46,BD_PRINCIPAL[],55,FALSE)),"")</f>
        <v/>
      </c>
      <c r="AJ46" s="296" t="str">
        <f>IFERROR(IF(VLOOKUP($G46,BD_PRINCIPAL[],56,FALSE)=0,"",VLOOKUP($G46,BD_PRINCIPAL[],56,FALSE)),"")</f>
        <v/>
      </c>
      <c r="AK46" s="296" t="str">
        <f>IFERROR(IF(VLOOKUP($G46,BD_PRINCIPAL[],57,FALSE)=0,"",VLOOKUP($G46,BD_PRINCIPAL[],57,FALSE)),"")</f>
        <v/>
      </c>
      <c r="AL46" s="296" t="str">
        <f>IFERROR(IF(VLOOKUP($G46,BD_PRINCIPAL[],58,FALSE)=0,"",VLOOKUP($G46,BD_PRINCIPAL[],58,FALSE)),"")</f>
        <v/>
      </c>
    </row>
    <row r="47" spans="2:38" x14ac:dyDescent="0.3">
      <c r="B47" s="289">
        <f t="shared" si="5"/>
        <v>0</v>
      </c>
      <c r="D47" s="296">
        <v>5</v>
      </c>
      <c r="E47" s="296" t="str">
        <f>IFERROR(VLOOKUP(G47,BD_PRINCIPAL[],7,FALSE),"")</f>
        <v/>
      </c>
      <c r="F47" s="297" t="str">
        <f>IFERROR(VLOOKUP(G47,BD_PRINCIPAL[],2,FALSE),"")</f>
        <v/>
      </c>
      <c r="G47" s="197"/>
      <c r="H47" s="296" t="str">
        <f>IFERROR(IF(VLOOKUP($G47,BD_PRINCIPAL[],28,FALSE)=0,"",VLOOKUP($G47,BD_PRINCIPAL[],28,FALSE)),"")</f>
        <v/>
      </c>
      <c r="I47" s="296" t="str">
        <f>IFERROR(IF(VLOOKUP($G47,BD_PRINCIPAL[],29,FALSE)=0,"",VLOOKUP($G47,BD_PRINCIPAL[],29,FALSE)),"")</f>
        <v/>
      </c>
      <c r="J47" s="296" t="str">
        <f>IFERROR(IF(VLOOKUP($G47,BD_PRINCIPAL[],30,FALSE)=0,"",VLOOKUP($G47,BD_PRINCIPAL[],30,FALSE)),"")</f>
        <v/>
      </c>
      <c r="K47" s="296" t="str">
        <f>IFERROR(IF(VLOOKUP($G47,BD_PRINCIPAL[],31,FALSE)=0,"",VLOOKUP($G47,BD_PRINCIPAL[],31,FALSE)),"")</f>
        <v/>
      </c>
      <c r="L47" s="296" t="str">
        <f>IFERROR(IF(VLOOKUP($G47,BD_PRINCIPAL[],32,FALSE)=0,"",VLOOKUP($G47,BD_PRINCIPAL[],32,FALSE)),"")</f>
        <v/>
      </c>
      <c r="M47" s="296" t="str">
        <f>IFERROR(IF(VLOOKUP($G47,BD_PRINCIPAL[],33,FALSE)=0,"",VLOOKUP($G47,BD_PRINCIPAL[],33,FALSE)),"")</f>
        <v/>
      </c>
      <c r="N47" s="296" t="str">
        <f>IFERROR(IF(VLOOKUP($G47,BD_PRINCIPAL[],34,FALSE)=0,"",VLOOKUP($G47,BD_PRINCIPAL[],34,FALSE)),"")</f>
        <v/>
      </c>
      <c r="O47" s="296" t="str">
        <f>IFERROR(IF(VLOOKUP($G47,BD_PRINCIPAL[],35,FALSE)=0,"",VLOOKUP($G47,BD_PRINCIPAL[],35,FALSE)),"")</f>
        <v/>
      </c>
      <c r="P47" s="296" t="str">
        <f>IFERROR(IF(VLOOKUP($G47,BD_PRINCIPAL[],36,FALSE)=0,"",VLOOKUP($G47,BD_PRINCIPAL[],36,FALSE)),"")</f>
        <v/>
      </c>
      <c r="Q47" s="296" t="str">
        <f>IFERROR(IF(VLOOKUP($G47,BD_PRINCIPAL[],37,FALSE)=0,"",VLOOKUP($G47,BD_PRINCIPAL[],37,FALSE)),"")</f>
        <v/>
      </c>
      <c r="R47" s="296" t="str">
        <f>IFERROR(IF(VLOOKUP($G47,BD_PRINCIPAL[],38,FALSE)=0,"",VLOOKUP($G47,BD_PRINCIPAL[],38,FALSE)),"")</f>
        <v/>
      </c>
      <c r="S47" s="296" t="str">
        <f>IFERROR(IF(VLOOKUP($G47,BD_PRINCIPAL[],39,FALSE)=0,"",VLOOKUP($G47,BD_PRINCIPAL[],39,FALSE)),"")</f>
        <v/>
      </c>
      <c r="T47" s="296" t="str">
        <f>IFERROR(IF(VLOOKUP($G47,BD_PRINCIPAL[],40,FALSE)=0,"",VLOOKUP($G47,BD_PRINCIPAL[],40,FALSE)),"")</f>
        <v/>
      </c>
      <c r="U47" s="296" t="str">
        <f>IFERROR(IF(VLOOKUP($G47,BD_PRINCIPAL[],41,FALSE)=0,"",VLOOKUP($G47,BD_PRINCIPAL[],41,FALSE)),"")</f>
        <v/>
      </c>
      <c r="V47" s="296" t="str">
        <f>IFERROR(IF(VLOOKUP($G47,BD_PRINCIPAL[],42,FALSE)=0,"",VLOOKUP($G47,BD_PRINCIPAL[],42,FALSE)),"")</f>
        <v/>
      </c>
      <c r="W47" s="296" t="str">
        <f>IFERROR(IF(VLOOKUP($G47,BD_PRINCIPAL[],43,FALSE)=0,"",VLOOKUP($G47,BD_PRINCIPAL[],43,FALSE)),"")</f>
        <v/>
      </c>
      <c r="X47" s="296" t="str">
        <f>IFERROR(IF(VLOOKUP($G47,BD_PRINCIPAL[],44,FALSE)=0,"",VLOOKUP($G47,BD_PRINCIPAL[],44,FALSE)),"")</f>
        <v/>
      </c>
      <c r="Y47" s="296" t="str">
        <f>IFERROR(IF(VLOOKUP($G47,BD_PRINCIPAL[],45,FALSE)=0,"",VLOOKUP($G47,BD_PRINCIPAL[],45,FALSE)),"")</f>
        <v/>
      </c>
      <c r="Z47" s="296" t="str">
        <f>IFERROR(IF(VLOOKUP($G47,BD_PRINCIPAL[],46,FALSE)=0,"",VLOOKUP($G47,BD_PRINCIPAL[],46,FALSE)),"")</f>
        <v/>
      </c>
      <c r="AA47" s="296" t="str">
        <f>IFERROR(IF(VLOOKUP($G47,BD_PRINCIPAL[],47,FALSE)=0,"",VLOOKUP($G47,BD_PRINCIPAL[],47,FALSE)),"")</f>
        <v/>
      </c>
      <c r="AB47" s="296" t="str">
        <f>IFERROR(IF(VLOOKUP($G47,BD_PRINCIPAL[],48,FALSE)=0,"",VLOOKUP($G47,BD_PRINCIPAL[],48,FALSE)),"")</f>
        <v/>
      </c>
      <c r="AC47" s="296" t="str">
        <f>IFERROR(IF(VLOOKUP($G47,BD_PRINCIPAL[],49,FALSE)=0,"",VLOOKUP($G47,BD_PRINCIPAL[],49,FALSE)),"")</f>
        <v/>
      </c>
      <c r="AD47" s="296" t="str">
        <f>IFERROR(IF(VLOOKUP($G47,BD_PRINCIPAL[],50,FALSE)=0,"",VLOOKUP($G47,BD_PRINCIPAL[],50,FALSE)),"")</f>
        <v/>
      </c>
      <c r="AE47" s="296" t="str">
        <f>IFERROR(IF(VLOOKUP($G47,BD_PRINCIPAL[],51,FALSE)=0,"",VLOOKUP($G47,BD_PRINCIPAL[],51,FALSE)),"")</f>
        <v/>
      </c>
      <c r="AF47" s="296" t="str">
        <f>IFERROR(IF(VLOOKUP($G47,BD_PRINCIPAL[],52,FALSE)=0,"",VLOOKUP($G47,BD_PRINCIPAL[],52,FALSE)),"")</f>
        <v/>
      </c>
      <c r="AG47" s="296" t="str">
        <f>IFERROR(IF(VLOOKUP($G47,BD_PRINCIPAL[],53,FALSE)=0,"",VLOOKUP($G47,BD_PRINCIPAL[],53,FALSE)),"")</f>
        <v/>
      </c>
      <c r="AH47" s="296" t="str">
        <f>IFERROR(IF(VLOOKUP($G47,BD_PRINCIPAL[],54,FALSE)=0,"",VLOOKUP($G47,BD_PRINCIPAL[],54,FALSE)),"")</f>
        <v/>
      </c>
      <c r="AI47" s="296" t="str">
        <f>IFERROR(IF(VLOOKUP($G47,BD_PRINCIPAL[],55,FALSE)=0,"",VLOOKUP($G47,BD_PRINCIPAL[],55,FALSE)),"")</f>
        <v/>
      </c>
      <c r="AJ47" s="296" t="str">
        <f>IFERROR(IF(VLOOKUP($G47,BD_PRINCIPAL[],56,FALSE)=0,"",VLOOKUP($G47,BD_PRINCIPAL[],56,FALSE)),"")</f>
        <v/>
      </c>
      <c r="AK47" s="296" t="str">
        <f>IFERROR(IF(VLOOKUP($G47,BD_PRINCIPAL[],57,FALSE)=0,"",VLOOKUP($G47,BD_PRINCIPAL[],57,FALSE)),"")</f>
        <v/>
      </c>
      <c r="AL47" s="296" t="str">
        <f>IFERROR(IF(VLOOKUP($G47,BD_PRINCIPAL[],58,FALSE)=0,"",VLOOKUP($G47,BD_PRINCIPAL[],58,FALSE)),"")</f>
        <v/>
      </c>
    </row>
    <row r="48" spans="2:38" x14ac:dyDescent="0.3">
      <c r="B48" s="289">
        <f t="shared" si="5"/>
        <v>0</v>
      </c>
      <c r="D48" s="296">
        <v>6</v>
      </c>
      <c r="E48" s="296" t="str">
        <f>IFERROR(VLOOKUP(G48,BD_PRINCIPAL[],7,FALSE),"")</f>
        <v/>
      </c>
      <c r="F48" s="297" t="str">
        <f>IFERROR(VLOOKUP(G48,BD_PRINCIPAL[],2,FALSE),"")</f>
        <v/>
      </c>
      <c r="G48" s="197"/>
      <c r="H48" s="296" t="str">
        <f>IFERROR(IF(VLOOKUP($G48,BD_PRINCIPAL[],28,FALSE)=0,"",VLOOKUP($G48,BD_PRINCIPAL[],28,FALSE)),"")</f>
        <v/>
      </c>
      <c r="I48" s="296" t="str">
        <f>IFERROR(IF(VLOOKUP($G48,BD_PRINCIPAL[],29,FALSE)=0,"",VLOOKUP($G48,BD_PRINCIPAL[],29,FALSE)),"")</f>
        <v/>
      </c>
      <c r="J48" s="296" t="str">
        <f>IFERROR(IF(VLOOKUP($G48,BD_PRINCIPAL[],30,FALSE)=0,"",VLOOKUP($G48,BD_PRINCIPAL[],30,FALSE)),"")</f>
        <v/>
      </c>
      <c r="K48" s="296" t="str">
        <f>IFERROR(IF(VLOOKUP($G48,BD_PRINCIPAL[],31,FALSE)=0,"",VLOOKUP($G48,BD_PRINCIPAL[],31,FALSE)),"")</f>
        <v/>
      </c>
      <c r="L48" s="296" t="str">
        <f>IFERROR(IF(VLOOKUP($G48,BD_PRINCIPAL[],32,FALSE)=0,"",VLOOKUP($G48,BD_PRINCIPAL[],32,FALSE)),"")</f>
        <v/>
      </c>
      <c r="M48" s="296" t="str">
        <f>IFERROR(IF(VLOOKUP($G48,BD_PRINCIPAL[],33,FALSE)=0,"",VLOOKUP($G48,BD_PRINCIPAL[],33,FALSE)),"")</f>
        <v/>
      </c>
      <c r="N48" s="296" t="str">
        <f>IFERROR(IF(VLOOKUP($G48,BD_PRINCIPAL[],34,FALSE)=0,"",VLOOKUP($G48,BD_PRINCIPAL[],34,FALSE)),"")</f>
        <v/>
      </c>
      <c r="O48" s="296" t="str">
        <f>IFERROR(IF(VLOOKUP($G48,BD_PRINCIPAL[],35,FALSE)=0,"",VLOOKUP($G48,BD_PRINCIPAL[],35,FALSE)),"")</f>
        <v/>
      </c>
      <c r="P48" s="296" t="str">
        <f>IFERROR(IF(VLOOKUP($G48,BD_PRINCIPAL[],36,FALSE)=0,"",VLOOKUP($G48,BD_PRINCIPAL[],36,FALSE)),"")</f>
        <v/>
      </c>
      <c r="Q48" s="296" t="str">
        <f>IFERROR(IF(VLOOKUP($G48,BD_PRINCIPAL[],37,FALSE)=0,"",VLOOKUP($G48,BD_PRINCIPAL[],37,FALSE)),"")</f>
        <v/>
      </c>
      <c r="R48" s="296" t="str">
        <f>IFERROR(IF(VLOOKUP($G48,BD_PRINCIPAL[],38,FALSE)=0,"",VLOOKUP($G48,BD_PRINCIPAL[],38,FALSE)),"")</f>
        <v/>
      </c>
      <c r="S48" s="296" t="str">
        <f>IFERROR(IF(VLOOKUP($G48,BD_PRINCIPAL[],39,FALSE)=0,"",VLOOKUP($G48,BD_PRINCIPAL[],39,FALSE)),"")</f>
        <v/>
      </c>
      <c r="T48" s="296" t="str">
        <f>IFERROR(IF(VLOOKUP($G48,BD_PRINCIPAL[],40,FALSE)=0,"",VLOOKUP($G48,BD_PRINCIPAL[],40,FALSE)),"")</f>
        <v/>
      </c>
      <c r="U48" s="296" t="str">
        <f>IFERROR(IF(VLOOKUP($G48,BD_PRINCIPAL[],41,FALSE)=0,"",VLOOKUP($G48,BD_PRINCIPAL[],41,FALSE)),"")</f>
        <v/>
      </c>
      <c r="V48" s="296" t="str">
        <f>IFERROR(IF(VLOOKUP($G48,BD_PRINCIPAL[],42,FALSE)=0,"",VLOOKUP($G48,BD_PRINCIPAL[],42,FALSE)),"")</f>
        <v/>
      </c>
      <c r="W48" s="296" t="str">
        <f>IFERROR(IF(VLOOKUP($G48,BD_PRINCIPAL[],43,FALSE)=0,"",VLOOKUP($G48,BD_PRINCIPAL[],43,FALSE)),"")</f>
        <v/>
      </c>
      <c r="X48" s="296" t="str">
        <f>IFERROR(IF(VLOOKUP($G48,BD_PRINCIPAL[],44,FALSE)=0,"",VLOOKUP($G48,BD_PRINCIPAL[],44,FALSE)),"")</f>
        <v/>
      </c>
      <c r="Y48" s="296" t="str">
        <f>IFERROR(IF(VLOOKUP($G48,BD_PRINCIPAL[],45,FALSE)=0,"",VLOOKUP($G48,BD_PRINCIPAL[],45,FALSE)),"")</f>
        <v/>
      </c>
      <c r="Z48" s="296" t="str">
        <f>IFERROR(IF(VLOOKUP($G48,BD_PRINCIPAL[],46,FALSE)=0,"",VLOOKUP($G48,BD_PRINCIPAL[],46,FALSE)),"")</f>
        <v/>
      </c>
      <c r="AA48" s="296" t="str">
        <f>IFERROR(IF(VLOOKUP($G48,BD_PRINCIPAL[],47,FALSE)=0,"",VLOOKUP($G48,BD_PRINCIPAL[],47,FALSE)),"")</f>
        <v/>
      </c>
      <c r="AB48" s="296" t="str">
        <f>IFERROR(IF(VLOOKUP($G48,BD_PRINCIPAL[],48,FALSE)=0,"",VLOOKUP($G48,BD_PRINCIPAL[],48,FALSE)),"")</f>
        <v/>
      </c>
      <c r="AC48" s="296" t="str">
        <f>IFERROR(IF(VLOOKUP($G48,BD_PRINCIPAL[],49,FALSE)=0,"",VLOOKUP($G48,BD_PRINCIPAL[],49,FALSE)),"")</f>
        <v/>
      </c>
      <c r="AD48" s="296" t="str">
        <f>IFERROR(IF(VLOOKUP($G48,BD_PRINCIPAL[],50,FALSE)=0,"",VLOOKUP($G48,BD_PRINCIPAL[],50,FALSE)),"")</f>
        <v/>
      </c>
      <c r="AE48" s="296" t="str">
        <f>IFERROR(IF(VLOOKUP($G48,BD_PRINCIPAL[],51,FALSE)=0,"",VLOOKUP($G48,BD_PRINCIPAL[],51,FALSE)),"")</f>
        <v/>
      </c>
      <c r="AF48" s="296" t="str">
        <f>IFERROR(IF(VLOOKUP($G48,BD_PRINCIPAL[],52,FALSE)=0,"",VLOOKUP($G48,BD_PRINCIPAL[],52,FALSE)),"")</f>
        <v/>
      </c>
      <c r="AG48" s="296" t="str">
        <f>IFERROR(IF(VLOOKUP($G48,BD_PRINCIPAL[],53,FALSE)=0,"",VLOOKUP($G48,BD_PRINCIPAL[],53,FALSE)),"")</f>
        <v/>
      </c>
      <c r="AH48" s="296" t="str">
        <f>IFERROR(IF(VLOOKUP($G48,BD_PRINCIPAL[],54,FALSE)=0,"",VLOOKUP($G48,BD_PRINCIPAL[],54,FALSE)),"")</f>
        <v/>
      </c>
      <c r="AI48" s="296" t="str">
        <f>IFERROR(IF(VLOOKUP($G48,BD_PRINCIPAL[],55,FALSE)=0,"",VLOOKUP($G48,BD_PRINCIPAL[],55,FALSE)),"")</f>
        <v/>
      </c>
      <c r="AJ48" s="296" t="str">
        <f>IFERROR(IF(VLOOKUP($G48,BD_PRINCIPAL[],56,FALSE)=0,"",VLOOKUP($G48,BD_PRINCIPAL[],56,FALSE)),"")</f>
        <v/>
      </c>
      <c r="AK48" s="296" t="str">
        <f>IFERROR(IF(VLOOKUP($G48,BD_PRINCIPAL[],57,FALSE)=0,"",VLOOKUP($G48,BD_PRINCIPAL[],57,FALSE)),"")</f>
        <v/>
      </c>
      <c r="AL48" s="296" t="str">
        <f>IFERROR(IF(VLOOKUP($G48,BD_PRINCIPAL[],58,FALSE)=0,"",VLOOKUP($G48,BD_PRINCIPAL[],58,FALSE)),"")</f>
        <v/>
      </c>
    </row>
    <row r="49" spans="2:38" x14ac:dyDescent="0.3">
      <c r="B49" s="289">
        <f t="shared" si="5"/>
        <v>0</v>
      </c>
      <c r="D49" s="296">
        <v>7</v>
      </c>
      <c r="E49" s="296" t="str">
        <f>IFERROR(VLOOKUP(G49,BD_PRINCIPAL[],7,FALSE),"")</f>
        <v/>
      </c>
      <c r="F49" s="297" t="str">
        <f>IFERROR(VLOOKUP(G49,BD_PRINCIPAL[],2,FALSE),"")</f>
        <v/>
      </c>
      <c r="G49" s="197"/>
      <c r="H49" s="296" t="str">
        <f>IFERROR(IF(VLOOKUP($G49,BD_PRINCIPAL[],28,FALSE)=0,"",VLOOKUP($G49,BD_PRINCIPAL[],28,FALSE)),"")</f>
        <v/>
      </c>
      <c r="I49" s="296" t="str">
        <f>IFERROR(IF(VLOOKUP($G49,BD_PRINCIPAL[],29,FALSE)=0,"",VLOOKUP($G49,BD_PRINCIPAL[],29,FALSE)),"")</f>
        <v/>
      </c>
      <c r="J49" s="296" t="str">
        <f>IFERROR(IF(VLOOKUP($G49,BD_PRINCIPAL[],30,FALSE)=0,"",VLOOKUP($G49,BD_PRINCIPAL[],30,FALSE)),"")</f>
        <v/>
      </c>
      <c r="K49" s="296" t="str">
        <f>IFERROR(IF(VLOOKUP($G49,BD_PRINCIPAL[],31,FALSE)=0,"",VLOOKUP($G49,BD_PRINCIPAL[],31,FALSE)),"")</f>
        <v/>
      </c>
      <c r="L49" s="296" t="str">
        <f>IFERROR(IF(VLOOKUP($G49,BD_PRINCIPAL[],32,FALSE)=0,"",VLOOKUP($G49,BD_PRINCIPAL[],32,FALSE)),"")</f>
        <v/>
      </c>
      <c r="M49" s="296" t="str">
        <f>IFERROR(IF(VLOOKUP($G49,BD_PRINCIPAL[],33,FALSE)=0,"",VLOOKUP($G49,BD_PRINCIPAL[],33,FALSE)),"")</f>
        <v/>
      </c>
      <c r="N49" s="296" t="str">
        <f>IFERROR(IF(VLOOKUP($G49,BD_PRINCIPAL[],34,FALSE)=0,"",VLOOKUP($G49,BD_PRINCIPAL[],34,FALSE)),"")</f>
        <v/>
      </c>
      <c r="O49" s="296" t="str">
        <f>IFERROR(IF(VLOOKUP($G49,BD_PRINCIPAL[],35,FALSE)=0,"",VLOOKUP($G49,BD_PRINCIPAL[],35,FALSE)),"")</f>
        <v/>
      </c>
      <c r="P49" s="296" t="str">
        <f>IFERROR(IF(VLOOKUP($G49,BD_PRINCIPAL[],36,FALSE)=0,"",VLOOKUP($G49,BD_PRINCIPAL[],36,FALSE)),"")</f>
        <v/>
      </c>
      <c r="Q49" s="296" t="str">
        <f>IFERROR(IF(VLOOKUP($G49,BD_PRINCIPAL[],37,FALSE)=0,"",VLOOKUP($G49,BD_PRINCIPAL[],37,FALSE)),"")</f>
        <v/>
      </c>
      <c r="R49" s="296" t="str">
        <f>IFERROR(IF(VLOOKUP($G49,BD_PRINCIPAL[],38,FALSE)=0,"",VLOOKUP($G49,BD_PRINCIPAL[],38,FALSE)),"")</f>
        <v/>
      </c>
      <c r="S49" s="296" t="str">
        <f>IFERROR(IF(VLOOKUP($G49,BD_PRINCIPAL[],39,FALSE)=0,"",VLOOKUP($G49,BD_PRINCIPAL[],39,FALSE)),"")</f>
        <v/>
      </c>
      <c r="T49" s="296" t="str">
        <f>IFERROR(IF(VLOOKUP($G49,BD_PRINCIPAL[],40,FALSE)=0,"",VLOOKUP($G49,BD_PRINCIPAL[],40,FALSE)),"")</f>
        <v/>
      </c>
      <c r="U49" s="296" t="str">
        <f>IFERROR(IF(VLOOKUP($G49,BD_PRINCIPAL[],41,FALSE)=0,"",VLOOKUP($G49,BD_PRINCIPAL[],41,FALSE)),"")</f>
        <v/>
      </c>
      <c r="V49" s="296" t="str">
        <f>IFERROR(IF(VLOOKUP($G49,BD_PRINCIPAL[],42,FALSE)=0,"",VLOOKUP($G49,BD_PRINCIPAL[],42,FALSE)),"")</f>
        <v/>
      </c>
      <c r="W49" s="296" t="str">
        <f>IFERROR(IF(VLOOKUP($G49,BD_PRINCIPAL[],43,FALSE)=0,"",VLOOKUP($G49,BD_PRINCIPAL[],43,FALSE)),"")</f>
        <v/>
      </c>
      <c r="X49" s="296" t="str">
        <f>IFERROR(IF(VLOOKUP($G49,BD_PRINCIPAL[],44,FALSE)=0,"",VLOOKUP($G49,BD_PRINCIPAL[],44,FALSE)),"")</f>
        <v/>
      </c>
      <c r="Y49" s="296" t="str">
        <f>IFERROR(IF(VLOOKUP($G49,BD_PRINCIPAL[],45,FALSE)=0,"",VLOOKUP($G49,BD_PRINCIPAL[],45,FALSE)),"")</f>
        <v/>
      </c>
      <c r="Z49" s="296" t="str">
        <f>IFERROR(IF(VLOOKUP($G49,BD_PRINCIPAL[],46,FALSE)=0,"",VLOOKUP($G49,BD_PRINCIPAL[],46,FALSE)),"")</f>
        <v/>
      </c>
      <c r="AA49" s="296" t="str">
        <f>IFERROR(IF(VLOOKUP($G49,BD_PRINCIPAL[],47,FALSE)=0,"",VLOOKUP($G49,BD_PRINCIPAL[],47,FALSE)),"")</f>
        <v/>
      </c>
      <c r="AB49" s="296" t="str">
        <f>IFERROR(IF(VLOOKUP($G49,BD_PRINCIPAL[],48,FALSE)=0,"",VLOOKUP($G49,BD_PRINCIPAL[],48,FALSE)),"")</f>
        <v/>
      </c>
      <c r="AC49" s="296" t="str">
        <f>IFERROR(IF(VLOOKUP($G49,BD_PRINCIPAL[],49,FALSE)=0,"",VLOOKUP($G49,BD_PRINCIPAL[],49,FALSE)),"")</f>
        <v/>
      </c>
      <c r="AD49" s="296" t="str">
        <f>IFERROR(IF(VLOOKUP($G49,BD_PRINCIPAL[],50,FALSE)=0,"",VLOOKUP($G49,BD_PRINCIPAL[],50,FALSE)),"")</f>
        <v/>
      </c>
      <c r="AE49" s="296" t="str">
        <f>IFERROR(IF(VLOOKUP($G49,BD_PRINCIPAL[],51,FALSE)=0,"",VLOOKUP($G49,BD_PRINCIPAL[],51,FALSE)),"")</f>
        <v/>
      </c>
      <c r="AF49" s="296" t="str">
        <f>IFERROR(IF(VLOOKUP($G49,BD_PRINCIPAL[],52,FALSE)=0,"",VLOOKUP($G49,BD_PRINCIPAL[],52,FALSE)),"")</f>
        <v/>
      </c>
      <c r="AG49" s="296" t="str">
        <f>IFERROR(IF(VLOOKUP($G49,BD_PRINCIPAL[],53,FALSE)=0,"",VLOOKUP($G49,BD_PRINCIPAL[],53,FALSE)),"")</f>
        <v/>
      </c>
      <c r="AH49" s="296" t="str">
        <f>IFERROR(IF(VLOOKUP($G49,BD_PRINCIPAL[],54,FALSE)=0,"",VLOOKUP($G49,BD_PRINCIPAL[],54,FALSE)),"")</f>
        <v/>
      </c>
      <c r="AI49" s="296" t="str">
        <f>IFERROR(IF(VLOOKUP($G49,BD_PRINCIPAL[],55,FALSE)=0,"",VLOOKUP($G49,BD_PRINCIPAL[],55,FALSE)),"")</f>
        <v/>
      </c>
      <c r="AJ49" s="296" t="str">
        <f>IFERROR(IF(VLOOKUP($G49,BD_PRINCIPAL[],56,FALSE)=0,"",VLOOKUP($G49,BD_PRINCIPAL[],56,FALSE)),"")</f>
        <v/>
      </c>
      <c r="AK49" s="296" t="str">
        <f>IFERROR(IF(VLOOKUP($G49,BD_PRINCIPAL[],57,FALSE)=0,"",VLOOKUP($G49,BD_PRINCIPAL[],57,FALSE)),"")</f>
        <v/>
      </c>
      <c r="AL49" s="296" t="str">
        <f>IFERROR(IF(VLOOKUP($G49,BD_PRINCIPAL[],58,FALSE)=0,"",VLOOKUP($G49,BD_PRINCIPAL[],58,FALSE)),"")</f>
        <v/>
      </c>
    </row>
    <row r="50" spans="2:38" x14ac:dyDescent="0.3">
      <c r="B50" s="289">
        <f t="shared" si="5"/>
        <v>0</v>
      </c>
      <c r="D50" s="296">
        <v>8</v>
      </c>
      <c r="E50" s="296" t="str">
        <f>IFERROR(VLOOKUP(G50,BD_PRINCIPAL[],7,FALSE),"")</f>
        <v/>
      </c>
      <c r="F50" s="297" t="str">
        <f>IFERROR(VLOOKUP(G50,BD_PRINCIPAL[],2,FALSE),"")</f>
        <v/>
      </c>
      <c r="G50" s="914"/>
      <c r="H50" s="296" t="str">
        <f>IFERROR(IF(VLOOKUP($G50,BD_PRINCIPAL[],28,FALSE)=0,"",VLOOKUP($G50,BD_PRINCIPAL[],28,FALSE)),"")</f>
        <v/>
      </c>
      <c r="I50" s="296" t="str">
        <f>IFERROR(IF(VLOOKUP($G50,BD_PRINCIPAL[],29,FALSE)=0,"",VLOOKUP($G50,BD_PRINCIPAL[],29,FALSE)),"")</f>
        <v/>
      </c>
      <c r="J50" s="296" t="str">
        <f>IFERROR(IF(VLOOKUP($G50,BD_PRINCIPAL[],30,FALSE)=0,"",VLOOKUP($G50,BD_PRINCIPAL[],30,FALSE)),"")</f>
        <v/>
      </c>
      <c r="K50" s="296" t="str">
        <f>IFERROR(IF(VLOOKUP($G50,BD_PRINCIPAL[],31,FALSE)=0,"",VLOOKUP($G50,BD_PRINCIPAL[],31,FALSE)),"")</f>
        <v/>
      </c>
      <c r="L50" s="296" t="str">
        <f>IFERROR(IF(VLOOKUP($G50,BD_PRINCIPAL[],32,FALSE)=0,"",VLOOKUP($G50,BD_PRINCIPAL[],32,FALSE)),"")</f>
        <v/>
      </c>
      <c r="M50" s="296" t="str">
        <f>IFERROR(IF(VLOOKUP($G50,BD_PRINCIPAL[],33,FALSE)=0,"",VLOOKUP($G50,BD_PRINCIPAL[],33,FALSE)),"")</f>
        <v/>
      </c>
      <c r="N50" s="296" t="str">
        <f>IFERROR(IF(VLOOKUP($G50,BD_PRINCIPAL[],34,FALSE)=0,"",VLOOKUP($G50,BD_PRINCIPAL[],34,FALSE)),"")</f>
        <v/>
      </c>
      <c r="O50" s="296" t="str">
        <f>IFERROR(IF(VLOOKUP($G50,BD_PRINCIPAL[],35,FALSE)=0,"",VLOOKUP($G50,BD_PRINCIPAL[],35,FALSE)),"")</f>
        <v/>
      </c>
      <c r="P50" s="296" t="str">
        <f>IFERROR(IF(VLOOKUP($G50,BD_PRINCIPAL[],36,FALSE)=0,"",VLOOKUP($G50,BD_PRINCIPAL[],36,FALSE)),"")</f>
        <v/>
      </c>
      <c r="Q50" s="296" t="str">
        <f>IFERROR(IF(VLOOKUP($G50,BD_PRINCIPAL[],37,FALSE)=0,"",VLOOKUP($G50,BD_PRINCIPAL[],37,FALSE)),"")</f>
        <v/>
      </c>
      <c r="R50" s="296" t="str">
        <f>IFERROR(IF(VLOOKUP($G50,BD_PRINCIPAL[],38,FALSE)=0,"",VLOOKUP($G50,BD_PRINCIPAL[],38,FALSE)),"")</f>
        <v/>
      </c>
      <c r="S50" s="296" t="str">
        <f>IFERROR(IF(VLOOKUP($G50,BD_PRINCIPAL[],39,FALSE)=0,"",VLOOKUP($G50,BD_PRINCIPAL[],39,FALSE)),"")</f>
        <v/>
      </c>
      <c r="T50" s="296" t="str">
        <f>IFERROR(IF(VLOOKUP($G50,BD_PRINCIPAL[],40,FALSE)=0,"",VLOOKUP($G50,BD_PRINCIPAL[],40,FALSE)),"")</f>
        <v/>
      </c>
      <c r="U50" s="296" t="str">
        <f>IFERROR(IF(VLOOKUP($G50,BD_PRINCIPAL[],41,FALSE)=0,"",VLOOKUP($G50,BD_PRINCIPAL[],41,FALSE)),"")</f>
        <v/>
      </c>
      <c r="V50" s="296" t="str">
        <f>IFERROR(IF(VLOOKUP($G50,BD_PRINCIPAL[],42,FALSE)=0,"",VLOOKUP($G50,BD_PRINCIPAL[],42,FALSE)),"")</f>
        <v/>
      </c>
      <c r="W50" s="296" t="str">
        <f>IFERROR(IF(VLOOKUP($G50,BD_PRINCIPAL[],43,FALSE)=0,"",VLOOKUP($G50,BD_PRINCIPAL[],43,FALSE)),"")</f>
        <v/>
      </c>
      <c r="X50" s="296" t="str">
        <f>IFERROR(IF(VLOOKUP($G50,BD_PRINCIPAL[],44,FALSE)=0,"",VLOOKUP($G50,BD_PRINCIPAL[],44,FALSE)),"")</f>
        <v/>
      </c>
      <c r="Y50" s="296" t="str">
        <f>IFERROR(IF(VLOOKUP($G50,BD_PRINCIPAL[],45,FALSE)=0,"",VLOOKUP($G50,BD_PRINCIPAL[],45,FALSE)),"")</f>
        <v/>
      </c>
      <c r="Z50" s="296" t="str">
        <f>IFERROR(IF(VLOOKUP($G50,BD_PRINCIPAL[],46,FALSE)=0,"",VLOOKUP($G50,BD_PRINCIPAL[],46,FALSE)),"")</f>
        <v/>
      </c>
      <c r="AA50" s="296" t="str">
        <f>IFERROR(IF(VLOOKUP($G50,BD_PRINCIPAL[],47,FALSE)=0,"",VLOOKUP($G50,BD_PRINCIPAL[],47,FALSE)),"")</f>
        <v/>
      </c>
      <c r="AB50" s="296" t="str">
        <f>IFERROR(IF(VLOOKUP($G50,BD_PRINCIPAL[],48,FALSE)=0,"",VLOOKUP($G50,BD_PRINCIPAL[],48,FALSE)),"")</f>
        <v/>
      </c>
      <c r="AC50" s="296" t="str">
        <f>IFERROR(IF(VLOOKUP($G50,BD_PRINCIPAL[],49,FALSE)=0,"",VLOOKUP($G50,BD_PRINCIPAL[],49,FALSE)),"")</f>
        <v/>
      </c>
      <c r="AD50" s="296" t="str">
        <f>IFERROR(IF(VLOOKUP($G50,BD_PRINCIPAL[],50,FALSE)=0,"",VLOOKUP($G50,BD_PRINCIPAL[],50,FALSE)),"")</f>
        <v/>
      </c>
      <c r="AE50" s="296" t="str">
        <f>IFERROR(IF(VLOOKUP($G50,BD_PRINCIPAL[],51,FALSE)=0,"",VLOOKUP($G50,BD_PRINCIPAL[],51,FALSE)),"")</f>
        <v/>
      </c>
      <c r="AF50" s="296" t="str">
        <f>IFERROR(IF(VLOOKUP($G50,BD_PRINCIPAL[],52,FALSE)=0,"",VLOOKUP($G50,BD_PRINCIPAL[],52,FALSE)),"")</f>
        <v/>
      </c>
      <c r="AG50" s="296" t="str">
        <f>IFERROR(IF(VLOOKUP($G50,BD_PRINCIPAL[],53,FALSE)=0,"",VLOOKUP($G50,BD_PRINCIPAL[],53,FALSE)),"")</f>
        <v/>
      </c>
      <c r="AH50" s="296" t="str">
        <f>IFERROR(IF(VLOOKUP($G50,BD_PRINCIPAL[],54,FALSE)=0,"",VLOOKUP($G50,BD_PRINCIPAL[],54,FALSE)),"")</f>
        <v/>
      </c>
      <c r="AI50" s="296" t="str">
        <f>IFERROR(IF(VLOOKUP($G50,BD_PRINCIPAL[],55,FALSE)=0,"",VLOOKUP($G50,BD_PRINCIPAL[],55,FALSE)),"")</f>
        <v/>
      </c>
      <c r="AJ50" s="296" t="str">
        <f>IFERROR(IF(VLOOKUP($G50,BD_PRINCIPAL[],56,FALSE)=0,"",VLOOKUP($G50,BD_PRINCIPAL[],56,FALSE)),"")</f>
        <v/>
      </c>
      <c r="AK50" s="296" t="str">
        <f>IFERROR(IF(VLOOKUP($G50,BD_PRINCIPAL[],57,FALSE)=0,"",VLOOKUP($G50,BD_PRINCIPAL[],57,FALSE)),"")</f>
        <v/>
      </c>
      <c r="AL50" s="296" t="str">
        <f>IFERROR(IF(VLOOKUP($G50,BD_PRINCIPAL[],58,FALSE)=0,"",VLOOKUP($G50,BD_PRINCIPAL[],58,FALSE)),"")</f>
        <v/>
      </c>
    </row>
    <row r="51" spans="2:38" x14ac:dyDescent="0.3">
      <c r="B51" s="289">
        <f t="shared" si="5"/>
        <v>0</v>
      </c>
      <c r="D51" s="296">
        <v>9</v>
      </c>
      <c r="E51" s="296" t="str">
        <f>IFERROR(VLOOKUP(G51,BD_PRINCIPAL[],7,FALSE),"")</f>
        <v/>
      </c>
      <c r="F51" s="297" t="str">
        <f>IFERROR(VLOOKUP(G51,BD_PRINCIPAL[],2,FALSE),"")</f>
        <v/>
      </c>
      <c r="G51" s="914"/>
      <c r="H51" s="296" t="str">
        <f>IFERROR(IF(VLOOKUP($G51,BD_PRINCIPAL[],28,FALSE)=0,"",VLOOKUP($G51,BD_PRINCIPAL[],28,FALSE)),"")</f>
        <v/>
      </c>
      <c r="I51" s="296" t="str">
        <f>IFERROR(IF(VLOOKUP($G51,BD_PRINCIPAL[],29,FALSE)=0,"",VLOOKUP($G51,BD_PRINCIPAL[],29,FALSE)),"")</f>
        <v/>
      </c>
      <c r="J51" s="296" t="str">
        <f>IFERROR(IF(VLOOKUP($G51,BD_PRINCIPAL[],30,FALSE)=0,"",VLOOKUP($G51,BD_PRINCIPAL[],30,FALSE)),"")</f>
        <v/>
      </c>
      <c r="K51" s="296" t="str">
        <f>IFERROR(IF(VLOOKUP($G51,BD_PRINCIPAL[],31,FALSE)=0,"",VLOOKUP($G51,BD_PRINCIPAL[],31,FALSE)),"")</f>
        <v/>
      </c>
      <c r="L51" s="296" t="str">
        <f>IFERROR(IF(VLOOKUP($G51,BD_PRINCIPAL[],32,FALSE)=0,"",VLOOKUP($G51,BD_PRINCIPAL[],32,FALSE)),"")</f>
        <v/>
      </c>
      <c r="M51" s="296" t="str">
        <f>IFERROR(IF(VLOOKUP($G51,BD_PRINCIPAL[],33,FALSE)=0,"",VLOOKUP($G51,BD_PRINCIPAL[],33,FALSE)),"")</f>
        <v/>
      </c>
      <c r="N51" s="296" t="str">
        <f>IFERROR(IF(VLOOKUP($G51,BD_PRINCIPAL[],34,FALSE)=0,"",VLOOKUP($G51,BD_PRINCIPAL[],34,FALSE)),"")</f>
        <v/>
      </c>
      <c r="O51" s="296" t="str">
        <f>IFERROR(IF(VLOOKUP($G51,BD_PRINCIPAL[],35,FALSE)=0,"",VLOOKUP($G51,BD_PRINCIPAL[],35,FALSE)),"")</f>
        <v/>
      </c>
      <c r="P51" s="296" t="str">
        <f>IFERROR(IF(VLOOKUP($G51,BD_PRINCIPAL[],36,FALSE)=0,"",VLOOKUP($G51,BD_PRINCIPAL[],36,FALSE)),"")</f>
        <v/>
      </c>
      <c r="Q51" s="296" t="str">
        <f>IFERROR(IF(VLOOKUP($G51,BD_PRINCIPAL[],37,FALSE)=0,"",VLOOKUP($G51,BD_PRINCIPAL[],37,FALSE)),"")</f>
        <v/>
      </c>
      <c r="R51" s="296" t="str">
        <f>IFERROR(IF(VLOOKUP($G51,BD_PRINCIPAL[],38,FALSE)=0,"",VLOOKUP($G51,BD_PRINCIPAL[],38,FALSE)),"")</f>
        <v/>
      </c>
      <c r="S51" s="296" t="str">
        <f>IFERROR(IF(VLOOKUP($G51,BD_PRINCIPAL[],39,FALSE)=0,"",VLOOKUP($G51,BD_PRINCIPAL[],39,FALSE)),"")</f>
        <v/>
      </c>
      <c r="T51" s="296" t="str">
        <f>IFERROR(IF(VLOOKUP($G51,BD_PRINCIPAL[],40,FALSE)=0,"",VLOOKUP($G51,BD_PRINCIPAL[],40,FALSE)),"")</f>
        <v/>
      </c>
      <c r="U51" s="296" t="str">
        <f>IFERROR(IF(VLOOKUP($G51,BD_PRINCIPAL[],41,FALSE)=0,"",VLOOKUP($G51,BD_PRINCIPAL[],41,FALSE)),"")</f>
        <v/>
      </c>
      <c r="V51" s="296" t="str">
        <f>IFERROR(IF(VLOOKUP($G51,BD_PRINCIPAL[],42,FALSE)=0,"",VLOOKUP($G51,BD_PRINCIPAL[],42,FALSE)),"")</f>
        <v/>
      </c>
      <c r="W51" s="296" t="str">
        <f>IFERROR(IF(VLOOKUP($G51,BD_PRINCIPAL[],43,FALSE)=0,"",VLOOKUP($G51,BD_PRINCIPAL[],43,FALSE)),"")</f>
        <v/>
      </c>
      <c r="X51" s="296" t="str">
        <f>IFERROR(IF(VLOOKUP($G51,BD_PRINCIPAL[],44,FALSE)=0,"",VLOOKUP($G51,BD_PRINCIPAL[],44,FALSE)),"")</f>
        <v/>
      </c>
      <c r="Y51" s="296" t="str">
        <f>IFERROR(IF(VLOOKUP($G51,BD_PRINCIPAL[],45,FALSE)=0,"",VLOOKUP($G51,BD_PRINCIPAL[],45,FALSE)),"")</f>
        <v/>
      </c>
      <c r="Z51" s="296" t="str">
        <f>IFERROR(IF(VLOOKUP($G51,BD_PRINCIPAL[],46,FALSE)=0,"",VLOOKUP($G51,BD_PRINCIPAL[],46,FALSE)),"")</f>
        <v/>
      </c>
      <c r="AA51" s="296" t="str">
        <f>IFERROR(IF(VLOOKUP($G51,BD_PRINCIPAL[],47,FALSE)=0,"",VLOOKUP($G51,BD_PRINCIPAL[],47,FALSE)),"")</f>
        <v/>
      </c>
      <c r="AB51" s="296" t="str">
        <f>IFERROR(IF(VLOOKUP($G51,BD_PRINCIPAL[],48,FALSE)=0,"",VLOOKUP($G51,BD_PRINCIPAL[],48,FALSE)),"")</f>
        <v/>
      </c>
      <c r="AC51" s="296" t="str">
        <f>IFERROR(IF(VLOOKUP($G51,BD_PRINCIPAL[],49,FALSE)=0,"",VLOOKUP($G51,BD_PRINCIPAL[],49,FALSE)),"")</f>
        <v/>
      </c>
      <c r="AD51" s="296" t="str">
        <f>IFERROR(IF(VLOOKUP($G51,BD_PRINCIPAL[],50,FALSE)=0,"",VLOOKUP($G51,BD_PRINCIPAL[],50,FALSE)),"")</f>
        <v/>
      </c>
      <c r="AE51" s="296" t="str">
        <f>IFERROR(IF(VLOOKUP($G51,BD_PRINCIPAL[],51,FALSE)=0,"",VLOOKUP($G51,BD_PRINCIPAL[],51,FALSE)),"")</f>
        <v/>
      </c>
      <c r="AF51" s="296" t="str">
        <f>IFERROR(IF(VLOOKUP($G51,BD_PRINCIPAL[],52,FALSE)=0,"",VLOOKUP($G51,BD_PRINCIPAL[],52,FALSE)),"")</f>
        <v/>
      </c>
      <c r="AG51" s="296" t="str">
        <f>IFERROR(IF(VLOOKUP($G51,BD_PRINCIPAL[],53,FALSE)=0,"",VLOOKUP($G51,BD_PRINCIPAL[],53,FALSE)),"")</f>
        <v/>
      </c>
      <c r="AH51" s="296" t="str">
        <f>IFERROR(IF(VLOOKUP($G51,BD_PRINCIPAL[],54,FALSE)=0,"",VLOOKUP($G51,BD_PRINCIPAL[],54,FALSE)),"")</f>
        <v/>
      </c>
      <c r="AI51" s="296" t="str">
        <f>IFERROR(IF(VLOOKUP($G51,BD_PRINCIPAL[],55,FALSE)=0,"",VLOOKUP($G51,BD_PRINCIPAL[],55,FALSE)),"")</f>
        <v/>
      </c>
      <c r="AJ51" s="296" t="str">
        <f>IFERROR(IF(VLOOKUP($G51,BD_PRINCIPAL[],56,FALSE)=0,"",VLOOKUP($G51,BD_PRINCIPAL[],56,FALSE)),"")</f>
        <v/>
      </c>
      <c r="AK51" s="296" t="str">
        <f>IFERROR(IF(VLOOKUP($G51,BD_PRINCIPAL[],57,FALSE)=0,"",VLOOKUP($G51,BD_PRINCIPAL[],57,FALSE)),"")</f>
        <v/>
      </c>
      <c r="AL51" s="296" t="str">
        <f>IFERROR(IF(VLOOKUP($G51,BD_PRINCIPAL[],58,FALSE)=0,"",VLOOKUP($G51,BD_PRINCIPAL[],58,FALSE)),"")</f>
        <v/>
      </c>
    </row>
    <row r="52" spans="2:38" x14ac:dyDescent="0.3">
      <c r="B52" s="289">
        <f t="shared" si="5"/>
        <v>0</v>
      </c>
      <c r="D52" s="296">
        <v>10</v>
      </c>
      <c r="E52" s="296" t="str">
        <f>IFERROR(VLOOKUP(G52,BD_PRINCIPAL[],7,FALSE),"")</f>
        <v/>
      </c>
      <c r="F52" s="297" t="str">
        <f>IFERROR(VLOOKUP(G52,BD_PRINCIPAL[],2,FALSE),"")</f>
        <v/>
      </c>
      <c r="G52" s="914"/>
      <c r="H52" s="296" t="str">
        <f>IFERROR(IF(VLOOKUP($G52,BD_PRINCIPAL[],28,FALSE)=0,"",VLOOKUP($G52,BD_PRINCIPAL[],28,FALSE)),"")</f>
        <v/>
      </c>
      <c r="I52" s="296" t="str">
        <f>IFERROR(IF(VLOOKUP($G52,BD_PRINCIPAL[],29,FALSE)=0,"",VLOOKUP($G52,BD_PRINCIPAL[],29,FALSE)),"")</f>
        <v/>
      </c>
      <c r="J52" s="296" t="str">
        <f>IFERROR(IF(VLOOKUP($G52,BD_PRINCIPAL[],30,FALSE)=0,"",VLOOKUP($G52,BD_PRINCIPAL[],30,FALSE)),"")</f>
        <v/>
      </c>
      <c r="K52" s="296" t="str">
        <f>IFERROR(IF(VLOOKUP($G52,BD_PRINCIPAL[],31,FALSE)=0,"",VLOOKUP($G52,BD_PRINCIPAL[],31,FALSE)),"")</f>
        <v/>
      </c>
      <c r="L52" s="296" t="str">
        <f>IFERROR(IF(VLOOKUP($G52,BD_PRINCIPAL[],32,FALSE)=0,"",VLOOKUP($G52,BD_PRINCIPAL[],32,FALSE)),"")</f>
        <v/>
      </c>
      <c r="M52" s="296" t="str">
        <f>IFERROR(IF(VLOOKUP($G52,BD_PRINCIPAL[],33,FALSE)=0,"",VLOOKUP($G52,BD_PRINCIPAL[],33,FALSE)),"")</f>
        <v/>
      </c>
      <c r="N52" s="296" t="str">
        <f>IFERROR(IF(VLOOKUP($G52,BD_PRINCIPAL[],34,FALSE)=0,"",VLOOKUP($G52,BD_PRINCIPAL[],34,FALSE)),"")</f>
        <v/>
      </c>
      <c r="O52" s="296" t="str">
        <f>IFERROR(IF(VLOOKUP($G52,BD_PRINCIPAL[],35,FALSE)=0,"",VLOOKUP($G52,BD_PRINCIPAL[],35,FALSE)),"")</f>
        <v/>
      </c>
      <c r="P52" s="296" t="str">
        <f>IFERROR(IF(VLOOKUP($G52,BD_PRINCIPAL[],36,FALSE)=0,"",VLOOKUP($G52,BD_PRINCIPAL[],36,FALSE)),"")</f>
        <v/>
      </c>
      <c r="Q52" s="296" t="str">
        <f>IFERROR(IF(VLOOKUP($G52,BD_PRINCIPAL[],37,FALSE)=0,"",VLOOKUP($G52,BD_PRINCIPAL[],37,FALSE)),"")</f>
        <v/>
      </c>
      <c r="R52" s="296" t="str">
        <f>IFERROR(IF(VLOOKUP($G52,BD_PRINCIPAL[],38,FALSE)=0,"",VLOOKUP($G52,BD_PRINCIPAL[],38,FALSE)),"")</f>
        <v/>
      </c>
      <c r="S52" s="296" t="str">
        <f>IFERROR(IF(VLOOKUP($G52,BD_PRINCIPAL[],39,FALSE)=0,"",VLOOKUP($G52,BD_PRINCIPAL[],39,FALSE)),"")</f>
        <v/>
      </c>
      <c r="T52" s="296" t="str">
        <f>IFERROR(IF(VLOOKUP($G52,BD_PRINCIPAL[],40,FALSE)=0,"",VLOOKUP($G52,BD_PRINCIPAL[],40,FALSE)),"")</f>
        <v/>
      </c>
      <c r="U52" s="296" t="str">
        <f>IFERROR(IF(VLOOKUP($G52,BD_PRINCIPAL[],41,FALSE)=0,"",VLOOKUP($G52,BD_PRINCIPAL[],41,FALSE)),"")</f>
        <v/>
      </c>
      <c r="V52" s="296" t="str">
        <f>IFERROR(IF(VLOOKUP($G52,BD_PRINCIPAL[],42,FALSE)=0,"",VLOOKUP($G52,BD_PRINCIPAL[],42,FALSE)),"")</f>
        <v/>
      </c>
      <c r="W52" s="296" t="str">
        <f>IFERROR(IF(VLOOKUP($G52,BD_PRINCIPAL[],43,FALSE)=0,"",VLOOKUP($G52,BD_PRINCIPAL[],43,FALSE)),"")</f>
        <v/>
      </c>
      <c r="X52" s="296" t="str">
        <f>IFERROR(IF(VLOOKUP($G52,BD_PRINCIPAL[],44,FALSE)=0,"",VLOOKUP($G52,BD_PRINCIPAL[],44,FALSE)),"")</f>
        <v/>
      </c>
      <c r="Y52" s="296" t="str">
        <f>IFERROR(IF(VLOOKUP($G52,BD_PRINCIPAL[],45,FALSE)=0,"",VLOOKUP($G52,BD_PRINCIPAL[],45,FALSE)),"")</f>
        <v/>
      </c>
      <c r="Z52" s="296" t="str">
        <f>IFERROR(IF(VLOOKUP($G52,BD_PRINCIPAL[],46,FALSE)=0,"",VLOOKUP($G52,BD_PRINCIPAL[],46,FALSE)),"")</f>
        <v/>
      </c>
      <c r="AA52" s="296" t="str">
        <f>IFERROR(IF(VLOOKUP($G52,BD_PRINCIPAL[],47,FALSE)=0,"",VLOOKUP($G52,BD_PRINCIPAL[],47,FALSE)),"")</f>
        <v/>
      </c>
      <c r="AB52" s="296" t="str">
        <f>IFERROR(IF(VLOOKUP($G52,BD_PRINCIPAL[],48,FALSE)=0,"",VLOOKUP($G52,BD_PRINCIPAL[],48,FALSE)),"")</f>
        <v/>
      </c>
      <c r="AC52" s="296" t="str">
        <f>IFERROR(IF(VLOOKUP($G52,BD_PRINCIPAL[],49,FALSE)=0,"",VLOOKUP($G52,BD_PRINCIPAL[],49,FALSE)),"")</f>
        <v/>
      </c>
      <c r="AD52" s="296" t="str">
        <f>IFERROR(IF(VLOOKUP($G52,BD_PRINCIPAL[],50,FALSE)=0,"",VLOOKUP($G52,BD_PRINCIPAL[],50,FALSE)),"")</f>
        <v/>
      </c>
      <c r="AE52" s="296" t="str">
        <f>IFERROR(IF(VLOOKUP($G52,BD_PRINCIPAL[],51,FALSE)=0,"",VLOOKUP($G52,BD_PRINCIPAL[],51,FALSE)),"")</f>
        <v/>
      </c>
      <c r="AF52" s="296" t="str">
        <f>IFERROR(IF(VLOOKUP($G52,BD_PRINCIPAL[],52,FALSE)=0,"",VLOOKUP($G52,BD_PRINCIPAL[],52,FALSE)),"")</f>
        <v/>
      </c>
      <c r="AG52" s="296" t="str">
        <f>IFERROR(IF(VLOOKUP($G52,BD_PRINCIPAL[],53,FALSE)=0,"",VLOOKUP($G52,BD_PRINCIPAL[],53,FALSE)),"")</f>
        <v/>
      </c>
      <c r="AH52" s="296" t="str">
        <f>IFERROR(IF(VLOOKUP($G52,BD_PRINCIPAL[],54,FALSE)=0,"",VLOOKUP($G52,BD_PRINCIPAL[],54,FALSE)),"")</f>
        <v/>
      </c>
      <c r="AI52" s="296" t="str">
        <f>IFERROR(IF(VLOOKUP($G52,BD_PRINCIPAL[],55,FALSE)=0,"",VLOOKUP($G52,BD_PRINCIPAL[],55,FALSE)),"")</f>
        <v/>
      </c>
      <c r="AJ52" s="296" t="str">
        <f>IFERROR(IF(VLOOKUP($G52,BD_PRINCIPAL[],56,FALSE)=0,"",VLOOKUP($G52,BD_PRINCIPAL[],56,FALSE)),"")</f>
        <v/>
      </c>
      <c r="AK52" s="296" t="str">
        <f>IFERROR(IF(VLOOKUP($G52,BD_PRINCIPAL[],57,FALSE)=0,"",VLOOKUP($G52,BD_PRINCIPAL[],57,FALSE)),"")</f>
        <v/>
      </c>
      <c r="AL52" s="296" t="str">
        <f>IFERROR(IF(VLOOKUP($G52,BD_PRINCIPAL[],58,FALSE)=0,"",VLOOKUP($G52,BD_PRINCIPAL[],58,FALSE)),"")</f>
        <v/>
      </c>
    </row>
    <row r="53" spans="2:38" x14ac:dyDescent="0.3">
      <c r="B53" s="289">
        <f t="shared" si="5"/>
        <v>0</v>
      </c>
      <c r="D53" s="296">
        <v>11</v>
      </c>
      <c r="E53" s="296" t="str">
        <f>IFERROR(VLOOKUP(G53,BD_PRINCIPAL[],7,FALSE),"")</f>
        <v/>
      </c>
      <c r="F53" s="297" t="str">
        <f>IFERROR(VLOOKUP(G53,BD_PRINCIPAL[],2,FALSE),"")</f>
        <v/>
      </c>
      <c r="G53" s="914"/>
      <c r="H53" s="296" t="str">
        <f>IFERROR(IF(VLOOKUP($G53,BD_PRINCIPAL[],28,FALSE)=0,"",VLOOKUP($G53,BD_PRINCIPAL[],28,FALSE)),"")</f>
        <v/>
      </c>
      <c r="I53" s="296" t="str">
        <f>IFERROR(IF(VLOOKUP($G53,BD_PRINCIPAL[],29,FALSE)=0,"",VLOOKUP($G53,BD_PRINCIPAL[],29,FALSE)),"")</f>
        <v/>
      </c>
      <c r="J53" s="296" t="str">
        <f>IFERROR(IF(VLOOKUP($G53,BD_PRINCIPAL[],30,FALSE)=0,"",VLOOKUP($G53,BD_PRINCIPAL[],30,FALSE)),"")</f>
        <v/>
      </c>
      <c r="K53" s="296" t="str">
        <f>IFERROR(IF(VLOOKUP($G53,BD_PRINCIPAL[],31,FALSE)=0,"",VLOOKUP($G53,BD_PRINCIPAL[],31,FALSE)),"")</f>
        <v/>
      </c>
      <c r="L53" s="296" t="str">
        <f>IFERROR(IF(VLOOKUP($G53,BD_PRINCIPAL[],32,FALSE)=0,"",VLOOKUP($G53,BD_PRINCIPAL[],32,FALSE)),"")</f>
        <v/>
      </c>
      <c r="M53" s="296" t="str">
        <f>IFERROR(IF(VLOOKUP($G53,BD_PRINCIPAL[],33,FALSE)=0,"",VLOOKUP($G53,BD_PRINCIPAL[],33,FALSE)),"")</f>
        <v/>
      </c>
      <c r="N53" s="296" t="str">
        <f>IFERROR(IF(VLOOKUP($G53,BD_PRINCIPAL[],34,FALSE)=0,"",VLOOKUP($G53,BD_PRINCIPAL[],34,FALSE)),"")</f>
        <v/>
      </c>
      <c r="O53" s="296" t="str">
        <f>IFERROR(IF(VLOOKUP($G53,BD_PRINCIPAL[],35,FALSE)=0,"",VLOOKUP($G53,BD_PRINCIPAL[],35,FALSE)),"")</f>
        <v/>
      </c>
      <c r="P53" s="296" t="str">
        <f>IFERROR(IF(VLOOKUP($G53,BD_PRINCIPAL[],36,FALSE)=0,"",VLOOKUP($G53,BD_PRINCIPAL[],36,FALSE)),"")</f>
        <v/>
      </c>
      <c r="Q53" s="296" t="str">
        <f>IFERROR(IF(VLOOKUP($G53,BD_PRINCIPAL[],37,FALSE)=0,"",VLOOKUP($G53,BD_PRINCIPAL[],37,FALSE)),"")</f>
        <v/>
      </c>
      <c r="R53" s="296" t="str">
        <f>IFERROR(IF(VLOOKUP($G53,BD_PRINCIPAL[],38,FALSE)=0,"",VLOOKUP($G53,BD_PRINCIPAL[],38,FALSE)),"")</f>
        <v/>
      </c>
      <c r="S53" s="296" t="str">
        <f>IFERROR(IF(VLOOKUP($G53,BD_PRINCIPAL[],39,FALSE)=0,"",VLOOKUP($G53,BD_PRINCIPAL[],39,FALSE)),"")</f>
        <v/>
      </c>
      <c r="T53" s="296" t="str">
        <f>IFERROR(IF(VLOOKUP($G53,BD_PRINCIPAL[],40,FALSE)=0,"",VLOOKUP($G53,BD_PRINCIPAL[],40,FALSE)),"")</f>
        <v/>
      </c>
      <c r="U53" s="296" t="str">
        <f>IFERROR(IF(VLOOKUP($G53,BD_PRINCIPAL[],41,FALSE)=0,"",VLOOKUP($G53,BD_PRINCIPAL[],41,FALSE)),"")</f>
        <v/>
      </c>
      <c r="V53" s="296" t="str">
        <f>IFERROR(IF(VLOOKUP($G53,BD_PRINCIPAL[],42,FALSE)=0,"",VLOOKUP($G53,BD_PRINCIPAL[],42,FALSE)),"")</f>
        <v/>
      </c>
      <c r="W53" s="296" t="str">
        <f>IFERROR(IF(VLOOKUP($G53,BD_PRINCIPAL[],43,FALSE)=0,"",VLOOKUP($G53,BD_PRINCIPAL[],43,FALSE)),"")</f>
        <v/>
      </c>
      <c r="X53" s="296" t="str">
        <f>IFERROR(IF(VLOOKUP($G53,BD_PRINCIPAL[],44,FALSE)=0,"",VLOOKUP($G53,BD_PRINCIPAL[],44,FALSE)),"")</f>
        <v/>
      </c>
      <c r="Y53" s="296" t="str">
        <f>IFERROR(IF(VLOOKUP($G53,BD_PRINCIPAL[],45,FALSE)=0,"",VLOOKUP($G53,BD_PRINCIPAL[],45,FALSE)),"")</f>
        <v/>
      </c>
      <c r="Z53" s="296" t="str">
        <f>IFERROR(IF(VLOOKUP($G53,BD_PRINCIPAL[],46,FALSE)=0,"",VLOOKUP($G53,BD_PRINCIPAL[],46,FALSE)),"")</f>
        <v/>
      </c>
      <c r="AA53" s="296" t="str">
        <f>IFERROR(IF(VLOOKUP($G53,BD_PRINCIPAL[],47,FALSE)=0,"",VLOOKUP($G53,BD_PRINCIPAL[],47,FALSE)),"")</f>
        <v/>
      </c>
      <c r="AB53" s="296" t="str">
        <f>IFERROR(IF(VLOOKUP($G53,BD_PRINCIPAL[],48,FALSE)=0,"",VLOOKUP($G53,BD_PRINCIPAL[],48,FALSE)),"")</f>
        <v/>
      </c>
      <c r="AC53" s="296" t="str">
        <f>IFERROR(IF(VLOOKUP($G53,BD_PRINCIPAL[],49,FALSE)=0,"",VLOOKUP($G53,BD_PRINCIPAL[],49,FALSE)),"")</f>
        <v/>
      </c>
      <c r="AD53" s="296" t="str">
        <f>IFERROR(IF(VLOOKUP($G53,BD_PRINCIPAL[],50,FALSE)=0,"",VLOOKUP($G53,BD_PRINCIPAL[],50,FALSE)),"")</f>
        <v/>
      </c>
      <c r="AE53" s="296" t="str">
        <f>IFERROR(IF(VLOOKUP($G53,BD_PRINCIPAL[],51,FALSE)=0,"",VLOOKUP($G53,BD_PRINCIPAL[],51,FALSE)),"")</f>
        <v/>
      </c>
      <c r="AF53" s="296" t="str">
        <f>IFERROR(IF(VLOOKUP($G53,BD_PRINCIPAL[],52,FALSE)=0,"",VLOOKUP($G53,BD_PRINCIPAL[],52,FALSE)),"")</f>
        <v/>
      </c>
      <c r="AG53" s="296" t="str">
        <f>IFERROR(IF(VLOOKUP($G53,BD_PRINCIPAL[],53,FALSE)=0,"",VLOOKUP($G53,BD_PRINCIPAL[],53,FALSE)),"")</f>
        <v/>
      </c>
      <c r="AH53" s="296" t="str">
        <f>IFERROR(IF(VLOOKUP($G53,BD_PRINCIPAL[],54,FALSE)=0,"",VLOOKUP($G53,BD_PRINCIPAL[],54,FALSE)),"")</f>
        <v/>
      </c>
      <c r="AI53" s="296" t="str">
        <f>IFERROR(IF(VLOOKUP($G53,BD_PRINCIPAL[],55,FALSE)=0,"",VLOOKUP($G53,BD_PRINCIPAL[],55,FALSE)),"")</f>
        <v/>
      </c>
      <c r="AJ53" s="296" t="str">
        <f>IFERROR(IF(VLOOKUP($G53,BD_PRINCIPAL[],56,FALSE)=0,"",VLOOKUP($G53,BD_PRINCIPAL[],56,FALSE)),"")</f>
        <v/>
      </c>
      <c r="AK53" s="296" t="str">
        <f>IFERROR(IF(VLOOKUP($G53,BD_PRINCIPAL[],57,FALSE)=0,"",VLOOKUP($G53,BD_PRINCIPAL[],57,FALSE)),"")</f>
        <v/>
      </c>
      <c r="AL53" s="296" t="str">
        <f>IFERROR(IF(VLOOKUP($G53,BD_PRINCIPAL[],58,FALSE)=0,"",VLOOKUP($G53,BD_PRINCIPAL[],58,FALSE)),"")</f>
        <v/>
      </c>
    </row>
    <row r="54" spans="2:38" x14ac:dyDescent="0.3">
      <c r="B54" s="289">
        <f t="shared" si="5"/>
        <v>0</v>
      </c>
      <c r="D54" s="296">
        <v>12</v>
      </c>
      <c r="E54" s="296" t="str">
        <f>IFERROR(VLOOKUP(G54,BD_PRINCIPAL[],7,FALSE),"")</f>
        <v/>
      </c>
      <c r="F54" s="297" t="str">
        <f>IFERROR(VLOOKUP(G54,BD_PRINCIPAL[],2,FALSE),"")</f>
        <v/>
      </c>
      <c r="G54" s="914"/>
      <c r="H54" s="296" t="str">
        <f>IFERROR(IF(VLOOKUP($G54,BD_PRINCIPAL[],28,FALSE)=0,"",VLOOKUP($G54,BD_PRINCIPAL[],28,FALSE)),"")</f>
        <v/>
      </c>
      <c r="I54" s="296" t="str">
        <f>IFERROR(IF(VLOOKUP($G54,BD_PRINCIPAL[],29,FALSE)=0,"",VLOOKUP($G54,BD_PRINCIPAL[],29,FALSE)),"")</f>
        <v/>
      </c>
      <c r="J54" s="296" t="str">
        <f>IFERROR(IF(VLOOKUP($G54,BD_PRINCIPAL[],30,FALSE)=0,"",VLOOKUP($G54,BD_PRINCIPAL[],30,FALSE)),"")</f>
        <v/>
      </c>
      <c r="K54" s="296" t="str">
        <f>IFERROR(IF(VLOOKUP($G54,BD_PRINCIPAL[],31,FALSE)=0,"",VLOOKUP($G54,BD_PRINCIPAL[],31,FALSE)),"")</f>
        <v/>
      </c>
      <c r="L54" s="296" t="str">
        <f>IFERROR(IF(VLOOKUP($G54,BD_PRINCIPAL[],32,FALSE)=0,"",VLOOKUP($G54,BD_PRINCIPAL[],32,FALSE)),"")</f>
        <v/>
      </c>
      <c r="M54" s="296" t="str">
        <f>IFERROR(IF(VLOOKUP($G54,BD_PRINCIPAL[],33,FALSE)=0,"",VLOOKUP($G54,BD_PRINCIPAL[],33,FALSE)),"")</f>
        <v/>
      </c>
      <c r="N54" s="296" t="str">
        <f>IFERROR(IF(VLOOKUP($G54,BD_PRINCIPAL[],34,FALSE)=0,"",VLOOKUP($G54,BD_PRINCIPAL[],34,FALSE)),"")</f>
        <v/>
      </c>
      <c r="O54" s="296" t="str">
        <f>IFERROR(IF(VLOOKUP($G54,BD_PRINCIPAL[],35,FALSE)=0,"",VLOOKUP($G54,BD_PRINCIPAL[],35,FALSE)),"")</f>
        <v/>
      </c>
      <c r="P54" s="296" t="str">
        <f>IFERROR(IF(VLOOKUP($G54,BD_PRINCIPAL[],36,FALSE)=0,"",VLOOKUP($G54,BD_PRINCIPAL[],36,FALSE)),"")</f>
        <v/>
      </c>
      <c r="Q54" s="296" t="str">
        <f>IFERROR(IF(VLOOKUP($G54,BD_PRINCIPAL[],37,FALSE)=0,"",VLOOKUP($G54,BD_PRINCIPAL[],37,FALSE)),"")</f>
        <v/>
      </c>
      <c r="R54" s="296" t="str">
        <f>IFERROR(IF(VLOOKUP($G54,BD_PRINCIPAL[],38,FALSE)=0,"",VLOOKUP($G54,BD_PRINCIPAL[],38,FALSE)),"")</f>
        <v/>
      </c>
      <c r="S54" s="296" t="str">
        <f>IFERROR(IF(VLOOKUP($G54,BD_PRINCIPAL[],39,FALSE)=0,"",VLOOKUP($G54,BD_PRINCIPAL[],39,FALSE)),"")</f>
        <v/>
      </c>
      <c r="T54" s="296" t="str">
        <f>IFERROR(IF(VLOOKUP($G54,BD_PRINCIPAL[],40,FALSE)=0,"",VLOOKUP($G54,BD_PRINCIPAL[],40,FALSE)),"")</f>
        <v/>
      </c>
      <c r="U54" s="296" t="str">
        <f>IFERROR(IF(VLOOKUP($G54,BD_PRINCIPAL[],41,FALSE)=0,"",VLOOKUP($G54,BD_PRINCIPAL[],41,FALSE)),"")</f>
        <v/>
      </c>
      <c r="V54" s="296" t="str">
        <f>IFERROR(IF(VLOOKUP($G54,BD_PRINCIPAL[],42,FALSE)=0,"",VLOOKUP($G54,BD_PRINCIPAL[],42,FALSE)),"")</f>
        <v/>
      </c>
      <c r="W54" s="296" t="str">
        <f>IFERROR(IF(VLOOKUP($G54,BD_PRINCIPAL[],43,FALSE)=0,"",VLOOKUP($G54,BD_PRINCIPAL[],43,FALSE)),"")</f>
        <v/>
      </c>
      <c r="X54" s="296" t="str">
        <f>IFERROR(IF(VLOOKUP($G54,BD_PRINCIPAL[],44,FALSE)=0,"",VLOOKUP($G54,BD_PRINCIPAL[],44,FALSE)),"")</f>
        <v/>
      </c>
      <c r="Y54" s="296" t="str">
        <f>IFERROR(IF(VLOOKUP($G54,BD_PRINCIPAL[],45,FALSE)=0,"",VLOOKUP($G54,BD_PRINCIPAL[],45,FALSE)),"")</f>
        <v/>
      </c>
      <c r="Z54" s="296" t="str">
        <f>IFERROR(IF(VLOOKUP($G54,BD_PRINCIPAL[],46,FALSE)=0,"",VLOOKUP($G54,BD_PRINCIPAL[],46,FALSE)),"")</f>
        <v/>
      </c>
      <c r="AA54" s="296" t="str">
        <f>IFERROR(IF(VLOOKUP($G54,BD_PRINCIPAL[],47,FALSE)=0,"",VLOOKUP($G54,BD_PRINCIPAL[],47,FALSE)),"")</f>
        <v/>
      </c>
      <c r="AB54" s="296" t="str">
        <f>IFERROR(IF(VLOOKUP($G54,BD_PRINCIPAL[],48,FALSE)=0,"",VLOOKUP($G54,BD_PRINCIPAL[],48,FALSE)),"")</f>
        <v/>
      </c>
      <c r="AC54" s="296" t="str">
        <f>IFERROR(IF(VLOOKUP($G54,BD_PRINCIPAL[],49,FALSE)=0,"",VLOOKUP($G54,BD_PRINCIPAL[],49,FALSE)),"")</f>
        <v/>
      </c>
      <c r="AD54" s="296" t="str">
        <f>IFERROR(IF(VLOOKUP($G54,BD_PRINCIPAL[],50,FALSE)=0,"",VLOOKUP($G54,BD_PRINCIPAL[],50,FALSE)),"")</f>
        <v/>
      </c>
      <c r="AE54" s="296" t="str">
        <f>IFERROR(IF(VLOOKUP($G54,BD_PRINCIPAL[],51,FALSE)=0,"",VLOOKUP($G54,BD_PRINCIPAL[],51,FALSE)),"")</f>
        <v/>
      </c>
      <c r="AF54" s="296" t="str">
        <f>IFERROR(IF(VLOOKUP($G54,BD_PRINCIPAL[],52,FALSE)=0,"",VLOOKUP($G54,BD_PRINCIPAL[],52,FALSE)),"")</f>
        <v/>
      </c>
      <c r="AG54" s="296" t="str">
        <f>IFERROR(IF(VLOOKUP($G54,BD_PRINCIPAL[],53,FALSE)=0,"",VLOOKUP($G54,BD_PRINCIPAL[],53,FALSE)),"")</f>
        <v/>
      </c>
      <c r="AH54" s="296" t="str">
        <f>IFERROR(IF(VLOOKUP($G54,BD_PRINCIPAL[],54,FALSE)=0,"",VLOOKUP($G54,BD_PRINCIPAL[],54,FALSE)),"")</f>
        <v/>
      </c>
      <c r="AI54" s="296" t="str">
        <f>IFERROR(IF(VLOOKUP($G54,BD_PRINCIPAL[],55,FALSE)=0,"",VLOOKUP($G54,BD_PRINCIPAL[],55,FALSE)),"")</f>
        <v/>
      </c>
      <c r="AJ54" s="296" t="str">
        <f>IFERROR(IF(VLOOKUP($G54,BD_PRINCIPAL[],56,FALSE)=0,"",VLOOKUP($G54,BD_PRINCIPAL[],56,FALSE)),"")</f>
        <v/>
      </c>
      <c r="AK54" s="296" t="str">
        <f>IFERROR(IF(VLOOKUP($G54,BD_PRINCIPAL[],57,FALSE)=0,"",VLOOKUP($G54,BD_PRINCIPAL[],57,FALSE)),"")</f>
        <v/>
      </c>
      <c r="AL54" s="296" t="str">
        <f>IFERROR(IF(VLOOKUP($G54,BD_PRINCIPAL[],58,FALSE)=0,"",VLOOKUP($G54,BD_PRINCIPAL[],58,FALSE)),"")</f>
        <v/>
      </c>
    </row>
    <row r="55" spans="2:38" x14ac:dyDescent="0.3">
      <c r="B55" s="289">
        <f t="shared" si="5"/>
        <v>0</v>
      </c>
      <c r="D55" s="296">
        <v>13</v>
      </c>
      <c r="E55" s="296" t="str">
        <f>IFERROR(VLOOKUP(G55,BD_PRINCIPAL[],7,FALSE),"")</f>
        <v/>
      </c>
      <c r="F55" s="297" t="str">
        <f>IFERROR(VLOOKUP(G55,BD_PRINCIPAL[],2,FALSE),"")</f>
        <v/>
      </c>
      <c r="G55" s="914"/>
      <c r="H55" s="296" t="str">
        <f>IFERROR(IF(VLOOKUP($G55,BD_PRINCIPAL[],28,FALSE)=0,"",VLOOKUP($G55,BD_PRINCIPAL[],28,FALSE)),"")</f>
        <v/>
      </c>
      <c r="I55" s="296" t="str">
        <f>IFERROR(IF(VLOOKUP($G55,BD_PRINCIPAL[],29,FALSE)=0,"",VLOOKUP($G55,BD_PRINCIPAL[],29,FALSE)),"")</f>
        <v/>
      </c>
      <c r="J55" s="296" t="str">
        <f>IFERROR(IF(VLOOKUP($G55,BD_PRINCIPAL[],30,FALSE)=0,"",VLOOKUP($G55,BD_PRINCIPAL[],30,FALSE)),"")</f>
        <v/>
      </c>
      <c r="K55" s="296" t="str">
        <f>IFERROR(IF(VLOOKUP($G55,BD_PRINCIPAL[],31,FALSE)=0,"",VLOOKUP($G55,BD_PRINCIPAL[],31,FALSE)),"")</f>
        <v/>
      </c>
      <c r="L55" s="296" t="str">
        <f>IFERROR(IF(VLOOKUP($G55,BD_PRINCIPAL[],32,FALSE)=0,"",VLOOKUP($G55,BD_PRINCIPAL[],32,FALSE)),"")</f>
        <v/>
      </c>
      <c r="M55" s="296" t="str">
        <f>IFERROR(IF(VLOOKUP($G55,BD_PRINCIPAL[],33,FALSE)=0,"",VLOOKUP($G55,BD_PRINCIPAL[],33,FALSE)),"")</f>
        <v/>
      </c>
      <c r="N55" s="296" t="str">
        <f>IFERROR(IF(VLOOKUP($G55,BD_PRINCIPAL[],34,FALSE)=0,"",VLOOKUP($G55,BD_PRINCIPAL[],34,FALSE)),"")</f>
        <v/>
      </c>
      <c r="O55" s="296" t="str">
        <f>IFERROR(IF(VLOOKUP($G55,BD_PRINCIPAL[],35,FALSE)=0,"",VLOOKUP($G55,BD_PRINCIPAL[],35,FALSE)),"")</f>
        <v/>
      </c>
      <c r="P55" s="296" t="str">
        <f>IFERROR(IF(VLOOKUP($G55,BD_PRINCIPAL[],36,FALSE)=0,"",VLOOKUP($G55,BD_PRINCIPAL[],36,FALSE)),"")</f>
        <v/>
      </c>
      <c r="Q55" s="296" t="str">
        <f>IFERROR(IF(VLOOKUP($G55,BD_PRINCIPAL[],37,FALSE)=0,"",VLOOKUP($G55,BD_PRINCIPAL[],37,FALSE)),"")</f>
        <v/>
      </c>
      <c r="R55" s="296" t="str">
        <f>IFERROR(IF(VLOOKUP($G55,BD_PRINCIPAL[],38,FALSE)=0,"",VLOOKUP($G55,BD_PRINCIPAL[],38,FALSE)),"")</f>
        <v/>
      </c>
      <c r="S55" s="296" t="str">
        <f>IFERROR(IF(VLOOKUP($G55,BD_PRINCIPAL[],39,FALSE)=0,"",VLOOKUP($G55,BD_PRINCIPAL[],39,FALSE)),"")</f>
        <v/>
      </c>
      <c r="T55" s="296" t="str">
        <f>IFERROR(IF(VLOOKUP($G55,BD_PRINCIPAL[],40,FALSE)=0,"",VLOOKUP($G55,BD_PRINCIPAL[],40,FALSE)),"")</f>
        <v/>
      </c>
      <c r="U55" s="296" t="str">
        <f>IFERROR(IF(VLOOKUP($G55,BD_PRINCIPAL[],41,FALSE)=0,"",VLOOKUP($G55,BD_PRINCIPAL[],41,FALSE)),"")</f>
        <v/>
      </c>
      <c r="V55" s="296" t="str">
        <f>IFERROR(IF(VLOOKUP($G55,BD_PRINCIPAL[],42,FALSE)=0,"",VLOOKUP($G55,BD_PRINCIPAL[],42,FALSE)),"")</f>
        <v/>
      </c>
      <c r="W55" s="296" t="str">
        <f>IFERROR(IF(VLOOKUP($G55,BD_PRINCIPAL[],43,FALSE)=0,"",VLOOKUP($G55,BD_PRINCIPAL[],43,FALSE)),"")</f>
        <v/>
      </c>
      <c r="X55" s="296" t="str">
        <f>IFERROR(IF(VLOOKUP($G55,BD_PRINCIPAL[],44,FALSE)=0,"",VLOOKUP($G55,BD_PRINCIPAL[],44,FALSE)),"")</f>
        <v/>
      </c>
      <c r="Y55" s="296" t="str">
        <f>IFERROR(IF(VLOOKUP($G55,BD_PRINCIPAL[],45,FALSE)=0,"",VLOOKUP($G55,BD_PRINCIPAL[],45,FALSE)),"")</f>
        <v/>
      </c>
      <c r="Z55" s="296" t="str">
        <f>IFERROR(IF(VLOOKUP($G55,BD_PRINCIPAL[],46,FALSE)=0,"",VLOOKUP($G55,BD_PRINCIPAL[],46,FALSE)),"")</f>
        <v/>
      </c>
      <c r="AA55" s="296" t="str">
        <f>IFERROR(IF(VLOOKUP($G55,BD_PRINCIPAL[],47,FALSE)=0,"",VLOOKUP($G55,BD_PRINCIPAL[],47,FALSE)),"")</f>
        <v/>
      </c>
      <c r="AB55" s="296" t="str">
        <f>IFERROR(IF(VLOOKUP($G55,BD_PRINCIPAL[],48,FALSE)=0,"",VLOOKUP($G55,BD_PRINCIPAL[],48,FALSE)),"")</f>
        <v/>
      </c>
      <c r="AC55" s="296" t="str">
        <f>IFERROR(IF(VLOOKUP($G55,BD_PRINCIPAL[],49,FALSE)=0,"",VLOOKUP($G55,BD_PRINCIPAL[],49,FALSE)),"")</f>
        <v/>
      </c>
      <c r="AD55" s="296" t="str">
        <f>IFERROR(IF(VLOOKUP($G55,BD_PRINCIPAL[],50,FALSE)=0,"",VLOOKUP($G55,BD_PRINCIPAL[],50,FALSE)),"")</f>
        <v/>
      </c>
      <c r="AE55" s="296" t="str">
        <f>IFERROR(IF(VLOOKUP($G55,BD_PRINCIPAL[],51,FALSE)=0,"",VLOOKUP($G55,BD_PRINCIPAL[],51,FALSE)),"")</f>
        <v/>
      </c>
      <c r="AF55" s="296" t="str">
        <f>IFERROR(IF(VLOOKUP($G55,BD_PRINCIPAL[],52,FALSE)=0,"",VLOOKUP($G55,BD_PRINCIPAL[],52,FALSE)),"")</f>
        <v/>
      </c>
      <c r="AG55" s="296" t="str">
        <f>IFERROR(IF(VLOOKUP($G55,BD_PRINCIPAL[],53,FALSE)=0,"",VLOOKUP($G55,BD_PRINCIPAL[],53,FALSE)),"")</f>
        <v/>
      </c>
      <c r="AH55" s="296" t="str">
        <f>IFERROR(IF(VLOOKUP($G55,BD_PRINCIPAL[],54,FALSE)=0,"",VLOOKUP($G55,BD_PRINCIPAL[],54,FALSE)),"")</f>
        <v/>
      </c>
      <c r="AI55" s="296" t="str">
        <f>IFERROR(IF(VLOOKUP($G55,BD_PRINCIPAL[],55,FALSE)=0,"",VLOOKUP($G55,BD_PRINCIPAL[],55,FALSE)),"")</f>
        <v/>
      </c>
      <c r="AJ55" s="296" t="str">
        <f>IFERROR(IF(VLOOKUP($G55,BD_PRINCIPAL[],56,FALSE)=0,"",VLOOKUP($G55,BD_PRINCIPAL[],56,FALSE)),"")</f>
        <v/>
      </c>
      <c r="AK55" s="296" t="str">
        <f>IFERROR(IF(VLOOKUP($G55,BD_PRINCIPAL[],57,FALSE)=0,"",VLOOKUP($G55,BD_PRINCIPAL[],57,FALSE)),"")</f>
        <v/>
      </c>
      <c r="AL55" s="296" t="str">
        <f>IFERROR(IF(VLOOKUP($G55,BD_PRINCIPAL[],58,FALSE)=0,"",VLOOKUP($G55,BD_PRINCIPAL[],58,FALSE)),"")</f>
        <v/>
      </c>
    </row>
    <row r="56" spans="2:38" x14ac:dyDescent="0.3">
      <c r="B56" s="289">
        <f t="shared" si="5"/>
        <v>0</v>
      </c>
      <c r="D56" s="296">
        <v>14</v>
      </c>
      <c r="E56" s="296" t="str">
        <f>IFERROR(VLOOKUP(G56,BD_PRINCIPAL[],7,FALSE),"")</f>
        <v/>
      </c>
      <c r="F56" s="297" t="str">
        <f>IFERROR(VLOOKUP(G56,BD_PRINCIPAL[],2,FALSE),"")</f>
        <v/>
      </c>
      <c r="G56" s="914"/>
      <c r="H56" s="296" t="str">
        <f>IFERROR(IF(VLOOKUP($G56,BD_PRINCIPAL[],28,FALSE)=0,"",VLOOKUP($G56,BD_PRINCIPAL[],28,FALSE)),"")</f>
        <v/>
      </c>
      <c r="I56" s="296" t="str">
        <f>IFERROR(IF(VLOOKUP($G56,BD_PRINCIPAL[],29,FALSE)=0,"",VLOOKUP($G56,BD_PRINCIPAL[],29,FALSE)),"")</f>
        <v/>
      </c>
      <c r="J56" s="296" t="str">
        <f>IFERROR(IF(VLOOKUP($G56,BD_PRINCIPAL[],30,FALSE)=0,"",VLOOKUP($G56,BD_PRINCIPAL[],30,FALSE)),"")</f>
        <v/>
      </c>
      <c r="K56" s="296" t="str">
        <f>IFERROR(IF(VLOOKUP($G56,BD_PRINCIPAL[],31,FALSE)=0,"",VLOOKUP($G56,BD_PRINCIPAL[],31,FALSE)),"")</f>
        <v/>
      </c>
      <c r="L56" s="296" t="str">
        <f>IFERROR(IF(VLOOKUP($G56,BD_PRINCIPAL[],32,FALSE)=0,"",VLOOKUP($G56,BD_PRINCIPAL[],32,FALSE)),"")</f>
        <v/>
      </c>
      <c r="M56" s="296" t="str">
        <f>IFERROR(IF(VLOOKUP($G56,BD_PRINCIPAL[],33,FALSE)=0,"",VLOOKUP($G56,BD_PRINCIPAL[],33,FALSE)),"")</f>
        <v/>
      </c>
      <c r="N56" s="296" t="str">
        <f>IFERROR(IF(VLOOKUP($G56,BD_PRINCIPAL[],34,FALSE)=0,"",VLOOKUP($G56,BD_PRINCIPAL[],34,FALSE)),"")</f>
        <v/>
      </c>
      <c r="O56" s="296" t="str">
        <f>IFERROR(IF(VLOOKUP($G56,BD_PRINCIPAL[],35,FALSE)=0,"",VLOOKUP($G56,BD_PRINCIPAL[],35,FALSE)),"")</f>
        <v/>
      </c>
      <c r="P56" s="296" t="str">
        <f>IFERROR(IF(VLOOKUP($G56,BD_PRINCIPAL[],36,FALSE)=0,"",VLOOKUP($G56,BD_PRINCIPAL[],36,FALSE)),"")</f>
        <v/>
      </c>
      <c r="Q56" s="296" t="str">
        <f>IFERROR(IF(VLOOKUP($G56,BD_PRINCIPAL[],37,FALSE)=0,"",VLOOKUP($G56,BD_PRINCIPAL[],37,FALSE)),"")</f>
        <v/>
      </c>
      <c r="R56" s="296" t="str">
        <f>IFERROR(IF(VLOOKUP($G56,BD_PRINCIPAL[],38,FALSE)=0,"",VLOOKUP($G56,BD_PRINCIPAL[],38,FALSE)),"")</f>
        <v/>
      </c>
      <c r="S56" s="296" t="str">
        <f>IFERROR(IF(VLOOKUP($G56,BD_PRINCIPAL[],39,FALSE)=0,"",VLOOKUP($G56,BD_PRINCIPAL[],39,FALSE)),"")</f>
        <v/>
      </c>
      <c r="T56" s="296" t="str">
        <f>IFERROR(IF(VLOOKUP($G56,BD_PRINCIPAL[],40,FALSE)=0,"",VLOOKUP($G56,BD_PRINCIPAL[],40,FALSE)),"")</f>
        <v/>
      </c>
      <c r="U56" s="296" t="str">
        <f>IFERROR(IF(VLOOKUP($G56,BD_PRINCIPAL[],41,FALSE)=0,"",VLOOKUP($G56,BD_PRINCIPAL[],41,FALSE)),"")</f>
        <v/>
      </c>
      <c r="V56" s="296" t="str">
        <f>IFERROR(IF(VLOOKUP($G56,BD_PRINCIPAL[],42,FALSE)=0,"",VLOOKUP($G56,BD_PRINCIPAL[],42,FALSE)),"")</f>
        <v/>
      </c>
      <c r="W56" s="296" t="str">
        <f>IFERROR(IF(VLOOKUP($G56,BD_PRINCIPAL[],43,FALSE)=0,"",VLOOKUP($G56,BD_PRINCIPAL[],43,FALSE)),"")</f>
        <v/>
      </c>
      <c r="X56" s="296" t="str">
        <f>IFERROR(IF(VLOOKUP($G56,BD_PRINCIPAL[],44,FALSE)=0,"",VLOOKUP($G56,BD_PRINCIPAL[],44,FALSE)),"")</f>
        <v/>
      </c>
      <c r="Y56" s="296" t="str">
        <f>IFERROR(IF(VLOOKUP($G56,BD_PRINCIPAL[],45,FALSE)=0,"",VLOOKUP($G56,BD_PRINCIPAL[],45,FALSE)),"")</f>
        <v/>
      </c>
      <c r="Z56" s="296" t="str">
        <f>IFERROR(IF(VLOOKUP($G56,BD_PRINCIPAL[],46,FALSE)=0,"",VLOOKUP($G56,BD_PRINCIPAL[],46,FALSE)),"")</f>
        <v/>
      </c>
      <c r="AA56" s="296" t="str">
        <f>IFERROR(IF(VLOOKUP($G56,BD_PRINCIPAL[],47,FALSE)=0,"",VLOOKUP($G56,BD_PRINCIPAL[],47,FALSE)),"")</f>
        <v/>
      </c>
      <c r="AB56" s="296" t="str">
        <f>IFERROR(IF(VLOOKUP($G56,BD_PRINCIPAL[],48,FALSE)=0,"",VLOOKUP($G56,BD_PRINCIPAL[],48,FALSE)),"")</f>
        <v/>
      </c>
      <c r="AC56" s="296" t="str">
        <f>IFERROR(IF(VLOOKUP($G56,BD_PRINCIPAL[],49,FALSE)=0,"",VLOOKUP($G56,BD_PRINCIPAL[],49,FALSE)),"")</f>
        <v/>
      </c>
      <c r="AD56" s="296" t="str">
        <f>IFERROR(IF(VLOOKUP($G56,BD_PRINCIPAL[],50,FALSE)=0,"",VLOOKUP($G56,BD_PRINCIPAL[],50,FALSE)),"")</f>
        <v/>
      </c>
      <c r="AE56" s="296" t="str">
        <f>IFERROR(IF(VLOOKUP($G56,BD_PRINCIPAL[],51,FALSE)=0,"",VLOOKUP($G56,BD_PRINCIPAL[],51,FALSE)),"")</f>
        <v/>
      </c>
      <c r="AF56" s="296" t="str">
        <f>IFERROR(IF(VLOOKUP($G56,BD_PRINCIPAL[],52,FALSE)=0,"",VLOOKUP($G56,BD_PRINCIPAL[],52,FALSE)),"")</f>
        <v/>
      </c>
      <c r="AG56" s="296" t="str">
        <f>IFERROR(IF(VLOOKUP($G56,BD_PRINCIPAL[],53,FALSE)=0,"",VLOOKUP($G56,BD_PRINCIPAL[],53,FALSE)),"")</f>
        <v/>
      </c>
      <c r="AH56" s="296" t="str">
        <f>IFERROR(IF(VLOOKUP($G56,BD_PRINCIPAL[],54,FALSE)=0,"",VLOOKUP($G56,BD_PRINCIPAL[],54,FALSE)),"")</f>
        <v/>
      </c>
      <c r="AI56" s="296" t="str">
        <f>IFERROR(IF(VLOOKUP($G56,BD_PRINCIPAL[],55,FALSE)=0,"",VLOOKUP($G56,BD_PRINCIPAL[],55,FALSE)),"")</f>
        <v/>
      </c>
      <c r="AJ56" s="296" t="str">
        <f>IFERROR(IF(VLOOKUP($G56,BD_PRINCIPAL[],56,FALSE)=0,"",VLOOKUP($G56,BD_PRINCIPAL[],56,FALSE)),"")</f>
        <v/>
      </c>
      <c r="AK56" s="296" t="str">
        <f>IFERROR(IF(VLOOKUP($G56,BD_PRINCIPAL[],57,FALSE)=0,"",VLOOKUP($G56,BD_PRINCIPAL[],57,FALSE)),"")</f>
        <v/>
      </c>
      <c r="AL56" s="296" t="str">
        <f>IFERROR(IF(VLOOKUP($G56,BD_PRINCIPAL[],58,FALSE)=0,"",VLOOKUP($G56,BD_PRINCIPAL[],58,FALSE)),"")</f>
        <v/>
      </c>
    </row>
    <row r="57" spans="2:38" x14ac:dyDescent="0.3">
      <c r="B57" s="289">
        <f t="shared" si="5"/>
        <v>0</v>
      </c>
      <c r="D57" s="296">
        <v>15</v>
      </c>
      <c r="E57" s="296" t="str">
        <f>IFERROR(VLOOKUP(G57,BD_PRINCIPAL[],7,FALSE),"")</f>
        <v/>
      </c>
      <c r="F57" s="297" t="str">
        <f>IFERROR(VLOOKUP(G57,BD_PRINCIPAL[],2,FALSE),"")</f>
        <v/>
      </c>
      <c r="G57" s="321"/>
      <c r="H57" s="296" t="str">
        <f>IFERROR(IF(VLOOKUP($G57,BD_PRINCIPAL[],28,FALSE)=0,"",VLOOKUP($G57,BD_PRINCIPAL[],28,FALSE)),"")</f>
        <v/>
      </c>
      <c r="I57" s="296" t="str">
        <f>IFERROR(IF(VLOOKUP($G57,BD_PRINCIPAL[],29,FALSE)=0,"",VLOOKUP($G57,BD_PRINCIPAL[],29,FALSE)),"")</f>
        <v/>
      </c>
      <c r="J57" s="296" t="str">
        <f>IFERROR(IF(VLOOKUP($G57,BD_PRINCIPAL[],30,FALSE)=0,"",VLOOKUP($G57,BD_PRINCIPAL[],30,FALSE)),"")</f>
        <v/>
      </c>
      <c r="K57" s="296" t="str">
        <f>IFERROR(IF(VLOOKUP($G57,BD_PRINCIPAL[],31,FALSE)=0,"",VLOOKUP($G57,BD_PRINCIPAL[],31,FALSE)),"")</f>
        <v/>
      </c>
      <c r="L57" s="296" t="str">
        <f>IFERROR(IF(VLOOKUP($G57,BD_PRINCIPAL[],32,FALSE)=0,"",VLOOKUP($G57,BD_PRINCIPAL[],32,FALSE)),"")</f>
        <v/>
      </c>
      <c r="M57" s="296" t="str">
        <f>IFERROR(IF(VLOOKUP($G57,BD_PRINCIPAL[],33,FALSE)=0,"",VLOOKUP($G57,BD_PRINCIPAL[],33,FALSE)),"")</f>
        <v/>
      </c>
      <c r="N57" s="296" t="str">
        <f>IFERROR(IF(VLOOKUP($G57,BD_PRINCIPAL[],34,FALSE)=0,"",VLOOKUP($G57,BD_PRINCIPAL[],34,FALSE)),"")</f>
        <v/>
      </c>
      <c r="O57" s="296" t="str">
        <f>IFERROR(IF(VLOOKUP($G57,BD_PRINCIPAL[],35,FALSE)=0,"",VLOOKUP($G57,BD_PRINCIPAL[],35,FALSE)),"")</f>
        <v/>
      </c>
      <c r="P57" s="296" t="str">
        <f>IFERROR(IF(VLOOKUP($G57,BD_PRINCIPAL[],36,FALSE)=0,"",VLOOKUP($G57,BD_PRINCIPAL[],36,FALSE)),"")</f>
        <v/>
      </c>
      <c r="Q57" s="296" t="str">
        <f>IFERROR(IF(VLOOKUP($G57,BD_PRINCIPAL[],37,FALSE)=0,"",VLOOKUP($G57,BD_PRINCIPAL[],37,FALSE)),"")</f>
        <v/>
      </c>
      <c r="R57" s="296" t="str">
        <f>IFERROR(IF(VLOOKUP($G57,BD_PRINCIPAL[],38,FALSE)=0,"",VLOOKUP($G57,BD_PRINCIPAL[],38,FALSE)),"")</f>
        <v/>
      </c>
      <c r="S57" s="296" t="str">
        <f>IFERROR(IF(VLOOKUP($G57,BD_PRINCIPAL[],39,FALSE)=0,"",VLOOKUP($G57,BD_PRINCIPAL[],39,FALSE)),"")</f>
        <v/>
      </c>
      <c r="T57" s="296" t="str">
        <f>IFERROR(IF(VLOOKUP($G57,BD_PRINCIPAL[],40,FALSE)=0,"",VLOOKUP($G57,BD_PRINCIPAL[],40,FALSE)),"")</f>
        <v/>
      </c>
      <c r="U57" s="296" t="str">
        <f>IFERROR(IF(VLOOKUP($G57,BD_PRINCIPAL[],41,FALSE)=0,"",VLOOKUP($G57,BD_PRINCIPAL[],41,FALSE)),"")</f>
        <v/>
      </c>
      <c r="V57" s="296" t="str">
        <f>IFERROR(IF(VLOOKUP($G57,BD_PRINCIPAL[],42,FALSE)=0,"",VLOOKUP($G57,BD_PRINCIPAL[],42,FALSE)),"")</f>
        <v/>
      </c>
      <c r="W57" s="296" t="str">
        <f>IFERROR(IF(VLOOKUP($G57,BD_PRINCIPAL[],43,FALSE)=0,"",VLOOKUP($G57,BD_PRINCIPAL[],43,FALSE)),"")</f>
        <v/>
      </c>
      <c r="X57" s="296" t="str">
        <f>IFERROR(IF(VLOOKUP($G57,BD_PRINCIPAL[],44,FALSE)=0,"",VLOOKUP($G57,BD_PRINCIPAL[],44,FALSE)),"")</f>
        <v/>
      </c>
      <c r="Y57" s="296" t="str">
        <f>IFERROR(IF(VLOOKUP($G57,BD_PRINCIPAL[],45,FALSE)=0,"",VLOOKUP($G57,BD_PRINCIPAL[],45,FALSE)),"")</f>
        <v/>
      </c>
      <c r="Z57" s="296" t="str">
        <f>IFERROR(IF(VLOOKUP($G57,BD_PRINCIPAL[],46,FALSE)=0,"",VLOOKUP($G57,BD_PRINCIPAL[],46,FALSE)),"")</f>
        <v/>
      </c>
      <c r="AA57" s="296" t="str">
        <f>IFERROR(IF(VLOOKUP($G57,BD_PRINCIPAL[],47,FALSE)=0,"",VLOOKUP($G57,BD_PRINCIPAL[],47,FALSE)),"")</f>
        <v/>
      </c>
      <c r="AB57" s="296" t="str">
        <f>IFERROR(IF(VLOOKUP($G57,BD_PRINCIPAL[],48,FALSE)=0,"",VLOOKUP($G57,BD_PRINCIPAL[],48,FALSE)),"")</f>
        <v/>
      </c>
      <c r="AC57" s="296" t="str">
        <f>IFERROR(IF(VLOOKUP($G57,BD_PRINCIPAL[],49,FALSE)=0,"",VLOOKUP($G57,BD_PRINCIPAL[],49,FALSE)),"")</f>
        <v/>
      </c>
      <c r="AD57" s="296" t="str">
        <f>IFERROR(IF(VLOOKUP($G57,BD_PRINCIPAL[],50,FALSE)=0,"",VLOOKUP($G57,BD_PRINCIPAL[],50,FALSE)),"")</f>
        <v/>
      </c>
      <c r="AE57" s="296" t="str">
        <f>IFERROR(IF(VLOOKUP($G57,BD_PRINCIPAL[],51,FALSE)=0,"",VLOOKUP($G57,BD_PRINCIPAL[],51,FALSE)),"")</f>
        <v/>
      </c>
      <c r="AF57" s="296" t="str">
        <f>IFERROR(IF(VLOOKUP($G57,BD_PRINCIPAL[],52,FALSE)=0,"",VLOOKUP($G57,BD_PRINCIPAL[],52,FALSE)),"")</f>
        <v/>
      </c>
      <c r="AG57" s="296" t="str">
        <f>IFERROR(IF(VLOOKUP($G57,BD_PRINCIPAL[],53,FALSE)=0,"",VLOOKUP($G57,BD_PRINCIPAL[],53,FALSE)),"")</f>
        <v/>
      </c>
      <c r="AH57" s="296" t="str">
        <f>IFERROR(IF(VLOOKUP($G57,BD_PRINCIPAL[],54,FALSE)=0,"",VLOOKUP($G57,BD_PRINCIPAL[],54,FALSE)),"")</f>
        <v/>
      </c>
      <c r="AI57" s="296" t="str">
        <f>IFERROR(IF(VLOOKUP($G57,BD_PRINCIPAL[],55,FALSE)=0,"",VLOOKUP($G57,BD_PRINCIPAL[],55,FALSE)),"")</f>
        <v/>
      </c>
      <c r="AJ57" s="296" t="str">
        <f>IFERROR(IF(VLOOKUP($G57,BD_PRINCIPAL[],56,FALSE)=0,"",VLOOKUP($G57,BD_PRINCIPAL[],56,FALSE)),"")</f>
        <v/>
      </c>
      <c r="AK57" s="296" t="str">
        <f>IFERROR(IF(VLOOKUP($G57,BD_PRINCIPAL[],57,FALSE)=0,"",VLOOKUP($G57,BD_PRINCIPAL[],57,FALSE)),"")</f>
        <v/>
      </c>
      <c r="AL57" s="296" t="str">
        <f>IFERROR(IF(VLOOKUP($G57,BD_PRINCIPAL[],58,FALSE)=0,"",VLOOKUP($G57,BD_PRINCIPAL[],58,FALSE)),"")</f>
        <v/>
      </c>
    </row>
    <row r="58" spans="2:38" x14ac:dyDescent="0.3">
      <c r="B58" s="289">
        <f t="shared" si="5"/>
        <v>0</v>
      </c>
      <c r="D58" s="296">
        <v>16</v>
      </c>
      <c r="E58" s="296" t="str">
        <f>IFERROR(VLOOKUP(G58,BD_PRINCIPAL[],7,FALSE),"")</f>
        <v/>
      </c>
      <c r="F58" s="297" t="str">
        <f>IFERROR(VLOOKUP(G58,BD_PRINCIPAL[],2,FALSE),"")</f>
        <v/>
      </c>
      <c r="G58" s="321"/>
      <c r="H58" s="296" t="str">
        <f>IFERROR(IF(VLOOKUP($G58,BD_PRINCIPAL[],28,FALSE)=0,"",VLOOKUP($G58,BD_PRINCIPAL[],28,FALSE)),"")</f>
        <v/>
      </c>
      <c r="I58" s="296" t="str">
        <f>IFERROR(IF(VLOOKUP($G58,BD_PRINCIPAL[],29,FALSE)=0,"",VLOOKUP($G58,BD_PRINCIPAL[],29,FALSE)),"")</f>
        <v/>
      </c>
      <c r="J58" s="296" t="str">
        <f>IFERROR(IF(VLOOKUP($G58,BD_PRINCIPAL[],30,FALSE)=0,"",VLOOKUP($G58,BD_PRINCIPAL[],30,FALSE)),"")</f>
        <v/>
      </c>
      <c r="K58" s="296" t="str">
        <f>IFERROR(IF(VLOOKUP($G58,BD_PRINCIPAL[],31,FALSE)=0,"",VLOOKUP($G58,BD_PRINCIPAL[],31,FALSE)),"")</f>
        <v/>
      </c>
      <c r="L58" s="296" t="str">
        <f>IFERROR(IF(VLOOKUP($G58,BD_PRINCIPAL[],32,FALSE)=0,"",VLOOKUP($G58,BD_PRINCIPAL[],32,FALSE)),"")</f>
        <v/>
      </c>
      <c r="M58" s="296" t="str">
        <f>IFERROR(IF(VLOOKUP($G58,BD_PRINCIPAL[],33,FALSE)=0,"",VLOOKUP($G58,BD_PRINCIPAL[],33,FALSE)),"")</f>
        <v/>
      </c>
      <c r="N58" s="296" t="str">
        <f>IFERROR(IF(VLOOKUP($G58,BD_PRINCIPAL[],34,FALSE)=0,"",VLOOKUP($G58,BD_PRINCIPAL[],34,FALSE)),"")</f>
        <v/>
      </c>
      <c r="O58" s="296" t="str">
        <f>IFERROR(IF(VLOOKUP($G58,BD_PRINCIPAL[],35,FALSE)=0,"",VLOOKUP($G58,BD_PRINCIPAL[],35,FALSE)),"")</f>
        <v/>
      </c>
      <c r="P58" s="296" t="str">
        <f>IFERROR(IF(VLOOKUP($G58,BD_PRINCIPAL[],36,FALSE)=0,"",VLOOKUP($G58,BD_PRINCIPAL[],36,FALSE)),"")</f>
        <v/>
      </c>
      <c r="Q58" s="296" t="str">
        <f>IFERROR(IF(VLOOKUP($G58,BD_PRINCIPAL[],37,FALSE)=0,"",VLOOKUP($G58,BD_PRINCIPAL[],37,FALSE)),"")</f>
        <v/>
      </c>
      <c r="R58" s="296" t="str">
        <f>IFERROR(IF(VLOOKUP($G58,BD_PRINCIPAL[],38,FALSE)=0,"",VLOOKUP($G58,BD_PRINCIPAL[],38,FALSE)),"")</f>
        <v/>
      </c>
      <c r="S58" s="296" t="str">
        <f>IFERROR(IF(VLOOKUP($G58,BD_PRINCIPAL[],39,FALSE)=0,"",VLOOKUP($G58,BD_PRINCIPAL[],39,FALSE)),"")</f>
        <v/>
      </c>
      <c r="T58" s="296" t="str">
        <f>IFERROR(IF(VLOOKUP($G58,BD_PRINCIPAL[],40,FALSE)=0,"",VLOOKUP($G58,BD_PRINCIPAL[],40,FALSE)),"")</f>
        <v/>
      </c>
      <c r="U58" s="296" t="str">
        <f>IFERROR(IF(VLOOKUP($G58,BD_PRINCIPAL[],41,FALSE)=0,"",VLOOKUP($G58,BD_PRINCIPAL[],41,FALSE)),"")</f>
        <v/>
      </c>
      <c r="V58" s="296" t="str">
        <f>IFERROR(IF(VLOOKUP($G58,BD_PRINCIPAL[],42,FALSE)=0,"",VLOOKUP($G58,BD_PRINCIPAL[],42,FALSE)),"")</f>
        <v/>
      </c>
      <c r="W58" s="296" t="str">
        <f>IFERROR(IF(VLOOKUP($G58,BD_PRINCIPAL[],43,FALSE)=0,"",VLOOKUP($G58,BD_PRINCIPAL[],43,FALSE)),"")</f>
        <v/>
      </c>
      <c r="X58" s="296" t="str">
        <f>IFERROR(IF(VLOOKUP($G58,BD_PRINCIPAL[],44,FALSE)=0,"",VLOOKUP($G58,BD_PRINCIPAL[],44,FALSE)),"")</f>
        <v/>
      </c>
      <c r="Y58" s="296" t="str">
        <f>IFERROR(IF(VLOOKUP($G58,BD_PRINCIPAL[],45,FALSE)=0,"",VLOOKUP($G58,BD_PRINCIPAL[],45,FALSE)),"")</f>
        <v/>
      </c>
      <c r="Z58" s="296" t="str">
        <f>IFERROR(IF(VLOOKUP($G58,BD_PRINCIPAL[],46,FALSE)=0,"",VLOOKUP($G58,BD_PRINCIPAL[],46,FALSE)),"")</f>
        <v/>
      </c>
      <c r="AA58" s="296" t="str">
        <f>IFERROR(IF(VLOOKUP($G58,BD_PRINCIPAL[],47,FALSE)=0,"",VLOOKUP($G58,BD_PRINCIPAL[],47,FALSE)),"")</f>
        <v/>
      </c>
      <c r="AB58" s="296" t="str">
        <f>IFERROR(IF(VLOOKUP($G58,BD_PRINCIPAL[],48,FALSE)=0,"",VLOOKUP($G58,BD_PRINCIPAL[],48,FALSE)),"")</f>
        <v/>
      </c>
      <c r="AC58" s="296" t="str">
        <f>IFERROR(IF(VLOOKUP($G58,BD_PRINCIPAL[],49,FALSE)=0,"",VLOOKUP($G58,BD_PRINCIPAL[],49,FALSE)),"")</f>
        <v/>
      </c>
      <c r="AD58" s="296" t="str">
        <f>IFERROR(IF(VLOOKUP($G58,BD_PRINCIPAL[],50,FALSE)=0,"",VLOOKUP($G58,BD_PRINCIPAL[],50,FALSE)),"")</f>
        <v/>
      </c>
      <c r="AE58" s="296" t="str">
        <f>IFERROR(IF(VLOOKUP($G58,BD_PRINCIPAL[],51,FALSE)=0,"",VLOOKUP($G58,BD_PRINCIPAL[],51,FALSE)),"")</f>
        <v/>
      </c>
      <c r="AF58" s="296" t="str">
        <f>IFERROR(IF(VLOOKUP($G58,BD_PRINCIPAL[],52,FALSE)=0,"",VLOOKUP($G58,BD_PRINCIPAL[],52,FALSE)),"")</f>
        <v/>
      </c>
      <c r="AG58" s="296" t="str">
        <f>IFERROR(IF(VLOOKUP($G58,BD_PRINCIPAL[],53,FALSE)=0,"",VLOOKUP($G58,BD_PRINCIPAL[],53,FALSE)),"")</f>
        <v/>
      </c>
      <c r="AH58" s="296" t="str">
        <f>IFERROR(IF(VLOOKUP($G58,BD_PRINCIPAL[],54,FALSE)=0,"",VLOOKUP($G58,BD_PRINCIPAL[],54,FALSE)),"")</f>
        <v/>
      </c>
      <c r="AI58" s="296" t="str">
        <f>IFERROR(IF(VLOOKUP($G58,BD_PRINCIPAL[],55,FALSE)=0,"",VLOOKUP($G58,BD_PRINCIPAL[],55,FALSE)),"")</f>
        <v/>
      </c>
      <c r="AJ58" s="296" t="str">
        <f>IFERROR(IF(VLOOKUP($G58,BD_PRINCIPAL[],56,FALSE)=0,"",VLOOKUP($G58,BD_PRINCIPAL[],56,FALSE)),"")</f>
        <v/>
      </c>
      <c r="AK58" s="296" t="str">
        <f>IFERROR(IF(VLOOKUP($G58,BD_PRINCIPAL[],57,FALSE)=0,"",VLOOKUP($G58,BD_PRINCIPAL[],57,FALSE)),"")</f>
        <v/>
      </c>
      <c r="AL58" s="296" t="str">
        <f>IFERROR(IF(VLOOKUP($G58,BD_PRINCIPAL[],58,FALSE)=0,"",VLOOKUP($G58,BD_PRINCIPAL[],58,FALSE)),"")</f>
        <v/>
      </c>
    </row>
    <row r="59" spans="2:38" x14ac:dyDescent="0.3">
      <c r="B59" s="289">
        <f t="shared" si="5"/>
        <v>0</v>
      </c>
      <c r="D59" s="296">
        <v>17</v>
      </c>
      <c r="E59" s="296" t="str">
        <f>IFERROR(VLOOKUP(G59,BD_PRINCIPAL[],7,FALSE),"")</f>
        <v/>
      </c>
      <c r="F59" s="297" t="str">
        <f>IFERROR(VLOOKUP(G59,BD_PRINCIPAL[],2,FALSE),"")</f>
        <v/>
      </c>
      <c r="G59" s="321"/>
      <c r="H59" s="296" t="str">
        <f>IFERROR(IF(VLOOKUP($G59,BD_PRINCIPAL[],28,FALSE)=0,"",VLOOKUP($G59,BD_PRINCIPAL[],28,FALSE)),"")</f>
        <v/>
      </c>
      <c r="I59" s="296" t="str">
        <f>IFERROR(IF(VLOOKUP($G59,BD_PRINCIPAL[],29,FALSE)=0,"",VLOOKUP($G59,BD_PRINCIPAL[],29,FALSE)),"")</f>
        <v/>
      </c>
      <c r="J59" s="296" t="str">
        <f>IFERROR(IF(VLOOKUP($G59,BD_PRINCIPAL[],30,FALSE)=0,"",VLOOKUP($G59,BD_PRINCIPAL[],30,FALSE)),"")</f>
        <v/>
      </c>
      <c r="K59" s="296" t="str">
        <f>IFERROR(IF(VLOOKUP($G59,BD_PRINCIPAL[],31,FALSE)=0,"",VLOOKUP($G59,BD_PRINCIPAL[],31,FALSE)),"")</f>
        <v/>
      </c>
      <c r="L59" s="296" t="str">
        <f>IFERROR(IF(VLOOKUP($G59,BD_PRINCIPAL[],32,FALSE)=0,"",VLOOKUP($G59,BD_PRINCIPAL[],32,FALSE)),"")</f>
        <v/>
      </c>
      <c r="M59" s="296" t="str">
        <f>IFERROR(IF(VLOOKUP($G59,BD_PRINCIPAL[],33,FALSE)=0,"",VLOOKUP($G59,BD_PRINCIPAL[],33,FALSE)),"")</f>
        <v/>
      </c>
      <c r="N59" s="296" t="str">
        <f>IFERROR(IF(VLOOKUP($G59,BD_PRINCIPAL[],34,FALSE)=0,"",VLOOKUP($G59,BD_PRINCIPAL[],34,FALSE)),"")</f>
        <v/>
      </c>
      <c r="O59" s="296" t="str">
        <f>IFERROR(IF(VLOOKUP($G59,BD_PRINCIPAL[],35,FALSE)=0,"",VLOOKUP($G59,BD_PRINCIPAL[],35,FALSE)),"")</f>
        <v/>
      </c>
      <c r="P59" s="296" t="str">
        <f>IFERROR(IF(VLOOKUP($G59,BD_PRINCIPAL[],36,FALSE)=0,"",VLOOKUP($G59,BD_PRINCIPAL[],36,FALSE)),"")</f>
        <v/>
      </c>
      <c r="Q59" s="296" t="str">
        <f>IFERROR(IF(VLOOKUP($G59,BD_PRINCIPAL[],37,FALSE)=0,"",VLOOKUP($G59,BD_PRINCIPAL[],37,FALSE)),"")</f>
        <v/>
      </c>
      <c r="R59" s="296" t="str">
        <f>IFERROR(IF(VLOOKUP($G59,BD_PRINCIPAL[],38,FALSE)=0,"",VLOOKUP($G59,BD_PRINCIPAL[],38,FALSE)),"")</f>
        <v/>
      </c>
      <c r="S59" s="296" t="str">
        <f>IFERROR(IF(VLOOKUP($G59,BD_PRINCIPAL[],39,FALSE)=0,"",VLOOKUP($G59,BD_PRINCIPAL[],39,FALSE)),"")</f>
        <v/>
      </c>
      <c r="T59" s="296" t="str">
        <f>IFERROR(IF(VLOOKUP($G59,BD_PRINCIPAL[],40,FALSE)=0,"",VLOOKUP($G59,BD_PRINCIPAL[],40,FALSE)),"")</f>
        <v/>
      </c>
      <c r="U59" s="296" t="str">
        <f>IFERROR(IF(VLOOKUP($G59,BD_PRINCIPAL[],41,FALSE)=0,"",VLOOKUP($G59,BD_PRINCIPAL[],41,FALSE)),"")</f>
        <v/>
      </c>
      <c r="V59" s="296" t="str">
        <f>IFERROR(IF(VLOOKUP($G59,BD_PRINCIPAL[],42,FALSE)=0,"",VLOOKUP($G59,BD_PRINCIPAL[],42,FALSE)),"")</f>
        <v/>
      </c>
      <c r="W59" s="296" t="str">
        <f>IFERROR(IF(VLOOKUP($G59,BD_PRINCIPAL[],43,FALSE)=0,"",VLOOKUP($G59,BD_PRINCIPAL[],43,FALSE)),"")</f>
        <v/>
      </c>
      <c r="X59" s="296" t="str">
        <f>IFERROR(IF(VLOOKUP($G59,BD_PRINCIPAL[],44,FALSE)=0,"",VLOOKUP($G59,BD_PRINCIPAL[],44,FALSE)),"")</f>
        <v/>
      </c>
      <c r="Y59" s="296" t="str">
        <f>IFERROR(IF(VLOOKUP($G59,BD_PRINCIPAL[],45,FALSE)=0,"",VLOOKUP($G59,BD_PRINCIPAL[],45,FALSE)),"")</f>
        <v/>
      </c>
      <c r="Z59" s="296" t="str">
        <f>IFERROR(IF(VLOOKUP($G59,BD_PRINCIPAL[],46,FALSE)=0,"",VLOOKUP($G59,BD_PRINCIPAL[],46,FALSE)),"")</f>
        <v/>
      </c>
      <c r="AA59" s="296" t="str">
        <f>IFERROR(IF(VLOOKUP($G59,BD_PRINCIPAL[],47,FALSE)=0,"",VLOOKUP($G59,BD_PRINCIPAL[],47,FALSE)),"")</f>
        <v/>
      </c>
      <c r="AB59" s="296" t="str">
        <f>IFERROR(IF(VLOOKUP($G59,BD_PRINCIPAL[],48,FALSE)=0,"",VLOOKUP($G59,BD_PRINCIPAL[],48,FALSE)),"")</f>
        <v/>
      </c>
      <c r="AC59" s="296" t="str">
        <f>IFERROR(IF(VLOOKUP($G59,BD_PRINCIPAL[],49,FALSE)=0,"",VLOOKUP($G59,BD_PRINCIPAL[],49,FALSE)),"")</f>
        <v/>
      </c>
      <c r="AD59" s="296" t="str">
        <f>IFERROR(IF(VLOOKUP($G59,BD_PRINCIPAL[],50,FALSE)=0,"",VLOOKUP($G59,BD_PRINCIPAL[],50,FALSE)),"")</f>
        <v/>
      </c>
      <c r="AE59" s="296" t="str">
        <f>IFERROR(IF(VLOOKUP($G59,BD_PRINCIPAL[],51,FALSE)=0,"",VLOOKUP($G59,BD_PRINCIPAL[],51,FALSE)),"")</f>
        <v/>
      </c>
      <c r="AF59" s="296" t="str">
        <f>IFERROR(IF(VLOOKUP($G59,BD_PRINCIPAL[],52,FALSE)=0,"",VLOOKUP($G59,BD_PRINCIPAL[],52,FALSE)),"")</f>
        <v/>
      </c>
      <c r="AG59" s="296" t="str">
        <f>IFERROR(IF(VLOOKUP($G59,BD_PRINCIPAL[],53,FALSE)=0,"",VLOOKUP($G59,BD_PRINCIPAL[],53,FALSE)),"")</f>
        <v/>
      </c>
      <c r="AH59" s="296" t="str">
        <f>IFERROR(IF(VLOOKUP($G59,BD_PRINCIPAL[],54,FALSE)=0,"",VLOOKUP($G59,BD_PRINCIPAL[],54,FALSE)),"")</f>
        <v/>
      </c>
      <c r="AI59" s="296" t="str">
        <f>IFERROR(IF(VLOOKUP($G59,BD_PRINCIPAL[],55,FALSE)=0,"",VLOOKUP($G59,BD_PRINCIPAL[],55,FALSE)),"")</f>
        <v/>
      </c>
      <c r="AJ59" s="296" t="str">
        <f>IFERROR(IF(VLOOKUP($G59,BD_PRINCIPAL[],56,FALSE)=0,"",VLOOKUP($G59,BD_PRINCIPAL[],56,FALSE)),"")</f>
        <v/>
      </c>
      <c r="AK59" s="296" t="str">
        <f>IFERROR(IF(VLOOKUP($G59,BD_PRINCIPAL[],57,FALSE)=0,"",VLOOKUP($G59,BD_PRINCIPAL[],57,FALSE)),"")</f>
        <v/>
      </c>
      <c r="AL59" s="296" t="str">
        <f>IFERROR(IF(VLOOKUP($G59,BD_PRINCIPAL[],58,FALSE)=0,"",VLOOKUP($G59,BD_PRINCIPAL[],58,FALSE)),"")</f>
        <v/>
      </c>
    </row>
    <row r="60" spans="2:38" x14ac:dyDescent="0.3">
      <c r="B60" s="289">
        <f t="shared" si="5"/>
        <v>0</v>
      </c>
      <c r="D60" s="296">
        <v>18</v>
      </c>
      <c r="E60" s="296" t="str">
        <f>IFERROR(VLOOKUP(G60,BD_PRINCIPAL[],7,FALSE),"")</f>
        <v/>
      </c>
      <c r="F60" s="297" t="str">
        <f>IFERROR(VLOOKUP(G60,BD_PRINCIPAL[],2,FALSE),"")</f>
        <v/>
      </c>
      <c r="G60" s="321"/>
      <c r="H60" s="296" t="str">
        <f>IFERROR(IF(VLOOKUP($G60,BD_PRINCIPAL[],28,FALSE)=0,"",VLOOKUP($G60,BD_PRINCIPAL[],28,FALSE)),"")</f>
        <v/>
      </c>
      <c r="I60" s="296" t="str">
        <f>IFERROR(IF(VLOOKUP($G60,BD_PRINCIPAL[],29,FALSE)=0,"",VLOOKUP($G60,BD_PRINCIPAL[],29,FALSE)),"")</f>
        <v/>
      </c>
      <c r="J60" s="296" t="str">
        <f>IFERROR(IF(VLOOKUP($G60,BD_PRINCIPAL[],30,FALSE)=0,"",VLOOKUP($G60,BD_PRINCIPAL[],30,FALSE)),"")</f>
        <v/>
      </c>
      <c r="K60" s="296" t="str">
        <f>IFERROR(IF(VLOOKUP($G60,BD_PRINCIPAL[],31,FALSE)=0,"",VLOOKUP($G60,BD_PRINCIPAL[],31,FALSE)),"")</f>
        <v/>
      </c>
      <c r="L60" s="296" t="str">
        <f>IFERROR(IF(VLOOKUP($G60,BD_PRINCIPAL[],32,FALSE)=0,"",VLOOKUP($G60,BD_PRINCIPAL[],32,FALSE)),"")</f>
        <v/>
      </c>
      <c r="M60" s="296" t="str">
        <f>IFERROR(IF(VLOOKUP($G60,BD_PRINCIPAL[],33,FALSE)=0,"",VLOOKUP($G60,BD_PRINCIPAL[],33,FALSE)),"")</f>
        <v/>
      </c>
      <c r="N60" s="296" t="str">
        <f>IFERROR(IF(VLOOKUP($G60,BD_PRINCIPAL[],34,FALSE)=0,"",VLOOKUP($G60,BD_PRINCIPAL[],34,FALSE)),"")</f>
        <v/>
      </c>
      <c r="O60" s="296" t="str">
        <f>IFERROR(IF(VLOOKUP($G60,BD_PRINCIPAL[],35,FALSE)=0,"",VLOOKUP($G60,BD_PRINCIPAL[],35,FALSE)),"")</f>
        <v/>
      </c>
      <c r="P60" s="296" t="str">
        <f>IFERROR(IF(VLOOKUP($G60,BD_PRINCIPAL[],36,FALSE)=0,"",VLOOKUP($G60,BD_PRINCIPAL[],36,FALSE)),"")</f>
        <v/>
      </c>
      <c r="Q60" s="296" t="str">
        <f>IFERROR(IF(VLOOKUP($G60,BD_PRINCIPAL[],37,FALSE)=0,"",VLOOKUP($G60,BD_PRINCIPAL[],37,FALSE)),"")</f>
        <v/>
      </c>
      <c r="R60" s="296" t="str">
        <f>IFERROR(IF(VLOOKUP($G60,BD_PRINCIPAL[],38,FALSE)=0,"",VLOOKUP($G60,BD_PRINCIPAL[],38,FALSE)),"")</f>
        <v/>
      </c>
      <c r="S60" s="296" t="str">
        <f>IFERROR(IF(VLOOKUP($G60,BD_PRINCIPAL[],39,FALSE)=0,"",VLOOKUP($G60,BD_PRINCIPAL[],39,FALSE)),"")</f>
        <v/>
      </c>
      <c r="T60" s="296" t="str">
        <f>IFERROR(IF(VLOOKUP($G60,BD_PRINCIPAL[],40,FALSE)=0,"",VLOOKUP($G60,BD_PRINCIPAL[],40,FALSE)),"")</f>
        <v/>
      </c>
      <c r="U60" s="296" t="str">
        <f>IFERROR(IF(VLOOKUP($G60,BD_PRINCIPAL[],41,FALSE)=0,"",VLOOKUP($G60,BD_PRINCIPAL[],41,FALSE)),"")</f>
        <v/>
      </c>
      <c r="V60" s="296" t="str">
        <f>IFERROR(IF(VLOOKUP($G60,BD_PRINCIPAL[],42,FALSE)=0,"",VLOOKUP($G60,BD_PRINCIPAL[],42,FALSE)),"")</f>
        <v/>
      </c>
      <c r="W60" s="296" t="str">
        <f>IFERROR(IF(VLOOKUP($G60,BD_PRINCIPAL[],43,FALSE)=0,"",VLOOKUP($G60,BD_PRINCIPAL[],43,FALSE)),"")</f>
        <v/>
      </c>
      <c r="X60" s="296" t="str">
        <f>IFERROR(IF(VLOOKUP($G60,BD_PRINCIPAL[],44,FALSE)=0,"",VLOOKUP($G60,BD_PRINCIPAL[],44,FALSE)),"")</f>
        <v/>
      </c>
      <c r="Y60" s="296" t="str">
        <f>IFERROR(IF(VLOOKUP($G60,BD_PRINCIPAL[],45,FALSE)=0,"",VLOOKUP($G60,BD_PRINCIPAL[],45,FALSE)),"")</f>
        <v/>
      </c>
      <c r="Z60" s="296" t="str">
        <f>IFERROR(IF(VLOOKUP($G60,BD_PRINCIPAL[],46,FALSE)=0,"",VLOOKUP($G60,BD_PRINCIPAL[],46,FALSE)),"")</f>
        <v/>
      </c>
      <c r="AA60" s="296" t="str">
        <f>IFERROR(IF(VLOOKUP($G60,BD_PRINCIPAL[],47,FALSE)=0,"",VLOOKUP($G60,BD_PRINCIPAL[],47,FALSE)),"")</f>
        <v/>
      </c>
      <c r="AB60" s="296" t="str">
        <f>IFERROR(IF(VLOOKUP($G60,BD_PRINCIPAL[],48,FALSE)=0,"",VLOOKUP($G60,BD_PRINCIPAL[],48,FALSE)),"")</f>
        <v/>
      </c>
      <c r="AC60" s="296" t="str">
        <f>IFERROR(IF(VLOOKUP($G60,BD_PRINCIPAL[],49,FALSE)=0,"",VLOOKUP($G60,BD_PRINCIPAL[],49,FALSE)),"")</f>
        <v/>
      </c>
      <c r="AD60" s="296" t="str">
        <f>IFERROR(IF(VLOOKUP($G60,BD_PRINCIPAL[],50,FALSE)=0,"",VLOOKUP($G60,BD_PRINCIPAL[],50,FALSE)),"")</f>
        <v/>
      </c>
      <c r="AE60" s="296" t="str">
        <f>IFERROR(IF(VLOOKUP($G60,BD_PRINCIPAL[],51,FALSE)=0,"",VLOOKUP($G60,BD_PRINCIPAL[],51,FALSE)),"")</f>
        <v/>
      </c>
      <c r="AF60" s="296" t="str">
        <f>IFERROR(IF(VLOOKUP($G60,BD_PRINCIPAL[],52,FALSE)=0,"",VLOOKUP($G60,BD_PRINCIPAL[],52,FALSE)),"")</f>
        <v/>
      </c>
      <c r="AG60" s="296" t="str">
        <f>IFERROR(IF(VLOOKUP($G60,BD_PRINCIPAL[],53,FALSE)=0,"",VLOOKUP($G60,BD_PRINCIPAL[],53,FALSE)),"")</f>
        <v/>
      </c>
      <c r="AH60" s="296" t="str">
        <f>IFERROR(IF(VLOOKUP($G60,BD_PRINCIPAL[],54,FALSE)=0,"",VLOOKUP($G60,BD_PRINCIPAL[],54,FALSE)),"")</f>
        <v/>
      </c>
      <c r="AI60" s="296" t="str">
        <f>IFERROR(IF(VLOOKUP($G60,BD_PRINCIPAL[],55,FALSE)=0,"",VLOOKUP($G60,BD_PRINCIPAL[],55,FALSE)),"")</f>
        <v/>
      </c>
      <c r="AJ60" s="296" t="str">
        <f>IFERROR(IF(VLOOKUP($G60,BD_PRINCIPAL[],56,FALSE)=0,"",VLOOKUP($G60,BD_PRINCIPAL[],56,FALSE)),"")</f>
        <v/>
      </c>
      <c r="AK60" s="296" t="str">
        <f>IFERROR(IF(VLOOKUP($G60,BD_PRINCIPAL[],57,FALSE)=0,"",VLOOKUP($G60,BD_PRINCIPAL[],57,FALSE)),"")</f>
        <v/>
      </c>
      <c r="AL60" s="296" t="str">
        <f>IFERROR(IF(VLOOKUP($G60,BD_PRINCIPAL[],58,FALSE)=0,"",VLOOKUP($G60,BD_PRINCIPAL[],58,FALSE)),"")</f>
        <v/>
      </c>
    </row>
    <row r="61" spans="2:38" x14ac:dyDescent="0.3">
      <c r="B61" s="289">
        <f t="shared" si="5"/>
        <v>0</v>
      </c>
      <c r="D61" s="296">
        <v>19</v>
      </c>
      <c r="E61" s="296" t="str">
        <f>IFERROR(VLOOKUP(G61,BD_PRINCIPAL[],7,FALSE),"")</f>
        <v/>
      </c>
      <c r="F61" s="297" t="str">
        <f>IFERROR(VLOOKUP(G61,BD_PRINCIPAL[],2,FALSE),"")</f>
        <v/>
      </c>
      <c r="G61" s="288"/>
      <c r="H61" s="296" t="str">
        <f>IFERROR(IF(VLOOKUP($G61,BD_PRINCIPAL[],28,FALSE)=0,"",VLOOKUP($G61,BD_PRINCIPAL[],28,FALSE)),"")</f>
        <v/>
      </c>
      <c r="I61" s="296" t="str">
        <f>IFERROR(IF(VLOOKUP($G61,BD_PRINCIPAL[],29,FALSE)=0,"",VLOOKUP($G61,BD_PRINCIPAL[],29,FALSE)),"")</f>
        <v/>
      </c>
      <c r="J61" s="296" t="str">
        <f>IFERROR(IF(VLOOKUP($G61,BD_PRINCIPAL[],30,FALSE)=0,"",VLOOKUP($G61,BD_PRINCIPAL[],30,FALSE)),"")</f>
        <v/>
      </c>
      <c r="K61" s="296" t="str">
        <f>IFERROR(IF(VLOOKUP($G61,BD_PRINCIPAL[],31,FALSE)=0,"",VLOOKUP($G61,BD_PRINCIPAL[],31,FALSE)),"")</f>
        <v/>
      </c>
      <c r="L61" s="296" t="str">
        <f>IFERROR(IF(VLOOKUP($G61,BD_PRINCIPAL[],32,FALSE)=0,"",VLOOKUP($G61,BD_PRINCIPAL[],32,FALSE)),"")</f>
        <v/>
      </c>
      <c r="M61" s="296" t="str">
        <f>IFERROR(IF(VLOOKUP($G61,BD_PRINCIPAL[],33,FALSE)=0,"",VLOOKUP($G61,BD_PRINCIPAL[],33,FALSE)),"")</f>
        <v/>
      </c>
      <c r="N61" s="296" t="str">
        <f>IFERROR(IF(VLOOKUP($G61,BD_PRINCIPAL[],34,FALSE)=0,"",VLOOKUP($G61,BD_PRINCIPAL[],34,FALSE)),"")</f>
        <v/>
      </c>
      <c r="O61" s="296" t="str">
        <f>IFERROR(IF(VLOOKUP($G61,BD_PRINCIPAL[],35,FALSE)=0,"",VLOOKUP($G61,BD_PRINCIPAL[],35,FALSE)),"")</f>
        <v/>
      </c>
      <c r="P61" s="296" t="str">
        <f>IFERROR(IF(VLOOKUP($G61,BD_PRINCIPAL[],36,FALSE)=0,"",VLOOKUP($G61,BD_PRINCIPAL[],36,FALSE)),"")</f>
        <v/>
      </c>
      <c r="Q61" s="296" t="str">
        <f>IFERROR(IF(VLOOKUP($G61,BD_PRINCIPAL[],37,FALSE)=0,"",VLOOKUP($G61,BD_PRINCIPAL[],37,FALSE)),"")</f>
        <v/>
      </c>
      <c r="R61" s="296" t="str">
        <f>IFERROR(IF(VLOOKUP($G61,BD_PRINCIPAL[],38,FALSE)=0,"",VLOOKUP($G61,BD_PRINCIPAL[],38,FALSE)),"")</f>
        <v/>
      </c>
      <c r="S61" s="296" t="str">
        <f>IFERROR(IF(VLOOKUP($G61,BD_PRINCIPAL[],39,FALSE)=0,"",VLOOKUP($G61,BD_PRINCIPAL[],39,FALSE)),"")</f>
        <v/>
      </c>
      <c r="T61" s="296" t="str">
        <f>IFERROR(IF(VLOOKUP($G61,BD_PRINCIPAL[],40,FALSE)=0,"",VLOOKUP($G61,BD_PRINCIPAL[],40,FALSE)),"")</f>
        <v/>
      </c>
      <c r="U61" s="296" t="str">
        <f>IFERROR(IF(VLOOKUP($G61,BD_PRINCIPAL[],41,FALSE)=0,"",VLOOKUP($G61,BD_PRINCIPAL[],41,FALSE)),"")</f>
        <v/>
      </c>
      <c r="V61" s="296" t="str">
        <f>IFERROR(IF(VLOOKUP($G61,BD_PRINCIPAL[],42,FALSE)=0,"",VLOOKUP($G61,BD_PRINCIPAL[],42,FALSE)),"")</f>
        <v/>
      </c>
      <c r="W61" s="296" t="str">
        <f>IFERROR(IF(VLOOKUP($G61,BD_PRINCIPAL[],43,FALSE)=0,"",VLOOKUP($G61,BD_PRINCIPAL[],43,FALSE)),"")</f>
        <v/>
      </c>
      <c r="X61" s="296" t="str">
        <f>IFERROR(IF(VLOOKUP($G61,BD_PRINCIPAL[],44,FALSE)=0,"",VLOOKUP($G61,BD_PRINCIPAL[],44,FALSE)),"")</f>
        <v/>
      </c>
      <c r="Y61" s="296" t="str">
        <f>IFERROR(IF(VLOOKUP($G61,BD_PRINCIPAL[],45,FALSE)=0,"",VLOOKUP($G61,BD_PRINCIPAL[],45,FALSE)),"")</f>
        <v/>
      </c>
      <c r="Z61" s="296" t="str">
        <f>IFERROR(IF(VLOOKUP($G61,BD_PRINCIPAL[],46,FALSE)=0,"",VLOOKUP($G61,BD_PRINCIPAL[],46,FALSE)),"")</f>
        <v/>
      </c>
      <c r="AA61" s="296" t="str">
        <f>IFERROR(IF(VLOOKUP($G61,BD_PRINCIPAL[],47,FALSE)=0,"",VLOOKUP($G61,BD_PRINCIPAL[],47,FALSE)),"")</f>
        <v/>
      </c>
      <c r="AB61" s="296" t="str">
        <f>IFERROR(IF(VLOOKUP($G61,BD_PRINCIPAL[],48,FALSE)=0,"",VLOOKUP($G61,BD_PRINCIPAL[],48,FALSE)),"")</f>
        <v/>
      </c>
      <c r="AC61" s="296" t="str">
        <f>IFERROR(IF(VLOOKUP($G61,BD_PRINCIPAL[],49,FALSE)=0,"",VLOOKUP($G61,BD_PRINCIPAL[],49,FALSE)),"")</f>
        <v/>
      </c>
      <c r="AD61" s="296" t="str">
        <f>IFERROR(IF(VLOOKUP($G61,BD_PRINCIPAL[],50,FALSE)=0,"",VLOOKUP($G61,BD_PRINCIPAL[],50,FALSE)),"")</f>
        <v/>
      </c>
      <c r="AE61" s="296" t="str">
        <f>IFERROR(IF(VLOOKUP($G61,BD_PRINCIPAL[],51,FALSE)=0,"",VLOOKUP($G61,BD_PRINCIPAL[],51,FALSE)),"")</f>
        <v/>
      </c>
      <c r="AF61" s="296" t="str">
        <f>IFERROR(IF(VLOOKUP($G61,BD_PRINCIPAL[],52,FALSE)=0,"",VLOOKUP($G61,BD_PRINCIPAL[],52,FALSE)),"")</f>
        <v/>
      </c>
      <c r="AG61" s="296" t="str">
        <f>IFERROR(IF(VLOOKUP($G61,BD_PRINCIPAL[],53,FALSE)=0,"",VLOOKUP($G61,BD_PRINCIPAL[],53,FALSE)),"")</f>
        <v/>
      </c>
      <c r="AH61" s="296" t="str">
        <f>IFERROR(IF(VLOOKUP($G61,BD_PRINCIPAL[],54,FALSE)=0,"",VLOOKUP($G61,BD_PRINCIPAL[],54,FALSE)),"")</f>
        <v/>
      </c>
      <c r="AI61" s="296" t="str">
        <f>IFERROR(IF(VLOOKUP($G61,BD_PRINCIPAL[],55,FALSE)=0,"",VLOOKUP($G61,BD_PRINCIPAL[],55,FALSE)),"")</f>
        <v/>
      </c>
      <c r="AJ61" s="296" t="str">
        <f>IFERROR(IF(VLOOKUP($G61,BD_PRINCIPAL[],56,FALSE)=0,"",VLOOKUP($G61,BD_PRINCIPAL[],56,FALSE)),"")</f>
        <v/>
      </c>
      <c r="AK61" s="296" t="str">
        <f>IFERROR(IF(VLOOKUP($G61,BD_PRINCIPAL[],57,FALSE)=0,"",VLOOKUP($G61,BD_PRINCIPAL[],57,FALSE)),"")</f>
        <v/>
      </c>
      <c r="AL61" s="296" t="str">
        <f>IFERROR(IF(VLOOKUP($G61,BD_PRINCIPAL[],58,FALSE)=0,"",VLOOKUP($G61,BD_PRINCIPAL[],58,FALSE)),"")</f>
        <v/>
      </c>
    </row>
    <row r="62" spans="2:38" x14ac:dyDescent="0.3">
      <c r="B62" s="289">
        <f t="shared" si="5"/>
        <v>0</v>
      </c>
      <c r="D62" s="296">
        <v>20</v>
      </c>
      <c r="E62" s="296" t="str">
        <f>IFERROR(VLOOKUP(G62,BD_PRINCIPAL[],7,FALSE),"")</f>
        <v/>
      </c>
      <c r="F62" s="297" t="str">
        <f>IFERROR(VLOOKUP(G62,BD_PRINCIPAL[],2,FALSE),"")</f>
        <v/>
      </c>
      <c r="G62" s="288"/>
      <c r="H62" s="296" t="str">
        <f>IFERROR(IF(VLOOKUP($G62,BD_PRINCIPAL[],28,FALSE)=0,"",VLOOKUP($G62,BD_PRINCIPAL[],28,FALSE)),"")</f>
        <v/>
      </c>
      <c r="I62" s="296" t="str">
        <f>IFERROR(IF(VLOOKUP($G62,BD_PRINCIPAL[],29,FALSE)=0,"",VLOOKUP($G62,BD_PRINCIPAL[],29,FALSE)),"")</f>
        <v/>
      </c>
      <c r="J62" s="296" t="str">
        <f>IFERROR(IF(VLOOKUP($G62,BD_PRINCIPAL[],30,FALSE)=0,"",VLOOKUP($G62,BD_PRINCIPAL[],30,FALSE)),"")</f>
        <v/>
      </c>
      <c r="K62" s="296" t="str">
        <f>IFERROR(IF(VLOOKUP($G62,BD_PRINCIPAL[],31,FALSE)=0,"",VLOOKUP($G62,BD_PRINCIPAL[],31,FALSE)),"")</f>
        <v/>
      </c>
      <c r="L62" s="296" t="str">
        <f>IFERROR(IF(VLOOKUP($G62,BD_PRINCIPAL[],32,FALSE)=0,"",VLOOKUP($G62,BD_PRINCIPAL[],32,FALSE)),"")</f>
        <v/>
      </c>
      <c r="M62" s="296" t="str">
        <f>IFERROR(IF(VLOOKUP($G62,BD_PRINCIPAL[],33,FALSE)=0,"",VLOOKUP($G62,BD_PRINCIPAL[],33,FALSE)),"")</f>
        <v/>
      </c>
      <c r="N62" s="296" t="str">
        <f>IFERROR(IF(VLOOKUP($G62,BD_PRINCIPAL[],34,FALSE)=0,"",VLOOKUP($G62,BD_PRINCIPAL[],34,FALSE)),"")</f>
        <v/>
      </c>
      <c r="O62" s="296" t="str">
        <f>IFERROR(IF(VLOOKUP($G62,BD_PRINCIPAL[],35,FALSE)=0,"",VLOOKUP($G62,BD_PRINCIPAL[],35,FALSE)),"")</f>
        <v/>
      </c>
      <c r="P62" s="296" t="str">
        <f>IFERROR(IF(VLOOKUP($G62,BD_PRINCIPAL[],36,FALSE)=0,"",VLOOKUP($G62,BD_PRINCIPAL[],36,FALSE)),"")</f>
        <v/>
      </c>
      <c r="Q62" s="296" t="str">
        <f>IFERROR(IF(VLOOKUP($G62,BD_PRINCIPAL[],37,FALSE)=0,"",VLOOKUP($G62,BD_PRINCIPAL[],37,FALSE)),"")</f>
        <v/>
      </c>
      <c r="R62" s="296" t="str">
        <f>IFERROR(IF(VLOOKUP($G62,BD_PRINCIPAL[],38,FALSE)=0,"",VLOOKUP($G62,BD_PRINCIPAL[],38,FALSE)),"")</f>
        <v/>
      </c>
      <c r="S62" s="296" t="str">
        <f>IFERROR(IF(VLOOKUP($G62,BD_PRINCIPAL[],39,FALSE)=0,"",VLOOKUP($G62,BD_PRINCIPAL[],39,FALSE)),"")</f>
        <v/>
      </c>
      <c r="T62" s="296" t="str">
        <f>IFERROR(IF(VLOOKUP($G62,BD_PRINCIPAL[],40,FALSE)=0,"",VLOOKUP($G62,BD_PRINCIPAL[],40,FALSE)),"")</f>
        <v/>
      </c>
      <c r="U62" s="296" t="str">
        <f>IFERROR(IF(VLOOKUP($G62,BD_PRINCIPAL[],41,FALSE)=0,"",VLOOKUP($G62,BD_PRINCIPAL[],41,FALSE)),"")</f>
        <v/>
      </c>
      <c r="V62" s="296" t="str">
        <f>IFERROR(IF(VLOOKUP($G62,BD_PRINCIPAL[],42,FALSE)=0,"",VLOOKUP($G62,BD_PRINCIPAL[],42,FALSE)),"")</f>
        <v/>
      </c>
      <c r="W62" s="296" t="str">
        <f>IFERROR(IF(VLOOKUP($G62,BD_PRINCIPAL[],43,FALSE)=0,"",VLOOKUP($G62,BD_PRINCIPAL[],43,FALSE)),"")</f>
        <v/>
      </c>
      <c r="X62" s="296" t="str">
        <f>IFERROR(IF(VLOOKUP($G62,BD_PRINCIPAL[],44,FALSE)=0,"",VLOOKUP($G62,BD_PRINCIPAL[],44,FALSE)),"")</f>
        <v/>
      </c>
      <c r="Y62" s="296" t="str">
        <f>IFERROR(IF(VLOOKUP($G62,BD_PRINCIPAL[],45,FALSE)=0,"",VLOOKUP($G62,BD_PRINCIPAL[],45,FALSE)),"")</f>
        <v/>
      </c>
      <c r="Z62" s="296" t="str">
        <f>IFERROR(IF(VLOOKUP($G62,BD_PRINCIPAL[],46,FALSE)=0,"",VLOOKUP($G62,BD_PRINCIPAL[],46,FALSE)),"")</f>
        <v/>
      </c>
      <c r="AA62" s="296" t="str">
        <f>IFERROR(IF(VLOOKUP($G62,BD_PRINCIPAL[],47,FALSE)=0,"",VLOOKUP($G62,BD_PRINCIPAL[],47,FALSE)),"")</f>
        <v/>
      </c>
      <c r="AB62" s="296" t="str">
        <f>IFERROR(IF(VLOOKUP($G62,BD_PRINCIPAL[],48,FALSE)=0,"",VLOOKUP($G62,BD_PRINCIPAL[],48,FALSE)),"")</f>
        <v/>
      </c>
      <c r="AC62" s="296" t="str">
        <f>IFERROR(IF(VLOOKUP($G62,BD_PRINCIPAL[],49,FALSE)=0,"",VLOOKUP($G62,BD_PRINCIPAL[],49,FALSE)),"")</f>
        <v/>
      </c>
      <c r="AD62" s="296" t="str">
        <f>IFERROR(IF(VLOOKUP($G62,BD_PRINCIPAL[],50,FALSE)=0,"",VLOOKUP($G62,BD_PRINCIPAL[],50,FALSE)),"")</f>
        <v/>
      </c>
      <c r="AE62" s="296" t="str">
        <f>IFERROR(IF(VLOOKUP($G62,BD_PRINCIPAL[],51,FALSE)=0,"",VLOOKUP($G62,BD_PRINCIPAL[],51,FALSE)),"")</f>
        <v/>
      </c>
      <c r="AF62" s="296" t="str">
        <f>IFERROR(IF(VLOOKUP($G62,BD_PRINCIPAL[],52,FALSE)=0,"",VLOOKUP($G62,BD_PRINCIPAL[],52,FALSE)),"")</f>
        <v/>
      </c>
      <c r="AG62" s="296" t="str">
        <f>IFERROR(IF(VLOOKUP($G62,BD_PRINCIPAL[],53,FALSE)=0,"",VLOOKUP($G62,BD_PRINCIPAL[],53,FALSE)),"")</f>
        <v/>
      </c>
      <c r="AH62" s="296" t="str">
        <f>IFERROR(IF(VLOOKUP($G62,BD_PRINCIPAL[],54,FALSE)=0,"",VLOOKUP($G62,BD_PRINCIPAL[],54,FALSE)),"")</f>
        <v/>
      </c>
      <c r="AI62" s="296" t="str">
        <f>IFERROR(IF(VLOOKUP($G62,BD_PRINCIPAL[],55,FALSE)=0,"",VLOOKUP($G62,BD_PRINCIPAL[],55,FALSE)),"")</f>
        <v/>
      </c>
      <c r="AJ62" s="296" t="str">
        <f>IFERROR(IF(VLOOKUP($G62,BD_PRINCIPAL[],56,FALSE)=0,"",VLOOKUP($G62,BD_PRINCIPAL[],56,FALSE)),"")</f>
        <v/>
      </c>
      <c r="AK62" s="296" t="str">
        <f>IFERROR(IF(VLOOKUP($G62,BD_PRINCIPAL[],57,FALSE)=0,"",VLOOKUP($G62,BD_PRINCIPAL[],57,FALSE)),"")</f>
        <v/>
      </c>
      <c r="AL62" s="296" t="str">
        <f>IFERROR(IF(VLOOKUP($G62,BD_PRINCIPAL[],58,FALSE)=0,"",VLOOKUP($G62,BD_PRINCIPAL[],58,FALSE)),"")</f>
        <v/>
      </c>
    </row>
    <row r="63" spans="2:38" x14ac:dyDescent="0.3">
      <c r="B63" s="289">
        <f t="shared" si="5"/>
        <v>0</v>
      </c>
      <c r="D63" s="296">
        <v>21</v>
      </c>
      <c r="E63" s="296" t="str">
        <f>IFERROR(VLOOKUP(G63,BD_PRINCIPAL[],7,FALSE),"")</f>
        <v/>
      </c>
      <c r="F63" s="297" t="str">
        <f>IFERROR(VLOOKUP(G63,BD_PRINCIPAL[],2,FALSE),"")</f>
        <v/>
      </c>
      <c r="G63" s="288"/>
      <c r="H63" s="296" t="str">
        <f>IFERROR(IF(VLOOKUP($G63,BD_PRINCIPAL[],28,FALSE)=0,"",VLOOKUP($G63,BD_PRINCIPAL[],28,FALSE)),"")</f>
        <v/>
      </c>
      <c r="I63" s="296" t="str">
        <f>IFERROR(IF(VLOOKUP($G63,BD_PRINCIPAL[],29,FALSE)=0,"",VLOOKUP($G63,BD_PRINCIPAL[],29,FALSE)),"")</f>
        <v/>
      </c>
      <c r="J63" s="296" t="str">
        <f>IFERROR(IF(VLOOKUP($G63,BD_PRINCIPAL[],30,FALSE)=0,"",VLOOKUP($G63,BD_PRINCIPAL[],30,FALSE)),"")</f>
        <v/>
      </c>
      <c r="K63" s="296" t="str">
        <f>IFERROR(IF(VLOOKUP($G63,BD_PRINCIPAL[],31,FALSE)=0,"",VLOOKUP($G63,BD_PRINCIPAL[],31,FALSE)),"")</f>
        <v/>
      </c>
      <c r="L63" s="296" t="str">
        <f>IFERROR(IF(VLOOKUP($G63,BD_PRINCIPAL[],32,FALSE)=0,"",VLOOKUP($G63,BD_PRINCIPAL[],32,FALSE)),"")</f>
        <v/>
      </c>
      <c r="M63" s="296" t="str">
        <f>IFERROR(IF(VLOOKUP($G63,BD_PRINCIPAL[],33,FALSE)=0,"",VLOOKUP($G63,BD_PRINCIPAL[],33,FALSE)),"")</f>
        <v/>
      </c>
      <c r="N63" s="296" t="str">
        <f>IFERROR(IF(VLOOKUP($G63,BD_PRINCIPAL[],34,FALSE)=0,"",VLOOKUP($G63,BD_PRINCIPAL[],34,FALSE)),"")</f>
        <v/>
      </c>
      <c r="O63" s="296" t="str">
        <f>IFERROR(IF(VLOOKUP($G63,BD_PRINCIPAL[],35,FALSE)=0,"",VLOOKUP($G63,BD_PRINCIPAL[],35,FALSE)),"")</f>
        <v/>
      </c>
      <c r="P63" s="296" t="str">
        <f>IFERROR(IF(VLOOKUP($G63,BD_PRINCIPAL[],36,FALSE)=0,"",VLOOKUP($G63,BD_PRINCIPAL[],36,FALSE)),"")</f>
        <v/>
      </c>
      <c r="Q63" s="296" t="str">
        <f>IFERROR(IF(VLOOKUP($G63,BD_PRINCIPAL[],37,FALSE)=0,"",VLOOKUP($G63,BD_PRINCIPAL[],37,FALSE)),"")</f>
        <v/>
      </c>
      <c r="R63" s="296" t="str">
        <f>IFERROR(IF(VLOOKUP($G63,BD_PRINCIPAL[],38,FALSE)=0,"",VLOOKUP($G63,BD_PRINCIPAL[],38,FALSE)),"")</f>
        <v/>
      </c>
      <c r="S63" s="296" t="str">
        <f>IFERROR(IF(VLOOKUP($G63,BD_PRINCIPAL[],39,FALSE)=0,"",VLOOKUP($G63,BD_PRINCIPAL[],39,FALSE)),"")</f>
        <v/>
      </c>
      <c r="T63" s="296" t="str">
        <f>IFERROR(IF(VLOOKUP($G63,BD_PRINCIPAL[],40,FALSE)=0,"",VLOOKUP($G63,BD_PRINCIPAL[],40,FALSE)),"")</f>
        <v/>
      </c>
      <c r="U63" s="296" t="str">
        <f>IFERROR(IF(VLOOKUP($G63,BD_PRINCIPAL[],41,FALSE)=0,"",VLOOKUP($G63,BD_PRINCIPAL[],41,FALSE)),"")</f>
        <v/>
      </c>
      <c r="V63" s="296" t="str">
        <f>IFERROR(IF(VLOOKUP($G63,BD_PRINCIPAL[],42,FALSE)=0,"",VLOOKUP($G63,BD_PRINCIPAL[],42,FALSE)),"")</f>
        <v/>
      </c>
      <c r="W63" s="296" t="str">
        <f>IFERROR(IF(VLOOKUP($G63,BD_PRINCIPAL[],43,FALSE)=0,"",VLOOKUP($G63,BD_PRINCIPAL[],43,FALSE)),"")</f>
        <v/>
      </c>
      <c r="X63" s="296" t="str">
        <f>IFERROR(IF(VLOOKUP($G63,BD_PRINCIPAL[],44,FALSE)=0,"",VLOOKUP($G63,BD_PRINCIPAL[],44,FALSE)),"")</f>
        <v/>
      </c>
      <c r="Y63" s="296" t="str">
        <f>IFERROR(IF(VLOOKUP($G63,BD_PRINCIPAL[],45,FALSE)=0,"",VLOOKUP($G63,BD_PRINCIPAL[],45,FALSE)),"")</f>
        <v/>
      </c>
      <c r="Z63" s="296" t="str">
        <f>IFERROR(IF(VLOOKUP($G63,BD_PRINCIPAL[],46,FALSE)=0,"",VLOOKUP($G63,BD_PRINCIPAL[],46,FALSE)),"")</f>
        <v/>
      </c>
      <c r="AA63" s="296" t="str">
        <f>IFERROR(IF(VLOOKUP($G63,BD_PRINCIPAL[],47,FALSE)=0,"",VLOOKUP($G63,BD_PRINCIPAL[],47,FALSE)),"")</f>
        <v/>
      </c>
      <c r="AB63" s="296" t="str">
        <f>IFERROR(IF(VLOOKUP($G63,BD_PRINCIPAL[],48,FALSE)=0,"",VLOOKUP($G63,BD_PRINCIPAL[],48,FALSE)),"")</f>
        <v/>
      </c>
      <c r="AC63" s="296" t="str">
        <f>IFERROR(IF(VLOOKUP($G63,BD_PRINCIPAL[],49,FALSE)=0,"",VLOOKUP($G63,BD_PRINCIPAL[],49,FALSE)),"")</f>
        <v/>
      </c>
      <c r="AD63" s="296" t="str">
        <f>IFERROR(IF(VLOOKUP($G63,BD_PRINCIPAL[],50,FALSE)=0,"",VLOOKUP($G63,BD_PRINCIPAL[],50,FALSE)),"")</f>
        <v/>
      </c>
      <c r="AE63" s="296" t="str">
        <f>IFERROR(IF(VLOOKUP($G63,BD_PRINCIPAL[],51,FALSE)=0,"",VLOOKUP($G63,BD_PRINCIPAL[],51,FALSE)),"")</f>
        <v/>
      </c>
      <c r="AF63" s="296" t="str">
        <f>IFERROR(IF(VLOOKUP($G63,BD_PRINCIPAL[],52,FALSE)=0,"",VLOOKUP($G63,BD_PRINCIPAL[],52,FALSE)),"")</f>
        <v/>
      </c>
      <c r="AG63" s="296" t="str">
        <f>IFERROR(IF(VLOOKUP($G63,BD_PRINCIPAL[],53,FALSE)=0,"",VLOOKUP($G63,BD_PRINCIPAL[],53,FALSE)),"")</f>
        <v/>
      </c>
      <c r="AH63" s="296" t="str">
        <f>IFERROR(IF(VLOOKUP($G63,BD_PRINCIPAL[],54,FALSE)=0,"",VLOOKUP($G63,BD_PRINCIPAL[],54,FALSE)),"")</f>
        <v/>
      </c>
      <c r="AI63" s="296" t="str">
        <f>IFERROR(IF(VLOOKUP($G63,BD_PRINCIPAL[],55,FALSE)=0,"",VLOOKUP($G63,BD_PRINCIPAL[],55,FALSE)),"")</f>
        <v/>
      </c>
      <c r="AJ63" s="296" t="str">
        <f>IFERROR(IF(VLOOKUP($G63,BD_PRINCIPAL[],56,FALSE)=0,"",VLOOKUP($G63,BD_PRINCIPAL[],56,FALSE)),"")</f>
        <v/>
      </c>
      <c r="AK63" s="296" t="str">
        <f>IFERROR(IF(VLOOKUP($G63,BD_PRINCIPAL[],57,FALSE)=0,"",VLOOKUP($G63,BD_PRINCIPAL[],57,FALSE)),"")</f>
        <v/>
      </c>
      <c r="AL63" s="296" t="str">
        <f>IFERROR(IF(VLOOKUP($G63,BD_PRINCIPAL[],58,FALSE)=0,"",VLOOKUP($G63,BD_PRINCIPAL[],58,FALSE)),"")</f>
        <v/>
      </c>
    </row>
    <row r="64" spans="2:38" x14ac:dyDescent="0.3">
      <c r="B64" s="289">
        <f t="shared" si="5"/>
        <v>0</v>
      </c>
      <c r="D64" s="296">
        <v>22</v>
      </c>
      <c r="E64" s="296" t="str">
        <f>IFERROR(VLOOKUP(G64,BD_PRINCIPAL[],7,FALSE),"")</f>
        <v/>
      </c>
      <c r="F64" s="297" t="str">
        <f>IFERROR(VLOOKUP(G64,BD_PRINCIPAL[],2,FALSE),"")</f>
        <v/>
      </c>
      <c r="G64" s="288"/>
      <c r="H64" s="296" t="str">
        <f>IFERROR(IF(VLOOKUP($G64,BD_PRINCIPAL[],28,FALSE)=0,"",VLOOKUP($G64,BD_PRINCIPAL[],28,FALSE)),"")</f>
        <v/>
      </c>
      <c r="I64" s="296" t="str">
        <f>IFERROR(IF(VLOOKUP($G64,BD_PRINCIPAL[],29,FALSE)=0,"",VLOOKUP($G64,BD_PRINCIPAL[],29,FALSE)),"")</f>
        <v/>
      </c>
      <c r="J64" s="296" t="str">
        <f>IFERROR(IF(VLOOKUP($G64,BD_PRINCIPAL[],30,FALSE)=0,"",VLOOKUP($G64,BD_PRINCIPAL[],30,FALSE)),"")</f>
        <v/>
      </c>
      <c r="K64" s="296" t="str">
        <f>IFERROR(IF(VLOOKUP($G64,BD_PRINCIPAL[],31,FALSE)=0,"",VLOOKUP($G64,BD_PRINCIPAL[],31,FALSE)),"")</f>
        <v/>
      </c>
      <c r="L64" s="296" t="str">
        <f>IFERROR(IF(VLOOKUP($G64,BD_PRINCIPAL[],32,FALSE)=0,"",VLOOKUP($G64,BD_PRINCIPAL[],32,FALSE)),"")</f>
        <v/>
      </c>
      <c r="M64" s="296" t="str">
        <f>IFERROR(IF(VLOOKUP($G64,BD_PRINCIPAL[],33,FALSE)=0,"",VLOOKUP($G64,BD_PRINCIPAL[],33,FALSE)),"")</f>
        <v/>
      </c>
      <c r="N64" s="296" t="str">
        <f>IFERROR(IF(VLOOKUP($G64,BD_PRINCIPAL[],34,FALSE)=0,"",VLOOKUP($G64,BD_PRINCIPAL[],34,FALSE)),"")</f>
        <v/>
      </c>
      <c r="O64" s="296" t="str">
        <f>IFERROR(IF(VLOOKUP($G64,BD_PRINCIPAL[],35,FALSE)=0,"",VLOOKUP($G64,BD_PRINCIPAL[],35,FALSE)),"")</f>
        <v/>
      </c>
      <c r="P64" s="296" t="str">
        <f>IFERROR(IF(VLOOKUP($G64,BD_PRINCIPAL[],36,FALSE)=0,"",VLOOKUP($G64,BD_PRINCIPAL[],36,FALSE)),"")</f>
        <v/>
      </c>
      <c r="Q64" s="296" t="str">
        <f>IFERROR(IF(VLOOKUP($G64,BD_PRINCIPAL[],37,FALSE)=0,"",VLOOKUP($G64,BD_PRINCIPAL[],37,FALSE)),"")</f>
        <v/>
      </c>
      <c r="R64" s="296" t="str">
        <f>IFERROR(IF(VLOOKUP($G64,BD_PRINCIPAL[],38,FALSE)=0,"",VLOOKUP($G64,BD_PRINCIPAL[],38,FALSE)),"")</f>
        <v/>
      </c>
      <c r="S64" s="296" t="str">
        <f>IFERROR(IF(VLOOKUP($G64,BD_PRINCIPAL[],39,FALSE)=0,"",VLOOKUP($G64,BD_PRINCIPAL[],39,FALSE)),"")</f>
        <v/>
      </c>
      <c r="T64" s="296" t="str">
        <f>IFERROR(IF(VLOOKUP($G64,BD_PRINCIPAL[],40,FALSE)=0,"",VLOOKUP($G64,BD_PRINCIPAL[],40,FALSE)),"")</f>
        <v/>
      </c>
      <c r="U64" s="296" t="str">
        <f>IFERROR(IF(VLOOKUP($G64,BD_PRINCIPAL[],41,FALSE)=0,"",VLOOKUP($G64,BD_PRINCIPAL[],41,FALSE)),"")</f>
        <v/>
      </c>
      <c r="V64" s="296" t="str">
        <f>IFERROR(IF(VLOOKUP($G64,BD_PRINCIPAL[],42,FALSE)=0,"",VLOOKUP($G64,BD_PRINCIPAL[],42,FALSE)),"")</f>
        <v/>
      </c>
      <c r="W64" s="296" t="str">
        <f>IFERROR(IF(VLOOKUP($G64,BD_PRINCIPAL[],43,FALSE)=0,"",VLOOKUP($G64,BD_PRINCIPAL[],43,FALSE)),"")</f>
        <v/>
      </c>
      <c r="X64" s="296" t="str">
        <f>IFERROR(IF(VLOOKUP($G64,BD_PRINCIPAL[],44,FALSE)=0,"",VLOOKUP($G64,BD_PRINCIPAL[],44,FALSE)),"")</f>
        <v/>
      </c>
      <c r="Y64" s="296" t="str">
        <f>IFERROR(IF(VLOOKUP($G64,BD_PRINCIPAL[],45,FALSE)=0,"",VLOOKUP($G64,BD_PRINCIPAL[],45,FALSE)),"")</f>
        <v/>
      </c>
      <c r="Z64" s="296" t="str">
        <f>IFERROR(IF(VLOOKUP($G64,BD_PRINCIPAL[],46,FALSE)=0,"",VLOOKUP($G64,BD_PRINCIPAL[],46,FALSE)),"")</f>
        <v/>
      </c>
      <c r="AA64" s="296" t="str">
        <f>IFERROR(IF(VLOOKUP($G64,BD_PRINCIPAL[],47,FALSE)=0,"",VLOOKUP($G64,BD_PRINCIPAL[],47,FALSE)),"")</f>
        <v/>
      </c>
      <c r="AB64" s="296" t="str">
        <f>IFERROR(IF(VLOOKUP($G64,BD_PRINCIPAL[],48,FALSE)=0,"",VLOOKUP($G64,BD_PRINCIPAL[],48,FALSE)),"")</f>
        <v/>
      </c>
      <c r="AC64" s="296" t="str">
        <f>IFERROR(IF(VLOOKUP($G64,BD_PRINCIPAL[],49,FALSE)=0,"",VLOOKUP($G64,BD_PRINCIPAL[],49,FALSE)),"")</f>
        <v/>
      </c>
      <c r="AD64" s="296" t="str">
        <f>IFERROR(IF(VLOOKUP($G64,BD_PRINCIPAL[],50,FALSE)=0,"",VLOOKUP($G64,BD_PRINCIPAL[],50,FALSE)),"")</f>
        <v/>
      </c>
      <c r="AE64" s="296" t="str">
        <f>IFERROR(IF(VLOOKUP($G64,BD_PRINCIPAL[],51,FALSE)=0,"",VLOOKUP($G64,BD_PRINCIPAL[],51,FALSE)),"")</f>
        <v/>
      </c>
      <c r="AF64" s="296" t="str">
        <f>IFERROR(IF(VLOOKUP($G64,BD_PRINCIPAL[],52,FALSE)=0,"",VLOOKUP($G64,BD_PRINCIPAL[],52,FALSE)),"")</f>
        <v/>
      </c>
      <c r="AG64" s="296" t="str">
        <f>IFERROR(IF(VLOOKUP($G64,BD_PRINCIPAL[],53,FALSE)=0,"",VLOOKUP($G64,BD_PRINCIPAL[],53,FALSE)),"")</f>
        <v/>
      </c>
      <c r="AH64" s="296" t="str">
        <f>IFERROR(IF(VLOOKUP($G64,BD_PRINCIPAL[],54,FALSE)=0,"",VLOOKUP($G64,BD_PRINCIPAL[],54,FALSE)),"")</f>
        <v/>
      </c>
      <c r="AI64" s="296" t="str">
        <f>IFERROR(IF(VLOOKUP($G64,BD_PRINCIPAL[],55,FALSE)=0,"",VLOOKUP($G64,BD_PRINCIPAL[],55,FALSE)),"")</f>
        <v/>
      </c>
      <c r="AJ64" s="296" t="str">
        <f>IFERROR(IF(VLOOKUP($G64,BD_PRINCIPAL[],56,FALSE)=0,"",VLOOKUP($G64,BD_PRINCIPAL[],56,FALSE)),"")</f>
        <v/>
      </c>
      <c r="AK64" s="296" t="str">
        <f>IFERROR(IF(VLOOKUP($G64,BD_PRINCIPAL[],57,FALSE)=0,"",VLOOKUP($G64,BD_PRINCIPAL[],57,FALSE)),"")</f>
        <v/>
      </c>
      <c r="AL64" s="296" t="str">
        <f>IFERROR(IF(VLOOKUP($G64,BD_PRINCIPAL[],58,FALSE)=0,"",VLOOKUP($G64,BD_PRINCIPAL[],58,FALSE)),"")</f>
        <v/>
      </c>
    </row>
    <row r="65" spans="2:38" x14ac:dyDescent="0.3">
      <c r="B65" s="289">
        <f t="shared" si="5"/>
        <v>0</v>
      </c>
      <c r="D65" s="296">
        <v>23</v>
      </c>
      <c r="E65" s="296" t="str">
        <f>IFERROR(VLOOKUP(G65,BD_PRINCIPAL[],7,FALSE),"")</f>
        <v/>
      </c>
      <c r="F65" s="297" t="str">
        <f>IFERROR(VLOOKUP(G65,BD_PRINCIPAL[],2,FALSE),"")</f>
        <v/>
      </c>
      <c r="G65" s="288"/>
      <c r="H65" s="296" t="str">
        <f>IFERROR(IF(VLOOKUP($G65,BD_PRINCIPAL[],28,FALSE)=0,"",VLOOKUP($G65,BD_PRINCIPAL[],28,FALSE)),"")</f>
        <v/>
      </c>
      <c r="I65" s="296" t="str">
        <f>IFERROR(IF(VLOOKUP($G65,BD_PRINCIPAL[],29,FALSE)=0,"",VLOOKUP($G65,BD_PRINCIPAL[],29,FALSE)),"")</f>
        <v/>
      </c>
      <c r="J65" s="296" t="str">
        <f>IFERROR(IF(VLOOKUP($G65,BD_PRINCIPAL[],30,FALSE)=0,"",VLOOKUP($G65,BD_PRINCIPAL[],30,FALSE)),"")</f>
        <v/>
      </c>
      <c r="K65" s="296" t="str">
        <f>IFERROR(IF(VLOOKUP($G65,BD_PRINCIPAL[],31,FALSE)=0,"",VLOOKUP($G65,BD_PRINCIPAL[],31,FALSE)),"")</f>
        <v/>
      </c>
      <c r="L65" s="296" t="str">
        <f>IFERROR(IF(VLOOKUP($G65,BD_PRINCIPAL[],32,FALSE)=0,"",VLOOKUP($G65,BD_PRINCIPAL[],32,FALSE)),"")</f>
        <v/>
      </c>
      <c r="M65" s="296" t="str">
        <f>IFERROR(IF(VLOOKUP($G65,BD_PRINCIPAL[],33,FALSE)=0,"",VLOOKUP($G65,BD_PRINCIPAL[],33,FALSE)),"")</f>
        <v/>
      </c>
      <c r="N65" s="296" t="str">
        <f>IFERROR(IF(VLOOKUP($G65,BD_PRINCIPAL[],34,FALSE)=0,"",VLOOKUP($G65,BD_PRINCIPAL[],34,FALSE)),"")</f>
        <v/>
      </c>
      <c r="O65" s="296" t="str">
        <f>IFERROR(IF(VLOOKUP($G65,BD_PRINCIPAL[],35,FALSE)=0,"",VLOOKUP($G65,BD_PRINCIPAL[],35,FALSE)),"")</f>
        <v/>
      </c>
      <c r="P65" s="296" t="str">
        <f>IFERROR(IF(VLOOKUP($G65,BD_PRINCIPAL[],36,FALSE)=0,"",VLOOKUP($G65,BD_PRINCIPAL[],36,FALSE)),"")</f>
        <v/>
      </c>
      <c r="Q65" s="296" t="str">
        <f>IFERROR(IF(VLOOKUP($G65,BD_PRINCIPAL[],37,FALSE)=0,"",VLOOKUP($G65,BD_PRINCIPAL[],37,FALSE)),"")</f>
        <v/>
      </c>
      <c r="R65" s="296" t="str">
        <f>IFERROR(IF(VLOOKUP($G65,BD_PRINCIPAL[],38,FALSE)=0,"",VLOOKUP($G65,BD_PRINCIPAL[],38,FALSE)),"")</f>
        <v/>
      </c>
      <c r="S65" s="296" t="str">
        <f>IFERROR(IF(VLOOKUP($G65,BD_PRINCIPAL[],39,FALSE)=0,"",VLOOKUP($G65,BD_PRINCIPAL[],39,FALSE)),"")</f>
        <v/>
      </c>
      <c r="T65" s="296" t="str">
        <f>IFERROR(IF(VLOOKUP($G65,BD_PRINCIPAL[],40,FALSE)=0,"",VLOOKUP($G65,BD_PRINCIPAL[],40,FALSE)),"")</f>
        <v/>
      </c>
      <c r="U65" s="296" t="str">
        <f>IFERROR(IF(VLOOKUP($G65,BD_PRINCIPAL[],41,FALSE)=0,"",VLOOKUP($G65,BD_PRINCIPAL[],41,FALSE)),"")</f>
        <v/>
      </c>
      <c r="V65" s="296" t="str">
        <f>IFERROR(IF(VLOOKUP($G65,BD_PRINCIPAL[],42,FALSE)=0,"",VLOOKUP($G65,BD_PRINCIPAL[],42,FALSE)),"")</f>
        <v/>
      </c>
      <c r="W65" s="296" t="str">
        <f>IFERROR(IF(VLOOKUP($G65,BD_PRINCIPAL[],43,FALSE)=0,"",VLOOKUP($G65,BD_PRINCIPAL[],43,FALSE)),"")</f>
        <v/>
      </c>
      <c r="X65" s="296" t="str">
        <f>IFERROR(IF(VLOOKUP($G65,BD_PRINCIPAL[],44,FALSE)=0,"",VLOOKUP($G65,BD_PRINCIPAL[],44,FALSE)),"")</f>
        <v/>
      </c>
      <c r="Y65" s="296" t="str">
        <f>IFERROR(IF(VLOOKUP($G65,BD_PRINCIPAL[],45,FALSE)=0,"",VLOOKUP($G65,BD_PRINCIPAL[],45,FALSE)),"")</f>
        <v/>
      </c>
      <c r="Z65" s="296" t="str">
        <f>IFERROR(IF(VLOOKUP($G65,BD_PRINCIPAL[],46,FALSE)=0,"",VLOOKUP($G65,BD_PRINCIPAL[],46,FALSE)),"")</f>
        <v/>
      </c>
      <c r="AA65" s="296" t="str">
        <f>IFERROR(IF(VLOOKUP($G65,BD_PRINCIPAL[],47,FALSE)=0,"",VLOOKUP($G65,BD_PRINCIPAL[],47,FALSE)),"")</f>
        <v/>
      </c>
      <c r="AB65" s="296" t="str">
        <f>IFERROR(IF(VLOOKUP($G65,BD_PRINCIPAL[],48,FALSE)=0,"",VLOOKUP($G65,BD_PRINCIPAL[],48,FALSE)),"")</f>
        <v/>
      </c>
      <c r="AC65" s="296" t="str">
        <f>IFERROR(IF(VLOOKUP($G65,BD_PRINCIPAL[],49,FALSE)=0,"",VLOOKUP($G65,BD_PRINCIPAL[],49,FALSE)),"")</f>
        <v/>
      </c>
      <c r="AD65" s="296" t="str">
        <f>IFERROR(IF(VLOOKUP($G65,BD_PRINCIPAL[],50,FALSE)=0,"",VLOOKUP($G65,BD_PRINCIPAL[],50,FALSE)),"")</f>
        <v/>
      </c>
      <c r="AE65" s="296" t="str">
        <f>IFERROR(IF(VLOOKUP($G65,BD_PRINCIPAL[],51,FALSE)=0,"",VLOOKUP($G65,BD_PRINCIPAL[],51,FALSE)),"")</f>
        <v/>
      </c>
      <c r="AF65" s="296" t="str">
        <f>IFERROR(IF(VLOOKUP($G65,BD_PRINCIPAL[],52,FALSE)=0,"",VLOOKUP($G65,BD_PRINCIPAL[],52,FALSE)),"")</f>
        <v/>
      </c>
      <c r="AG65" s="296" t="str">
        <f>IFERROR(IF(VLOOKUP($G65,BD_PRINCIPAL[],53,FALSE)=0,"",VLOOKUP($G65,BD_PRINCIPAL[],53,FALSE)),"")</f>
        <v/>
      </c>
      <c r="AH65" s="296" t="str">
        <f>IFERROR(IF(VLOOKUP($G65,BD_PRINCIPAL[],54,FALSE)=0,"",VLOOKUP($G65,BD_PRINCIPAL[],54,FALSE)),"")</f>
        <v/>
      </c>
      <c r="AI65" s="296" t="str">
        <f>IFERROR(IF(VLOOKUP($G65,BD_PRINCIPAL[],55,FALSE)=0,"",VLOOKUP($G65,BD_PRINCIPAL[],55,FALSE)),"")</f>
        <v/>
      </c>
      <c r="AJ65" s="296" t="str">
        <f>IFERROR(IF(VLOOKUP($G65,BD_PRINCIPAL[],56,FALSE)=0,"",VLOOKUP($G65,BD_PRINCIPAL[],56,FALSE)),"")</f>
        <v/>
      </c>
      <c r="AK65" s="296" t="str">
        <f>IFERROR(IF(VLOOKUP($G65,BD_PRINCIPAL[],57,FALSE)=0,"",VLOOKUP($G65,BD_PRINCIPAL[],57,FALSE)),"")</f>
        <v/>
      </c>
      <c r="AL65" s="296" t="str">
        <f>IFERROR(IF(VLOOKUP($G65,BD_PRINCIPAL[],58,FALSE)=0,"",VLOOKUP($G65,BD_PRINCIPAL[],58,FALSE)),"")</f>
        <v/>
      </c>
    </row>
    <row r="66" spans="2:38" x14ac:dyDescent="0.3">
      <c r="B66" s="289">
        <f t="shared" si="5"/>
        <v>0</v>
      </c>
      <c r="D66" s="296">
        <v>24</v>
      </c>
      <c r="E66" s="296" t="str">
        <f>IFERROR(VLOOKUP(G66,BD_PRINCIPAL[],7,FALSE),"")</f>
        <v/>
      </c>
      <c r="F66" s="297" t="str">
        <f>IFERROR(VLOOKUP(G66,BD_PRINCIPAL[],2,FALSE),"")</f>
        <v/>
      </c>
      <c r="G66" s="288"/>
      <c r="H66" s="296" t="str">
        <f>IFERROR(IF(VLOOKUP($G66,BD_PRINCIPAL[],28,FALSE)=0,"",VLOOKUP($G66,BD_PRINCIPAL[],28,FALSE)),"")</f>
        <v/>
      </c>
      <c r="I66" s="296" t="str">
        <f>IFERROR(IF(VLOOKUP($G66,BD_PRINCIPAL[],29,FALSE)=0,"",VLOOKUP($G66,BD_PRINCIPAL[],29,FALSE)),"")</f>
        <v/>
      </c>
      <c r="J66" s="296" t="str">
        <f>IFERROR(IF(VLOOKUP($G66,BD_PRINCIPAL[],30,FALSE)=0,"",VLOOKUP($G66,BD_PRINCIPAL[],30,FALSE)),"")</f>
        <v/>
      </c>
      <c r="K66" s="296" t="str">
        <f>IFERROR(IF(VLOOKUP($G66,BD_PRINCIPAL[],31,FALSE)=0,"",VLOOKUP($G66,BD_PRINCIPAL[],31,FALSE)),"")</f>
        <v/>
      </c>
      <c r="L66" s="296" t="str">
        <f>IFERROR(IF(VLOOKUP($G66,BD_PRINCIPAL[],32,FALSE)=0,"",VLOOKUP($G66,BD_PRINCIPAL[],32,FALSE)),"")</f>
        <v/>
      </c>
      <c r="M66" s="296" t="str">
        <f>IFERROR(IF(VLOOKUP($G66,BD_PRINCIPAL[],33,FALSE)=0,"",VLOOKUP($G66,BD_PRINCIPAL[],33,FALSE)),"")</f>
        <v/>
      </c>
      <c r="N66" s="296" t="str">
        <f>IFERROR(IF(VLOOKUP($G66,BD_PRINCIPAL[],34,FALSE)=0,"",VLOOKUP($G66,BD_PRINCIPAL[],34,FALSE)),"")</f>
        <v/>
      </c>
      <c r="O66" s="296" t="str">
        <f>IFERROR(IF(VLOOKUP($G66,BD_PRINCIPAL[],35,FALSE)=0,"",VLOOKUP($G66,BD_PRINCIPAL[],35,FALSE)),"")</f>
        <v/>
      </c>
      <c r="P66" s="296" t="str">
        <f>IFERROR(IF(VLOOKUP($G66,BD_PRINCIPAL[],36,FALSE)=0,"",VLOOKUP($G66,BD_PRINCIPAL[],36,FALSE)),"")</f>
        <v/>
      </c>
      <c r="Q66" s="296" t="str">
        <f>IFERROR(IF(VLOOKUP($G66,BD_PRINCIPAL[],37,FALSE)=0,"",VLOOKUP($G66,BD_PRINCIPAL[],37,FALSE)),"")</f>
        <v/>
      </c>
      <c r="R66" s="296" t="str">
        <f>IFERROR(IF(VLOOKUP($G66,BD_PRINCIPAL[],38,FALSE)=0,"",VLOOKUP($G66,BD_PRINCIPAL[],38,FALSE)),"")</f>
        <v/>
      </c>
      <c r="S66" s="296" t="str">
        <f>IFERROR(IF(VLOOKUP($G66,BD_PRINCIPAL[],39,FALSE)=0,"",VLOOKUP($G66,BD_PRINCIPAL[],39,FALSE)),"")</f>
        <v/>
      </c>
      <c r="T66" s="296" t="str">
        <f>IFERROR(IF(VLOOKUP($G66,BD_PRINCIPAL[],40,FALSE)=0,"",VLOOKUP($G66,BD_PRINCIPAL[],40,FALSE)),"")</f>
        <v/>
      </c>
      <c r="U66" s="296" t="str">
        <f>IFERROR(IF(VLOOKUP($G66,BD_PRINCIPAL[],41,FALSE)=0,"",VLOOKUP($G66,BD_PRINCIPAL[],41,FALSE)),"")</f>
        <v/>
      </c>
      <c r="V66" s="296" t="str">
        <f>IFERROR(IF(VLOOKUP($G66,BD_PRINCIPAL[],42,FALSE)=0,"",VLOOKUP($G66,BD_PRINCIPAL[],42,FALSE)),"")</f>
        <v/>
      </c>
      <c r="W66" s="296" t="str">
        <f>IFERROR(IF(VLOOKUP($G66,BD_PRINCIPAL[],43,FALSE)=0,"",VLOOKUP($G66,BD_PRINCIPAL[],43,FALSE)),"")</f>
        <v/>
      </c>
      <c r="X66" s="296" t="str">
        <f>IFERROR(IF(VLOOKUP($G66,BD_PRINCIPAL[],44,FALSE)=0,"",VLOOKUP($G66,BD_PRINCIPAL[],44,FALSE)),"")</f>
        <v/>
      </c>
      <c r="Y66" s="296" t="str">
        <f>IFERROR(IF(VLOOKUP($G66,BD_PRINCIPAL[],45,FALSE)=0,"",VLOOKUP($G66,BD_PRINCIPAL[],45,FALSE)),"")</f>
        <v/>
      </c>
      <c r="Z66" s="296" t="str">
        <f>IFERROR(IF(VLOOKUP($G66,BD_PRINCIPAL[],46,FALSE)=0,"",VLOOKUP($G66,BD_PRINCIPAL[],46,FALSE)),"")</f>
        <v/>
      </c>
      <c r="AA66" s="296" t="str">
        <f>IFERROR(IF(VLOOKUP($G66,BD_PRINCIPAL[],47,FALSE)=0,"",VLOOKUP($G66,BD_PRINCIPAL[],47,FALSE)),"")</f>
        <v/>
      </c>
      <c r="AB66" s="296" t="str">
        <f>IFERROR(IF(VLOOKUP($G66,BD_PRINCIPAL[],48,FALSE)=0,"",VLOOKUP($G66,BD_PRINCIPAL[],48,FALSE)),"")</f>
        <v/>
      </c>
      <c r="AC66" s="296" t="str">
        <f>IFERROR(IF(VLOOKUP($G66,BD_PRINCIPAL[],49,FALSE)=0,"",VLOOKUP($G66,BD_PRINCIPAL[],49,FALSE)),"")</f>
        <v/>
      </c>
      <c r="AD66" s="296" t="str">
        <f>IFERROR(IF(VLOOKUP($G66,BD_PRINCIPAL[],50,FALSE)=0,"",VLOOKUP($G66,BD_PRINCIPAL[],50,FALSE)),"")</f>
        <v/>
      </c>
      <c r="AE66" s="296" t="str">
        <f>IFERROR(IF(VLOOKUP($G66,BD_PRINCIPAL[],51,FALSE)=0,"",VLOOKUP($G66,BD_PRINCIPAL[],51,FALSE)),"")</f>
        <v/>
      </c>
      <c r="AF66" s="296" t="str">
        <f>IFERROR(IF(VLOOKUP($G66,BD_PRINCIPAL[],52,FALSE)=0,"",VLOOKUP($G66,BD_PRINCIPAL[],52,FALSE)),"")</f>
        <v/>
      </c>
      <c r="AG66" s="296" t="str">
        <f>IFERROR(IF(VLOOKUP($G66,BD_PRINCIPAL[],53,FALSE)=0,"",VLOOKUP($G66,BD_PRINCIPAL[],53,FALSE)),"")</f>
        <v/>
      </c>
      <c r="AH66" s="296" t="str">
        <f>IFERROR(IF(VLOOKUP($G66,BD_PRINCIPAL[],54,FALSE)=0,"",VLOOKUP($G66,BD_PRINCIPAL[],54,FALSE)),"")</f>
        <v/>
      </c>
      <c r="AI66" s="296" t="str">
        <f>IFERROR(IF(VLOOKUP($G66,BD_PRINCIPAL[],55,FALSE)=0,"",VLOOKUP($G66,BD_PRINCIPAL[],55,FALSE)),"")</f>
        <v/>
      </c>
      <c r="AJ66" s="296" t="str">
        <f>IFERROR(IF(VLOOKUP($G66,BD_PRINCIPAL[],56,FALSE)=0,"",VLOOKUP($G66,BD_PRINCIPAL[],56,FALSE)),"")</f>
        <v/>
      </c>
      <c r="AK66" s="296" t="str">
        <f>IFERROR(IF(VLOOKUP($G66,BD_PRINCIPAL[],57,FALSE)=0,"",VLOOKUP($G66,BD_PRINCIPAL[],57,FALSE)),"")</f>
        <v/>
      </c>
      <c r="AL66" s="296" t="str">
        <f>IFERROR(IF(VLOOKUP($G66,BD_PRINCIPAL[],58,FALSE)=0,"",VLOOKUP($G66,BD_PRINCIPAL[],58,FALSE)),"")</f>
        <v/>
      </c>
    </row>
    <row r="67" spans="2:38" x14ac:dyDescent="0.3">
      <c r="B67" s="289">
        <f t="shared" si="5"/>
        <v>0</v>
      </c>
      <c r="D67" s="296">
        <v>25</v>
      </c>
      <c r="E67" s="296" t="str">
        <f>IFERROR(VLOOKUP(G67,BD_PRINCIPAL[],7,FALSE),"")</f>
        <v/>
      </c>
      <c r="F67" s="297" t="str">
        <f>IFERROR(VLOOKUP(G67,BD_PRINCIPAL[],2,FALSE),"")</f>
        <v/>
      </c>
      <c r="G67" s="288"/>
      <c r="H67" s="296" t="str">
        <f>IFERROR(IF(VLOOKUP($G67,BD_PRINCIPAL[],28,FALSE)=0,"",VLOOKUP($G67,BD_PRINCIPAL[],28,FALSE)),"")</f>
        <v/>
      </c>
      <c r="I67" s="296" t="str">
        <f>IFERROR(IF(VLOOKUP($G67,BD_PRINCIPAL[],29,FALSE)=0,"",VLOOKUP($G67,BD_PRINCIPAL[],29,FALSE)),"")</f>
        <v/>
      </c>
      <c r="J67" s="296" t="str">
        <f>IFERROR(IF(VLOOKUP($G67,BD_PRINCIPAL[],30,FALSE)=0,"",VLOOKUP($G67,BD_PRINCIPAL[],30,FALSE)),"")</f>
        <v/>
      </c>
      <c r="K67" s="296" t="str">
        <f>IFERROR(IF(VLOOKUP($G67,BD_PRINCIPAL[],31,FALSE)=0,"",VLOOKUP($G67,BD_PRINCIPAL[],31,FALSE)),"")</f>
        <v/>
      </c>
      <c r="L67" s="296" t="str">
        <f>IFERROR(IF(VLOOKUP($G67,BD_PRINCIPAL[],32,FALSE)=0,"",VLOOKUP($G67,BD_PRINCIPAL[],32,FALSE)),"")</f>
        <v/>
      </c>
      <c r="M67" s="296" t="str">
        <f>IFERROR(IF(VLOOKUP($G67,BD_PRINCIPAL[],33,FALSE)=0,"",VLOOKUP($G67,BD_PRINCIPAL[],33,FALSE)),"")</f>
        <v/>
      </c>
      <c r="N67" s="296" t="str">
        <f>IFERROR(IF(VLOOKUP($G67,BD_PRINCIPAL[],34,FALSE)=0,"",VLOOKUP($G67,BD_PRINCIPAL[],34,FALSE)),"")</f>
        <v/>
      </c>
      <c r="O67" s="296" t="str">
        <f>IFERROR(IF(VLOOKUP($G67,BD_PRINCIPAL[],35,FALSE)=0,"",VLOOKUP($G67,BD_PRINCIPAL[],35,FALSE)),"")</f>
        <v/>
      </c>
      <c r="P67" s="296" t="str">
        <f>IFERROR(IF(VLOOKUP($G67,BD_PRINCIPAL[],36,FALSE)=0,"",VLOOKUP($G67,BD_PRINCIPAL[],36,FALSE)),"")</f>
        <v/>
      </c>
      <c r="Q67" s="296" t="str">
        <f>IFERROR(IF(VLOOKUP($G67,BD_PRINCIPAL[],37,FALSE)=0,"",VLOOKUP($G67,BD_PRINCIPAL[],37,FALSE)),"")</f>
        <v/>
      </c>
      <c r="R67" s="296" t="str">
        <f>IFERROR(IF(VLOOKUP($G67,BD_PRINCIPAL[],38,FALSE)=0,"",VLOOKUP($G67,BD_PRINCIPAL[],38,FALSE)),"")</f>
        <v/>
      </c>
      <c r="S67" s="296" t="str">
        <f>IFERROR(IF(VLOOKUP($G67,BD_PRINCIPAL[],39,FALSE)=0,"",VLOOKUP($G67,BD_PRINCIPAL[],39,FALSE)),"")</f>
        <v/>
      </c>
      <c r="T67" s="296" t="str">
        <f>IFERROR(IF(VLOOKUP($G67,BD_PRINCIPAL[],40,FALSE)=0,"",VLOOKUP($G67,BD_PRINCIPAL[],40,FALSE)),"")</f>
        <v/>
      </c>
      <c r="U67" s="296" t="str">
        <f>IFERROR(IF(VLOOKUP($G67,BD_PRINCIPAL[],41,FALSE)=0,"",VLOOKUP($G67,BD_PRINCIPAL[],41,FALSE)),"")</f>
        <v/>
      </c>
      <c r="V67" s="296" t="str">
        <f>IFERROR(IF(VLOOKUP($G67,BD_PRINCIPAL[],42,FALSE)=0,"",VLOOKUP($G67,BD_PRINCIPAL[],42,FALSE)),"")</f>
        <v/>
      </c>
      <c r="W67" s="296" t="str">
        <f>IFERROR(IF(VLOOKUP($G67,BD_PRINCIPAL[],43,FALSE)=0,"",VLOOKUP($G67,BD_PRINCIPAL[],43,FALSE)),"")</f>
        <v/>
      </c>
      <c r="X67" s="296" t="str">
        <f>IFERROR(IF(VLOOKUP($G67,BD_PRINCIPAL[],44,FALSE)=0,"",VLOOKUP($G67,BD_PRINCIPAL[],44,FALSE)),"")</f>
        <v/>
      </c>
      <c r="Y67" s="296" t="str">
        <f>IFERROR(IF(VLOOKUP($G67,BD_PRINCIPAL[],45,FALSE)=0,"",VLOOKUP($G67,BD_PRINCIPAL[],45,FALSE)),"")</f>
        <v/>
      </c>
      <c r="Z67" s="296" t="str">
        <f>IFERROR(IF(VLOOKUP($G67,BD_PRINCIPAL[],46,FALSE)=0,"",VLOOKUP($G67,BD_PRINCIPAL[],46,FALSE)),"")</f>
        <v/>
      </c>
      <c r="AA67" s="296" t="str">
        <f>IFERROR(IF(VLOOKUP($G67,BD_PRINCIPAL[],47,FALSE)=0,"",VLOOKUP($G67,BD_PRINCIPAL[],47,FALSE)),"")</f>
        <v/>
      </c>
      <c r="AB67" s="296" t="str">
        <f>IFERROR(IF(VLOOKUP($G67,BD_PRINCIPAL[],48,FALSE)=0,"",VLOOKUP($G67,BD_PRINCIPAL[],48,FALSE)),"")</f>
        <v/>
      </c>
      <c r="AC67" s="296" t="str">
        <f>IFERROR(IF(VLOOKUP($G67,BD_PRINCIPAL[],49,FALSE)=0,"",VLOOKUP($G67,BD_PRINCIPAL[],49,FALSE)),"")</f>
        <v/>
      </c>
      <c r="AD67" s="296" t="str">
        <f>IFERROR(IF(VLOOKUP($G67,BD_PRINCIPAL[],50,FALSE)=0,"",VLOOKUP($G67,BD_PRINCIPAL[],50,FALSE)),"")</f>
        <v/>
      </c>
      <c r="AE67" s="296" t="str">
        <f>IFERROR(IF(VLOOKUP($G67,BD_PRINCIPAL[],51,FALSE)=0,"",VLOOKUP($G67,BD_PRINCIPAL[],51,FALSE)),"")</f>
        <v/>
      </c>
      <c r="AF67" s="296" t="str">
        <f>IFERROR(IF(VLOOKUP($G67,BD_PRINCIPAL[],52,FALSE)=0,"",VLOOKUP($G67,BD_PRINCIPAL[],52,FALSE)),"")</f>
        <v/>
      </c>
      <c r="AG67" s="296" t="str">
        <f>IFERROR(IF(VLOOKUP($G67,BD_PRINCIPAL[],53,FALSE)=0,"",VLOOKUP($G67,BD_PRINCIPAL[],53,FALSE)),"")</f>
        <v/>
      </c>
      <c r="AH67" s="296" t="str">
        <f>IFERROR(IF(VLOOKUP($G67,BD_PRINCIPAL[],54,FALSE)=0,"",VLOOKUP($G67,BD_PRINCIPAL[],54,FALSE)),"")</f>
        <v/>
      </c>
      <c r="AI67" s="296" t="str">
        <f>IFERROR(IF(VLOOKUP($G67,BD_PRINCIPAL[],55,FALSE)=0,"",VLOOKUP($G67,BD_PRINCIPAL[],55,FALSE)),"")</f>
        <v/>
      </c>
      <c r="AJ67" s="296" t="str">
        <f>IFERROR(IF(VLOOKUP($G67,BD_PRINCIPAL[],56,FALSE)=0,"",VLOOKUP($G67,BD_PRINCIPAL[],56,FALSE)),"")</f>
        <v/>
      </c>
      <c r="AK67" s="296" t="str">
        <f>IFERROR(IF(VLOOKUP($G67,BD_PRINCIPAL[],57,FALSE)=0,"",VLOOKUP($G67,BD_PRINCIPAL[],57,FALSE)),"")</f>
        <v/>
      </c>
      <c r="AL67" s="296" t="str">
        <f>IFERROR(IF(VLOOKUP($G67,BD_PRINCIPAL[],58,FALSE)=0,"",VLOOKUP($G67,BD_PRINCIPAL[],58,FALSE)),"")</f>
        <v/>
      </c>
    </row>
    <row r="68" spans="2:38" x14ac:dyDescent="0.25">
      <c r="B68" s="289">
        <f>IF(H68=0,0,22)</f>
        <v>22</v>
      </c>
      <c r="G68" s="298"/>
      <c r="H68" s="1208" t="str">
        <f>A4</f>
        <v>P.F. ROBERTO DEL RIO 3</v>
      </c>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0"/>
    </row>
    <row r="69" spans="2:38" x14ac:dyDescent="0.25">
      <c r="B69" s="289">
        <f>IF(H68=0,0,22)</f>
        <v>22</v>
      </c>
      <c r="C69" s="291"/>
      <c r="D69" s="291"/>
      <c r="E69" s="291"/>
      <c r="F69" s="291"/>
      <c r="G69" s="298"/>
      <c r="H69" s="293" t="str">
        <f>H41</f>
        <v>lun</v>
      </c>
      <c r="I69" s="293" t="str">
        <f t="shared" ref="I69:AL70" si="6">I41</f>
        <v>mar</v>
      </c>
      <c r="J69" s="293" t="str">
        <f t="shared" si="6"/>
        <v>mié</v>
      </c>
      <c r="K69" s="293" t="str">
        <f t="shared" si="6"/>
        <v>jue</v>
      </c>
      <c r="L69" s="293" t="str">
        <f t="shared" si="6"/>
        <v>vie</v>
      </c>
      <c r="M69" s="293" t="str">
        <f t="shared" si="6"/>
        <v>sáb</v>
      </c>
      <c r="N69" s="293" t="str">
        <f t="shared" si="6"/>
        <v>dom</v>
      </c>
      <c r="O69" s="293" t="str">
        <f t="shared" si="6"/>
        <v>lun</v>
      </c>
      <c r="P69" s="293" t="str">
        <f t="shared" si="6"/>
        <v>mar</v>
      </c>
      <c r="Q69" s="293" t="str">
        <f t="shared" si="6"/>
        <v>mié</v>
      </c>
      <c r="R69" s="293" t="str">
        <f t="shared" si="6"/>
        <v>jue</v>
      </c>
      <c r="S69" s="293" t="str">
        <f t="shared" si="6"/>
        <v>vie</v>
      </c>
      <c r="T69" s="293" t="str">
        <f t="shared" si="6"/>
        <v>sáb</v>
      </c>
      <c r="U69" s="293" t="str">
        <f t="shared" si="6"/>
        <v>dom</v>
      </c>
      <c r="V69" s="293" t="str">
        <f t="shared" si="6"/>
        <v>lun</v>
      </c>
      <c r="W69" s="293" t="str">
        <f t="shared" si="6"/>
        <v>mar</v>
      </c>
      <c r="X69" s="293" t="str">
        <f t="shared" si="6"/>
        <v>mié</v>
      </c>
      <c r="Y69" s="293" t="str">
        <f t="shared" si="6"/>
        <v>jue</v>
      </c>
      <c r="Z69" s="293" t="str">
        <f t="shared" si="6"/>
        <v>vie</v>
      </c>
      <c r="AA69" s="293" t="str">
        <f t="shared" si="6"/>
        <v>sáb</v>
      </c>
      <c r="AB69" s="293" t="str">
        <f t="shared" si="6"/>
        <v>dom</v>
      </c>
      <c r="AC69" s="293" t="str">
        <f t="shared" si="6"/>
        <v>lun</v>
      </c>
      <c r="AD69" s="293" t="str">
        <f t="shared" si="6"/>
        <v>mar</v>
      </c>
      <c r="AE69" s="293" t="str">
        <f t="shared" si="6"/>
        <v>mié</v>
      </c>
      <c r="AF69" s="293" t="str">
        <f t="shared" si="6"/>
        <v>jue</v>
      </c>
      <c r="AG69" s="293" t="str">
        <f t="shared" si="6"/>
        <v>vie</v>
      </c>
      <c r="AH69" s="293" t="str">
        <f t="shared" si="6"/>
        <v>sáb</v>
      </c>
      <c r="AI69" s="293" t="str">
        <f t="shared" si="6"/>
        <v>dom</v>
      </c>
      <c r="AJ69" s="293" t="str">
        <f t="shared" si="6"/>
        <v>lun</v>
      </c>
      <c r="AK69" s="293" t="str">
        <f t="shared" si="6"/>
        <v>mar</v>
      </c>
      <c r="AL69" s="293" t="str">
        <f t="shared" si="6"/>
        <v>mié</v>
      </c>
    </row>
    <row r="70" spans="2:38" x14ac:dyDescent="0.3">
      <c r="B70" s="289">
        <f>IF(H68=0,0,22)</f>
        <v>22</v>
      </c>
      <c r="D70" s="294" t="s">
        <v>1173</v>
      </c>
      <c r="E70" s="294" t="s">
        <v>0</v>
      </c>
      <c r="F70" s="295" t="s">
        <v>693</v>
      </c>
      <c r="G70" s="294" t="s">
        <v>815</v>
      </c>
      <c r="H70" s="294" t="str">
        <f>H42</f>
        <v>1</v>
      </c>
      <c r="I70" s="294" t="str">
        <f t="shared" si="6"/>
        <v>2</v>
      </c>
      <c r="J70" s="294" t="str">
        <f t="shared" si="6"/>
        <v>3</v>
      </c>
      <c r="K70" s="294" t="str">
        <f t="shared" si="6"/>
        <v>4</v>
      </c>
      <c r="L70" s="294" t="str">
        <f t="shared" si="6"/>
        <v>5</v>
      </c>
      <c r="M70" s="294" t="str">
        <f t="shared" si="6"/>
        <v>6</v>
      </c>
      <c r="N70" s="294" t="str">
        <f t="shared" si="6"/>
        <v>7</v>
      </c>
      <c r="O70" s="294" t="str">
        <f t="shared" si="6"/>
        <v>8</v>
      </c>
      <c r="P70" s="294" t="str">
        <f t="shared" si="6"/>
        <v>9</v>
      </c>
      <c r="Q70" s="294" t="str">
        <f t="shared" si="6"/>
        <v>10</v>
      </c>
      <c r="R70" s="294" t="str">
        <f t="shared" si="6"/>
        <v>11</v>
      </c>
      <c r="S70" s="294" t="str">
        <f t="shared" si="6"/>
        <v>12</v>
      </c>
      <c r="T70" s="294" t="str">
        <f t="shared" si="6"/>
        <v>13</v>
      </c>
      <c r="U70" s="294" t="str">
        <f t="shared" si="6"/>
        <v>14</v>
      </c>
      <c r="V70" s="294" t="str">
        <f t="shared" si="6"/>
        <v>15</v>
      </c>
      <c r="W70" s="294" t="str">
        <f t="shared" si="6"/>
        <v>16</v>
      </c>
      <c r="X70" s="294" t="str">
        <f t="shared" si="6"/>
        <v>17</v>
      </c>
      <c r="Y70" s="294" t="str">
        <f t="shared" si="6"/>
        <v>18</v>
      </c>
      <c r="Z70" s="294" t="str">
        <f t="shared" si="6"/>
        <v>19</v>
      </c>
      <c r="AA70" s="294" t="str">
        <f t="shared" si="6"/>
        <v>20</v>
      </c>
      <c r="AB70" s="294" t="str">
        <f t="shared" si="6"/>
        <v>21</v>
      </c>
      <c r="AC70" s="294" t="str">
        <f t="shared" si="6"/>
        <v>22</v>
      </c>
      <c r="AD70" s="294" t="str">
        <f t="shared" si="6"/>
        <v>23</v>
      </c>
      <c r="AE70" s="294" t="str">
        <f t="shared" si="6"/>
        <v>24</v>
      </c>
      <c r="AF70" s="294" t="str">
        <f t="shared" si="6"/>
        <v>25</v>
      </c>
      <c r="AG70" s="294" t="str">
        <f t="shared" si="6"/>
        <v>26</v>
      </c>
      <c r="AH70" s="294" t="str">
        <f t="shared" si="6"/>
        <v>27</v>
      </c>
      <c r="AI70" s="294" t="str">
        <f t="shared" si="6"/>
        <v>28</v>
      </c>
      <c r="AJ70" s="294" t="str">
        <f t="shared" si="6"/>
        <v>29</v>
      </c>
      <c r="AK70" s="294" t="str">
        <f t="shared" si="6"/>
        <v>30</v>
      </c>
      <c r="AL70" s="294" t="str">
        <f t="shared" si="6"/>
        <v>1</v>
      </c>
    </row>
    <row r="71" spans="2:38" x14ac:dyDescent="0.3">
      <c r="B71" s="289">
        <f t="shared" ref="B71:B95" si="7">IF(G71&lt;&gt;"",22,0)</f>
        <v>22</v>
      </c>
      <c r="D71" s="296">
        <v>1</v>
      </c>
      <c r="E71" s="296" t="str">
        <f>IFERROR(VLOOKUP(G71,BD_PRINCIPAL[],7,FALSE),"")</f>
        <v>SGTO 2DO.</v>
      </c>
      <c r="F71" s="297" t="str">
        <f>IFERROR(VLOOKUP(G71,BD_PRINCIPAL[],2,FALSE),"")</f>
        <v>REYES CORDOVA CARLOS HUMBERTO</v>
      </c>
      <c r="G71" s="197" t="s">
        <v>403</v>
      </c>
      <c r="H71" s="296" t="str">
        <f>IFERROR(IF(VLOOKUP($G71,BD_PRINCIPAL[],28,FALSE)=0,"",VLOOKUP($G71,BD_PRINCIPAL[],28,FALSE)),"")</f>
        <v>2P</v>
      </c>
      <c r="I71" s="296" t="str">
        <f>IFERROR(IF(VLOOKUP($G71,BD_PRINCIPAL[],29,FALSE)=0,"",VLOOKUP($G71,BD_PRINCIPAL[],29,FALSE)),"")</f>
        <v>SN</v>
      </c>
      <c r="J71" s="296" t="str">
        <f>IFERROR(IF(VLOOKUP($G71,BD_PRINCIPAL[],30,FALSE)=0,"",VLOOKUP($G71,BD_PRINCIPAL[],30,FALSE)),"")</f>
        <v>2T</v>
      </c>
      <c r="K71" s="296" t="str">
        <f>IFERROR(IF(VLOOKUP($G71,BD_PRINCIPAL[],31,FALSE)=0,"",VLOOKUP($G71,BD_PRINCIPAL[],31,FALSE)),"")</f>
        <v>1T</v>
      </c>
      <c r="L71" s="296" t="str">
        <f>IFERROR(IF(VLOOKUP($G71,BD_PRINCIPAL[],32,FALSE)=0,"",VLOOKUP($G71,BD_PRINCIPAL[],32,FALSE)),"")</f>
        <v>2P</v>
      </c>
      <c r="M71" s="296" t="str">
        <f>IFERROR(IF(VLOOKUP($G71,BD_PRINCIPAL[],33,FALSE)=0,"",VLOOKUP($G71,BD_PRINCIPAL[],33,FALSE)),"")</f>
        <v>SN</v>
      </c>
      <c r="N71" s="296" t="str">
        <f>IFERROR(IF(VLOOKUP($G71,BD_PRINCIPAL[],34,FALSE)=0,"",VLOOKUP($G71,BD_PRINCIPAL[],34,FALSE)),"")</f>
        <v/>
      </c>
      <c r="O71" s="296" t="str">
        <f>IFERROR(IF(VLOOKUP($G71,BD_PRINCIPAL[],35,FALSE)=0,"",VLOOKUP($G71,BD_PRINCIPAL[],35,FALSE)),"")</f>
        <v/>
      </c>
      <c r="P71" s="296" t="str">
        <f>IFERROR(IF(VLOOKUP($G71,BD_PRINCIPAL[],36,FALSE)=0,"",VLOOKUP($G71,BD_PRINCIPAL[],36,FALSE)),"")</f>
        <v/>
      </c>
      <c r="Q71" s="296" t="str">
        <f>IFERROR(IF(VLOOKUP($G71,BD_PRINCIPAL[],37,FALSE)=0,"",VLOOKUP($G71,BD_PRINCIPAL[],37,FALSE)),"")</f>
        <v/>
      </c>
      <c r="R71" s="296" t="str">
        <f>IFERROR(IF(VLOOKUP($G71,BD_PRINCIPAL[],38,FALSE)=0,"",VLOOKUP($G71,BD_PRINCIPAL[],38,FALSE)),"")</f>
        <v/>
      </c>
      <c r="S71" s="296" t="str">
        <f>IFERROR(IF(VLOOKUP($G71,BD_PRINCIPAL[],39,FALSE)=0,"",VLOOKUP($G71,BD_PRINCIPAL[],39,FALSE)),"")</f>
        <v/>
      </c>
      <c r="T71" s="296" t="str">
        <f>IFERROR(IF(VLOOKUP($G71,BD_PRINCIPAL[],40,FALSE)=0,"",VLOOKUP($G71,BD_PRINCIPAL[],40,FALSE)),"")</f>
        <v/>
      </c>
      <c r="U71" s="296" t="str">
        <f>IFERROR(IF(VLOOKUP($G71,BD_PRINCIPAL[],41,FALSE)=0,"",VLOOKUP($G71,BD_PRINCIPAL[],41,FALSE)),"")</f>
        <v/>
      </c>
      <c r="V71" s="296" t="str">
        <f>IFERROR(IF(VLOOKUP($G71,BD_PRINCIPAL[],42,FALSE)=0,"",VLOOKUP($G71,BD_PRINCIPAL[],42,FALSE)),"")</f>
        <v/>
      </c>
      <c r="W71" s="296" t="str">
        <f>IFERROR(IF(VLOOKUP($G71,BD_PRINCIPAL[],43,FALSE)=0,"",VLOOKUP($G71,BD_PRINCIPAL[],43,FALSE)),"")</f>
        <v/>
      </c>
      <c r="X71" s="296" t="str">
        <f>IFERROR(IF(VLOOKUP($G71,BD_PRINCIPAL[],44,FALSE)=0,"",VLOOKUP($G71,BD_PRINCIPAL[],44,FALSE)),"")</f>
        <v/>
      </c>
      <c r="Y71" s="296" t="str">
        <f>IFERROR(IF(VLOOKUP($G71,BD_PRINCIPAL[],45,FALSE)=0,"",VLOOKUP($G71,BD_PRINCIPAL[],45,FALSE)),"")</f>
        <v/>
      </c>
      <c r="Z71" s="296" t="str">
        <f>IFERROR(IF(VLOOKUP($G71,BD_PRINCIPAL[],46,FALSE)=0,"",VLOOKUP($G71,BD_PRINCIPAL[],46,FALSE)),"")</f>
        <v/>
      </c>
      <c r="AA71" s="296" t="str">
        <f>IFERROR(IF(VLOOKUP($G71,BD_PRINCIPAL[],47,FALSE)=0,"",VLOOKUP($G71,BD_PRINCIPAL[],47,FALSE)),"")</f>
        <v/>
      </c>
      <c r="AB71" s="296" t="str">
        <f>IFERROR(IF(VLOOKUP($G71,BD_PRINCIPAL[],48,FALSE)=0,"",VLOOKUP($G71,BD_PRINCIPAL[],48,FALSE)),"")</f>
        <v/>
      </c>
      <c r="AC71" s="296" t="str">
        <f>IFERROR(IF(VLOOKUP($G71,BD_PRINCIPAL[],49,FALSE)=0,"",VLOOKUP($G71,BD_PRINCIPAL[],49,FALSE)),"")</f>
        <v/>
      </c>
      <c r="AD71" s="296" t="str">
        <f>IFERROR(IF(VLOOKUP($G71,BD_PRINCIPAL[],50,FALSE)=0,"",VLOOKUP($G71,BD_PRINCIPAL[],50,FALSE)),"")</f>
        <v/>
      </c>
      <c r="AE71" s="296" t="str">
        <f>IFERROR(IF(VLOOKUP($G71,BD_PRINCIPAL[],51,FALSE)=0,"",VLOOKUP($G71,BD_PRINCIPAL[],51,FALSE)),"")</f>
        <v/>
      </c>
      <c r="AF71" s="296" t="str">
        <f>IFERROR(IF(VLOOKUP($G71,BD_PRINCIPAL[],52,FALSE)=0,"",VLOOKUP($G71,BD_PRINCIPAL[],52,FALSE)),"")</f>
        <v/>
      </c>
      <c r="AG71" s="296" t="str">
        <f>IFERROR(IF(VLOOKUP($G71,BD_PRINCIPAL[],53,FALSE)=0,"",VLOOKUP($G71,BD_PRINCIPAL[],53,FALSE)),"")</f>
        <v/>
      </c>
      <c r="AH71" s="296" t="str">
        <f>IFERROR(IF(VLOOKUP($G71,BD_PRINCIPAL[],54,FALSE)=0,"",VLOOKUP($G71,BD_PRINCIPAL[],54,FALSE)),"")</f>
        <v/>
      </c>
      <c r="AI71" s="296" t="str">
        <f>IFERROR(IF(VLOOKUP($G71,BD_PRINCIPAL[],55,FALSE)=0,"",VLOOKUP($G71,BD_PRINCIPAL[],55,FALSE)),"")</f>
        <v/>
      </c>
      <c r="AJ71" s="296" t="str">
        <f>IFERROR(IF(VLOOKUP($G71,BD_PRINCIPAL[],56,FALSE)=0,"",VLOOKUP($G71,BD_PRINCIPAL[],56,FALSE)),"")</f>
        <v/>
      </c>
      <c r="AK71" s="296" t="str">
        <f>IFERROR(IF(VLOOKUP($G71,BD_PRINCIPAL[],57,FALSE)=0,"",VLOOKUP($G71,BD_PRINCIPAL[],57,FALSE)),"")</f>
        <v/>
      </c>
      <c r="AL71" s="296" t="str">
        <f>IFERROR(IF(VLOOKUP($G71,BD_PRINCIPAL[],58,FALSE)=0,"",VLOOKUP($G71,BD_PRINCIPAL[],58,FALSE)),"")</f>
        <v/>
      </c>
    </row>
    <row r="72" spans="2:38" x14ac:dyDescent="0.3">
      <c r="B72" s="289">
        <f t="shared" si="7"/>
        <v>22</v>
      </c>
      <c r="D72" s="296">
        <v>2</v>
      </c>
      <c r="E72" s="296" t="str">
        <f>IFERROR(VLOOKUP(G72,BD_PRINCIPAL[],7,FALSE),"")</f>
        <v>CABO 2DO.</v>
      </c>
      <c r="F72" s="297" t="str">
        <f>IFERROR(VLOOKUP(G72,BD_PRINCIPAL[],2,FALSE),"")</f>
        <v>GODOY BOBADILLA JUAN SEBASTIAN</v>
      </c>
      <c r="G72" s="197" t="s">
        <v>463</v>
      </c>
      <c r="H72" s="296" t="str">
        <f>IFERROR(IF(VLOOKUP($G72,BD_PRINCIPAL[],28,FALSE)=0,"",VLOOKUP($G72,BD_PRINCIPAL[],28,FALSE)),"")</f>
        <v>2P</v>
      </c>
      <c r="I72" s="296" t="str">
        <f>IFERROR(IF(VLOOKUP($G72,BD_PRINCIPAL[],29,FALSE)=0,"",VLOOKUP($G72,BD_PRINCIPAL[],29,FALSE)),"")</f>
        <v>SN</v>
      </c>
      <c r="J72" s="296" t="str">
        <f>IFERROR(IF(VLOOKUP($G72,BD_PRINCIPAL[],30,FALSE)=0,"",VLOOKUP($G72,BD_PRINCIPAL[],30,FALSE)),"")</f>
        <v>2T</v>
      </c>
      <c r="K72" s="296" t="str">
        <f>IFERROR(IF(VLOOKUP($G72,BD_PRINCIPAL[],31,FALSE)=0,"",VLOOKUP($G72,BD_PRINCIPAL[],31,FALSE)),"")</f>
        <v>1T</v>
      </c>
      <c r="L72" s="296" t="str">
        <f>IFERROR(IF(VLOOKUP($G72,BD_PRINCIPAL[],32,FALSE)=0,"",VLOOKUP($G72,BD_PRINCIPAL[],32,FALSE)),"")</f>
        <v>2P</v>
      </c>
      <c r="M72" s="296" t="str">
        <f>IFERROR(IF(VLOOKUP($G72,BD_PRINCIPAL[],33,FALSE)=0,"",VLOOKUP($G72,BD_PRINCIPAL[],33,FALSE)),"")</f>
        <v>SN</v>
      </c>
      <c r="N72" s="296" t="str">
        <f>IFERROR(IF(VLOOKUP($G72,BD_PRINCIPAL[],34,FALSE)=0,"",VLOOKUP($G72,BD_PRINCIPAL[],34,FALSE)),"")</f>
        <v/>
      </c>
      <c r="O72" s="296" t="str">
        <f>IFERROR(IF(VLOOKUP($G72,BD_PRINCIPAL[],35,FALSE)=0,"",VLOOKUP($G72,BD_PRINCIPAL[],35,FALSE)),"")</f>
        <v/>
      </c>
      <c r="P72" s="296" t="str">
        <f>IFERROR(IF(VLOOKUP($G72,BD_PRINCIPAL[],36,FALSE)=0,"",VLOOKUP($G72,BD_PRINCIPAL[],36,FALSE)),"")</f>
        <v/>
      </c>
      <c r="Q72" s="296" t="str">
        <f>IFERROR(IF(VLOOKUP($G72,BD_PRINCIPAL[],37,FALSE)=0,"",VLOOKUP($G72,BD_PRINCIPAL[],37,FALSE)),"")</f>
        <v/>
      </c>
      <c r="R72" s="296" t="str">
        <f>IFERROR(IF(VLOOKUP($G72,BD_PRINCIPAL[],38,FALSE)=0,"",VLOOKUP($G72,BD_PRINCIPAL[],38,FALSE)),"")</f>
        <v/>
      </c>
      <c r="S72" s="296" t="str">
        <f>IFERROR(IF(VLOOKUP($G72,BD_PRINCIPAL[],39,FALSE)=0,"",VLOOKUP($G72,BD_PRINCIPAL[],39,FALSE)),"")</f>
        <v/>
      </c>
      <c r="T72" s="296" t="str">
        <f>IFERROR(IF(VLOOKUP($G72,BD_PRINCIPAL[],40,FALSE)=0,"",VLOOKUP($G72,BD_PRINCIPAL[],40,FALSE)),"")</f>
        <v/>
      </c>
      <c r="U72" s="296" t="str">
        <f>IFERROR(IF(VLOOKUP($G72,BD_PRINCIPAL[],41,FALSE)=0,"",VLOOKUP($G72,BD_PRINCIPAL[],41,FALSE)),"")</f>
        <v/>
      </c>
      <c r="V72" s="296" t="str">
        <f>IFERROR(IF(VLOOKUP($G72,BD_PRINCIPAL[],42,FALSE)=0,"",VLOOKUP($G72,BD_PRINCIPAL[],42,FALSE)),"")</f>
        <v/>
      </c>
      <c r="W72" s="296" t="str">
        <f>IFERROR(IF(VLOOKUP($G72,BD_PRINCIPAL[],43,FALSE)=0,"",VLOOKUP($G72,BD_PRINCIPAL[],43,FALSE)),"")</f>
        <v/>
      </c>
      <c r="X72" s="296" t="str">
        <f>IFERROR(IF(VLOOKUP($G72,BD_PRINCIPAL[],44,FALSE)=0,"",VLOOKUP($G72,BD_PRINCIPAL[],44,FALSE)),"")</f>
        <v/>
      </c>
      <c r="Y72" s="296" t="str">
        <f>IFERROR(IF(VLOOKUP($G72,BD_PRINCIPAL[],45,FALSE)=0,"",VLOOKUP($G72,BD_PRINCIPAL[],45,FALSE)),"")</f>
        <v/>
      </c>
      <c r="Z72" s="296" t="str">
        <f>IFERROR(IF(VLOOKUP($G72,BD_PRINCIPAL[],46,FALSE)=0,"",VLOOKUP($G72,BD_PRINCIPAL[],46,FALSE)),"")</f>
        <v/>
      </c>
      <c r="AA72" s="296" t="str">
        <f>IFERROR(IF(VLOOKUP($G72,BD_PRINCIPAL[],47,FALSE)=0,"",VLOOKUP($G72,BD_PRINCIPAL[],47,FALSE)),"")</f>
        <v/>
      </c>
      <c r="AB72" s="296" t="str">
        <f>IFERROR(IF(VLOOKUP($G72,BD_PRINCIPAL[],48,FALSE)=0,"",VLOOKUP($G72,BD_PRINCIPAL[],48,FALSE)),"")</f>
        <v/>
      </c>
      <c r="AC72" s="296" t="str">
        <f>IFERROR(IF(VLOOKUP($G72,BD_PRINCIPAL[],49,FALSE)=0,"",VLOOKUP($G72,BD_PRINCIPAL[],49,FALSE)),"")</f>
        <v/>
      </c>
      <c r="AD72" s="296" t="str">
        <f>IFERROR(IF(VLOOKUP($G72,BD_PRINCIPAL[],50,FALSE)=0,"",VLOOKUP($G72,BD_PRINCIPAL[],50,FALSE)),"")</f>
        <v/>
      </c>
      <c r="AE72" s="296" t="str">
        <f>IFERROR(IF(VLOOKUP($G72,BD_PRINCIPAL[],51,FALSE)=0,"",VLOOKUP($G72,BD_PRINCIPAL[],51,FALSE)),"")</f>
        <v/>
      </c>
      <c r="AF72" s="296" t="str">
        <f>IFERROR(IF(VLOOKUP($G72,BD_PRINCIPAL[],52,FALSE)=0,"",VLOOKUP($G72,BD_PRINCIPAL[],52,FALSE)),"")</f>
        <v/>
      </c>
      <c r="AG72" s="296" t="str">
        <f>IFERROR(IF(VLOOKUP($G72,BD_PRINCIPAL[],53,FALSE)=0,"",VLOOKUP($G72,BD_PRINCIPAL[],53,FALSE)),"")</f>
        <v/>
      </c>
      <c r="AH72" s="296" t="str">
        <f>IFERROR(IF(VLOOKUP($G72,BD_PRINCIPAL[],54,FALSE)=0,"",VLOOKUP($G72,BD_PRINCIPAL[],54,FALSE)),"")</f>
        <v/>
      </c>
      <c r="AI72" s="296" t="str">
        <f>IFERROR(IF(VLOOKUP($G72,BD_PRINCIPAL[],55,FALSE)=0,"",VLOOKUP($G72,BD_PRINCIPAL[],55,FALSE)),"")</f>
        <v/>
      </c>
      <c r="AJ72" s="296" t="str">
        <f>IFERROR(IF(VLOOKUP($G72,BD_PRINCIPAL[],56,FALSE)=0,"",VLOOKUP($G72,BD_PRINCIPAL[],56,FALSE)),"")</f>
        <v/>
      </c>
      <c r="AK72" s="296" t="str">
        <f>IFERROR(IF(VLOOKUP($G72,BD_PRINCIPAL[],57,FALSE)=0,"",VLOOKUP($G72,BD_PRINCIPAL[],57,FALSE)),"")</f>
        <v/>
      </c>
      <c r="AL72" s="296" t="str">
        <f>IFERROR(IF(VLOOKUP($G72,BD_PRINCIPAL[],58,FALSE)=0,"",VLOOKUP($G72,BD_PRINCIPAL[],58,FALSE)),"")</f>
        <v/>
      </c>
    </row>
    <row r="73" spans="2:38" x14ac:dyDescent="0.3">
      <c r="B73" s="289">
        <f t="shared" si="7"/>
        <v>0</v>
      </c>
      <c r="D73" s="296">
        <v>3</v>
      </c>
      <c r="E73" s="296" t="str">
        <f>IFERROR(VLOOKUP(G73,BD_PRINCIPAL[],7,FALSE),"")</f>
        <v/>
      </c>
      <c r="F73" s="297" t="str">
        <f>IFERROR(VLOOKUP(G73,BD_PRINCIPAL[],2,FALSE),"")</f>
        <v/>
      </c>
      <c r="G73" s="914"/>
      <c r="H73" s="296" t="str">
        <f>IFERROR(IF(VLOOKUP($G73,BD_PRINCIPAL[],28,FALSE)=0,"",VLOOKUP($G73,BD_PRINCIPAL[],28,FALSE)),"")</f>
        <v/>
      </c>
      <c r="I73" s="296" t="str">
        <f>IFERROR(IF(VLOOKUP($G73,BD_PRINCIPAL[],29,FALSE)=0,"",VLOOKUP($G73,BD_PRINCIPAL[],29,FALSE)),"")</f>
        <v/>
      </c>
      <c r="J73" s="296" t="str">
        <f>IFERROR(IF(VLOOKUP($G73,BD_PRINCIPAL[],30,FALSE)=0,"",VLOOKUP($G73,BD_PRINCIPAL[],30,FALSE)),"")</f>
        <v/>
      </c>
      <c r="K73" s="296" t="str">
        <f>IFERROR(IF(VLOOKUP($G73,BD_PRINCIPAL[],31,FALSE)=0,"",VLOOKUP($G73,BD_PRINCIPAL[],31,FALSE)),"")</f>
        <v/>
      </c>
      <c r="L73" s="296" t="str">
        <f>IFERROR(IF(VLOOKUP($G73,BD_PRINCIPAL[],32,FALSE)=0,"",VLOOKUP($G73,BD_PRINCIPAL[],32,FALSE)),"")</f>
        <v/>
      </c>
      <c r="M73" s="296" t="str">
        <f>IFERROR(IF(VLOOKUP($G73,BD_PRINCIPAL[],33,FALSE)=0,"",VLOOKUP($G73,BD_PRINCIPAL[],33,FALSE)),"")</f>
        <v/>
      </c>
      <c r="N73" s="296" t="str">
        <f>IFERROR(IF(VLOOKUP($G73,BD_PRINCIPAL[],34,FALSE)=0,"",VLOOKUP($G73,BD_PRINCIPAL[],34,FALSE)),"")</f>
        <v/>
      </c>
      <c r="O73" s="296" t="str">
        <f>IFERROR(IF(VLOOKUP($G73,BD_PRINCIPAL[],35,FALSE)=0,"",VLOOKUP($G73,BD_PRINCIPAL[],35,FALSE)),"")</f>
        <v/>
      </c>
      <c r="P73" s="296" t="str">
        <f>IFERROR(IF(VLOOKUP($G73,BD_PRINCIPAL[],36,FALSE)=0,"",VLOOKUP($G73,BD_PRINCIPAL[],36,FALSE)),"")</f>
        <v/>
      </c>
      <c r="Q73" s="296" t="str">
        <f>IFERROR(IF(VLOOKUP($G73,BD_PRINCIPAL[],37,FALSE)=0,"",VLOOKUP($G73,BD_PRINCIPAL[],37,FALSE)),"")</f>
        <v/>
      </c>
      <c r="R73" s="296" t="str">
        <f>IFERROR(IF(VLOOKUP($G73,BD_PRINCIPAL[],38,FALSE)=0,"",VLOOKUP($G73,BD_PRINCIPAL[],38,FALSE)),"")</f>
        <v/>
      </c>
      <c r="S73" s="296" t="str">
        <f>IFERROR(IF(VLOOKUP($G73,BD_PRINCIPAL[],39,FALSE)=0,"",VLOOKUP($G73,BD_PRINCIPAL[],39,FALSE)),"")</f>
        <v/>
      </c>
      <c r="T73" s="296" t="str">
        <f>IFERROR(IF(VLOOKUP($G73,BD_PRINCIPAL[],40,FALSE)=0,"",VLOOKUP($G73,BD_PRINCIPAL[],40,FALSE)),"")</f>
        <v/>
      </c>
      <c r="U73" s="296" t="str">
        <f>IFERROR(IF(VLOOKUP($G73,BD_PRINCIPAL[],41,FALSE)=0,"",VLOOKUP($G73,BD_PRINCIPAL[],41,FALSE)),"")</f>
        <v/>
      </c>
      <c r="V73" s="296" t="str">
        <f>IFERROR(IF(VLOOKUP($G73,BD_PRINCIPAL[],42,FALSE)=0,"",VLOOKUP($G73,BD_PRINCIPAL[],42,FALSE)),"")</f>
        <v/>
      </c>
      <c r="W73" s="296" t="str">
        <f>IFERROR(IF(VLOOKUP($G73,BD_PRINCIPAL[],43,FALSE)=0,"",VLOOKUP($G73,BD_PRINCIPAL[],43,FALSE)),"")</f>
        <v/>
      </c>
      <c r="X73" s="296" t="str">
        <f>IFERROR(IF(VLOOKUP($G73,BD_PRINCIPAL[],44,FALSE)=0,"",VLOOKUP($G73,BD_PRINCIPAL[],44,FALSE)),"")</f>
        <v/>
      </c>
      <c r="Y73" s="296" t="str">
        <f>IFERROR(IF(VLOOKUP($G73,BD_PRINCIPAL[],45,FALSE)=0,"",VLOOKUP($G73,BD_PRINCIPAL[],45,FALSE)),"")</f>
        <v/>
      </c>
      <c r="Z73" s="296" t="str">
        <f>IFERROR(IF(VLOOKUP($G73,BD_PRINCIPAL[],46,FALSE)=0,"",VLOOKUP($G73,BD_PRINCIPAL[],46,FALSE)),"")</f>
        <v/>
      </c>
      <c r="AA73" s="296" t="str">
        <f>IFERROR(IF(VLOOKUP($G73,BD_PRINCIPAL[],47,FALSE)=0,"",VLOOKUP($G73,BD_PRINCIPAL[],47,FALSE)),"")</f>
        <v/>
      </c>
      <c r="AB73" s="296" t="str">
        <f>IFERROR(IF(VLOOKUP($G73,BD_PRINCIPAL[],48,FALSE)=0,"",VLOOKUP($G73,BD_PRINCIPAL[],48,FALSE)),"")</f>
        <v/>
      </c>
      <c r="AC73" s="296" t="str">
        <f>IFERROR(IF(VLOOKUP($G73,BD_PRINCIPAL[],49,FALSE)=0,"",VLOOKUP($G73,BD_PRINCIPAL[],49,FALSE)),"")</f>
        <v/>
      </c>
      <c r="AD73" s="296" t="str">
        <f>IFERROR(IF(VLOOKUP($G73,BD_PRINCIPAL[],50,FALSE)=0,"",VLOOKUP($G73,BD_PRINCIPAL[],50,FALSE)),"")</f>
        <v/>
      </c>
      <c r="AE73" s="296" t="str">
        <f>IFERROR(IF(VLOOKUP($G73,BD_PRINCIPAL[],51,FALSE)=0,"",VLOOKUP($G73,BD_PRINCIPAL[],51,FALSE)),"")</f>
        <v/>
      </c>
      <c r="AF73" s="296" t="str">
        <f>IFERROR(IF(VLOOKUP($G73,BD_PRINCIPAL[],52,FALSE)=0,"",VLOOKUP($G73,BD_PRINCIPAL[],52,FALSE)),"")</f>
        <v/>
      </c>
      <c r="AG73" s="296" t="str">
        <f>IFERROR(IF(VLOOKUP($G73,BD_PRINCIPAL[],53,FALSE)=0,"",VLOOKUP($G73,BD_PRINCIPAL[],53,FALSE)),"")</f>
        <v/>
      </c>
      <c r="AH73" s="296" t="str">
        <f>IFERROR(IF(VLOOKUP($G73,BD_PRINCIPAL[],54,FALSE)=0,"",VLOOKUP($G73,BD_PRINCIPAL[],54,FALSE)),"")</f>
        <v/>
      </c>
      <c r="AI73" s="296" t="str">
        <f>IFERROR(IF(VLOOKUP($G73,BD_PRINCIPAL[],55,FALSE)=0,"",VLOOKUP($G73,BD_PRINCIPAL[],55,FALSE)),"")</f>
        <v/>
      </c>
      <c r="AJ73" s="296" t="str">
        <f>IFERROR(IF(VLOOKUP($G73,BD_PRINCIPAL[],56,FALSE)=0,"",VLOOKUP($G73,BD_PRINCIPAL[],56,FALSE)),"")</f>
        <v/>
      </c>
      <c r="AK73" s="296" t="str">
        <f>IFERROR(IF(VLOOKUP($G73,BD_PRINCIPAL[],57,FALSE)=0,"",VLOOKUP($G73,BD_PRINCIPAL[],57,FALSE)),"")</f>
        <v/>
      </c>
      <c r="AL73" s="296" t="str">
        <f>IFERROR(IF(VLOOKUP($G73,BD_PRINCIPAL[],58,FALSE)=0,"",VLOOKUP($G73,BD_PRINCIPAL[],58,FALSE)),"")</f>
        <v/>
      </c>
    </row>
    <row r="74" spans="2:38" x14ac:dyDescent="0.3">
      <c r="B74" s="289">
        <f t="shared" si="7"/>
        <v>0</v>
      </c>
      <c r="D74" s="296">
        <v>4</v>
      </c>
      <c r="E74" s="296" t="str">
        <f>IFERROR(VLOOKUP(G74,BD_PRINCIPAL[],7,FALSE),"")</f>
        <v/>
      </c>
      <c r="F74" s="297" t="str">
        <f>IFERROR(VLOOKUP(G74,BD_PRINCIPAL[],2,FALSE),"")</f>
        <v/>
      </c>
      <c r="G74" s="914"/>
      <c r="H74" s="296" t="str">
        <f>IFERROR(IF(VLOOKUP($G74,BD_PRINCIPAL[],28,FALSE)=0,"",VLOOKUP($G74,BD_PRINCIPAL[],28,FALSE)),"")</f>
        <v/>
      </c>
      <c r="I74" s="296" t="str">
        <f>IFERROR(IF(VLOOKUP($G74,BD_PRINCIPAL[],29,FALSE)=0,"",VLOOKUP($G74,BD_PRINCIPAL[],29,FALSE)),"")</f>
        <v/>
      </c>
      <c r="J74" s="296" t="str">
        <f>IFERROR(IF(VLOOKUP($G74,BD_PRINCIPAL[],30,FALSE)=0,"",VLOOKUP($G74,BD_PRINCIPAL[],30,FALSE)),"")</f>
        <v/>
      </c>
      <c r="K74" s="296" t="str">
        <f>IFERROR(IF(VLOOKUP($G74,BD_PRINCIPAL[],31,FALSE)=0,"",VLOOKUP($G74,BD_PRINCIPAL[],31,FALSE)),"")</f>
        <v/>
      </c>
      <c r="L74" s="296" t="str">
        <f>IFERROR(IF(VLOOKUP($G74,BD_PRINCIPAL[],32,FALSE)=0,"",VLOOKUP($G74,BD_PRINCIPAL[],32,FALSE)),"")</f>
        <v/>
      </c>
      <c r="M74" s="296" t="str">
        <f>IFERROR(IF(VLOOKUP($G74,BD_PRINCIPAL[],33,FALSE)=0,"",VLOOKUP($G74,BD_PRINCIPAL[],33,FALSE)),"")</f>
        <v/>
      </c>
      <c r="N74" s="296" t="str">
        <f>IFERROR(IF(VLOOKUP($G74,BD_PRINCIPAL[],34,FALSE)=0,"",VLOOKUP($G74,BD_PRINCIPAL[],34,FALSE)),"")</f>
        <v/>
      </c>
      <c r="O74" s="296" t="str">
        <f>IFERROR(IF(VLOOKUP($G74,BD_PRINCIPAL[],35,FALSE)=0,"",VLOOKUP($G74,BD_PRINCIPAL[],35,FALSE)),"")</f>
        <v/>
      </c>
      <c r="P74" s="296" t="str">
        <f>IFERROR(IF(VLOOKUP($G74,BD_PRINCIPAL[],36,FALSE)=0,"",VLOOKUP($G74,BD_PRINCIPAL[],36,FALSE)),"")</f>
        <v/>
      </c>
      <c r="Q74" s="296" t="str">
        <f>IFERROR(IF(VLOOKUP($G74,BD_PRINCIPAL[],37,FALSE)=0,"",VLOOKUP($G74,BD_PRINCIPAL[],37,FALSE)),"")</f>
        <v/>
      </c>
      <c r="R74" s="296" t="str">
        <f>IFERROR(IF(VLOOKUP($G74,BD_PRINCIPAL[],38,FALSE)=0,"",VLOOKUP($G74,BD_PRINCIPAL[],38,FALSE)),"")</f>
        <v/>
      </c>
      <c r="S74" s="296" t="str">
        <f>IFERROR(IF(VLOOKUP($G74,BD_PRINCIPAL[],39,FALSE)=0,"",VLOOKUP($G74,BD_PRINCIPAL[],39,FALSE)),"")</f>
        <v/>
      </c>
      <c r="T74" s="296" t="str">
        <f>IFERROR(IF(VLOOKUP($G74,BD_PRINCIPAL[],40,FALSE)=0,"",VLOOKUP($G74,BD_PRINCIPAL[],40,FALSE)),"")</f>
        <v/>
      </c>
      <c r="U74" s="296" t="str">
        <f>IFERROR(IF(VLOOKUP($G74,BD_PRINCIPAL[],41,FALSE)=0,"",VLOOKUP($G74,BD_PRINCIPAL[],41,FALSE)),"")</f>
        <v/>
      </c>
      <c r="V74" s="296" t="str">
        <f>IFERROR(IF(VLOOKUP($G74,BD_PRINCIPAL[],42,FALSE)=0,"",VLOOKUP($G74,BD_PRINCIPAL[],42,FALSE)),"")</f>
        <v/>
      </c>
      <c r="W74" s="296" t="str">
        <f>IFERROR(IF(VLOOKUP($G74,BD_PRINCIPAL[],43,FALSE)=0,"",VLOOKUP($G74,BD_PRINCIPAL[],43,FALSE)),"")</f>
        <v/>
      </c>
      <c r="X74" s="296" t="str">
        <f>IFERROR(IF(VLOOKUP($G74,BD_PRINCIPAL[],44,FALSE)=0,"",VLOOKUP($G74,BD_PRINCIPAL[],44,FALSE)),"")</f>
        <v/>
      </c>
      <c r="Y74" s="296" t="str">
        <f>IFERROR(IF(VLOOKUP($G74,BD_PRINCIPAL[],45,FALSE)=0,"",VLOOKUP($G74,BD_PRINCIPAL[],45,FALSE)),"")</f>
        <v/>
      </c>
      <c r="Z74" s="296" t="str">
        <f>IFERROR(IF(VLOOKUP($G74,BD_PRINCIPAL[],46,FALSE)=0,"",VLOOKUP($G74,BD_PRINCIPAL[],46,FALSE)),"")</f>
        <v/>
      </c>
      <c r="AA74" s="296" t="str">
        <f>IFERROR(IF(VLOOKUP($G74,BD_PRINCIPAL[],47,FALSE)=0,"",VLOOKUP($G74,BD_PRINCIPAL[],47,FALSE)),"")</f>
        <v/>
      </c>
      <c r="AB74" s="296" t="str">
        <f>IFERROR(IF(VLOOKUP($G74,BD_PRINCIPAL[],48,FALSE)=0,"",VLOOKUP($G74,BD_PRINCIPAL[],48,FALSE)),"")</f>
        <v/>
      </c>
      <c r="AC74" s="296" t="str">
        <f>IFERROR(IF(VLOOKUP($G74,BD_PRINCIPAL[],49,FALSE)=0,"",VLOOKUP($G74,BD_PRINCIPAL[],49,FALSE)),"")</f>
        <v/>
      </c>
      <c r="AD74" s="296" t="str">
        <f>IFERROR(IF(VLOOKUP($G74,BD_PRINCIPAL[],50,FALSE)=0,"",VLOOKUP($G74,BD_PRINCIPAL[],50,FALSE)),"")</f>
        <v/>
      </c>
      <c r="AE74" s="296" t="str">
        <f>IFERROR(IF(VLOOKUP($G74,BD_PRINCIPAL[],51,FALSE)=0,"",VLOOKUP($G74,BD_PRINCIPAL[],51,FALSE)),"")</f>
        <v/>
      </c>
      <c r="AF74" s="296" t="str">
        <f>IFERROR(IF(VLOOKUP($G74,BD_PRINCIPAL[],52,FALSE)=0,"",VLOOKUP($G74,BD_PRINCIPAL[],52,FALSE)),"")</f>
        <v/>
      </c>
      <c r="AG74" s="296" t="str">
        <f>IFERROR(IF(VLOOKUP($G74,BD_PRINCIPAL[],53,FALSE)=0,"",VLOOKUP($G74,BD_PRINCIPAL[],53,FALSE)),"")</f>
        <v/>
      </c>
      <c r="AH74" s="296" t="str">
        <f>IFERROR(IF(VLOOKUP($G74,BD_PRINCIPAL[],54,FALSE)=0,"",VLOOKUP($G74,BD_PRINCIPAL[],54,FALSE)),"")</f>
        <v/>
      </c>
      <c r="AI74" s="296" t="str">
        <f>IFERROR(IF(VLOOKUP($G74,BD_PRINCIPAL[],55,FALSE)=0,"",VLOOKUP($G74,BD_PRINCIPAL[],55,FALSE)),"")</f>
        <v/>
      </c>
      <c r="AJ74" s="296" t="str">
        <f>IFERROR(IF(VLOOKUP($G74,BD_PRINCIPAL[],56,FALSE)=0,"",VLOOKUP($G74,BD_PRINCIPAL[],56,FALSE)),"")</f>
        <v/>
      </c>
      <c r="AK74" s="296" t="str">
        <f>IFERROR(IF(VLOOKUP($G74,BD_PRINCIPAL[],57,FALSE)=0,"",VLOOKUP($G74,BD_PRINCIPAL[],57,FALSE)),"")</f>
        <v/>
      </c>
      <c r="AL74" s="296" t="str">
        <f>IFERROR(IF(VLOOKUP($G74,BD_PRINCIPAL[],58,FALSE)=0,"",VLOOKUP($G74,BD_PRINCIPAL[],58,FALSE)),"")</f>
        <v/>
      </c>
    </row>
    <row r="75" spans="2:38" x14ac:dyDescent="0.3">
      <c r="B75" s="289">
        <f t="shared" si="7"/>
        <v>0</v>
      </c>
      <c r="D75" s="296">
        <v>5</v>
      </c>
      <c r="E75" s="296" t="str">
        <f>IFERROR(VLOOKUP(G75,BD_PRINCIPAL[],7,FALSE),"")</f>
        <v/>
      </c>
      <c r="F75" s="297" t="str">
        <f>IFERROR(VLOOKUP(G75,BD_PRINCIPAL[],2,FALSE),"")</f>
        <v/>
      </c>
      <c r="G75" s="197"/>
      <c r="H75" s="296" t="str">
        <f>IFERROR(IF(VLOOKUP($G75,BD_PRINCIPAL[],28,FALSE)=0,"",VLOOKUP($G75,BD_PRINCIPAL[],28,FALSE)),"")</f>
        <v/>
      </c>
      <c r="I75" s="296" t="str">
        <f>IFERROR(IF(VLOOKUP($G75,BD_PRINCIPAL[],29,FALSE)=0,"",VLOOKUP($G75,BD_PRINCIPAL[],29,FALSE)),"")</f>
        <v/>
      </c>
      <c r="J75" s="296" t="str">
        <f>IFERROR(IF(VLOOKUP($G75,BD_PRINCIPAL[],30,FALSE)=0,"",VLOOKUP($G75,BD_PRINCIPAL[],30,FALSE)),"")</f>
        <v/>
      </c>
      <c r="K75" s="296" t="str">
        <f>IFERROR(IF(VLOOKUP($G75,BD_PRINCIPAL[],31,FALSE)=0,"",VLOOKUP($G75,BD_PRINCIPAL[],31,FALSE)),"")</f>
        <v/>
      </c>
      <c r="L75" s="296" t="str">
        <f>IFERROR(IF(VLOOKUP($G75,BD_PRINCIPAL[],32,FALSE)=0,"",VLOOKUP($G75,BD_PRINCIPAL[],32,FALSE)),"")</f>
        <v/>
      </c>
      <c r="M75" s="296" t="str">
        <f>IFERROR(IF(VLOOKUP($G75,BD_PRINCIPAL[],33,FALSE)=0,"",VLOOKUP($G75,BD_PRINCIPAL[],33,FALSE)),"")</f>
        <v/>
      </c>
      <c r="N75" s="296" t="str">
        <f>IFERROR(IF(VLOOKUP($G75,BD_PRINCIPAL[],34,FALSE)=0,"",VLOOKUP($G75,BD_PRINCIPAL[],34,FALSE)),"")</f>
        <v/>
      </c>
      <c r="O75" s="296" t="str">
        <f>IFERROR(IF(VLOOKUP($G75,BD_PRINCIPAL[],35,FALSE)=0,"",VLOOKUP($G75,BD_PRINCIPAL[],35,FALSE)),"")</f>
        <v/>
      </c>
      <c r="P75" s="296" t="str">
        <f>IFERROR(IF(VLOOKUP($G75,BD_PRINCIPAL[],36,FALSE)=0,"",VLOOKUP($G75,BD_PRINCIPAL[],36,FALSE)),"")</f>
        <v/>
      </c>
      <c r="Q75" s="296" t="str">
        <f>IFERROR(IF(VLOOKUP($G75,BD_PRINCIPAL[],37,FALSE)=0,"",VLOOKUP($G75,BD_PRINCIPAL[],37,FALSE)),"")</f>
        <v/>
      </c>
      <c r="R75" s="296" t="str">
        <f>IFERROR(IF(VLOOKUP($G75,BD_PRINCIPAL[],38,FALSE)=0,"",VLOOKUP($G75,BD_PRINCIPAL[],38,FALSE)),"")</f>
        <v/>
      </c>
      <c r="S75" s="296" t="str">
        <f>IFERROR(IF(VLOOKUP($G75,BD_PRINCIPAL[],39,FALSE)=0,"",VLOOKUP($G75,BD_PRINCIPAL[],39,FALSE)),"")</f>
        <v/>
      </c>
      <c r="T75" s="296" t="str">
        <f>IFERROR(IF(VLOOKUP($G75,BD_PRINCIPAL[],40,FALSE)=0,"",VLOOKUP($G75,BD_PRINCIPAL[],40,FALSE)),"")</f>
        <v/>
      </c>
      <c r="U75" s="296" t="str">
        <f>IFERROR(IF(VLOOKUP($G75,BD_PRINCIPAL[],41,FALSE)=0,"",VLOOKUP($G75,BD_PRINCIPAL[],41,FALSE)),"")</f>
        <v/>
      </c>
      <c r="V75" s="296" t="str">
        <f>IFERROR(IF(VLOOKUP($G75,BD_PRINCIPAL[],42,FALSE)=0,"",VLOOKUP($G75,BD_PRINCIPAL[],42,FALSE)),"")</f>
        <v/>
      </c>
      <c r="W75" s="296" t="str">
        <f>IFERROR(IF(VLOOKUP($G75,BD_PRINCIPAL[],43,FALSE)=0,"",VLOOKUP($G75,BD_PRINCIPAL[],43,FALSE)),"")</f>
        <v/>
      </c>
      <c r="X75" s="296" t="str">
        <f>IFERROR(IF(VLOOKUP($G75,BD_PRINCIPAL[],44,FALSE)=0,"",VLOOKUP($G75,BD_PRINCIPAL[],44,FALSE)),"")</f>
        <v/>
      </c>
      <c r="Y75" s="296" t="str">
        <f>IFERROR(IF(VLOOKUP($G75,BD_PRINCIPAL[],45,FALSE)=0,"",VLOOKUP($G75,BD_PRINCIPAL[],45,FALSE)),"")</f>
        <v/>
      </c>
      <c r="Z75" s="296" t="str">
        <f>IFERROR(IF(VLOOKUP($G75,BD_PRINCIPAL[],46,FALSE)=0,"",VLOOKUP($G75,BD_PRINCIPAL[],46,FALSE)),"")</f>
        <v/>
      </c>
      <c r="AA75" s="296" t="str">
        <f>IFERROR(IF(VLOOKUP($G75,BD_PRINCIPAL[],47,FALSE)=0,"",VLOOKUP($G75,BD_PRINCIPAL[],47,FALSE)),"")</f>
        <v/>
      </c>
      <c r="AB75" s="296" t="str">
        <f>IFERROR(IF(VLOOKUP($G75,BD_PRINCIPAL[],48,FALSE)=0,"",VLOOKUP($G75,BD_PRINCIPAL[],48,FALSE)),"")</f>
        <v/>
      </c>
      <c r="AC75" s="296" t="str">
        <f>IFERROR(IF(VLOOKUP($G75,BD_PRINCIPAL[],49,FALSE)=0,"",VLOOKUP($G75,BD_PRINCIPAL[],49,FALSE)),"")</f>
        <v/>
      </c>
      <c r="AD75" s="296" t="str">
        <f>IFERROR(IF(VLOOKUP($G75,BD_PRINCIPAL[],50,FALSE)=0,"",VLOOKUP($G75,BD_PRINCIPAL[],50,FALSE)),"")</f>
        <v/>
      </c>
      <c r="AE75" s="296" t="str">
        <f>IFERROR(IF(VLOOKUP($G75,BD_PRINCIPAL[],51,FALSE)=0,"",VLOOKUP($G75,BD_PRINCIPAL[],51,FALSE)),"")</f>
        <v/>
      </c>
      <c r="AF75" s="296" t="str">
        <f>IFERROR(IF(VLOOKUP($G75,BD_PRINCIPAL[],52,FALSE)=0,"",VLOOKUP($G75,BD_PRINCIPAL[],52,FALSE)),"")</f>
        <v/>
      </c>
      <c r="AG75" s="296" t="str">
        <f>IFERROR(IF(VLOOKUP($G75,BD_PRINCIPAL[],53,FALSE)=0,"",VLOOKUP($G75,BD_PRINCIPAL[],53,FALSE)),"")</f>
        <v/>
      </c>
      <c r="AH75" s="296" t="str">
        <f>IFERROR(IF(VLOOKUP($G75,BD_PRINCIPAL[],54,FALSE)=0,"",VLOOKUP($G75,BD_PRINCIPAL[],54,FALSE)),"")</f>
        <v/>
      </c>
      <c r="AI75" s="296" t="str">
        <f>IFERROR(IF(VLOOKUP($G75,BD_PRINCIPAL[],55,FALSE)=0,"",VLOOKUP($G75,BD_PRINCIPAL[],55,FALSE)),"")</f>
        <v/>
      </c>
      <c r="AJ75" s="296" t="str">
        <f>IFERROR(IF(VLOOKUP($G75,BD_PRINCIPAL[],56,FALSE)=0,"",VLOOKUP($G75,BD_PRINCIPAL[],56,FALSE)),"")</f>
        <v/>
      </c>
      <c r="AK75" s="296" t="str">
        <f>IFERROR(IF(VLOOKUP($G75,BD_PRINCIPAL[],57,FALSE)=0,"",VLOOKUP($G75,BD_PRINCIPAL[],57,FALSE)),"")</f>
        <v/>
      </c>
      <c r="AL75" s="296" t="str">
        <f>IFERROR(IF(VLOOKUP($G75,BD_PRINCIPAL[],58,FALSE)=0,"",VLOOKUP($G75,BD_PRINCIPAL[],58,FALSE)),"")</f>
        <v/>
      </c>
    </row>
    <row r="76" spans="2:38" x14ac:dyDescent="0.3">
      <c r="B76" s="289">
        <f t="shared" si="7"/>
        <v>0</v>
      </c>
      <c r="D76" s="296">
        <v>6</v>
      </c>
      <c r="E76" s="296" t="str">
        <f>IFERROR(VLOOKUP(G76,BD_PRINCIPAL[],7,FALSE),"")</f>
        <v/>
      </c>
      <c r="F76" s="297" t="str">
        <f>IFERROR(VLOOKUP(G76,BD_PRINCIPAL[],2,FALSE),"")</f>
        <v/>
      </c>
      <c r="G76" s="197"/>
      <c r="H76" s="296" t="str">
        <f>IFERROR(IF(VLOOKUP($G76,BD_PRINCIPAL[],28,FALSE)=0,"",VLOOKUP($G76,BD_PRINCIPAL[],28,FALSE)),"")</f>
        <v/>
      </c>
      <c r="I76" s="296" t="str">
        <f>IFERROR(IF(VLOOKUP($G76,BD_PRINCIPAL[],29,FALSE)=0,"",VLOOKUP($G76,BD_PRINCIPAL[],29,FALSE)),"")</f>
        <v/>
      </c>
      <c r="J76" s="296" t="str">
        <f>IFERROR(IF(VLOOKUP($G76,BD_PRINCIPAL[],30,FALSE)=0,"",VLOOKUP($G76,BD_PRINCIPAL[],30,FALSE)),"")</f>
        <v/>
      </c>
      <c r="K76" s="296" t="str">
        <f>IFERROR(IF(VLOOKUP($G76,BD_PRINCIPAL[],31,FALSE)=0,"",VLOOKUP($G76,BD_PRINCIPAL[],31,FALSE)),"")</f>
        <v/>
      </c>
      <c r="L76" s="296" t="str">
        <f>IFERROR(IF(VLOOKUP($G76,BD_PRINCIPAL[],32,FALSE)=0,"",VLOOKUP($G76,BD_PRINCIPAL[],32,FALSE)),"")</f>
        <v/>
      </c>
      <c r="M76" s="296" t="str">
        <f>IFERROR(IF(VLOOKUP($G76,BD_PRINCIPAL[],33,FALSE)=0,"",VLOOKUP($G76,BD_PRINCIPAL[],33,FALSE)),"")</f>
        <v/>
      </c>
      <c r="N76" s="296" t="str">
        <f>IFERROR(IF(VLOOKUP($G76,BD_PRINCIPAL[],34,FALSE)=0,"",VLOOKUP($G76,BD_PRINCIPAL[],34,FALSE)),"")</f>
        <v/>
      </c>
      <c r="O76" s="296" t="str">
        <f>IFERROR(IF(VLOOKUP($G76,BD_PRINCIPAL[],35,FALSE)=0,"",VLOOKUP($G76,BD_PRINCIPAL[],35,FALSE)),"")</f>
        <v/>
      </c>
      <c r="P76" s="296" t="str">
        <f>IFERROR(IF(VLOOKUP($G76,BD_PRINCIPAL[],36,FALSE)=0,"",VLOOKUP($G76,BD_PRINCIPAL[],36,FALSE)),"")</f>
        <v/>
      </c>
      <c r="Q76" s="296" t="str">
        <f>IFERROR(IF(VLOOKUP($G76,BD_PRINCIPAL[],37,FALSE)=0,"",VLOOKUP($G76,BD_PRINCIPAL[],37,FALSE)),"")</f>
        <v/>
      </c>
      <c r="R76" s="296" t="str">
        <f>IFERROR(IF(VLOOKUP($G76,BD_PRINCIPAL[],38,FALSE)=0,"",VLOOKUP($G76,BD_PRINCIPAL[],38,FALSE)),"")</f>
        <v/>
      </c>
      <c r="S76" s="296" t="str">
        <f>IFERROR(IF(VLOOKUP($G76,BD_PRINCIPAL[],39,FALSE)=0,"",VLOOKUP($G76,BD_PRINCIPAL[],39,FALSE)),"")</f>
        <v/>
      </c>
      <c r="T76" s="296" t="str">
        <f>IFERROR(IF(VLOOKUP($G76,BD_PRINCIPAL[],40,FALSE)=0,"",VLOOKUP($G76,BD_PRINCIPAL[],40,FALSE)),"")</f>
        <v/>
      </c>
      <c r="U76" s="296" t="str">
        <f>IFERROR(IF(VLOOKUP($G76,BD_PRINCIPAL[],41,FALSE)=0,"",VLOOKUP($G76,BD_PRINCIPAL[],41,FALSE)),"")</f>
        <v/>
      </c>
      <c r="V76" s="296" t="str">
        <f>IFERROR(IF(VLOOKUP($G76,BD_PRINCIPAL[],42,FALSE)=0,"",VLOOKUP($G76,BD_PRINCIPAL[],42,FALSE)),"")</f>
        <v/>
      </c>
      <c r="W76" s="296" t="str">
        <f>IFERROR(IF(VLOOKUP($G76,BD_PRINCIPAL[],43,FALSE)=0,"",VLOOKUP($G76,BD_PRINCIPAL[],43,FALSE)),"")</f>
        <v/>
      </c>
      <c r="X76" s="296" t="str">
        <f>IFERROR(IF(VLOOKUP($G76,BD_PRINCIPAL[],44,FALSE)=0,"",VLOOKUP($G76,BD_PRINCIPAL[],44,FALSE)),"")</f>
        <v/>
      </c>
      <c r="Y76" s="296" t="str">
        <f>IFERROR(IF(VLOOKUP($G76,BD_PRINCIPAL[],45,FALSE)=0,"",VLOOKUP($G76,BD_PRINCIPAL[],45,FALSE)),"")</f>
        <v/>
      </c>
      <c r="Z76" s="296" t="str">
        <f>IFERROR(IF(VLOOKUP($G76,BD_PRINCIPAL[],46,FALSE)=0,"",VLOOKUP($G76,BD_PRINCIPAL[],46,FALSE)),"")</f>
        <v/>
      </c>
      <c r="AA76" s="296" t="str">
        <f>IFERROR(IF(VLOOKUP($G76,BD_PRINCIPAL[],47,FALSE)=0,"",VLOOKUP($G76,BD_PRINCIPAL[],47,FALSE)),"")</f>
        <v/>
      </c>
      <c r="AB76" s="296" t="str">
        <f>IFERROR(IF(VLOOKUP($G76,BD_PRINCIPAL[],48,FALSE)=0,"",VLOOKUP($G76,BD_PRINCIPAL[],48,FALSE)),"")</f>
        <v/>
      </c>
      <c r="AC76" s="296" t="str">
        <f>IFERROR(IF(VLOOKUP($G76,BD_PRINCIPAL[],49,FALSE)=0,"",VLOOKUP($G76,BD_PRINCIPAL[],49,FALSE)),"")</f>
        <v/>
      </c>
      <c r="AD76" s="296" t="str">
        <f>IFERROR(IF(VLOOKUP($G76,BD_PRINCIPAL[],50,FALSE)=0,"",VLOOKUP($G76,BD_PRINCIPAL[],50,FALSE)),"")</f>
        <v/>
      </c>
      <c r="AE76" s="296" t="str">
        <f>IFERROR(IF(VLOOKUP($G76,BD_PRINCIPAL[],51,FALSE)=0,"",VLOOKUP($G76,BD_PRINCIPAL[],51,FALSE)),"")</f>
        <v/>
      </c>
      <c r="AF76" s="296" t="str">
        <f>IFERROR(IF(VLOOKUP($G76,BD_PRINCIPAL[],52,FALSE)=0,"",VLOOKUP($G76,BD_PRINCIPAL[],52,FALSE)),"")</f>
        <v/>
      </c>
      <c r="AG76" s="296" t="str">
        <f>IFERROR(IF(VLOOKUP($G76,BD_PRINCIPAL[],53,FALSE)=0,"",VLOOKUP($G76,BD_PRINCIPAL[],53,FALSE)),"")</f>
        <v/>
      </c>
      <c r="AH76" s="296" t="str">
        <f>IFERROR(IF(VLOOKUP($G76,BD_PRINCIPAL[],54,FALSE)=0,"",VLOOKUP($G76,BD_PRINCIPAL[],54,FALSE)),"")</f>
        <v/>
      </c>
      <c r="AI76" s="296" t="str">
        <f>IFERROR(IF(VLOOKUP($G76,BD_PRINCIPAL[],55,FALSE)=0,"",VLOOKUP($G76,BD_PRINCIPAL[],55,FALSE)),"")</f>
        <v/>
      </c>
      <c r="AJ76" s="296" t="str">
        <f>IFERROR(IF(VLOOKUP($G76,BD_PRINCIPAL[],56,FALSE)=0,"",VLOOKUP($G76,BD_PRINCIPAL[],56,FALSE)),"")</f>
        <v/>
      </c>
      <c r="AK76" s="296" t="str">
        <f>IFERROR(IF(VLOOKUP($G76,BD_PRINCIPAL[],57,FALSE)=0,"",VLOOKUP($G76,BD_PRINCIPAL[],57,FALSE)),"")</f>
        <v/>
      </c>
      <c r="AL76" s="296" t="str">
        <f>IFERROR(IF(VLOOKUP($G76,BD_PRINCIPAL[],58,FALSE)=0,"",VLOOKUP($G76,BD_PRINCIPAL[],58,FALSE)),"")</f>
        <v/>
      </c>
    </row>
    <row r="77" spans="2:38" x14ac:dyDescent="0.3">
      <c r="B77" s="289">
        <f t="shared" si="7"/>
        <v>0</v>
      </c>
      <c r="D77" s="296">
        <v>7</v>
      </c>
      <c r="E77" s="296" t="str">
        <f>IFERROR(VLOOKUP(G77,BD_PRINCIPAL[],7,FALSE),"")</f>
        <v/>
      </c>
      <c r="F77" s="297" t="str">
        <f>IFERROR(VLOOKUP(G77,BD_PRINCIPAL[],2,FALSE),"")</f>
        <v/>
      </c>
      <c r="G77" s="197"/>
      <c r="H77" s="296" t="str">
        <f>IFERROR(IF(VLOOKUP($G77,BD_PRINCIPAL[],28,FALSE)=0,"",VLOOKUP($G77,BD_PRINCIPAL[],28,FALSE)),"")</f>
        <v/>
      </c>
      <c r="I77" s="296" t="str">
        <f>IFERROR(IF(VLOOKUP($G77,BD_PRINCIPAL[],29,FALSE)=0,"",VLOOKUP($G77,BD_PRINCIPAL[],29,FALSE)),"")</f>
        <v/>
      </c>
      <c r="J77" s="296" t="str">
        <f>IFERROR(IF(VLOOKUP($G77,BD_PRINCIPAL[],30,FALSE)=0,"",VLOOKUP($G77,BD_PRINCIPAL[],30,FALSE)),"")</f>
        <v/>
      </c>
      <c r="K77" s="296" t="str">
        <f>IFERROR(IF(VLOOKUP($G77,BD_PRINCIPAL[],31,FALSE)=0,"",VLOOKUP($G77,BD_PRINCIPAL[],31,FALSE)),"")</f>
        <v/>
      </c>
      <c r="L77" s="296" t="str">
        <f>IFERROR(IF(VLOOKUP($G77,BD_PRINCIPAL[],32,FALSE)=0,"",VLOOKUP($G77,BD_PRINCIPAL[],32,FALSE)),"")</f>
        <v/>
      </c>
      <c r="M77" s="296" t="str">
        <f>IFERROR(IF(VLOOKUP($G77,BD_PRINCIPAL[],33,FALSE)=0,"",VLOOKUP($G77,BD_PRINCIPAL[],33,FALSE)),"")</f>
        <v/>
      </c>
      <c r="N77" s="296" t="str">
        <f>IFERROR(IF(VLOOKUP($G77,BD_PRINCIPAL[],34,FALSE)=0,"",VLOOKUP($G77,BD_PRINCIPAL[],34,FALSE)),"")</f>
        <v/>
      </c>
      <c r="O77" s="296" t="str">
        <f>IFERROR(IF(VLOOKUP($G77,BD_PRINCIPAL[],35,FALSE)=0,"",VLOOKUP($G77,BD_PRINCIPAL[],35,FALSE)),"")</f>
        <v/>
      </c>
      <c r="P77" s="296" t="str">
        <f>IFERROR(IF(VLOOKUP($G77,BD_PRINCIPAL[],36,FALSE)=0,"",VLOOKUP($G77,BD_PRINCIPAL[],36,FALSE)),"")</f>
        <v/>
      </c>
      <c r="Q77" s="296" t="str">
        <f>IFERROR(IF(VLOOKUP($G77,BD_PRINCIPAL[],37,FALSE)=0,"",VLOOKUP($G77,BD_PRINCIPAL[],37,FALSE)),"")</f>
        <v/>
      </c>
      <c r="R77" s="296" t="str">
        <f>IFERROR(IF(VLOOKUP($G77,BD_PRINCIPAL[],38,FALSE)=0,"",VLOOKUP($G77,BD_PRINCIPAL[],38,FALSE)),"")</f>
        <v/>
      </c>
      <c r="S77" s="296" t="str">
        <f>IFERROR(IF(VLOOKUP($G77,BD_PRINCIPAL[],39,FALSE)=0,"",VLOOKUP($G77,BD_PRINCIPAL[],39,FALSE)),"")</f>
        <v/>
      </c>
      <c r="T77" s="296" t="str">
        <f>IFERROR(IF(VLOOKUP($G77,BD_PRINCIPAL[],40,FALSE)=0,"",VLOOKUP($G77,BD_PRINCIPAL[],40,FALSE)),"")</f>
        <v/>
      </c>
      <c r="U77" s="296" t="str">
        <f>IFERROR(IF(VLOOKUP($G77,BD_PRINCIPAL[],41,FALSE)=0,"",VLOOKUP($G77,BD_PRINCIPAL[],41,FALSE)),"")</f>
        <v/>
      </c>
      <c r="V77" s="296" t="str">
        <f>IFERROR(IF(VLOOKUP($G77,BD_PRINCIPAL[],42,FALSE)=0,"",VLOOKUP($G77,BD_PRINCIPAL[],42,FALSE)),"")</f>
        <v/>
      </c>
      <c r="W77" s="296" t="str">
        <f>IFERROR(IF(VLOOKUP($G77,BD_PRINCIPAL[],43,FALSE)=0,"",VLOOKUP($G77,BD_PRINCIPAL[],43,FALSE)),"")</f>
        <v/>
      </c>
      <c r="X77" s="296" t="str">
        <f>IFERROR(IF(VLOOKUP($G77,BD_PRINCIPAL[],44,FALSE)=0,"",VLOOKUP($G77,BD_PRINCIPAL[],44,FALSE)),"")</f>
        <v/>
      </c>
      <c r="Y77" s="296" t="str">
        <f>IFERROR(IF(VLOOKUP($G77,BD_PRINCIPAL[],45,FALSE)=0,"",VLOOKUP($G77,BD_PRINCIPAL[],45,FALSE)),"")</f>
        <v/>
      </c>
      <c r="Z77" s="296" t="str">
        <f>IFERROR(IF(VLOOKUP($G77,BD_PRINCIPAL[],46,FALSE)=0,"",VLOOKUP($G77,BD_PRINCIPAL[],46,FALSE)),"")</f>
        <v/>
      </c>
      <c r="AA77" s="296" t="str">
        <f>IFERROR(IF(VLOOKUP($G77,BD_PRINCIPAL[],47,FALSE)=0,"",VLOOKUP($G77,BD_PRINCIPAL[],47,FALSE)),"")</f>
        <v/>
      </c>
      <c r="AB77" s="296" t="str">
        <f>IFERROR(IF(VLOOKUP($G77,BD_PRINCIPAL[],48,FALSE)=0,"",VLOOKUP($G77,BD_PRINCIPAL[],48,FALSE)),"")</f>
        <v/>
      </c>
      <c r="AC77" s="296" t="str">
        <f>IFERROR(IF(VLOOKUP($G77,BD_PRINCIPAL[],49,FALSE)=0,"",VLOOKUP($G77,BD_PRINCIPAL[],49,FALSE)),"")</f>
        <v/>
      </c>
      <c r="AD77" s="296" t="str">
        <f>IFERROR(IF(VLOOKUP($G77,BD_PRINCIPAL[],50,FALSE)=0,"",VLOOKUP($G77,BD_PRINCIPAL[],50,FALSE)),"")</f>
        <v/>
      </c>
      <c r="AE77" s="296" t="str">
        <f>IFERROR(IF(VLOOKUP($G77,BD_PRINCIPAL[],51,FALSE)=0,"",VLOOKUP($G77,BD_PRINCIPAL[],51,FALSE)),"")</f>
        <v/>
      </c>
      <c r="AF77" s="296" t="str">
        <f>IFERROR(IF(VLOOKUP($G77,BD_PRINCIPAL[],52,FALSE)=0,"",VLOOKUP($G77,BD_PRINCIPAL[],52,FALSE)),"")</f>
        <v/>
      </c>
      <c r="AG77" s="296" t="str">
        <f>IFERROR(IF(VLOOKUP($G77,BD_PRINCIPAL[],53,FALSE)=0,"",VLOOKUP($G77,BD_PRINCIPAL[],53,FALSE)),"")</f>
        <v/>
      </c>
      <c r="AH77" s="296" t="str">
        <f>IFERROR(IF(VLOOKUP($G77,BD_PRINCIPAL[],54,FALSE)=0,"",VLOOKUP($G77,BD_PRINCIPAL[],54,FALSE)),"")</f>
        <v/>
      </c>
      <c r="AI77" s="296" t="str">
        <f>IFERROR(IF(VLOOKUP($G77,BD_PRINCIPAL[],55,FALSE)=0,"",VLOOKUP($G77,BD_PRINCIPAL[],55,FALSE)),"")</f>
        <v/>
      </c>
      <c r="AJ77" s="296" t="str">
        <f>IFERROR(IF(VLOOKUP($G77,BD_PRINCIPAL[],56,FALSE)=0,"",VLOOKUP($G77,BD_PRINCIPAL[],56,FALSE)),"")</f>
        <v/>
      </c>
      <c r="AK77" s="296" t="str">
        <f>IFERROR(IF(VLOOKUP($G77,BD_PRINCIPAL[],57,FALSE)=0,"",VLOOKUP($G77,BD_PRINCIPAL[],57,FALSE)),"")</f>
        <v/>
      </c>
      <c r="AL77" s="296" t="str">
        <f>IFERROR(IF(VLOOKUP($G77,BD_PRINCIPAL[],58,FALSE)=0,"",VLOOKUP($G77,BD_PRINCIPAL[],58,FALSE)),"")</f>
        <v/>
      </c>
    </row>
    <row r="78" spans="2:38" x14ac:dyDescent="0.3">
      <c r="B78" s="289">
        <f t="shared" si="7"/>
        <v>0</v>
      </c>
      <c r="D78" s="296">
        <v>8</v>
      </c>
      <c r="E78" s="296" t="str">
        <f>IFERROR(VLOOKUP(G78,BD_PRINCIPAL[],7,FALSE),"")</f>
        <v/>
      </c>
      <c r="F78" s="297" t="str">
        <f>IFERROR(VLOOKUP(G78,BD_PRINCIPAL[],2,FALSE),"")</f>
        <v/>
      </c>
      <c r="G78" s="197"/>
      <c r="H78" s="296" t="str">
        <f>IFERROR(IF(VLOOKUP($G78,BD_PRINCIPAL[],28,FALSE)=0,"",VLOOKUP($G78,BD_PRINCIPAL[],28,FALSE)),"")</f>
        <v/>
      </c>
      <c r="I78" s="296" t="str">
        <f>IFERROR(IF(VLOOKUP($G78,BD_PRINCIPAL[],29,FALSE)=0,"",VLOOKUP($G78,BD_PRINCIPAL[],29,FALSE)),"")</f>
        <v/>
      </c>
      <c r="J78" s="296" t="str">
        <f>IFERROR(IF(VLOOKUP($G78,BD_PRINCIPAL[],30,FALSE)=0,"",VLOOKUP($G78,BD_PRINCIPAL[],30,FALSE)),"")</f>
        <v/>
      </c>
      <c r="K78" s="296" t="str">
        <f>IFERROR(IF(VLOOKUP($G78,BD_PRINCIPAL[],31,FALSE)=0,"",VLOOKUP($G78,BD_PRINCIPAL[],31,FALSE)),"")</f>
        <v/>
      </c>
      <c r="L78" s="296" t="str">
        <f>IFERROR(IF(VLOOKUP($G78,BD_PRINCIPAL[],32,FALSE)=0,"",VLOOKUP($G78,BD_PRINCIPAL[],32,FALSE)),"")</f>
        <v/>
      </c>
      <c r="M78" s="296" t="str">
        <f>IFERROR(IF(VLOOKUP($G78,BD_PRINCIPAL[],33,FALSE)=0,"",VLOOKUP($G78,BD_PRINCIPAL[],33,FALSE)),"")</f>
        <v/>
      </c>
      <c r="N78" s="296" t="str">
        <f>IFERROR(IF(VLOOKUP($G78,BD_PRINCIPAL[],34,FALSE)=0,"",VLOOKUP($G78,BD_PRINCIPAL[],34,FALSE)),"")</f>
        <v/>
      </c>
      <c r="O78" s="296" t="str">
        <f>IFERROR(IF(VLOOKUP($G78,BD_PRINCIPAL[],35,FALSE)=0,"",VLOOKUP($G78,BD_PRINCIPAL[],35,FALSE)),"")</f>
        <v/>
      </c>
      <c r="P78" s="296" t="str">
        <f>IFERROR(IF(VLOOKUP($G78,BD_PRINCIPAL[],36,FALSE)=0,"",VLOOKUP($G78,BD_PRINCIPAL[],36,FALSE)),"")</f>
        <v/>
      </c>
      <c r="Q78" s="296" t="str">
        <f>IFERROR(IF(VLOOKUP($G78,BD_PRINCIPAL[],37,FALSE)=0,"",VLOOKUP($G78,BD_PRINCIPAL[],37,FALSE)),"")</f>
        <v/>
      </c>
      <c r="R78" s="296" t="str">
        <f>IFERROR(IF(VLOOKUP($G78,BD_PRINCIPAL[],38,FALSE)=0,"",VLOOKUP($G78,BD_PRINCIPAL[],38,FALSE)),"")</f>
        <v/>
      </c>
      <c r="S78" s="296" t="str">
        <f>IFERROR(IF(VLOOKUP($G78,BD_PRINCIPAL[],39,FALSE)=0,"",VLOOKUP($G78,BD_PRINCIPAL[],39,FALSE)),"")</f>
        <v/>
      </c>
      <c r="T78" s="296" t="str">
        <f>IFERROR(IF(VLOOKUP($G78,BD_PRINCIPAL[],40,FALSE)=0,"",VLOOKUP($G78,BD_PRINCIPAL[],40,FALSE)),"")</f>
        <v/>
      </c>
      <c r="U78" s="296" t="str">
        <f>IFERROR(IF(VLOOKUP($G78,BD_PRINCIPAL[],41,FALSE)=0,"",VLOOKUP($G78,BD_PRINCIPAL[],41,FALSE)),"")</f>
        <v/>
      </c>
      <c r="V78" s="296" t="str">
        <f>IFERROR(IF(VLOOKUP($G78,BD_PRINCIPAL[],42,FALSE)=0,"",VLOOKUP($G78,BD_PRINCIPAL[],42,FALSE)),"")</f>
        <v/>
      </c>
      <c r="W78" s="296" t="str">
        <f>IFERROR(IF(VLOOKUP($G78,BD_PRINCIPAL[],43,FALSE)=0,"",VLOOKUP($G78,BD_PRINCIPAL[],43,FALSE)),"")</f>
        <v/>
      </c>
      <c r="X78" s="296" t="str">
        <f>IFERROR(IF(VLOOKUP($G78,BD_PRINCIPAL[],44,FALSE)=0,"",VLOOKUP($G78,BD_PRINCIPAL[],44,FALSE)),"")</f>
        <v/>
      </c>
      <c r="Y78" s="296" t="str">
        <f>IFERROR(IF(VLOOKUP($G78,BD_PRINCIPAL[],45,FALSE)=0,"",VLOOKUP($G78,BD_PRINCIPAL[],45,FALSE)),"")</f>
        <v/>
      </c>
      <c r="Z78" s="296" t="str">
        <f>IFERROR(IF(VLOOKUP($G78,BD_PRINCIPAL[],46,FALSE)=0,"",VLOOKUP($G78,BD_PRINCIPAL[],46,FALSE)),"")</f>
        <v/>
      </c>
      <c r="AA78" s="296" t="str">
        <f>IFERROR(IF(VLOOKUP($G78,BD_PRINCIPAL[],47,FALSE)=0,"",VLOOKUP($G78,BD_PRINCIPAL[],47,FALSE)),"")</f>
        <v/>
      </c>
      <c r="AB78" s="296" t="str">
        <f>IFERROR(IF(VLOOKUP($G78,BD_PRINCIPAL[],48,FALSE)=0,"",VLOOKUP($G78,BD_PRINCIPAL[],48,FALSE)),"")</f>
        <v/>
      </c>
      <c r="AC78" s="296" t="str">
        <f>IFERROR(IF(VLOOKUP($G78,BD_PRINCIPAL[],49,FALSE)=0,"",VLOOKUP($G78,BD_PRINCIPAL[],49,FALSE)),"")</f>
        <v/>
      </c>
      <c r="AD78" s="296" t="str">
        <f>IFERROR(IF(VLOOKUP($G78,BD_PRINCIPAL[],50,FALSE)=0,"",VLOOKUP($G78,BD_PRINCIPAL[],50,FALSE)),"")</f>
        <v/>
      </c>
      <c r="AE78" s="296" t="str">
        <f>IFERROR(IF(VLOOKUP($G78,BD_PRINCIPAL[],51,FALSE)=0,"",VLOOKUP($G78,BD_PRINCIPAL[],51,FALSE)),"")</f>
        <v/>
      </c>
      <c r="AF78" s="296" t="str">
        <f>IFERROR(IF(VLOOKUP($G78,BD_PRINCIPAL[],52,FALSE)=0,"",VLOOKUP($G78,BD_PRINCIPAL[],52,FALSE)),"")</f>
        <v/>
      </c>
      <c r="AG78" s="296" t="str">
        <f>IFERROR(IF(VLOOKUP($G78,BD_PRINCIPAL[],53,FALSE)=0,"",VLOOKUP($G78,BD_PRINCIPAL[],53,FALSE)),"")</f>
        <v/>
      </c>
      <c r="AH78" s="296" t="str">
        <f>IFERROR(IF(VLOOKUP($G78,BD_PRINCIPAL[],54,FALSE)=0,"",VLOOKUP($G78,BD_PRINCIPAL[],54,FALSE)),"")</f>
        <v/>
      </c>
      <c r="AI78" s="296" t="str">
        <f>IFERROR(IF(VLOOKUP($G78,BD_PRINCIPAL[],55,FALSE)=0,"",VLOOKUP($G78,BD_PRINCIPAL[],55,FALSE)),"")</f>
        <v/>
      </c>
      <c r="AJ78" s="296" t="str">
        <f>IFERROR(IF(VLOOKUP($G78,BD_PRINCIPAL[],56,FALSE)=0,"",VLOOKUP($G78,BD_PRINCIPAL[],56,FALSE)),"")</f>
        <v/>
      </c>
      <c r="AK78" s="296" t="str">
        <f>IFERROR(IF(VLOOKUP($G78,BD_PRINCIPAL[],57,FALSE)=0,"",VLOOKUP($G78,BD_PRINCIPAL[],57,FALSE)),"")</f>
        <v/>
      </c>
      <c r="AL78" s="296" t="str">
        <f>IFERROR(IF(VLOOKUP($G78,BD_PRINCIPAL[],58,FALSE)=0,"",VLOOKUP($G78,BD_PRINCIPAL[],58,FALSE)),"")</f>
        <v/>
      </c>
    </row>
    <row r="79" spans="2:38" x14ac:dyDescent="0.3">
      <c r="B79" s="289">
        <f t="shared" si="7"/>
        <v>0</v>
      </c>
      <c r="D79" s="296">
        <v>9</v>
      </c>
      <c r="E79" s="296" t="str">
        <f>IFERROR(VLOOKUP(G79,BD_PRINCIPAL[],7,FALSE),"")</f>
        <v/>
      </c>
      <c r="F79" s="297" t="str">
        <f>IFERROR(VLOOKUP(G79,BD_PRINCIPAL[],2,FALSE),"")</f>
        <v/>
      </c>
      <c r="G79" s="197"/>
      <c r="H79" s="296" t="str">
        <f>IFERROR(IF(VLOOKUP($G79,BD_PRINCIPAL[],28,FALSE)=0,"",VLOOKUP($G79,BD_PRINCIPAL[],28,FALSE)),"")</f>
        <v/>
      </c>
      <c r="I79" s="296" t="str">
        <f>IFERROR(IF(VLOOKUP($G79,BD_PRINCIPAL[],29,FALSE)=0,"",VLOOKUP($G79,BD_PRINCIPAL[],29,FALSE)),"")</f>
        <v/>
      </c>
      <c r="J79" s="296" t="str">
        <f>IFERROR(IF(VLOOKUP($G79,BD_PRINCIPAL[],30,FALSE)=0,"",VLOOKUP($G79,BD_PRINCIPAL[],30,FALSE)),"")</f>
        <v/>
      </c>
      <c r="K79" s="296" t="str">
        <f>IFERROR(IF(VLOOKUP($G79,BD_PRINCIPAL[],31,FALSE)=0,"",VLOOKUP($G79,BD_PRINCIPAL[],31,FALSE)),"")</f>
        <v/>
      </c>
      <c r="L79" s="296" t="str">
        <f>IFERROR(IF(VLOOKUP($G79,BD_PRINCIPAL[],32,FALSE)=0,"",VLOOKUP($G79,BD_PRINCIPAL[],32,FALSE)),"")</f>
        <v/>
      </c>
      <c r="M79" s="296" t="str">
        <f>IFERROR(IF(VLOOKUP($G79,BD_PRINCIPAL[],33,FALSE)=0,"",VLOOKUP($G79,BD_PRINCIPAL[],33,FALSE)),"")</f>
        <v/>
      </c>
      <c r="N79" s="296" t="str">
        <f>IFERROR(IF(VLOOKUP($G79,BD_PRINCIPAL[],34,FALSE)=0,"",VLOOKUP($G79,BD_PRINCIPAL[],34,FALSE)),"")</f>
        <v/>
      </c>
      <c r="O79" s="296" t="str">
        <f>IFERROR(IF(VLOOKUP($G79,BD_PRINCIPAL[],35,FALSE)=0,"",VLOOKUP($G79,BD_PRINCIPAL[],35,FALSE)),"")</f>
        <v/>
      </c>
      <c r="P79" s="296" t="str">
        <f>IFERROR(IF(VLOOKUP($G79,BD_PRINCIPAL[],36,FALSE)=0,"",VLOOKUP($G79,BD_PRINCIPAL[],36,FALSE)),"")</f>
        <v/>
      </c>
      <c r="Q79" s="296" t="str">
        <f>IFERROR(IF(VLOOKUP($G79,BD_PRINCIPAL[],37,FALSE)=0,"",VLOOKUP($G79,BD_PRINCIPAL[],37,FALSE)),"")</f>
        <v/>
      </c>
      <c r="R79" s="296" t="str">
        <f>IFERROR(IF(VLOOKUP($G79,BD_PRINCIPAL[],38,FALSE)=0,"",VLOOKUP($G79,BD_PRINCIPAL[],38,FALSE)),"")</f>
        <v/>
      </c>
      <c r="S79" s="296" t="str">
        <f>IFERROR(IF(VLOOKUP($G79,BD_PRINCIPAL[],39,FALSE)=0,"",VLOOKUP($G79,BD_PRINCIPAL[],39,FALSE)),"")</f>
        <v/>
      </c>
      <c r="T79" s="296" t="str">
        <f>IFERROR(IF(VLOOKUP($G79,BD_PRINCIPAL[],40,FALSE)=0,"",VLOOKUP($G79,BD_PRINCIPAL[],40,FALSE)),"")</f>
        <v/>
      </c>
      <c r="U79" s="296" t="str">
        <f>IFERROR(IF(VLOOKUP($G79,BD_PRINCIPAL[],41,FALSE)=0,"",VLOOKUP($G79,BD_PRINCIPAL[],41,FALSE)),"")</f>
        <v/>
      </c>
      <c r="V79" s="296" t="str">
        <f>IFERROR(IF(VLOOKUP($G79,BD_PRINCIPAL[],42,FALSE)=0,"",VLOOKUP($G79,BD_PRINCIPAL[],42,FALSE)),"")</f>
        <v/>
      </c>
      <c r="W79" s="296" t="str">
        <f>IFERROR(IF(VLOOKUP($G79,BD_PRINCIPAL[],43,FALSE)=0,"",VLOOKUP($G79,BD_PRINCIPAL[],43,FALSE)),"")</f>
        <v/>
      </c>
      <c r="X79" s="296" t="str">
        <f>IFERROR(IF(VLOOKUP($G79,BD_PRINCIPAL[],44,FALSE)=0,"",VLOOKUP($G79,BD_PRINCIPAL[],44,FALSE)),"")</f>
        <v/>
      </c>
      <c r="Y79" s="296" t="str">
        <f>IFERROR(IF(VLOOKUP($G79,BD_PRINCIPAL[],45,FALSE)=0,"",VLOOKUP($G79,BD_PRINCIPAL[],45,FALSE)),"")</f>
        <v/>
      </c>
      <c r="Z79" s="296" t="str">
        <f>IFERROR(IF(VLOOKUP($G79,BD_PRINCIPAL[],46,FALSE)=0,"",VLOOKUP($G79,BD_PRINCIPAL[],46,FALSE)),"")</f>
        <v/>
      </c>
      <c r="AA79" s="296" t="str">
        <f>IFERROR(IF(VLOOKUP($G79,BD_PRINCIPAL[],47,FALSE)=0,"",VLOOKUP($G79,BD_PRINCIPAL[],47,FALSE)),"")</f>
        <v/>
      </c>
      <c r="AB79" s="296" t="str">
        <f>IFERROR(IF(VLOOKUP($G79,BD_PRINCIPAL[],48,FALSE)=0,"",VLOOKUP($G79,BD_PRINCIPAL[],48,FALSE)),"")</f>
        <v/>
      </c>
      <c r="AC79" s="296" t="str">
        <f>IFERROR(IF(VLOOKUP($G79,BD_PRINCIPAL[],49,FALSE)=0,"",VLOOKUP($G79,BD_PRINCIPAL[],49,FALSE)),"")</f>
        <v/>
      </c>
      <c r="AD79" s="296" t="str">
        <f>IFERROR(IF(VLOOKUP($G79,BD_PRINCIPAL[],50,FALSE)=0,"",VLOOKUP($G79,BD_PRINCIPAL[],50,FALSE)),"")</f>
        <v/>
      </c>
      <c r="AE79" s="296" t="str">
        <f>IFERROR(IF(VLOOKUP($G79,BD_PRINCIPAL[],51,FALSE)=0,"",VLOOKUP($G79,BD_PRINCIPAL[],51,FALSE)),"")</f>
        <v/>
      </c>
      <c r="AF79" s="296" t="str">
        <f>IFERROR(IF(VLOOKUP($G79,BD_PRINCIPAL[],52,FALSE)=0,"",VLOOKUP($G79,BD_PRINCIPAL[],52,FALSE)),"")</f>
        <v/>
      </c>
      <c r="AG79" s="296" t="str">
        <f>IFERROR(IF(VLOOKUP($G79,BD_PRINCIPAL[],53,FALSE)=0,"",VLOOKUP($G79,BD_PRINCIPAL[],53,FALSE)),"")</f>
        <v/>
      </c>
      <c r="AH79" s="296" t="str">
        <f>IFERROR(IF(VLOOKUP($G79,BD_PRINCIPAL[],54,FALSE)=0,"",VLOOKUP($G79,BD_PRINCIPAL[],54,FALSE)),"")</f>
        <v/>
      </c>
      <c r="AI79" s="296" t="str">
        <f>IFERROR(IF(VLOOKUP($G79,BD_PRINCIPAL[],55,FALSE)=0,"",VLOOKUP($G79,BD_PRINCIPAL[],55,FALSE)),"")</f>
        <v/>
      </c>
      <c r="AJ79" s="296" t="str">
        <f>IFERROR(IF(VLOOKUP($G79,BD_PRINCIPAL[],56,FALSE)=0,"",VLOOKUP($G79,BD_PRINCIPAL[],56,FALSE)),"")</f>
        <v/>
      </c>
      <c r="AK79" s="296" t="str">
        <f>IFERROR(IF(VLOOKUP($G79,BD_PRINCIPAL[],57,FALSE)=0,"",VLOOKUP($G79,BD_PRINCIPAL[],57,FALSE)),"")</f>
        <v/>
      </c>
      <c r="AL79" s="296" t="str">
        <f>IFERROR(IF(VLOOKUP($G79,BD_PRINCIPAL[],58,FALSE)=0,"",VLOOKUP($G79,BD_PRINCIPAL[],58,FALSE)),"")</f>
        <v/>
      </c>
    </row>
    <row r="80" spans="2:38" x14ac:dyDescent="0.3">
      <c r="B80" s="289">
        <f t="shared" si="7"/>
        <v>0</v>
      </c>
      <c r="D80" s="296">
        <v>10</v>
      </c>
      <c r="E80" s="296" t="str">
        <f>IFERROR(VLOOKUP(G80,BD_PRINCIPAL[],7,FALSE),"")</f>
        <v/>
      </c>
      <c r="F80" s="297" t="str">
        <f>IFERROR(VLOOKUP(G80,BD_PRINCIPAL[],2,FALSE),"")</f>
        <v/>
      </c>
      <c r="G80" s="197"/>
      <c r="H80" s="296" t="str">
        <f>IFERROR(IF(VLOOKUP($G80,BD_PRINCIPAL[],28,FALSE)=0,"",VLOOKUP($G80,BD_PRINCIPAL[],28,FALSE)),"")</f>
        <v/>
      </c>
      <c r="I80" s="296" t="str">
        <f>IFERROR(IF(VLOOKUP($G80,BD_PRINCIPAL[],29,FALSE)=0,"",VLOOKUP($G80,BD_PRINCIPAL[],29,FALSE)),"")</f>
        <v/>
      </c>
      <c r="J80" s="296" t="str">
        <f>IFERROR(IF(VLOOKUP($G80,BD_PRINCIPAL[],30,FALSE)=0,"",VLOOKUP($G80,BD_PRINCIPAL[],30,FALSE)),"")</f>
        <v/>
      </c>
      <c r="K80" s="296" t="str">
        <f>IFERROR(IF(VLOOKUP($G80,BD_PRINCIPAL[],31,FALSE)=0,"",VLOOKUP($G80,BD_PRINCIPAL[],31,FALSE)),"")</f>
        <v/>
      </c>
      <c r="L80" s="296" t="str">
        <f>IFERROR(IF(VLOOKUP($G80,BD_PRINCIPAL[],32,FALSE)=0,"",VLOOKUP($G80,BD_PRINCIPAL[],32,FALSE)),"")</f>
        <v/>
      </c>
      <c r="M80" s="296" t="str">
        <f>IFERROR(IF(VLOOKUP($G80,BD_PRINCIPAL[],33,FALSE)=0,"",VLOOKUP($G80,BD_PRINCIPAL[],33,FALSE)),"")</f>
        <v/>
      </c>
      <c r="N80" s="296" t="str">
        <f>IFERROR(IF(VLOOKUP($G80,BD_PRINCIPAL[],34,FALSE)=0,"",VLOOKUP($G80,BD_PRINCIPAL[],34,FALSE)),"")</f>
        <v/>
      </c>
      <c r="O80" s="296" t="str">
        <f>IFERROR(IF(VLOOKUP($G80,BD_PRINCIPAL[],35,FALSE)=0,"",VLOOKUP($G80,BD_PRINCIPAL[],35,FALSE)),"")</f>
        <v/>
      </c>
      <c r="P80" s="296" t="str">
        <f>IFERROR(IF(VLOOKUP($G80,BD_PRINCIPAL[],36,FALSE)=0,"",VLOOKUP($G80,BD_PRINCIPAL[],36,FALSE)),"")</f>
        <v/>
      </c>
      <c r="Q80" s="296" t="str">
        <f>IFERROR(IF(VLOOKUP($G80,BD_PRINCIPAL[],37,FALSE)=0,"",VLOOKUP($G80,BD_PRINCIPAL[],37,FALSE)),"")</f>
        <v/>
      </c>
      <c r="R80" s="296" t="str">
        <f>IFERROR(IF(VLOOKUP($G80,BD_PRINCIPAL[],38,FALSE)=0,"",VLOOKUP($G80,BD_PRINCIPAL[],38,FALSE)),"")</f>
        <v/>
      </c>
      <c r="S80" s="296" t="str">
        <f>IFERROR(IF(VLOOKUP($G80,BD_PRINCIPAL[],39,FALSE)=0,"",VLOOKUP($G80,BD_PRINCIPAL[],39,FALSE)),"")</f>
        <v/>
      </c>
      <c r="T80" s="296" t="str">
        <f>IFERROR(IF(VLOOKUP($G80,BD_PRINCIPAL[],40,FALSE)=0,"",VLOOKUP($G80,BD_PRINCIPAL[],40,FALSE)),"")</f>
        <v/>
      </c>
      <c r="U80" s="296" t="str">
        <f>IFERROR(IF(VLOOKUP($G80,BD_PRINCIPAL[],41,FALSE)=0,"",VLOOKUP($G80,BD_PRINCIPAL[],41,FALSE)),"")</f>
        <v/>
      </c>
      <c r="V80" s="296" t="str">
        <f>IFERROR(IF(VLOOKUP($G80,BD_PRINCIPAL[],42,FALSE)=0,"",VLOOKUP($G80,BD_PRINCIPAL[],42,FALSE)),"")</f>
        <v/>
      </c>
      <c r="W80" s="296" t="str">
        <f>IFERROR(IF(VLOOKUP($G80,BD_PRINCIPAL[],43,FALSE)=0,"",VLOOKUP($G80,BD_PRINCIPAL[],43,FALSE)),"")</f>
        <v/>
      </c>
      <c r="X80" s="296" t="str">
        <f>IFERROR(IF(VLOOKUP($G80,BD_PRINCIPAL[],44,FALSE)=0,"",VLOOKUP($G80,BD_PRINCIPAL[],44,FALSE)),"")</f>
        <v/>
      </c>
      <c r="Y80" s="296" t="str">
        <f>IFERROR(IF(VLOOKUP($G80,BD_PRINCIPAL[],45,FALSE)=0,"",VLOOKUP($G80,BD_PRINCIPAL[],45,FALSE)),"")</f>
        <v/>
      </c>
      <c r="Z80" s="296" t="str">
        <f>IFERROR(IF(VLOOKUP($G80,BD_PRINCIPAL[],46,FALSE)=0,"",VLOOKUP($G80,BD_PRINCIPAL[],46,FALSE)),"")</f>
        <v/>
      </c>
      <c r="AA80" s="296" t="str">
        <f>IFERROR(IF(VLOOKUP($G80,BD_PRINCIPAL[],47,FALSE)=0,"",VLOOKUP($G80,BD_PRINCIPAL[],47,FALSE)),"")</f>
        <v/>
      </c>
      <c r="AB80" s="296" t="str">
        <f>IFERROR(IF(VLOOKUP($G80,BD_PRINCIPAL[],48,FALSE)=0,"",VLOOKUP($G80,BD_PRINCIPAL[],48,FALSE)),"")</f>
        <v/>
      </c>
      <c r="AC80" s="296" t="str">
        <f>IFERROR(IF(VLOOKUP($G80,BD_PRINCIPAL[],49,FALSE)=0,"",VLOOKUP($G80,BD_PRINCIPAL[],49,FALSE)),"")</f>
        <v/>
      </c>
      <c r="AD80" s="296" t="str">
        <f>IFERROR(IF(VLOOKUP($G80,BD_PRINCIPAL[],50,FALSE)=0,"",VLOOKUP($G80,BD_PRINCIPAL[],50,FALSE)),"")</f>
        <v/>
      </c>
      <c r="AE80" s="296" t="str">
        <f>IFERROR(IF(VLOOKUP($G80,BD_PRINCIPAL[],51,FALSE)=0,"",VLOOKUP($G80,BD_PRINCIPAL[],51,FALSE)),"")</f>
        <v/>
      </c>
      <c r="AF80" s="296" t="str">
        <f>IFERROR(IF(VLOOKUP($G80,BD_PRINCIPAL[],52,FALSE)=0,"",VLOOKUP($G80,BD_PRINCIPAL[],52,FALSE)),"")</f>
        <v/>
      </c>
      <c r="AG80" s="296" t="str">
        <f>IFERROR(IF(VLOOKUP($G80,BD_PRINCIPAL[],53,FALSE)=0,"",VLOOKUP($G80,BD_PRINCIPAL[],53,FALSE)),"")</f>
        <v/>
      </c>
      <c r="AH80" s="296" t="str">
        <f>IFERROR(IF(VLOOKUP($G80,BD_PRINCIPAL[],54,FALSE)=0,"",VLOOKUP($G80,BD_PRINCIPAL[],54,FALSE)),"")</f>
        <v/>
      </c>
      <c r="AI80" s="296" t="str">
        <f>IFERROR(IF(VLOOKUP($G80,BD_PRINCIPAL[],55,FALSE)=0,"",VLOOKUP($G80,BD_PRINCIPAL[],55,FALSE)),"")</f>
        <v/>
      </c>
      <c r="AJ80" s="296" t="str">
        <f>IFERROR(IF(VLOOKUP($G80,BD_PRINCIPAL[],56,FALSE)=0,"",VLOOKUP($G80,BD_PRINCIPAL[],56,FALSE)),"")</f>
        <v/>
      </c>
      <c r="AK80" s="296" t="str">
        <f>IFERROR(IF(VLOOKUP($G80,BD_PRINCIPAL[],57,FALSE)=0,"",VLOOKUP($G80,BD_PRINCIPAL[],57,FALSE)),"")</f>
        <v/>
      </c>
      <c r="AL80" s="296" t="str">
        <f>IFERROR(IF(VLOOKUP($G80,BD_PRINCIPAL[],58,FALSE)=0,"",VLOOKUP($G80,BD_PRINCIPAL[],58,FALSE)),"")</f>
        <v/>
      </c>
    </row>
    <row r="81" spans="2:38" x14ac:dyDescent="0.3">
      <c r="B81" s="289">
        <f t="shared" si="7"/>
        <v>0</v>
      </c>
      <c r="D81" s="296">
        <v>11</v>
      </c>
      <c r="E81" s="296" t="str">
        <f>IFERROR(VLOOKUP(G81,BD_PRINCIPAL[],7,FALSE),"")</f>
        <v/>
      </c>
      <c r="F81" s="297" t="str">
        <f>IFERROR(VLOOKUP(G81,BD_PRINCIPAL[],2,FALSE),"")</f>
        <v/>
      </c>
      <c r="G81" s="1050"/>
      <c r="H81" s="296" t="str">
        <f>IFERROR(IF(VLOOKUP($G81,BD_PRINCIPAL[],28,FALSE)=0,"",VLOOKUP($G81,BD_PRINCIPAL[],28,FALSE)),"")</f>
        <v/>
      </c>
      <c r="I81" s="296" t="str">
        <f>IFERROR(IF(VLOOKUP($G81,BD_PRINCIPAL[],29,FALSE)=0,"",VLOOKUP($G81,BD_PRINCIPAL[],29,FALSE)),"")</f>
        <v/>
      </c>
      <c r="J81" s="296" t="str">
        <f>IFERROR(IF(VLOOKUP($G81,BD_PRINCIPAL[],30,FALSE)=0,"",VLOOKUP($G81,BD_PRINCIPAL[],30,FALSE)),"")</f>
        <v/>
      </c>
      <c r="K81" s="296" t="str">
        <f>IFERROR(IF(VLOOKUP($G81,BD_PRINCIPAL[],31,FALSE)=0,"",VLOOKUP($G81,BD_PRINCIPAL[],31,FALSE)),"")</f>
        <v/>
      </c>
      <c r="L81" s="296" t="str">
        <f>IFERROR(IF(VLOOKUP($G81,BD_PRINCIPAL[],32,FALSE)=0,"",VLOOKUP($G81,BD_PRINCIPAL[],32,FALSE)),"")</f>
        <v/>
      </c>
      <c r="M81" s="296" t="str">
        <f>IFERROR(IF(VLOOKUP($G81,BD_PRINCIPAL[],33,FALSE)=0,"",VLOOKUP($G81,BD_PRINCIPAL[],33,FALSE)),"")</f>
        <v/>
      </c>
      <c r="N81" s="296" t="str">
        <f>IFERROR(IF(VLOOKUP($G81,BD_PRINCIPAL[],34,FALSE)=0,"",VLOOKUP($G81,BD_PRINCIPAL[],34,FALSE)),"")</f>
        <v/>
      </c>
      <c r="O81" s="296" t="str">
        <f>IFERROR(IF(VLOOKUP($G81,BD_PRINCIPAL[],35,FALSE)=0,"",VLOOKUP($G81,BD_PRINCIPAL[],35,FALSE)),"")</f>
        <v/>
      </c>
      <c r="P81" s="296" t="str">
        <f>IFERROR(IF(VLOOKUP($G81,BD_PRINCIPAL[],36,FALSE)=0,"",VLOOKUP($G81,BD_PRINCIPAL[],36,FALSE)),"")</f>
        <v/>
      </c>
      <c r="Q81" s="296" t="str">
        <f>IFERROR(IF(VLOOKUP($G81,BD_PRINCIPAL[],37,FALSE)=0,"",VLOOKUP($G81,BD_PRINCIPAL[],37,FALSE)),"")</f>
        <v/>
      </c>
      <c r="R81" s="296" t="str">
        <f>IFERROR(IF(VLOOKUP($G81,BD_PRINCIPAL[],38,FALSE)=0,"",VLOOKUP($G81,BD_PRINCIPAL[],38,FALSE)),"")</f>
        <v/>
      </c>
      <c r="S81" s="296" t="str">
        <f>IFERROR(IF(VLOOKUP($G81,BD_PRINCIPAL[],39,FALSE)=0,"",VLOOKUP($G81,BD_PRINCIPAL[],39,FALSE)),"")</f>
        <v/>
      </c>
      <c r="T81" s="296" t="str">
        <f>IFERROR(IF(VLOOKUP($G81,BD_PRINCIPAL[],40,FALSE)=0,"",VLOOKUP($G81,BD_PRINCIPAL[],40,FALSE)),"")</f>
        <v/>
      </c>
      <c r="U81" s="296" t="str">
        <f>IFERROR(IF(VLOOKUP($G81,BD_PRINCIPAL[],41,FALSE)=0,"",VLOOKUP($G81,BD_PRINCIPAL[],41,FALSE)),"")</f>
        <v/>
      </c>
      <c r="V81" s="296" t="str">
        <f>IFERROR(IF(VLOOKUP($G81,BD_PRINCIPAL[],42,FALSE)=0,"",VLOOKUP($G81,BD_PRINCIPAL[],42,FALSE)),"")</f>
        <v/>
      </c>
      <c r="W81" s="296" t="str">
        <f>IFERROR(IF(VLOOKUP($G81,BD_PRINCIPAL[],43,FALSE)=0,"",VLOOKUP($G81,BD_PRINCIPAL[],43,FALSE)),"")</f>
        <v/>
      </c>
      <c r="X81" s="296" t="str">
        <f>IFERROR(IF(VLOOKUP($G81,BD_PRINCIPAL[],44,FALSE)=0,"",VLOOKUP($G81,BD_PRINCIPAL[],44,FALSE)),"")</f>
        <v/>
      </c>
      <c r="Y81" s="296" t="str">
        <f>IFERROR(IF(VLOOKUP($G81,BD_PRINCIPAL[],45,FALSE)=0,"",VLOOKUP($G81,BD_PRINCIPAL[],45,FALSE)),"")</f>
        <v/>
      </c>
      <c r="Z81" s="296" t="str">
        <f>IFERROR(IF(VLOOKUP($G81,BD_PRINCIPAL[],46,FALSE)=0,"",VLOOKUP($G81,BD_PRINCIPAL[],46,FALSE)),"")</f>
        <v/>
      </c>
      <c r="AA81" s="296" t="str">
        <f>IFERROR(IF(VLOOKUP($G81,BD_PRINCIPAL[],47,FALSE)=0,"",VLOOKUP($G81,BD_PRINCIPAL[],47,FALSE)),"")</f>
        <v/>
      </c>
      <c r="AB81" s="296" t="str">
        <f>IFERROR(IF(VLOOKUP($G81,BD_PRINCIPAL[],48,FALSE)=0,"",VLOOKUP($G81,BD_PRINCIPAL[],48,FALSE)),"")</f>
        <v/>
      </c>
      <c r="AC81" s="296" t="str">
        <f>IFERROR(IF(VLOOKUP($G81,BD_PRINCIPAL[],49,FALSE)=0,"",VLOOKUP($G81,BD_PRINCIPAL[],49,FALSE)),"")</f>
        <v/>
      </c>
      <c r="AD81" s="296" t="str">
        <f>IFERROR(IF(VLOOKUP($G81,BD_PRINCIPAL[],50,FALSE)=0,"",VLOOKUP($G81,BD_PRINCIPAL[],50,FALSE)),"")</f>
        <v/>
      </c>
      <c r="AE81" s="296" t="str">
        <f>IFERROR(IF(VLOOKUP($G81,BD_PRINCIPAL[],51,FALSE)=0,"",VLOOKUP($G81,BD_PRINCIPAL[],51,FALSE)),"")</f>
        <v/>
      </c>
      <c r="AF81" s="296" t="str">
        <f>IFERROR(IF(VLOOKUP($G81,BD_PRINCIPAL[],52,FALSE)=0,"",VLOOKUP($G81,BD_PRINCIPAL[],52,FALSE)),"")</f>
        <v/>
      </c>
      <c r="AG81" s="296" t="str">
        <f>IFERROR(IF(VLOOKUP($G81,BD_PRINCIPAL[],53,FALSE)=0,"",VLOOKUP($G81,BD_PRINCIPAL[],53,FALSE)),"")</f>
        <v/>
      </c>
      <c r="AH81" s="296" t="str">
        <f>IFERROR(IF(VLOOKUP($G81,BD_PRINCIPAL[],54,FALSE)=0,"",VLOOKUP($G81,BD_PRINCIPAL[],54,FALSE)),"")</f>
        <v/>
      </c>
      <c r="AI81" s="296" t="str">
        <f>IFERROR(IF(VLOOKUP($G81,BD_PRINCIPAL[],55,FALSE)=0,"",VLOOKUP($G81,BD_PRINCIPAL[],55,FALSE)),"")</f>
        <v/>
      </c>
      <c r="AJ81" s="296" t="str">
        <f>IFERROR(IF(VLOOKUP($G81,BD_PRINCIPAL[],56,FALSE)=0,"",VLOOKUP($G81,BD_PRINCIPAL[],56,FALSE)),"")</f>
        <v/>
      </c>
      <c r="AK81" s="296" t="str">
        <f>IFERROR(IF(VLOOKUP($G81,BD_PRINCIPAL[],57,FALSE)=0,"",VLOOKUP($G81,BD_PRINCIPAL[],57,FALSE)),"")</f>
        <v/>
      </c>
      <c r="AL81" s="296" t="str">
        <f>IFERROR(IF(VLOOKUP($G81,BD_PRINCIPAL[],58,FALSE)=0,"",VLOOKUP($G81,BD_PRINCIPAL[],58,FALSE)),"")</f>
        <v/>
      </c>
    </row>
    <row r="82" spans="2:38" x14ac:dyDescent="0.3">
      <c r="B82" s="289">
        <f t="shared" si="7"/>
        <v>0</v>
      </c>
      <c r="D82" s="296">
        <v>12</v>
      </c>
      <c r="E82" s="296" t="str">
        <f>IFERROR(VLOOKUP(G82,BD_PRINCIPAL[],7,FALSE),"")</f>
        <v/>
      </c>
      <c r="F82" s="297" t="str">
        <f>IFERROR(VLOOKUP(G82,BD_PRINCIPAL[],2,FALSE),"")</f>
        <v/>
      </c>
      <c r="G82" s="197"/>
      <c r="H82" s="296" t="str">
        <f>IFERROR(IF(VLOOKUP($G82,BD_PRINCIPAL[],28,FALSE)=0,"",VLOOKUP($G82,BD_PRINCIPAL[],28,FALSE)),"")</f>
        <v/>
      </c>
      <c r="I82" s="296" t="str">
        <f>IFERROR(IF(VLOOKUP($G82,BD_PRINCIPAL[],29,FALSE)=0,"",VLOOKUP($G82,BD_PRINCIPAL[],29,FALSE)),"")</f>
        <v/>
      </c>
      <c r="J82" s="296" t="str">
        <f>IFERROR(IF(VLOOKUP($G82,BD_PRINCIPAL[],30,FALSE)=0,"",VLOOKUP($G82,BD_PRINCIPAL[],30,FALSE)),"")</f>
        <v/>
      </c>
      <c r="K82" s="296" t="str">
        <f>IFERROR(IF(VLOOKUP($G82,BD_PRINCIPAL[],31,FALSE)=0,"",VLOOKUP($G82,BD_PRINCIPAL[],31,FALSE)),"")</f>
        <v/>
      </c>
      <c r="L82" s="296" t="str">
        <f>IFERROR(IF(VLOOKUP($G82,BD_PRINCIPAL[],32,FALSE)=0,"",VLOOKUP($G82,BD_PRINCIPAL[],32,FALSE)),"")</f>
        <v/>
      </c>
      <c r="M82" s="296" t="str">
        <f>IFERROR(IF(VLOOKUP($G82,BD_PRINCIPAL[],33,FALSE)=0,"",VLOOKUP($G82,BD_PRINCIPAL[],33,FALSE)),"")</f>
        <v/>
      </c>
      <c r="N82" s="296" t="str">
        <f>IFERROR(IF(VLOOKUP($G82,BD_PRINCIPAL[],34,FALSE)=0,"",VLOOKUP($G82,BD_PRINCIPAL[],34,FALSE)),"")</f>
        <v/>
      </c>
      <c r="O82" s="296" t="str">
        <f>IFERROR(IF(VLOOKUP($G82,BD_PRINCIPAL[],35,FALSE)=0,"",VLOOKUP($G82,BD_PRINCIPAL[],35,FALSE)),"")</f>
        <v/>
      </c>
      <c r="P82" s="296" t="str">
        <f>IFERROR(IF(VLOOKUP($G82,BD_PRINCIPAL[],36,FALSE)=0,"",VLOOKUP($G82,BD_PRINCIPAL[],36,FALSE)),"")</f>
        <v/>
      </c>
      <c r="Q82" s="296" t="str">
        <f>IFERROR(IF(VLOOKUP($G82,BD_PRINCIPAL[],37,FALSE)=0,"",VLOOKUP($G82,BD_PRINCIPAL[],37,FALSE)),"")</f>
        <v/>
      </c>
      <c r="R82" s="296" t="str">
        <f>IFERROR(IF(VLOOKUP($G82,BD_PRINCIPAL[],38,FALSE)=0,"",VLOOKUP($G82,BD_PRINCIPAL[],38,FALSE)),"")</f>
        <v/>
      </c>
      <c r="S82" s="296" t="str">
        <f>IFERROR(IF(VLOOKUP($G82,BD_PRINCIPAL[],39,FALSE)=0,"",VLOOKUP($G82,BD_PRINCIPAL[],39,FALSE)),"")</f>
        <v/>
      </c>
      <c r="T82" s="296" t="str">
        <f>IFERROR(IF(VLOOKUP($G82,BD_PRINCIPAL[],40,FALSE)=0,"",VLOOKUP($G82,BD_PRINCIPAL[],40,FALSE)),"")</f>
        <v/>
      </c>
      <c r="U82" s="296" t="str">
        <f>IFERROR(IF(VLOOKUP($G82,BD_PRINCIPAL[],41,FALSE)=0,"",VLOOKUP($G82,BD_PRINCIPAL[],41,FALSE)),"")</f>
        <v/>
      </c>
      <c r="V82" s="296" t="str">
        <f>IFERROR(IF(VLOOKUP($G82,BD_PRINCIPAL[],42,FALSE)=0,"",VLOOKUP($G82,BD_PRINCIPAL[],42,FALSE)),"")</f>
        <v/>
      </c>
      <c r="W82" s="296" t="str">
        <f>IFERROR(IF(VLOOKUP($G82,BD_PRINCIPAL[],43,FALSE)=0,"",VLOOKUP($G82,BD_PRINCIPAL[],43,FALSE)),"")</f>
        <v/>
      </c>
      <c r="X82" s="296" t="str">
        <f>IFERROR(IF(VLOOKUP($G82,BD_PRINCIPAL[],44,FALSE)=0,"",VLOOKUP($G82,BD_PRINCIPAL[],44,FALSE)),"")</f>
        <v/>
      </c>
      <c r="Y82" s="296" t="str">
        <f>IFERROR(IF(VLOOKUP($G82,BD_PRINCIPAL[],45,FALSE)=0,"",VLOOKUP($G82,BD_PRINCIPAL[],45,FALSE)),"")</f>
        <v/>
      </c>
      <c r="Z82" s="296" t="str">
        <f>IFERROR(IF(VLOOKUP($G82,BD_PRINCIPAL[],46,FALSE)=0,"",VLOOKUP($G82,BD_PRINCIPAL[],46,FALSE)),"")</f>
        <v/>
      </c>
      <c r="AA82" s="296" t="str">
        <f>IFERROR(IF(VLOOKUP($G82,BD_PRINCIPAL[],47,FALSE)=0,"",VLOOKUP($G82,BD_PRINCIPAL[],47,FALSE)),"")</f>
        <v/>
      </c>
      <c r="AB82" s="296" t="str">
        <f>IFERROR(IF(VLOOKUP($G82,BD_PRINCIPAL[],48,FALSE)=0,"",VLOOKUP($G82,BD_PRINCIPAL[],48,FALSE)),"")</f>
        <v/>
      </c>
      <c r="AC82" s="296" t="str">
        <f>IFERROR(IF(VLOOKUP($G82,BD_PRINCIPAL[],49,FALSE)=0,"",VLOOKUP($G82,BD_PRINCIPAL[],49,FALSE)),"")</f>
        <v/>
      </c>
      <c r="AD82" s="296" t="str">
        <f>IFERROR(IF(VLOOKUP($G82,BD_PRINCIPAL[],50,FALSE)=0,"",VLOOKUP($G82,BD_PRINCIPAL[],50,FALSE)),"")</f>
        <v/>
      </c>
      <c r="AE82" s="296" t="str">
        <f>IFERROR(IF(VLOOKUP($G82,BD_PRINCIPAL[],51,FALSE)=0,"",VLOOKUP($G82,BD_PRINCIPAL[],51,FALSE)),"")</f>
        <v/>
      </c>
      <c r="AF82" s="296" t="str">
        <f>IFERROR(IF(VLOOKUP($G82,BD_PRINCIPAL[],52,FALSE)=0,"",VLOOKUP($G82,BD_PRINCIPAL[],52,FALSE)),"")</f>
        <v/>
      </c>
      <c r="AG82" s="296" t="str">
        <f>IFERROR(IF(VLOOKUP($G82,BD_PRINCIPAL[],53,FALSE)=0,"",VLOOKUP($G82,BD_PRINCIPAL[],53,FALSE)),"")</f>
        <v/>
      </c>
      <c r="AH82" s="296" t="str">
        <f>IFERROR(IF(VLOOKUP($G82,BD_PRINCIPAL[],54,FALSE)=0,"",VLOOKUP($G82,BD_PRINCIPAL[],54,FALSE)),"")</f>
        <v/>
      </c>
      <c r="AI82" s="296" t="str">
        <f>IFERROR(IF(VLOOKUP($G82,BD_PRINCIPAL[],55,FALSE)=0,"",VLOOKUP($G82,BD_PRINCIPAL[],55,FALSE)),"")</f>
        <v/>
      </c>
      <c r="AJ82" s="296" t="str">
        <f>IFERROR(IF(VLOOKUP($G82,BD_PRINCIPAL[],56,FALSE)=0,"",VLOOKUP($G82,BD_PRINCIPAL[],56,FALSE)),"")</f>
        <v/>
      </c>
      <c r="AK82" s="296" t="str">
        <f>IFERROR(IF(VLOOKUP($G82,BD_PRINCIPAL[],57,FALSE)=0,"",VLOOKUP($G82,BD_PRINCIPAL[],57,FALSE)),"")</f>
        <v/>
      </c>
      <c r="AL82" s="296" t="str">
        <f>IFERROR(IF(VLOOKUP($G82,BD_PRINCIPAL[],58,FALSE)=0,"",VLOOKUP($G82,BD_PRINCIPAL[],58,FALSE)),"")</f>
        <v/>
      </c>
    </row>
    <row r="83" spans="2:38" x14ac:dyDescent="0.3">
      <c r="B83" s="289">
        <f t="shared" si="7"/>
        <v>0</v>
      </c>
      <c r="D83" s="296">
        <v>13</v>
      </c>
      <c r="E83" s="296" t="str">
        <f>IFERROR(VLOOKUP(G83,BD_PRINCIPAL[],7,FALSE),"")</f>
        <v/>
      </c>
      <c r="F83" s="297" t="str">
        <f>IFERROR(VLOOKUP(G83,BD_PRINCIPAL[],2,FALSE),"")</f>
        <v/>
      </c>
      <c r="G83" s="197"/>
      <c r="H83" s="296" t="str">
        <f>IFERROR(IF(VLOOKUP($G83,BD_PRINCIPAL[],28,FALSE)=0,"",VLOOKUP($G83,BD_PRINCIPAL[],28,FALSE)),"")</f>
        <v/>
      </c>
      <c r="I83" s="296" t="str">
        <f>IFERROR(IF(VLOOKUP($G83,BD_PRINCIPAL[],29,FALSE)=0,"",VLOOKUP($G83,BD_PRINCIPAL[],29,FALSE)),"")</f>
        <v/>
      </c>
      <c r="J83" s="296" t="str">
        <f>IFERROR(IF(VLOOKUP($G83,BD_PRINCIPAL[],30,FALSE)=0,"",VLOOKUP($G83,BD_PRINCIPAL[],30,FALSE)),"")</f>
        <v/>
      </c>
      <c r="K83" s="296" t="str">
        <f>IFERROR(IF(VLOOKUP($G83,BD_PRINCIPAL[],31,FALSE)=0,"",VLOOKUP($G83,BD_PRINCIPAL[],31,FALSE)),"")</f>
        <v/>
      </c>
      <c r="L83" s="296" t="str">
        <f>IFERROR(IF(VLOOKUP($G83,BD_PRINCIPAL[],32,FALSE)=0,"",VLOOKUP($G83,BD_PRINCIPAL[],32,FALSE)),"")</f>
        <v/>
      </c>
      <c r="M83" s="296" t="str">
        <f>IFERROR(IF(VLOOKUP($G83,BD_PRINCIPAL[],33,FALSE)=0,"",VLOOKUP($G83,BD_PRINCIPAL[],33,FALSE)),"")</f>
        <v/>
      </c>
      <c r="N83" s="296" t="str">
        <f>IFERROR(IF(VLOOKUP($G83,BD_PRINCIPAL[],34,FALSE)=0,"",VLOOKUP($G83,BD_PRINCIPAL[],34,FALSE)),"")</f>
        <v/>
      </c>
      <c r="O83" s="296" t="str">
        <f>IFERROR(IF(VLOOKUP($G83,BD_PRINCIPAL[],35,FALSE)=0,"",VLOOKUP($G83,BD_PRINCIPAL[],35,FALSE)),"")</f>
        <v/>
      </c>
      <c r="P83" s="296" t="str">
        <f>IFERROR(IF(VLOOKUP($G83,BD_PRINCIPAL[],36,FALSE)=0,"",VLOOKUP($G83,BD_PRINCIPAL[],36,FALSE)),"")</f>
        <v/>
      </c>
      <c r="Q83" s="296" t="str">
        <f>IFERROR(IF(VLOOKUP($G83,BD_PRINCIPAL[],37,FALSE)=0,"",VLOOKUP($G83,BD_PRINCIPAL[],37,FALSE)),"")</f>
        <v/>
      </c>
      <c r="R83" s="296" t="str">
        <f>IFERROR(IF(VLOOKUP($G83,BD_PRINCIPAL[],38,FALSE)=0,"",VLOOKUP($G83,BD_PRINCIPAL[],38,FALSE)),"")</f>
        <v/>
      </c>
      <c r="S83" s="296" t="str">
        <f>IFERROR(IF(VLOOKUP($G83,BD_PRINCIPAL[],39,FALSE)=0,"",VLOOKUP($G83,BD_PRINCIPAL[],39,FALSE)),"")</f>
        <v/>
      </c>
      <c r="T83" s="296" t="str">
        <f>IFERROR(IF(VLOOKUP($G83,BD_PRINCIPAL[],40,FALSE)=0,"",VLOOKUP($G83,BD_PRINCIPAL[],40,FALSE)),"")</f>
        <v/>
      </c>
      <c r="U83" s="296" t="str">
        <f>IFERROR(IF(VLOOKUP($G83,BD_PRINCIPAL[],41,FALSE)=0,"",VLOOKUP($G83,BD_PRINCIPAL[],41,FALSE)),"")</f>
        <v/>
      </c>
      <c r="V83" s="296" t="str">
        <f>IFERROR(IF(VLOOKUP($G83,BD_PRINCIPAL[],42,FALSE)=0,"",VLOOKUP($G83,BD_PRINCIPAL[],42,FALSE)),"")</f>
        <v/>
      </c>
      <c r="W83" s="296" t="str">
        <f>IFERROR(IF(VLOOKUP($G83,BD_PRINCIPAL[],43,FALSE)=0,"",VLOOKUP($G83,BD_PRINCIPAL[],43,FALSE)),"")</f>
        <v/>
      </c>
      <c r="X83" s="296" t="str">
        <f>IFERROR(IF(VLOOKUP($G83,BD_PRINCIPAL[],44,FALSE)=0,"",VLOOKUP($G83,BD_PRINCIPAL[],44,FALSE)),"")</f>
        <v/>
      </c>
      <c r="Y83" s="296" t="str">
        <f>IFERROR(IF(VLOOKUP($G83,BD_PRINCIPAL[],45,FALSE)=0,"",VLOOKUP($G83,BD_PRINCIPAL[],45,FALSE)),"")</f>
        <v/>
      </c>
      <c r="Z83" s="296" t="str">
        <f>IFERROR(IF(VLOOKUP($G83,BD_PRINCIPAL[],46,FALSE)=0,"",VLOOKUP($G83,BD_PRINCIPAL[],46,FALSE)),"")</f>
        <v/>
      </c>
      <c r="AA83" s="296" t="str">
        <f>IFERROR(IF(VLOOKUP($G83,BD_PRINCIPAL[],47,FALSE)=0,"",VLOOKUP($G83,BD_PRINCIPAL[],47,FALSE)),"")</f>
        <v/>
      </c>
      <c r="AB83" s="296" t="str">
        <f>IFERROR(IF(VLOOKUP($G83,BD_PRINCIPAL[],48,FALSE)=0,"",VLOOKUP($G83,BD_PRINCIPAL[],48,FALSE)),"")</f>
        <v/>
      </c>
      <c r="AC83" s="296" t="str">
        <f>IFERROR(IF(VLOOKUP($G83,BD_PRINCIPAL[],49,FALSE)=0,"",VLOOKUP($G83,BD_PRINCIPAL[],49,FALSE)),"")</f>
        <v/>
      </c>
      <c r="AD83" s="296" t="str">
        <f>IFERROR(IF(VLOOKUP($G83,BD_PRINCIPAL[],50,FALSE)=0,"",VLOOKUP($G83,BD_PRINCIPAL[],50,FALSE)),"")</f>
        <v/>
      </c>
      <c r="AE83" s="296" t="str">
        <f>IFERROR(IF(VLOOKUP($G83,BD_PRINCIPAL[],51,FALSE)=0,"",VLOOKUP($G83,BD_PRINCIPAL[],51,FALSE)),"")</f>
        <v/>
      </c>
      <c r="AF83" s="296" t="str">
        <f>IFERROR(IF(VLOOKUP($G83,BD_PRINCIPAL[],52,FALSE)=0,"",VLOOKUP($G83,BD_PRINCIPAL[],52,FALSE)),"")</f>
        <v/>
      </c>
      <c r="AG83" s="296" t="str">
        <f>IFERROR(IF(VLOOKUP($G83,BD_PRINCIPAL[],53,FALSE)=0,"",VLOOKUP($G83,BD_PRINCIPAL[],53,FALSE)),"")</f>
        <v/>
      </c>
      <c r="AH83" s="296" t="str">
        <f>IFERROR(IF(VLOOKUP($G83,BD_PRINCIPAL[],54,FALSE)=0,"",VLOOKUP($G83,BD_PRINCIPAL[],54,FALSE)),"")</f>
        <v/>
      </c>
      <c r="AI83" s="296" t="str">
        <f>IFERROR(IF(VLOOKUP($G83,BD_PRINCIPAL[],55,FALSE)=0,"",VLOOKUP($G83,BD_PRINCIPAL[],55,FALSE)),"")</f>
        <v/>
      </c>
      <c r="AJ83" s="296" t="str">
        <f>IFERROR(IF(VLOOKUP($G83,BD_PRINCIPAL[],56,FALSE)=0,"",VLOOKUP($G83,BD_PRINCIPAL[],56,FALSE)),"")</f>
        <v/>
      </c>
      <c r="AK83" s="296" t="str">
        <f>IFERROR(IF(VLOOKUP($G83,BD_PRINCIPAL[],57,FALSE)=0,"",VLOOKUP($G83,BD_PRINCIPAL[],57,FALSE)),"")</f>
        <v/>
      </c>
      <c r="AL83" s="296" t="str">
        <f>IFERROR(IF(VLOOKUP($G83,BD_PRINCIPAL[],58,FALSE)=0,"",VLOOKUP($G83,BD_PRINCIPAL[],58,FALSE)),"")</f>
        <v/>
      </c>
    </row>
    <row r="84" spans="2:38" x14ac:dyDescent="0.3">
      <c r="B84" s="289">
        <f t="shared" si="7"/>
        <v>0</v>
      </c>
      <c r="D84" s="296">
        <v>14</v>
      </c>
      <c r="E84" s="296" t="str">
        <f>IFERROR(VLOOKUP(G84,BD_PRINCIPAL[],7,FALSE),"")</f>
        <v/>
      </c>
      <c r="F84" s="297" t="str">
        <f>IFERROR(VLOOKUP(G84,BD_PRINCIPAL[],2,FALSE),"")</f>
        <v/>
      </c>
      <c r="G84" s="321"/>
      <c r="H84" s="296" t="str">
        <f>IFERROR(IF(VLOOKUP($G84,BD_PRINCIPAL[],28,FALSE)=0,"",VLOOKUP($G84,BD_PRINCIPAL[],28,FALSE)),"")</f>
        <v/>
      </c>
      <c r="I84" s="296" t="str">
        <f>IFERROR(IF(VLOOKUP($G84,BD_PRINCIPAL[],29,FALSE)=0,"",VLOOKUP($G84,BD_PRINCIPAL[],29,FALSE)),"")</f>
        <v/>
      </c>
      <c r="J84" s="296" t="str">
        <f>IFERROR(IF(VLOOKUP($G84,BD_PRINCIPAL[],30,FALSE)=0,"",VLOOKUP($G84,BD_PRINCIPAL[],30,FALSE)),"")</f>
        <v/>
      </c>
      <c r="K84" s="296" t="str">
        <f>IFERROR(IF(VLOOKUP($G84,BD_PRINCIPAL[],31,FALSE)=0,"",VLOOKUP($G84,BD_PRINCIPAL[],31,FALSE)),"")</f>
        <v/>
      </c>
      <c r="L84" s="296" t="str">
        <f>IFERROR(IF(VLOOKUP($G84,BD_PRINCIPAL[],32,FALSE)=0,"",VLOOKUP($G84,BD_PRINCIPAL[],32,FALSE)),"")</f>
        <v/>
      </c>
      <c r="M84" s="296" t="str">
        <f>IFERROR(IF(VLOOKUP($G84,BD_PRINCIPAL[],33,FALSE)=0,"",VLOOKUP($G84,BD_PRINCIPAL[],33,FALSE)),"")</f>
        <v/>
      </c>
      <c r="N84" s="296" t="str">
        <f>IFERROR(IF(VLOOKUP($G84,BD_PRINCIPAL[],34,FALSE)=0,"",VLOOKUP($G84,BD_PRINCIPAL[],34,FALSE)),"")</f>
        <v/>
      </c>
      <c r="O84" s="296" t="str">
        <f>IFERROR(IF(VLOOKUP($G84,BD_PRINCIPAL[],35,FALSE)=0,"",VLOOKUP($G84,BD_PRINCIPAL[],35,FALSE)),"")</f>
        <v/>
      </c>
      <c r="P84" s="296" t="str">
        <f>IFERROR(IF(VLOOKUP($G84,BD_PRINCIPAL[],36,FALSE)=0,"",VLOOKUP($G84,BD_PRINCIPAL[],36,FALSE)),"")</f>
        <v/>
      </c>
      <c r="Q84" s="296" t="str">
        <f>IFERROR(IF(VLOOKUP($G84,BD_PRINCIPAL[],37,FALSE)=0,"",VLOOKUP($G84,BD_PRINCIPAL[],37,FALSE)),"")</f>
        <v/>
      </c>
      <c r="R84" s="296" t="str">
        <f>IFERROR(IF(VLOOKUP($G84,BD_PRINCIPAL[],38,FALSE)=0,"",VLOOKUP($G84,BD_PRINCIPAL[],38,FALSE)),"")</f>
        <v/>
      </c>
      <c r="S84" s="296" t="str">
        <f>IFERROR(IF(VLOOKUP($G84,BD_PRINCIPAL[],39,FALSE)=0,"",VLOOKUP($G84,BD_PRINCIPAL[],39,FALSE)),"")</f>
        <v/>
      </c>
      <c r="T84" s="296" t="str">
        <f>IFERROR(IF(VLOOKUP($G84,BD_PRINCIPAL[],40,FALSE)=0,"",VLOOKUP($G84,BD_PRINCIPAL[],40,FALSE)),"")</f>
        <v/>
      </c>
      <c r="U84" s="296" t="str">
        <f>IFERROR(IF(VLOOKUP($G84,BD_PRINCIPAL[],41,FALSE)=0,"",VLOOKUP($G84,BD_PRINCIPAL[],41,FALSE)),"")</f>
        <v/>
      </c>
      <c r="V84" s="296" t="str">
        <f>IFERROR(IF(VLOOKUP($G84,BD_PRINCIPAL[],42,FALSE)=0,"",VLOOKUP($G84,BD_PRINCIPAL[],42,FALSE)),"")</f>
        <v/>
      </c>
      <c r="W84" s="296" t="str">
        <f>IFERROR(IF(VLOOKUP($G84,BD_PRINCIPAL[],43,FALSE)=0,"",VLOOKUP($G84,BD_PRINCIPAL[],43,FALSE)),"")</f>
        <v/>
      </c>
      <c r="X84" s="296" t="str">
        <f>IFERROR(IF(VLOOKUP($G84,BD_PRINCIPAL[],44,FALSE)=0,"",VLOOKUP($G84,BD_PRINCIPAL[],44,FALSE)),"")</f>
        <v/>
      </c>
      <c r="Y84" s="296" t="str">
        <f>IFERROR(IF(VLOOKUP($G84,BD_PRINCIPAL[],45,FALSE)=0,"",VLOOKUP($G84,BD_PRINCIPAL[],45,FALSE)),"")</f>
        <v/>
      </c>
      <c r="Z84" s="296" t="str">
        <f>IFERROR(IF(VLOOKUP($G84,BD_PRINCIPAL[],46,FALSE)=0,"",VLOOKUP($G84,BD_PRINCIPAL[],46,FALSE)),"")</f>
        <v/>
      </c>
      <c r="AA84" s="296" t="str">
        <f>IFERROR(IF(VLOOKUP($G84,BD_PRINCIPAL[],47,FALSE)=0,"",VLOOKUP($G84,BD_PRINCIPAL[],47,FALSE)),"")</f>
        <v/>
      </c>
      <c r="AB84" s="296" t="str">
        <f>IFERROR(IF(VLOOKUP($G84,BD_PRINCIPAL[],48,FALSE)=0,"",VLOOKUP($G84,BD_PRINCIPAL[],48,FALSE)),"")</f>
        <v/>
      </c>
      <c r="AC84" s="296" t="str">
        <f>IFERROR(IF(VLOOKUP($G84,BD_PRINCIPAL[],49,FALSE)=0,"",VLOOKUP($G84,BD_PRINCIPAL[],49,FALSE)),"")</f>
        <v/>
      </c>
      <c r="AD84" s="296" t="str">
        <f>IFERROR(IF(VLOOKUP($G84,BD_PRINCIPAL[],50,FALSE)=0,"",VLOOKUP($G84,BD_PRINCIPAL[],50,FALSE)),"")</f>
        <v/>
      </c>
      <c r="AE84" s="296" t="str">
        <f>IFERROR(IF(VLOOKUP($G84,BD_PRINCIPAL[],51,FALSE)=0,"",VLOOKUP($G84,BD_PRINCIPAL[],51,FALSE)),"")</f>
        <v/>
      </c>
      <c r="AF84" s="296" t="str">
        <f>IFERROR(IF(VLOOKUP($G84,BD_PRINCIPAL[],52,FALSE)=0,"",VLOOKUP($G84,BD_PRINCIPAL[],52,FALSE)),"")</f>
        <v/>
      </c>
      <c r="AG84" s="296" t="str">
        <f>IFERROR(IF(VLOOKUP($G84,BD_PRINCIPAL[],53,FALSE)=0,"",VLOOKUP($G84,BD_PRINCIPAL[],53,FALSE)),"")</f>
        <v/>
      </c>
      <c r="AH84" s="296" t="str">
        <f>IFERROR(IF(VLOOKUP($G84,BD_PRINCIPAL[],54,FALSE)=0,"",VLOOKUP($G84,BD_PRINCIPAL[],54,FALSE)),"")</f>
        <v/>
      </c>
      <c r="AI84" s="296" t="str">
        <f>IFERROR(IF(VLOOKUP($G84,BD_PRINCIPAL[],55,FALSE)=0,"",VLOOKUP($G84,BD_PRINCIPAL[],55,FALSE)),"")</f>
        <v/>
      </c>
      <c r="AJ84" s="296" t="str">
        <f>IFERROR(IF(VLOOKUP($G84,BD_PRINCIPAL[],56,FALSE)=0,"",VLOOKUP($G84,BD_PRINCIPAL[],56,FALSE)),"")</f>
        <v/>
      </c>
      <c r="AK84" s="296" t="str">
        <f>IFERROR(IF(VLOOKUP($G84,BD_PRINCIPAL[],57,FALSE)=0,"",VLOOKUP($G84,BD_PRINCIPAL[],57,FALSE)),"")</f>
        <v/>
      </c>
      <c r="AL84" s="296" t="str">
        <f>IFERROR(IF(VLOOKUP($G84,BD_PRINCIPAL[],58,FALSE)=0,"",VLOOKUP($G84,BD_PRINCIPAL[],58,FALSE)),"")</f>
        <v/>
      </c>
    </row>
    <row r="85" spans="2:38" x14ac:dyDescent="0.3">
      <c r="B85" s="289">
        <f t="shared" si="7"/>
        <v>0</v>
      </c>
      <c r="D85" s="296">
        <v>15</v>
      </c>
      <c r="E85" s="296" t="str">
        <f>IFERROR(VLOOKUP(G85,BD_PRINCIPAL[],7,FALSE),"")</f>
        <v/>
      </c>
      <c r="F85" s="297" t="str">
        <f>IFERROR(VLOOKUP(G85,BD_PRINCIPAL[],2,FALSE),"")</f>
        <v/>
      </c>
      <c r="G85" s="321"/>
      <c r="H85" s="296" t="str">
        <f>IFERROR(IF(VLOOKUP($G85,BD_PRINCIPAL[],28,FALSE)=0,"",VLOOKUP($G85,BD_PRINCIPAL[],28,FALSE)),"")</f>
        <v/>
      </c>
      <c r="I85" s="296" t="str">
        <f>IFERROR(IF(VLOOKUP($G85,BD_PRINCIPAL[],29,FALSE)=0,"",VLOOKUP($G85,BD_PRINCIPAL[],29,FALSE)),"")</f>
        <v/>
      </c>
      <c r="J85" s="296" t="str">
        <f>IFERROR(IF(VLOOKUP($G85,BD_PRINCIPAL[],30,FALSE)=0,"",VLOOKUP($G85,BD_PRINCIPAL[],30,FALSE)),"")</f>
        <v/>
      </c>
      <c r="K85" s="296" t="str">
        <f>IFERROR(IF(VLOOKUP($G85,BD_PRINCIPAL[],31,FALSE)=0,"",VLOOKUP($G85,BD_PRINCIPAL[],31,FALSE)),"")</f>
        <v/>
      </c>
      <c r="L85" s="296" t="str">
        <f>IFERROR(IF(VLOOKUP($G85,BD_PRINCIPAL[],32,FALSE)=0,"",VLOOKUP($G85,BD_PRINCIPAL[],32,FALSE)),"")</f>
        <v/>
      </c>
      <c r="M85" s="296" t="str">
        <f>IFERROR(IF(VLOOKUP($G85,BD_PRINCIPAL[],33,FALSE)=0,"",VLOOKUP($G85,BD_PRINCIPAL[],33,FALSE)),"")</f>
        <v/>
      </c>
      <c r="N85" s="296" t="str">
        <f>IFERROR(IF(VLOOKUP($G85,BD_PRINCIPAL[],34,FALSE)=0,"",VLOOKUP($G85,BD_PRINCIPAL[],34,FALSE)),"")</f>
        <v/>
      </c>
      <c r="O85" s="296" t="str">
        <f>IFERROR(IF(VLOOKUP($G85,BD_PRINCIPAL[],35,FALSE)=0,"",VLOOKUP($G85,BD_PRINCIPAL[],35,FALSE)),"")</f>
        <v/>
      </c>
      <c r="P85" s="296" t="str">
        <f>IFERROR(IF(VLOOKUP($G85,BD_PRINCIPAL[],36,FALSE)=0,"",VLOOKUP($G85,BD_PRINCIPAL[],36,FALSE)),"")</f>
        <v/>
      </c>
      <c r="Q85" s="296" t="str">
        <f>IFERROR(IF(VLOOKUP($G85,BD_PRINCIPAL[],37,FALSE)=0,"",VLOOKUP($G85,BD_PRINCIPAL[],37,FALSE)),"")</f>
        <v/>
      </c>
      <c r="R85" s="296" t="str">
        <f>IFERROR(IF(VLOOKUP($G85,BD_PRINCIPAL[],38,FALSE)=0,"",VLOOKUP($G85,BD_PRINCIPAL[],38,FALSE)),"")</f>
        <v/>
      </c>
      <c r="S85" s="296" t="str">
        <f>IFERROR(IF(VLOOKUP($G85,BD_PRINCIPAL[],39,FALSE)=0,"",VLOOKUP($G85,BD_PRINCIPAL[],39,FALSE)),"")</f>
        <v/>
      </c>
      <c r="T85" s="296" t="str">
        <f>IFERROR(IF(VLOOKUP($G85,BD_PRINCIPAL[],40,FALSE)=0,"",VLOOKUP($G85,BD_PRINCIPAL[],40,FALSE)),"")</f>
        <v/>
      </c>
      <c r="U85" s="296" t="str">
        <f>IFERROR(IF(VLOOKUP($G85,BD_PRINCIPAL[],41,FALSE)=0,"",VLOOKUP($G85,BD_PRINCIPAL[],41,FALSE)),"")</f>
        <v/>
      </c>
      <c r="V85" s="296" t="str">
        <f>IFERROR(IF(VLOOKUP($G85,BD_PRINCIPAL[],42,FALSE)=0,"",VLOOKUP($G85,BD_PRINCIPAL[],42,FALSE)),"")</f>
        <v/>
      </c>
      <c r="W85" s="296" t="str">
        <f>IFERROR(IF(VLOOKUP($G85,BD_PRINCIPAL[],43,FALSE)=0,"",VLOOKUP($G85,BD_PRINCIPAL[],43,FALSE)),"")</f>
        <v/>
      </c>
      <c r="X85" s="296" t="str">
        <f>IFERROR(IF(VLOOKUP($G85,BD_PRINCIPAL[],44,FALSE)=0,"",VLOOKUP($G85,BD_PRINCIPAL[],44,FALSE)),"")</f>
        <v/>
      </c>
      <c r="Y85" s="296" t="str">
        <f>IFERROR(IF(VLOOKUP($G85,BD_PRINCIPAL[],45,FALSE)=0,"",VLOOKUP($G85,BD_PRINCIPAL[],45,FALSE)),"")</f>
        <v/>
      </c>
      <c r="Z85" s="296" t="str">
        <f>IFERROR(IF(VLOOKUP($G85,BD_PRINCIPAL[],46,FALSE)=0,"",VLOOKUP($G85,BD_PRINCIPAL[],46,FALSE)),"")</f>
        <v/>
      </c>
      <c r="AA85" s="296" t="str">
        <f>IFERROR(IF(VLOOKUP($G85,BD_PRINCIPAL[],47,FALSE)=0,"",VLOOKUP($G85,BD_PRINCIPAL[],47,FALSE)),"")</f>
        <v/>
      </c>
      <c r="AB85" s="296" t="str">
        <f>IFERROR(IF(VLOOKUP($G85,BD_PRINCIPAL[],48,FALSE)=0,"",VLOOKUP($G85,BD_PRINCIPAL[],48,FALSE)),"")</f>
        <v/>
      </c>
      <c r="AC85" s="296" t="str">
        <f>IFERROR(IF(VLOOKUP($G85,BD_PRINCIPAL[],49,FALSE)=0,"",VLOOKUP($G85,BD_PRINCIPAL[],49,FALSE)),"")</f>
        <v/>
      </c>
      <c r="AD85" s="296" t="str">
        <f>IFERROR(IF(VLOOKUP($G85,BD_PRINCIPAL[],50,FALSE)=0,"",VLOOKUP($G85,BD_PRINCIPAL[],50,FALSE)),"")</f>
        <v/>
      </c>
      <c r="AE85" s="296" t="str">
        <f>IFERROR(IF(VLOOKUP($G85,BD_PRINCIPAL[],51,FALSE)=0,"",VLOOKUP($G85,BD_PRINCIPAL[],51,FALSE)),"")</f>
        <v/>
      </c>
      <c r="AF85" s="296" t="str">
        <f>IFERROR(IF(VLOOKUP($G85,BD_PRINCIPAL[],52,FALSE)=0,"",VLOOKUP($G85,BD_PRINCIPAL[],52,FALSE)),"")</f>
        <v/>
      </c>
      <c r="AG85" s="296" t="str">
        <f>IFERROR(IF(VLOOKUP($G85,BD_PRINCIPAL[],53,FALSE)=0,"",VLOOKUP($G85,BD_PRINCIPAL[],53,FALSE)),"")</f>
        <v/>
      </c>
      <c r="AH85" s="296" t="str">
        <f>IFERROR(IF(VLOOKUP($G85,BD_PRINCIPAL[],54,FALSE)=0,"",VLOOKUP($G85,BD_PRINCIPAL[],54,FALSE)),"")</f>
        <v/>
      </c>
      <c r="AI85" s="296" t="str">
        <f>IFERROR(IF(VLOOKUP($G85,BD_PRINCIPAL[],55,FALSE)=0,"",VLOOKUP($G85,BD_PRINCIPAL[],55,FALSE)),"")</f>
        <v/>
      </c>
      <c r="AJ85" s="296" t="str">
        <f>IFERROR(IF(VLOOKUP($G85,BD_PRINCIPAL[],56,FALSE)=0,"",VLOOKUP($G85,BD_PRINCIPAL[],56,FALSE)),"")</f>
        <v/>
      </c>
      <c r="AK85" s="296" t="str">
        <f>IFERROR(IF(VLOOKUP($G85,BD_PRINCIPAL[],57,FALSE)=0,"",VLOOKUP($G85,BD_PRINCIPAL[],57,FALSE)),"")</f>
        <v/>
      </c>
      <c r="AL85" s="296" t="str">
        <f>IFERROR(IF(VLOOKUP($G85,BD_PRINCIPAL[],58,FALSE)=0,"",VLOOKUP($G85,BD_PRINCIPAL[],58,FALSE)),"")</f>
        <v/>
      </c>
    </row>
    <row r="86" spans="2:38" x14ac:dyDescent="0.3">
      <c r="B86" s="289">
        <f t="shared" si="7"/>
        <v>0</v>
      </c>
      <c r="D86" s="296">
        <v>16</v>
      </c>
      <c r="E86" s="296" t="str">
        <f>IFERROR(VLOOKUP(G86,BD_PRINCIPAL[],7,FALSE),"")</f>
        <v/>
      </c>
      <c r="F86" s="297" t="str">
        <f>IFERROR(VLOOKUP(G86,BD_PRINCIPAL[],2,FALSE),"")</f>
        <v/>
      </c>
      <c r="G86" s="321"/>
      <c r="H86" s="296" t="str">
        <f>IFERROR(IF(VLOOKUP($G86,BD_PRINCIPAL[],28,FALSE)=0,"",VLOOKUP($G86,BD_PRINCIPAL[],28,FALSE)),"")</f>
        <v/>
      </c>
      <c r="I86" s="296" t="str">
        <f>IFERROR(IF(VLOOKUP($G86,BD_PRINCIPAL[],29,FALSE)=0,"",VLOOKUP($G86,BD_PRINCIPAL[],29,FALSE)),"")</f>
        <v/>
      </c>
      <c r="J86" s="296" t="str">
        <f>IFERROR(IF(VLOOKUP($G86,BD_PRINCIPAL[],30,FALSE)=0,"",VLOOKUP($G86,BD_PRINCIPAL[],30,FALSE)),"")</f>
        <v/>
      </c>
      <c r="K86" s="296" t="str">
        <f>IFERROR(IF(VLOOKUP($G86,BD_PRINCIPAL[],31,FALSE)=0,"",VLOOKUP($G86,BD_PRINCIPAL[],31,FALSE)),"")</f>
        <v/>
      </c>
      <c r="L86" s="296" t="str">
        <f>IFERROR(IF(VLOOKUP($G86,BD_PRINCIPAL[],32,FALSE)=0,"",VLOOKUP($G86,BD_PRINCIPAL[],32,FALSE)),"")</f>
        <v/>
      </c>
      <c r="M86" s="296" t="str">
        <f>IFERROR(IF(VLOOKUP($G86,BD_PRINCIPAL[],33,FALSE)=0,"",VLOOKUP($G86,BD_PRINCIPAL[],33,FALSE)),"")</f>
        <v/>
      </c>
      <c r="N86" s="296" t="str">
        <f>IFERROR(IF(VLOOKUP($G86,BD_PRINCIPAL[],34,FALSE)=0,"",VLOOKUP($G86,BD_PRINCIPAL[],34,FALSE)),"")</f>
        <v/>
      </c>
      <c r="O86" s="296" t="str">
        <f>IFERROR(IF(VLOOKUP($G86,BD_PRINCIPAL[],35,FALSE)=0,"",VLOOKUP($G86,BD_PRINCIPAL[],35,FALSE)),"")</f>
        <v/>
      </c>
      <c r="P86" s="296" t="str">
        <f>IFERROR(IF(VLOOKUP($G86,BD_PRINCIPAL[],36,FALSE)=0,"",VLOOKUP($G86,BD_PRINCIPAL[],36,FALSE)),"")</f>
        <v/>
      </c>
      <c r="Q86" s="296" t="str">
        <f>IFERROR(IF(VLOOKUP($G86,BD_PRINCIPAL[],37,FALSE)=0,"",VLOOKUP($G86,BD_PRINCIPAL[],37,FALSE)),"")</f>
        <v/>
      </c>
      <c r="R86" s="296" t="str">
        <f>IFERROR(IF(VLOOKUP($G86,BD_PRINCIPAL[],38,FALSE)=0,"",VLOOKUP($G86,BD_PRINCIPAL[],38,FALSE)),"")</f>
        <v/>
      </c>
      <c r="S86" s="296" t="str">
        <f>IFERROR(IF(VLOOKUP($G86,BD_PRINCIPAL[],39,FALSE)=0,"",VLOOKUP($G86,BD_PRINCIPAL[],39,FALSE)),"")</f>
        <v/>
      </c>
      <c r="T86" s="296" t="str">
        <f>IFERROR(IF(VLOOKUP($G86,BD_PRINCIPAL[],40,FALSE)=0,"",VLOOKUP($G86,BD_PRINCIPAL[],40,FALSE)),"")</f>
        <v/>
      </c>
      <c r="U86" s="296" t="str">
        <f>IFERROR(IF(VLOOKUP($G86,BD_PRINCIPAL[],41,FALSE)=0,"",VLOOKUP($G86,BD_PRINCIPAL[],41,FALSE)),"")</f>
        <v/>
      </c>
      <c r="V86" s="296" t="str">
        <f>IFERROR(IF(VLOOKUP($G86,BD_PRINCIPAL[],42,FALSE)=0,"",VLOOKUP($G86,BD_PRINCIPAL[],42,FALSE)),"")</f>
        <v/>
      </c>
      <c r="W86" s="296" t="str">
        <f>IFERROR(IF(VLOOKUP($G86,BD_PRINCIPAL[],43,FALSE)=0,"",VLOOKUP($G86,BD_PRINCIPAL[],43,FALSE)),"")</f>
        <v/>
      </c>
      <c r="X86" s="296" t="str">
        <f>IFERROR(IF(VLOOKUP($G86,BD_PRINCIPAL[],44,FALSE)=0,"",VLOOKUP($G86,BD_PRINCIPAL[],44,FALSE)),"")</f>
        <v/>
      </c>
      <c r="Y86" s="296" t="str">
        <f>IFERROR(IF(VLOOKUP($G86,BD_PRINCIPAL[],45,FALSE)=0,"",VLOOKUP($G86,BD_PRINCIPAL[],45,FALSE)),"")</f>
        <v/>
      </c>
      <c r="Z86" s="296" t="str">
        <f>IFERROR(IF(VLOOKUP($G86,BD_PRINCIPAL[],46,FALSE)=0,"",VLOOKUP($G86,BD_PRINCIPAL[],46,FALSE)),"")</f>
        <v/>
      </c>
      <c r="AA86" s="296" t="str">
        <f>IFERROR(IF(VLOOKUP($G86,BD_PRINCIPAL[],47,FALSE)=0,"",VLOOKUP($G86,BD_PRINCIPAL[],47,FALSE)),"")</f>
        <v/>
      </c>
      <c r="AB86" s="296" t="str">
        <f>IFERROR(IF(VLOOKUP($G86,BD_PRINCIPAL[],48,FALSE)=0,"",VLOOKUP($G86,BD_PRINCIPAL[],48,FALSE)),"")</f>
        <v/>
      </c>
      <c r="AC86" s="296" t="str">
        <f>IFERROR(IF(VLOOKUP($G86,BD_PRINCIPAL[],49,FALSE)=0,"",VLOOKUP($G86,BD_PRINCIPAL[],49,FALSE)),"")</f>
        <v/>
      </c>
      <c r="AD86" s="296" t="str">
        <f>IFERROR(IF(VLOOKUP($G86,BD_PRINCIPAL[],50,FALSE)=0,"",VLOOKUP($G86,BD_PRINCIPAL[],50,FALSE)),"")</f>
        <v/>
      </c>
      <c r="AE86" s="296" t="str">
        <f>IFERROR(IF(VLOOKUP($G86,BD_PRINCIPAL[],51,FALSE)=0,"",VLOOKUP($G86,BD_PRINCIPAL[],51,FALSE)),"")</f>
        <v/>
      </c>
      <c r="AF86" s="296" t="str">
        <f>IFERROR(IF(VLOOKUP($G86,BD_PRINCIPAL[],52,FALSE)=0,"",VLOOKUP($G86,BD_PRINCIPAL[],52,FALSE)),"")</f>
        <v/>
      </c>
      <c r="AG86" s="296" t="str">
        <f>IFERROR(IF(VLOOKUP($G86,BD_PRINCIPAL[],53,FALSE)=0,"",VLOOKUP($G86,BD_PRINCIPAL[],53,FALSE)),"")</f>
        <v/>
      </c>
      <c r="AH86" s="296" t="str">
        <f>IFERROR(IF(VLOOKUP($G86,BD_PRINCIPAL[],54,FALSE)=0,"",VLOOKUP($G86,BD_PRINCIPAL[],54,FALSE)),"")</f>
        <v/>
      </c>
      <c r="AI86" s="296" t="str">
        <f>IFERROR(IF(VLOOKUP($G86,BD_PRINCIPAL[],55,FALSE)=0,"",VLOOKUP($G86,BD_PRINCIPAL[],55,FALSE)),"")</f>
        <v/>
      </c>
      <c r="AJ86" s="296" t="str">
        <f>IFERROR(IF(VLOOKUP($G86,BD_PRINCIPAL[],56,FALSE)=0,"",VLOOKUP($G86,BD_PRINCIPAL[],56,FALSE)),"")</f>
        <v/>
      </c>
      <c r="AK86" s="296" t="str">
        <f>IFERROR(IF(VLOOKUP($G86,BD_PRINCIPAL[],57,FALSE)=0,"",VLOOKUP($G86,BD_PRINCIPAL[],57,FALSE)),"")</f>
        <v/>
      </c>
      <c r="AL86" s="296" t="str">
        <f>IFERROR(IF(VLOOKUP($G86,BD_PRINCIPAL[],58,FALSE)=0,"",VLOOKUP($G86,BD_PRINCIPAL[],58,FALSE)),"")</f>
        <v/>
      </c>
    </row>
    <row r="87" spans="2:38" x14ac:dyDescent="0.3">
      <c r="B87" s="289">
        <f t="shared" si="7"/>
        <v>0</v>
      </c>
      <c r="D87" s="296">
        <v>17</v>
      </c>
      <c r="E87" s="296" t="str">
        <f>IFERROR(VLOOKUP(G87,BD_PRINCIPAL[],7,FALSE),"")</f>
        <v/>
      </c>
      <c r="F87" s="297" t="str">
        <f>IFERROR(VLOOKUP(G87,BD_PRINCIPAL[],2,FALSE),"")</f>
        <v/>
      </c>
      <c r="G87" s="321"/>
      <c r="H87" s="296" t="str">
        <f>IFERROR(IF(VLOOKUP($G87,BD_PRINCIPAL[],28,FALSE)=0,"",VLOOKUP($G87,BD_PRINCIPAL[],28,FALSE)),"")</f>
        <v/>
      </c>
      <c r="I87" s="296" t="str">
        <f>IFERROR(IF(VLOOKUP($G87,BD_PRINCIPAL[],29,FALSE)=0,"",VLOOKUP($G87,BD_PRINCIPAL[],29,FALSE)),"")</f>
        <v/>
      </c>
      <c r="J87" s="296" t="str">
        <f>IFERROR(IF(VLOOKUP($G87,BD_PRINCIPAL[],30,FALSE)=0,"",VLOOKUP($G87,BD_PRINCIPAL[],30,FALSE)),"")</f>
        <v/>
      </c>
      <c r="K87" s="296" t="str">
        <f>IFERROR(IF(VLOOKUP($G87,BD_PRINCIPAL[],31,FALSE)=0,"",VLOOKUP($G87,BD_PRINCIPAL[],31,FALSE)),"")</f>
        <v/>
      </c>
      <c r="L87" s="296" t="str">
        <f>IFERROR(IF(VLOOKUP($G87,BD_PRINCIPAL[],32,FALSE)=0,"",VLOOKUP($G87,BD_PRINCIPAL[],32,FALSE)),"")</f>
        <v/>
      </c>
      <c r="M87" s="296" t="str">
        <f>IFERROR(IF(VLOOKUP($G87,BD_PRINCIPAL[],33,FALSE)=0,"",VLOOKUP($G87,BD_PRINCIPAL[],33,FALSE)),"")</f>
        <v/>
      </c>
      <c r="N87" s="296" t="str">
        <f>IFERROR(IF(VLOOKUP($G87,BD_PRINCIPAL[],34,FALSE)=0,"",VLOOKUP($G87,BD_PRINCIPAL[],34,FALSE)),"")</f>
        <v/>
      </c>
      <c r="O87" s="296" t="str">
        <f>IFERROR(IF(VLOOKUP($G87,BD_PRINCIPAL[],35,FALSE)=0,"",VLOOKUP($G87,BD_PRINCIPAL[],35,FALSE)),"")</f>
        <v/>
      </c>
      <c r="P87" s="296" t="str">
        <f>IFERROR(IF(VLOOKUP($G87,BD_PRINCIPAL[],36,FALSE)=0,"",VLOOKUP($G87,BD_PRINCIPAL[],36,FALSE)),"")</f>
        <v/>
      </c>
      <c r="Q87" s="296" t="str">
        <f>IFERROR(IF(VLOOKUP($G87,BD_PRINCIPAL[],37,FALSE)=0,"",VLOOKUP($G87,BD_PRINCIPAL[],37,FALSE)),"")</f>
        <v/>
      </c>
      <c r="R87" s="296" t="str">
        <f>IFERROR(IF(VLOOKUP($G87,BD_PRINCIPAL[],38,FALSE)=0,"",VLOOKUP($G87,BD_PRINCIPAL[],38,FALSE)),"")</f>
        <v/>
      </c>
      <c r="S87" s="296" t="str">
        <f>IFERROR(IF(VLOOKUP($G87,BD_PRINCIPAL[],39,FALSE)=0,"",VLOOKUP($G87,BD_PRINCIPAL[],39,FALSE)),"")</f>
        <v/>
      </c>
      <c r="T87" s="296" t="str">
        <f>IFERROR(IF(VLOOKUP($G87,BD_PRINCIPAL[],40,FALSE)=0,"",VLOOKUP($G87,BD_PRINCIPAL[],40,FALSE)),"")</f>
        <v/>
      </c>
      <c r="U87" s="296" t="str">
        <f>IFERROR(IF(VLOOKUP($G87,BD_PRINCIPAL[],41,FALSE)=0,"",VLOOKUP($G87,BD_PRINCIPAL[],41,FALSE)),"")</f>
        <v/>
      </c>
      <c r="V87" s="296" t="str">
        <f>IFERROR(IF(VLOOKUP($G87,BD_PRINCIPAL[],42,FALSE)=0,"",VLOOKUP($G87,BD_PRINCIPAL[],42,FALSE)),"")</f>
        <v/>
      </c>
      <c r="W87" s="296" t="str">
        <f>IFERROR(IF(VLOOKUP($G87,BD_PRINCIPAL[],43,FALSE)=0,"",VLOOKUP($G87,BD_PRINCIPAL[],43,FALSE)),"")</f>
        <v/>
      </c>
      <c r="X87" s="296" t="str">
        <f>IFERROR(IF(VLOOKUP($G87,BD_PRINCIPAL[],44,FALSE)=0,"",VLOOKUP($G87,BD_PRINCIPAL[],44,FALSE)),"")</f>
        <v/>
      </c>
      <c r="Y87" s="296" t="str">
        <f>IFERROR(IF(VLOOKUP($G87,BD_PRINCIPAL[],45,FALSE)=0,"",VLOOKUP($G87,BD_PRINCIPAL[],45,FALSE)),"")</f>
        <v/>
      </c>
      <c r="Z87" s="296" t="str">
        <f>IFERROR(IF(VLOOKUP($G87,BD_PRINCIPAL[],46,FALSE)=0,"",VLOOKUP($G87,BD_PRINCIPAL[],46,FALSE)),"")</f>
        <v/>
      </c>
      <c r="AA87" s="296" t="str">
        <f>IFERROR(IF(VLOOKUP($G87,BD_PRINCIPAL[],47,FALSE)=0,"",VLOOKUP($G87,BD_PRINCIPAL[],47,FALSE)),"")</f>
        <v/>
      </c>
      <c r="AB87" s="296" t="str">
        <f>IFERROR(IF(VLOOKUP($G87,BD_PRINCIPAL[],48,FALSE)=0,"",VLOOKUP($G87,BD_PRINCIPAL[],48,FALSE)),"")</f>
        <v/>
      </c>
      <c r="AC87" s="296" t="str">
        <f>IFERROR(IF(VLOOKUP($G87,BD_PRINCIPAL[],49,FALSE)=0,"",VLOOKUP($G87,BD_PRINCIPAL[],49,FALSE)),"")</f>
        <v/>
      </c>
      <c r="AD87" s="296" t="str">
        <f>IFERROR(IF(VLOOKUP($G87,BD_PRINCIPAL[],50,FALSE)=0,"",VLOOKUP($G87,BD_PRINCIPAL[],50,FALSE)),"")</f>
        <v/>
      </c>
      <c r="AE87" s="296" t="str">
        <f>IFERROR(IF(VLOOKUP($G87,BD_PRINCIPAL[],51,FALSE)=0,"",VLOOKUP($G87,BD_PRINCIPAL[],51,FALSE)),"")</f>
        <v/>
      </c>
      <c r="AF87" s="296" t="str">
        <f>IFERROR(IF(VLOOKUP($G87,BD_PRINCIPAL[],52,FALSE)=0,"",VLOOKUP($G87,BD_PRINCIPAL[],52,FALSE)),"")</f>
        <v/>
      </c>
      <c r="AG87" s="296" t="str">
        <f>IFERROR(IF(VLOOKUP($G87,BD_PRINCIPAL[],53,FALSE)=0,"",VLOOKUP($G87,BD_PRINCIPAL[],53,FALSE)),"")</f>
        <v/>
      </c>
      <c r="AH87" s="296" t="str">
        <f>IFERROR(IF(VLOOKUP($G87,BD_PRINCIPAL[],54,FALSE)=0,"",VLOOKUP($G87,BD_PRINCIPAL[],54,FALSE)),"")</f>
        <v/>
      </c>
      <c r="AI87" s="296" t="str">
        <f>IFERROR(IF(VLOOKUP($G87,BD_PRINCIPAL[],55,FALSE)=0,"",VLOOKUP($G87,BD_PRINCIPAL[],55,FALSE)),"")</f>
        <v/>
      </c>
      <c r="AJ87" s="296" t="str">
        <f>IFERROR(IF(VLOOKUP($G87,BD_PRINCIPAL[],56,FALSE)=0,"",VLOOKUP($G87,BD_PRINCIPAL[],56,FALSE)),"")</f>
        <v/>
      </c>
      <c r="AK87" s="296" t="str">
        <f>IFERROR(IF(VLOOKUP($G87,BD_PRINCIPAL[],57,FALSE)=0,"",VLOOKUP($G87,BD_PRINCIPAL[],57,FALSE)),"")</f>
        <v/>
      </c>
      <c r="AL87" s="296" t="str">
        <f>IFERROR(IF(VLOOKUP($G87,BD_PRINCIPAL[],58,FALSE)=0,"",VLOOKUP($G87,BD_PRINCIPAL[],58,FALSE)),"")</f>
        <v/>
      </c>
    </row>
    <row r="88" spans="2:38" x14ac:dyDescent="0.3">
      <c r="B88" s="289">
        <f t="shared" si="7"/>
        <v>0</v>
      </c>
      <c r="D88" s="296">
        <v>18</v>
      </c>
      <c r="E88" s="296" t="str">
        <f>IFERROR(VLOOKUP(G88,BD_PRINCIPAL[],7,FALSE),"")</f>
        <v/>
      </c>
      <c r="F88" s="297" t="str">
        <f>IFERROR(VLOOKUP(G88,BD_PRINCIPAL[],2,FALSE),"")</f>
        <v/>
      </c>
      <c r="G88" s="321"/>
      <c r="H88" s="296" t="str">
        <f>IFERROR(IF(VLOOKUP($G88,BD_PRINCIPAL[],28,FALSE)=0,"",VLOOKUP($G88,BD_PRINCIPAL[],28,FALSE)),"")</f>
        <v/>
      </c>
      <c r="I88" s="296" t="str">
        <f>IFERROR(IF(VLOOKUP($G88,BD_PRINCIPAL[],29,FALSE)=0,"",VLOOKUP($G88,BD_PRINCIPAL[],29,FALSE)),"")</f>
        <v/>
      </c>
      <c r="J88" s="296" t="str">
        <f>IFERROR(IF(VLOOKUP($G88,BD_PRINCIPAL[],30,FALSE)=0,"",VLOOKUP($G88,BD_PRINCIPAL[],30,FALSE)),"")</f>
        <v/>
      </c>
      <c r="K88" s="296" t="str">
        <f>IFERROR(IF(VLOOKUP($G88,BD_PRINCIPAL[],31,FALSE)=0,"",VLOOKUP($G88,BD_PRINCIPAL[],31,FALSE)),"")</f>
        <v/>
      </c>
      <c r="L88" s="296" t="str">
        <f>IFERROR(IF(VLOOKUP($G88,BD_PRINCIPAL[],32,FALSE)=0,"",VLOOKUP($G88,BD_PRINCIPAL[],32,FALSE)),"")</f>
        <v/>
      </c>
      <c r="M88" s="296" t="str">
        <f>IFERROR(IF(VLOOKUP($G88,BD_PRINCIPAL[],33,FALSE)=0,"",VLOOKUP($G88,BD_PRINCIPAL[],33,FALSE)),"")</f>
        <v/>
      </c>
      <c r="N88" s="296" t="str">
        <f>IFERROR(IF(VLOOKUP($G88,BD_PRINCIPAL[],34,FALSE)=0,"",VLOOKUP($G88,BD_PRINCIPAL[],34,FALSE)),"")</f>
        <v/>
      </c>
      <c r="O88" s="296" t="str">
        <f>IFERROR(IF(VLOOKUP($G88,BD_PRINCIPAL[],35,FALSE)=0,"",VLOOKUP($G88,BD_PRINCIPAL[],35,FALSE)),"")</f>
        <v/>
      </c>
      <c r="P88" s="296" t="str">
        <f>IFERROR(IF(VLOOKUP($G88,BD_PRINCIPAL[],36,FALSE)=0,"",VLOOKUP($G88,BD_PRINCIPAL[],36,FALSE)),"")</f>
        <v/>
      </c>
      <c r="Q88" s="296" t="str">
        <f>IFERROR(IF(VLOOKUP($G88,BD_PRINCIPAL[],37,FALSE)=0,"",VLOOKUP($G88,BD_PRINCIPAL[],37,FALSE)),"")</f>
        <v/>
      </c>
      <c r="R88" s="296" t="str">
        <f>IFERROR(IF(VLOOKUP($G88,BD_PRINCIPAL[],38,FALSE)=0,"",VLOOKUP($G88,BD_PRINCIPAL[],38,FALSE)),"")</f>
        <v/>
      </c>
      <c r="S88" s="296" t="str">
        <f>IFERROR(IF(VLOOKUP($G88,BD_PRINCIPAL[],39,FALSE)=0,"",VLOOKUP($G88,BD_PRINCIPAL[],39,FALSE)),"")</f>
        <v/>
      </c>
      <c r="T88" s="296" t="str">
        <f>IFERROR(IF(VLOOKUP($G88,BD_PRINCIPAL[],40,FALSE)=0,"",VLOOKUP($G88,BD_PRINCIPAL[],40,FALSE)),"")</f>
        <v/>
      </c>
      <c r="U88" s="296" t="str">
        <f>IFERROR(IF(VLOOKUP($G88,BD_PRINCIPAL[],41,FALSE)=0,"",VLOOKUP($G88,BD_PRINCIPAL[],41,FALSE)),"")</f>
        <v/>
      </c>
      <c r="V88" s="296" t="str">
        <f>IFERROR(IF(VLOOKUP($G88,BD_PRINCIPAL[],42,FALSE)=0,"",VLOOKUP($G88,BD_PRINCIPAL[],42,FALSE)),"")</f>
        <v/>
      </c>
      <c r="W88" s="296" t="str">
        <f>IFERROR(IF(VLOOKUP($G88,BD_PRINCIPAL[],43,FALSE)=0,"",VLOOKUP($G88,BD_PRINCIPAL[],43,FALSE)),"")</f>
        <v/>
      </c>
      <c r="X88" s="296" t="str">
        <f>IFERROR(IF(VLOOKUP($G88,BD_PRINCIPAL[],44,FALSE)=0,"",VLOOKUP($G88,BD_PRINCIPAL[],44,FALSE)),"")</f>
        <v/>
      </c>
      <c r="Y88" s="296" t="str">
        <f>IFERROR(IF(VLOOKUP($G88,BD_PRINCIPAL[],45,FALSE)=0,"",VLOOKUP($G88,BD_PRINCIPAL[],45,FALSE)),"")</f>
        <v/>
      </c>
      <c r="Z88" s="296" t="str">
        <f>IFERROR(IF(VLOOKUP($G88,BD_PRINCIPAL[],46,FALSE)=0,"",VLOOKUP($G88,BD_PRINCIPAL[],46,FALSE)),"")</f>
        <v/>
      </c>
      <c r="AA88" s="296" t="str">
        <f>IFERROR(IF(VLOOKUP($G88,BD_PRINCIPAL[],47,FALSE)=0,"",VLOOKUP($G88,BD_PRINCIPAL[],47,FALSE)),"")</f>
        <v/>
      </c>
      <c r="AB88" s="296" t="str">
        <f>IFERROR(IF(VLOOKUP($G88,BD_PRINCIPAL[],48,FALSE)=0,"",VLOOKUP($G88,BD_PRINCIPAL[],48,FALSE)),"")</f>
        <v/>
      </c>
      <c r="AC88" s="296" t="str">
        <f>IFERROR(IF(VLOOKUP($G88,BD_PRINCIPAL[],49,FALSE)=0,"",VLOOKUP($G88,BD_PRINCIPAL[],49,FALSE)),"")</f>
        <v/>
      </c>
      <c r="AD88" s="296" t="str">
        <f>IFERROR(IF(VLOOKUP($G88,BD_PRINCIPAL[],50,FALSE)=0,"",VLOOKUP($G88,BD_PRINCIPAL[],50,FALSE)),"")</f>
        <v/>
      </c>
      <c r="AE88" s="296" t="str">
        <f>IFERROR(IF(VLOOKUP($G88,BD_PRINCIPAL[],51,FALSE)=0,"",VLOOKUP($G88,BD_PRINCIPAL[],51,FALSE)),"")</f>
        <v/>
      </c>
      <c r="AF88" s="296" t="str">
        <f>IFERROR(IF(VLOOKUP($G88,BD_PRINCIPAL[],52,FALSE)=0,"",VLOOKUP($G88,BD_PRINCIPAL[],52,FALSE)),"")</f>
        <v/>
      </c>
      <c r="AG88" s="296" t="str">
        <f>IFERROR(IF(VLOOKUP($G88,BD_PRINCIPAL[],53,FALSE)=0,"",VLOOKUP($G88,BD_PRINCIPAL[],53,FALSE)),"")</f>
        <v/>
      </c>
      <c r="AH88" s="296" t="str">
        <f>IFERROR(IF(VLOOKUP($G88,BD_PRINCIPAL[],54,FALSE)=0,"",VLOOKUP($G88,BD_PRINCIPAL[],54,FALSE)),"")</f>
        <v/>
      </c>
      <c r="AI88" s="296" t="str">
        <f>IFERROR(IF(VLOOKUP($G88,BD_PRINCIPAL[],55,FALSE)=0,"",VLOOKUP($G88,BD_PRINCIPAL[],55,FALSE)),"")</f>
        <v/>
      </c>
      <c r="AJ88" s="296" t="str">
        <f>IFERROR(IF(VLOOKUP($G88,BD_PRINCIPAL[],56,FALSE)=0,"",VLOOKUP($G88,BD_PRINCIPAL[],56,FALSE)),"")</f>
        <v/>
      </c>
      <c r="AK88" s="296" t="str">
        <f>IFERROR(IF(VLOOKUP($G88,BD_PRINCIPAL[],57,FALSE)=0,"",VLOOKUP($G88,BD_PRINCIPAL[],57,FALSE)),"")</f>
        <v/>
      </c>
      <c r="AL88" s="296" t="str">
        <f>IFERROR(IF(VLOOKUP($G88,BD_PRINCIPAL[],58,FALSE)=0,"",VLOOKUP($G88,BD_PRINCIPAL[],58,FALSE)),"")</f>
        <v/>
      </c>
    </row>
    <row r="89" spans="2:38" x14ac:dyDescent="0.3">
      <c r="B89" s="289">
        <f t="shared" si="7"/>
        <v>0</v>
      </c>
      <c r="D89" s="296">
        <v>19</v>
      </c>
      <c r="E89" s="296" t="str">
        <f>IFERROR(VLOOKUP(G89,BD_PRINCIPAL[],7,FALSE),"")</f>
        <v/>
      </c>
      <c r="F89" s="297" t="str">
        <f>IFERROR(VLOOKUP(G89,BD_PRINCIPAL[],2,FALSE),"")</f>
        <v/>
      </c>
      <c r="G89" s="288"/>
      <c r="H89" s="296" t="str">
        <f>IFERROR(IF(VLOOKUP($G89,BD_PRINCIPAL[],28,FALSE)=0,"",VLOOKUP($G89,BD_PRINCIPAL[],28,FALSE)),"")</f>
        <v/>
      </c>
      <c r="I89" s="296" t="str">
        <f>IFERROR(IF(VLOOKUP($G89,BD_PRINCIPAL[],29,FALSE)=0,"",VLOOKUP($G89,BD_PRINCIPAL[],29,FALSE)),"")</f>
        <v/>
      </c>
      <c r="J89" s="296" t="str">
        <f>IFERROR(IF(VLOOKUP($G89,BD_PRINCIPAL[],30,FALSE)=0,"",VLOOKUP($G89,BD_PRINCIPAL[],30,FALSE)),"")</f>
        <v/>
      </c>
      <c r="K89" s="296" t="str">
        <f>IFERROR(IF(VLOOKUP($G89,BD_PRINCIPAL[],31,FALSE)=0,"",VLOOKUP($G89,BD_PRINCIPAL[],31,FALSE)),"")</f>
        <v/>
      </c>
      <c r="L89" s="296" t="str">
        <f>IFERROR(IF(VLOOKUP($G89,BD_PRINCIPAL[],32,FALSE)=0,"",VLOOKUP($G89,BD_PRINCIPAL[],32,FALSE)),"")</f>
        <v/>
      </c>
      <c r="M89" s="296" t="str">
        <f>IFERROR(IF(VLOOKUP($G89,BD_PRINCIPAL[],33,FALSE)=0,"",VLOOKUP($G89,BD_PRINCIPAL[],33,FALSE)),"")</f>
        <v/>
      </c>
      <c r="N89" s="296" t="str">
        <f>IFERROR(IF(VLOOKUP($G89,BD_PRINCIPAL[],34,FALSE)=0,"",VLOOKUP($G89,BD_PRINCIPAL[],34,FALSE)),"")</f>
        <v/>
      </c>
      <c r="O89" s="296" t="str">
        <f>IFERROR(IF(VLOOKUP($G89,BD_PRINCIPAL[],35,FALSE)=0,"",VLOOKUP($G89,BD_PRINCIPAL[],35,FALSE)),"")</f>
        <v/>
      </c>
      <c r="P89" s="296" t="str">
        <f>IFERROR(IF(VLOOKUP($G89,BD_PRINCIPAL[],36,FALSE)=0,"",VLOOKUP($G89,BD_PRINCIPAL[],36,FALSE)),"")</f>
        <v/>
      </c>
      <c r="Q89" s="296" t="str">
        <f>IFERROR(IF(VLOOKUP($G89,BD_PRINCIPAL[],37,FALSE)=0,"",VLOOKUP($G89,BD_PRINCIPAL[],37,FALSE)),"")</f>
        <v/>
      </c>
      <c r="R89" s="296" t="str">
        <f>IFERROR(IF(VLOOKUP($G89,BD_PRINCIPAL[],38,FALSE)=0,"",VLOOKUP($G89,BD_PRINCIPAL[],38,FALSE)),"")</f>
        <v/>
      </c>
      <c r="S89" s="296" t="str">
        <f>IFERROR(IF(VLOOKUP($G89,BD_PRINCIPAL[],39,FALSE)=0,"",VLOOKUP($G89,BD_PRINCIPAL[],39,FALSE)),"")</f>
        <v/>
      </c>
      <c r="T89" s="296" t="str">
        <f>IFERROR(IF(VLOOKUP($G89,BD_PRINCIPAL[],40,FALSE)=0,"",VLOOKUP($G89,BD_PRINCIPAL[],40,FALSE)),"")</f>
        <v/>
      </c>
      <c r="U89" s="296" t="str">
        <f>IFERROR(IF(VLOOKUP($G89,BD_PRINCIPAL[],41,FALSE)=0,"",VLOOKUP($G89,BD_PRINCIPAL[],41,FALSE)),"")</f>
        <v/>
      </c>
      <c r="V89" s="296" t="str">
        <f>IFERROR(IF(VLOOKUP($G89,BD_PRINCIPAL[],42,FALSE)=0,"",VLOOKUP($G89,BD_PRINCIPAL[],42,FALSE)),"")</f>
        <v/>
      </c>
      <c r="W89" s="296" t="str">
        <f>IFERROR(IF(VLOOKUP($G89,BD_PRINCIPAL[],43,FALSE)=0,"",VLOOKUP($G89,BD_PRINCIPAL[],43,FALSE)),"")</f>
        <v/>
      </c>
      <c r="X89" s="296" t="str">
        <f>IFERROR(IF(VLOOKUP($G89,BD_PRINCIPAL[],44,FALSE)=0,"",VLOOKUP($G89,BD_PRINCIPAL[],44,FALSE)),"")</f>
        <v/>
      </c>
      <c r="Y89" s="296" t="str">
        <f>IFERROR(IF(VLOOKUP($G89,BD_PRINCIPAL[],45,FALSE)=0,"",VLOOKUP($G89,BD_PRINCIPAL[],45,FALSE)),"")</f>
        <v/>
      </c>
      <c r="Z89" s="296" t="str">
        <f>IFERROR(IF(VLOOKUP($G89,BD_PRINCIPAL[],46,FALSE)=0,"",VLOOKUP($G89,BD_PRINCIPAL[],46,FALSE)),"")</f>
        <v/>
      </c>
      <c r="AA89" s="296" t="str">
        <f>IFERROR(IF(VLOOKUP($G89,BD_PRINCIPAL[],47,FALSE)=0,"",VLOOKUP($G89,BD_PRINCIPAL[],47,FALSE)),"")</f>
        <v/>
      </c>
      <c r="AB89" s="296" t="str">
        <f>IFERROR(IF(VLOOKUP($G89,BD_PRINCIPAL[],48,FALSE)=0,"",VLOOKUP($G89,BD_PRINCIPAL[],48,FALSE)),"")</f>
        <v/>
      </c>
      <c r="AC89" s="296" t="str">
        <f>IFERROR(IF(VLOOKUP($G89,BD_PRINCIPAL[],49,FALSE)=0,"",VLOOKUP($G89,BD_PRINCIPAL[],49,FALSE)),"")</f>
        <v/>
      </c>
      <c r="AD89" s="296" t="str">
        <f>IFERROR(IF(VLOOKUP($G89,BD_PRINCIPAL[],50,FALSE)=0,"",VLOOKUP($G89,BD_PRINCIPAL[],50,FALSE)),"")</f>
        <v/>
      </c>
      <c r="AE89" s="296" t="str">
        <f>IFERROR(IF(VLOOKUP($G89,BD_PRINCIPAL[],51,FALSE)=0,"",VLOOKUP($G89,BD_PRINCIPAL[],51,FALSE)),"")</f>
        <v/>
      </c>
      <c r="AF89" s="296" t="str">
        <f>IFERROR(IF(VLOOKUP($G89,BD_PRINCIPAL[],52,FALSE)=0,"",VLOOKUP($G89,BD_PRINCIPAL[],52,FALSE)),"")</f>
        <v/>
      </c>
      <c r="AG89" s="296" t="str">
        <f>IFERROR(IF(VLOOKUP($G89,BD_PRINCIPAL[],53,FALSE)=0,"",VLOOKUP($G89,BD_PRINCIPAL[],53,FALSE)),"")</f>
        <v/>
      </c>
      <c r="AH89" s="296" t="str">
        <f>IFERROR(IF(VLOOKUP($G89,BD_PRINCIPAL[],54,FALSE)=0,"",VLOOKUP($G89,BD_PRINCIPAL[],54,FALSE)),"")</f>
        <v/>
      </c>
      <c r="AI89" s="296" t="str">
        <f>IFERROR(IF(VLOOKUP($G89,BD_PRINCIPAL[],55,FALSE)=0,"",VLOOKUP($G89,BD_PRINCIPAL[],55,FALSE)),"")</f>
        <v/>
      </c>
      <c r="AJ89" s="296" t="str">
        <f>IFERROR(IF(VLOOKUP($G89,BD_PRINCIPAL[],56,FALSE)=0,"",VLOOKUP($G89,BD_PRINCIPAL[],56,FALSE)),"")</f>
        <v/>
      </c>
      <c r="AK89" s="296" t="str">
        <f>IFERROR(IF(VLOOKUP($G89,BD_PRINCIPAL[],57,FALSE)=0,"",VLOOKUP($G89,BD_PRINCIPAL[],57,FALSE)),"")</f>
        <v/>
      </c>
      <c r="AL89" s="296" t="str">
        <f>IFERROR(IF(VLOOKUP($G89,BD_PRINCIPAL[],58,FALSE)=0,"",VLOOKUP($G89,BD_PRINCIPAL[],58,FALSE)),"")</f>
        <v/>
      </c>
    </row>
    <row r="90" spans="2:38" x14ac:dyDescent="0.3">
      <c r="B90" s="289">
        <f t="shared" si="7"/>
        <v>0</v>
      </c>
      <c r="D90" s="296">
        <v>20</v>
      </c>
      <c r="E90" s="296" t="str">
        <f>IFERROR(VLOOKUP(G90,BD_PRINCIPAL[],7,FALSE),"")</f>
        <v/>
      </c>
      <c r="F90" s="297" t="str">
        <f>IFERROR(VLOOKUP(G90,BD_PRINCIPAL[],2,FALSE),"")</f>
        <v/>
      </c>
      <c r="G90" s="288"/>
      <c r="H90" s="296" t="str">
        <f>IFERROR(IF(VLOOKUP($G90,BD_PRINCIPAL[],28,FALSE)=0,"",VLOOKUP($G90,BD_PRINCIPAL[],28,FALSE)),"")</f>
        <v/>
      </c>
      <c r="I90" s="296" t="str">
        <f>IFERROR(IF(VLOOKUP($G90,BD_PRINCIPAL[],29,FALSE)=0,"",VLOOKUP($G90,BD_PRINCIPAL[],29,FALSE)),"")</f>
        <v/>
      </c>
      <c r="J90" s="296" t="str">
        <f>IFERROR(IF(VLOOKUP($G90,BD_PRINCIPAL[],30,FALSE)=0,"",VLOOKUP($G90,BD_PRINCIPAL[],30,FALSE)),"")</f>
        <v/>
      </c>
      <c r="K90" s="296" t="str">
        <f>IFERROR(IF(VLOOKUP($G90,BD_PRINCIPAL[],31,FALSE)=0,"",VLOOKUP($G90,BD_PRINCIPAL[],31,FALSE)),"")</f>
        <v/>
      </c>
      <c r="L90" s="296" t="str">
        <f>IFERROR(IF(VLOOKUP($G90,BD_PRINCIPAL[],32,FALSE)=0,"",VLOOKUP($G90,BD_PRINCIPAL[],32,FALSE)),"")</f>
        <v/>
      </c>
      <c r="M90" s="296" t="str">
        <f>IFERROR(IF(VLOOKUP($G90,BD_PRINCIPAL[],33,FALSE)=0,"",VLOOKUP($G90,BD_PRINCIPAL[],33,FALSE)),"")</f>
        <v/>
      </c>
      <c r="N90" s="296" t="str">
        <f>IFERROR(IF(VLOOKUP($G90,BD_PRINCIPAL[],34,FALSE)=0,"",VLOOKUP($G90,BD_PRINCIPAL[],34,FALSE)),"")</f>
        <v/>
      </c>
      <c r="O90" s="296" t="str">
        <f>IFERROR(IF(VLOOKUP($G90,BD_PRINCIPAL[],35,FALSE)=0,"",VLOOKUP($G90,BD_PRINCIPAL[],35,FALSE)),"")</f>
        <v/>
      </c>
      <c r="P90" s="296" t="str">
        <f>IFERROR(IF(VLOOKUP($G90,BD_PRINCIPAL[],36,FALSE)=0,"",VLOOKUP($G90,BD_PRINCIPAL[],36,FALSE)),"")</f>
        <v/>
      </c>
      <c r="Q90" s="296" t="str">
        <f>IFERROR(IF(VLOOKUP($G90,BD_PRINCIPAL[],37,FALSE)=0,"",VLOOKUP($G90,BD_PRINCIPAL[],37,FALSE)),"")</f>
        <v/>
      </c>
      <c r="R90" s="296" t="str">
        <f>IFERROR(IF(VLOOKUP($G90,BD_PRINCIPAL[],38,FALSE)=0,"",VLOOKUP($G90,BD_PRINCIPAL[],38,FALSE)),"")</f>
        <v/>
      </c>
      <c r="S90" s="296" t="str">
        <f>IFERROR(IF(VLOOKUP($G90,BD_PRINCIPAL[],39,FALSE)=0,"",VLOOKUP($G90,BD_PRINCIPAL[],39,FALSE)),"")</f>
        <v/>
      </c>
      <c r="T90" s="296" t="str">
        <f>IFERROR(IF(VLOOKUP($G90,BD_PRINCIPAL[],40,FALSE)=0,"",VLOOKUP($G90,BD_PRINCIPAL[],40,FALSE)),"")</f>
        <v/>
      </c>
      <c r="U90" s="296" t="str">
        <f>IFERROR(IF(VLOOKUP($G90,BD_PRINCIPAL[],41,FALSE)=0,"",VLOOKUP($G90,BD_PRINCIPAL[],41,FALSE)),"")</f>
        <v/>
      </c>
      <c r="V90" s="296" t="str">
        <f>IFERROR(IF(VLOOKUP($G90,BD_PRINCIPAL[],42,FALSE)=0,"",VLOOKUP($G90,BD_PRINCIPAL[],42,FALSE)),"")</f>
        <v/>
      </c>
      <c r="W90" s="296" t="str">
        <f>IFERROR(IF(VLOOKUP($G90,BD_PRINCIPAL[],43,FALSE)=0,"",VLOOKUP($G90,BD_PRINCIPAL[],43,FALSE)),"")</f>
        <v/>
      </c>
      <c r="X90" s="296" t="str">
        <f>IFERROR(IF(VLOOKUP($G90,BD_PRINCIPAL[],44,FALSE)=0,"",VLOOKUP($G90,BD_PRINCIPAL[],44,FALSE)),"")</f>
        <v/>
      </c>
      <c r="Y90" s="296" t="str">
        <f>IFERROR(IF(VLOOKUP($G90,BD_PRINCIPAL[],45,FALSE)=0,"",VLOOKUP($G90,BD_PRINCIPAL[],45,FALSE)),"")</f>
        <v/>
      </c>
      <c r="Z90" s="296" t="str">
        <f>IFERROR(IF(VLOOKUP($G90,BD_PRINCIPAL[],46,FALSE)=0,"",VLOOKUP($G90,BD_PRINCIPAL[],46,FALSE)),"")</f>
        <v/>
      </c>
      <c r="AA90" s="296" t="str">
        <f>IFERROR(IF(VLOOKUP($G90,BD_PRINCIPAL[],47,FALSE)=0,"",VLOOKUP($G90,BD_PRINCIPAL[],47,FALSE)),"")</f>
        <v/>
      </c>
      <c r="AB90" s="296" t="str">
        <f>IFERROR(IF(VLOOKUP($G90,BD_PRINCIPAL[],48,FALSE)=0,"",VLOOKUP($G90,BD_PRINCIPAL[],48,FALSE)),"")</f>
        <v/>
      </c>
      <c r="AC90" s="296" t="str">
        <f>IFERROR(IF(VLOOKUP($G90,BD_PRINCIPAL[],49,FALSE)=0,"",VLOOKUP($G90,BD_PRINCIPAL[],49,FALSE)),"")</f>
        <v/>
      </c>
      <c r="AD90" s="296" t="str">
        <f>IFERROR(IF(VLOOKUP($G90,BD_PRINCIPAL[],50,FALSE)=0,"",VLOOKUP($G90,BD_PRINCIPAL[],50,FALSE)),"")</f>
        <v/>
      </c>
      <c r="AE90" s="296" t="str">
        <f>IFERROR(IF(VLOOKUP($G90,BD_PRINCIPAL[],51,FALSE)=0,"",VLOOKUP($G90,BD_PRINCIPAL[],51,FALSE)),"")</f>
        <v/>
      </c>
      <c r="AF90" s="296" t="str">
        <f>IFERROR(IF(VLOOKUP($G90,BD_PRINCIPAL[],52,FALSE)=0,"",VLOOKUP($G90,BD_PRINCIPAL[],52,FALSE)),"")</f>
        <v/>
      </c>
      <c r="AG90" s="296" t="str">
        <f>IFERROR(IF(VLOOKUP($G90,BD_PRINCIPAL[],53,FALSE)=0,"",VLOOKUP($G90,BD_PRINCIPAL[],53,FALSE)),"")</f>
        <v/>
      </c>
      <c r="AH90" s="296" t="str">
        <f>IFERROR(IF(VLOOKUP($G90,BD_PRINCIPAL[],54,FALSE)=0,"",VLOOKUP($G90,BD_PRINCIPAL[],54,FALSE)),"")</f>
        <v/>
      </c>
      <c r="AI90" s="296" t="str">
        <f>IFERROR(IF(VLOOKUP($G90,BD_PRINCIPAL[],55,FALSE)=0,"",VLOOKUP($G90,BD_PRINCIPAL[],55,FALSE)),"")</f>
        <v/>
      </c>
      <c r="AJ90" s="296" t="str">
        <f>IFERROR(IF(VLOOKUP($G90,BD_PRINCIPAL[],56,FALSE)=0,"",VLOOKUP($G90,BD_PRINCIPAL[],56,FALSE)),"")</f>
        <v/>
      </c>
      <c r="AK90" s="296" t="str">
        <f>IFERROR(IF(VLOOKUP($G90,BD_PRINCIPAL[],57,FALSE)=0,"",VLOOKUP($G90,BD_PRINCIPAL[],57,FALSE)),"")</f>
        <v/>
      </c>
      <c r="AL90" s="296" t="str">
        <f>IFERROR(IF(VLOOKUP($G90,BD_PRINCIPAL[],58,FALSE)=0,"",VLOOKUP($G90,BD_PRINCIPAL[],58,FALSE)),"")</f>
        <v/>
      </c>
    </row>
    <row r="91" spans="2:38" x14ac:dyDescent="0.3">
      <c r="B91" s="289">
        <f t="shared" si="7"/>
        <v>0</v>
      </c>
      <c r="D91" s="296">
        <v>21</v>
      </c>
      <c r="E91" s="296" t="str">
        <f>IFERROR(VLOOKUP(G91,BD_PRINCIPAL[],7,FALSE),"")</f>
        <v/>
      </c>
      <c r="F91" s="297" t="str">
        <f>IFERROR(VLOOKUP(G91,BD_PRINCIPAL[],2,FALSE),"")</f>
        <v/>
      </c>
      <c r="G91" s="288"/>
      <c r="H91" s="296" t="str">
        <f>IFERROR(IF(VLOOKUP($G91,BD_PRINCIPAL[],28,FALSE)=0,"",VLOOKUP($G91,BD_PRINCIPAL[],28,FALSE)),"")</f>
        <v/>
      </c>
      <c r="I91" s="296" t="str">
        <f>IFERROR(IF(VLOOKUP($G91,BD_PRINCIPAL[],29,FALSE)=0,"",VLOOKUP($G91,BD_PRINCIPAL[],29,FALSE)),"")</f>
        <v/>
      </c>
      <c r="J91" s="296" t="str">
        <f>IFERROR(IF(VLOOKUP($G91,BD_PRINCIPAL[],30,FALSE)=0,"",VLOOKUP($G91,BD_PRINCIPAL[],30,FALSE)),"")</f>
        <v/>
      </c>
      <c r="K91" s="296" t="str">
        <f>IFERROR(IF(VLOOKUP($G91,BD_PRINCIPAL[],31,FALSE)=0,"",VLOOKUP($G91,BD_PRINCIPAL[],31,FALSE)),"")</f>
        <v/>
      </c>
      <c r="L91" s="296" t="str">
        <f>IFERROR(IF(VLOOKUP($G91,BD_PRINCIPAL[],32,FALSE)=0,"",VLOOKUP($G91,BD_PRINCIPAL[],32,FALSE)),"")</f>
        <v/>
      </c>
      <c r="M91" s="296" t="str">
        <f>IFERROR(IF(VLOOKUP($G91,BD_PRINCIPAL[],33,FALSE)=0,"",VLOOKUP($G91,BD_PRINCIPAL[],33,FALSE)),"")</f>
        <v/>
      </c>
      <c r="N91" s="296" t="str">
        <f>IFERROR(IF(VLOOKUP($G91,BD_PRINCIPAL[],34,FALSE)=0,"",VLOOKUP($G91,BD_PRINCIPAL[],34,FALSE)),"")</f>
        <v/>
      </c>
      <c r="O91" s="296" t="str">
        <f>IFERROR(IF(VLOOKUP($G91,BD_PRINCIPAL[],35,FALSE)=0,"",VLOOKUP($G91,BD_PRINCIPAL[],35,FALSE)),"")</f>
        <v/>
      </c>
      <c r="P91" s="296" t="str">
        <f>IFERROR(IF(VLOOKUP($G91,BD_PRINCIPAL[],36,FALSE)=0,"",VLOOKUP($G91,BD_PRINCIPAL[],36,FALSE)),"")</f>
        <v/>
      </c>
      <c r="Q91" s="296" t="str">
        <f>IFERROR(IF(VLOOKUP($G91,BD_PRINCIPAL[],37,FALSE)=0,"",VLOOKUP($G91,BD_PRINCIPAL[],37,FALSE)),"")</f>
        <v/>
      </c>
      <c r="R91" s="296" t="str">
        <f>IFERROR(IF(VLOOKUP($G91,BD_PRINCIPAL[],38,FALSE)=0,"",VLOOKUP($G91,BD_PRINCIPAL[],38,FALSE)),"")</f>
        <v/>
      </c>
      <c r="S91" s="296" t="str">
        <f>IFERROR(IF(VLOOKUP($G91,BD_PRINCIPAL[],39,FALSE)=0,"",VLOOKUP($G91,BD_PRINCIPAL[],39,FALSE)),"")</f>
        <v/>
      </c>
      <c r="T91" s="296" t="str">
        <f>IFERROR(IF(VLOOKUP($G91,BD_PRINCIPAL[],40,FALSE)=0,"",VLOOKUP($G91,BD_PRINCIPAL[],40,FALSE)),"")</f>
        <v/>
      </c>
      <c r="U91" s="296" t="str">
        <f>IFERROR(IF(VLOOKUP($G91,BD_PRINCIPAL[],41,FALSE)=0,"",VLOOKUP($G91,BD_PRINCIPAL[],41,FALSE)),"")</f>
        <v/>
      </c>
      <c r="V91" s="296" t="str">
        <f>IFERROR(IF(VLOOKUP($G91,BD_PRINCIPAL[],42,FALSE)=0,"",VLOOKUP($G91,BD_PRINCIPAL[],42,FALSE)),"")</f>
        <v/>
      </c>
      <c r="W91" s="296" t="str">
        <f>IFERROR(IF(VLOOKUP($G91,BD_PRINCIPAL[],43,FALSE)=0,"",VLOOKUP($G91,BD_PRINCIPAL[],43,FALSE)),"")</f>
        <v/>
      </c>
      <c r="X91" s="296" t="str">
        <f>IFERROR(IF(VLOOKUP($G91,BD_PRINCIPAL[],44,FALSE)=0,"",VLOOKUP($G91,BD_PRINCIPAL[],44,FALSE)),"")</f>
        <v/>
      </c>
      <c r="Y91" s="296" t="str">
        <f>IFERROR(IF(VLOOKUP($G91,BD_PRINCIPAL[],45,FALSE)=0,"",VLOOKUP($G91,BD_PRINCIPAL[],45,FALSE)),"")</f>
        <v/>
      </c>
      <c r="Z91" s="296" t="str">
        <f>IFERROR(IF(VLOOKUP($G91,BD_PRINCIPAL[],46,FALSE)=0,"",VLOOKUP($G91,BD_PRINCIPAL[],46,FALSE)),"")</f>
        <v/>
      </c>
      <c r="AA91" s="296" t="str">
        <f>IFERROR(IF(VLOOKUP($G91,BD_PRINCIPAL[],47,FALSE)=0,"",VLOOKUP($G91,BD_PRINCIPAL[],47,FALSE)),"")</f>
        <v/>
      </c>
      <c r="AB91" s="296" t="str">
        <f>IFERROR(IF(VLOOKUP($G91,BD_PRINCIPAL[],48,FALSE)=0,"",VLOOKUP($G91,BD_PRINCIPAL[],48,FALSE)),"")</f>
        <v/>
      </c>
      <c r="AC91" s="296" t="str">
        <f>IFERROR(IF(VLOOKUP($G91,BD_PRINCIPAL[],49,FALSE)=0,"",VLOOKUP($G91,BD_PRINCIPAL[],49,FALSE)),"")</f>
        <v/>
      </c>
      <c r="AD91" s="296" t="str">
        <f>IFERROR(IF(VLOOKUP($G91,BD_PRINCIPAL[],50,FALSE)=0,"",VLOOKUP($G91,BD_PRINCIPAL[],50,FALSE)),"")</f>
        <v/>
      </c>
      <c r="AE91" s="296" t="str">
        <f>IFERROR(IF(VLOOKUP($G91,BD_PRINCIPAL[],51,FALSE)=0,"",VLOOKUP($G91,BD_PRINCIPAL[],51,FALSE)),"")</f>
        <v/>
      </c>
      <c r="AF91" s="296" t="str">
        <f>IFERROR(IF(VLOOKUP($G91,BD_PRINCIPAL[],52,FALSE)=0,"",VLOOKUP($G91,BD_PRINCIPAL[],52,FALSE)),"")</f>
        <v/>
      </c>
      <c r="AG91" s="296" t="str">
        <f>IFERROR(IF(VLOOKUP($G91,BD_PRINCIPAL[],53,FALSE)=0,"",VLOOKUP($G91,BD_PRINCIPAL[],53,FALSE)),"")</f>
        <v/>
      </c>
      <c r="AH91" s="296" t="str">
        <f>IFERROR(IF(VLOOKUP($G91,BD_PRINCIPAL[],54,FALSE)=0,"",VLOOKUP($G91,BD_PRINCIPAL[],54,FALSE)),"")</f>
        <v/>
      </c>
      <c r="AI91" s="296" t="str">
        <f>IFERROR(IF(VLOOKUP($G91,BD_PRINCIPAL[],55,FALSE)=0,"",VLOOKUP($G91,BD_PRINCIPAL[],55,FALSE)),"")</f>
        <v/>
      </c>
      <c r="AJ91" s="296" t="str">
        <f>IFERROR(IF(VLOOKUP($G91,BD_PRINCIPAL[],56,FALSE)=0,"",VLOOKUP($G91,BD_PRINCIPAL[],56,FALSE)),"")</f>
        <v/>
      </c>
      <c r="AK91" s="296" t="str">
        <f>IFERROR(IF(VLOOKUP($G91,BD_PRINCIPAL[],57,FALSE)=0,"",VLOOKUP($G91,BD_PRINCIPAL[],57,FALSE)),"")</f>
        <v/>
      </c>
      <c r="AL91" s="296" t="str">
        <f>IFERROR(IF(VLOOKUP($G91,BD_PRINCIPAL[],58,FALSE)=0,"",VLOOKUP($G91,BD_PRINCIPAL[],58,FALSE)),"")</f>
        <v/>
      </c>
    </row>
    <row r="92" spans="2:38" x14ac:dyDescent="0.3">
      <c r="B92" s="289">
        <f t="shared" si="7"/>
        <v>0</v>
      </c>
      <c r="D92" s="296">
        <v>22</v>
      </c>
      <c r="E92" s="296" t="str">
        <f>IFERROR(VLOOKUP(G92,BD_PRINCIPAL[],7,FALSE),"")</f>
        <v/>
      </c>
      <c r="F92" s="297" t="str">
        <f>IFERROR(VLOOKUP(G92,BD_PRINCIPAL[],2,FALSE),"")</f>
        <v/>
      </c>
      <c r="G92" s="288"/>
      <c r="H92" s="296" t="str">
        <f>IFERROR(IF(VLOOKUP($G92,BD_PRINCIPAL[],28,FALSE)=0,"",VLOOKUP($G92,BD_PRINCIPAL[],28,FALSE)),"")</f>
        <v/>
      </c>
      <c r="I92" s="296" t="str">
        <f>IFERROR(IF(VLOOKUP($G92,BD_PRINCIPAL[],29,FALSE)=0,"",VLOOKUP($G92,BD_PRINCIPAL[],29,FALSE)),"")</f>
        <v/>
      </c>
      <c r="J92" s="296" t="str">
        <f>IFERROR(IF(VLOOKUP($G92,BD_PRINCIPAL[],30,FALSE)=0,"",VLOOKUP($G92,BD_PRINCIPAL[],30,FALSE)),"")</f>
        <v/>
      </c>
      <c r="K92" s="296" t="str">
        <f>IFERROR(IF(VLOOKUP($G92,BD_PRINCIPAL[],31,FALSE)=0,"",VLOOKUP($G92,BD_PRINCIPAL[],31,FALSE)),"")</f>
        <v/>
      </c>
      <c r="L92" s="296" t="str">
        <f>IFERROR(IF(VLOOKUP($G92,BD_PRINCIPAL[],32,FALSE)=0,"",VLOOKUP($G92,BD_PRINCIPAL[],32,FALSE)),"")</f>
        <v/>
      </c>
      <c r="M92" s="296" t="str">
        <f>IFERROR(IF(VLOOKUP($G92,BD_PRINCIPAL[],33,FALSE)=0,"",VLOOKUP($G92,BD_PRINCIPAL[],33,FALSE)),"")</f>
        <v/>
      </c>
      <c r="N92" s="296" t="str">
        <f>IFERROR(IF(VLOOKUP($G92,BD_PRINCIPAL[],34,FALSE)=0,"",VLOOKUP($G92,BD_PRINCIPAL[],34,FALSE)),"")</f>
        <v/>
      </c>
      <c r="O92" s="296" t="str">
        <f>IFERROR(IF(VLOOKUP($G92,BD_PRINCIPAL[],35,FALSE)=0,"",VLOOKUP($G92,BD_PRINCIPAL[],35,FALSE)),"")</f>
        <v/>
      </c>
      <c r="P92" s="296" t="str">
        <f>IFERROR(IF(VLOOKUP($G92,BD_PRINCIPAL[],36,FALSE)=0,"",VLOOKUP($G92,BD_PRINCIPAL[],36,FALSE)),"")</f>
        <v/>
      </c>
      <c r="Q92" s="296" t="str">
        <f>IFERROR(IF(VLOOKUP($G92,BD_PRINCIPAL[],37,FALSE)=0,"",VLOOKUP($G92,BD_PRINCIPAL[],37,FALSE)),"")</f>
        <v/>
      </c>
      <c r="R92" s="296" t="str">
        <f>IFERROR(IF(VLOOKUP($G92,BD_PRINCIPAL[],38,FALSE)=0,"",VLOOKUP($G92,BD_PRINCIPAL[],38,FALSE)),"")</f>
        <v/>
      </c>
      <c r="S92" s="296" t="str">
        <f>IFERROR(IF(VLOOKUP($G92,BD_PRINCIPAL[],39,FALSE)=0,"",VLOOKUP($G92,BD_PRINCIPAL[],39,FALSE)),"")</f>
        <v/>
      </c>
      <c r="T92" s="296" t="str">
        <f>IFERROR(IF(VLOOKUP($G92,BD_PRINCIPAL[],40,FALSE)=0,"",VLOOKUP($G92,BD_PRINCIPAL[],40,FALSE)),"")</f>
        <v/>
      </c>
      <c r="U92" s="296" t="str">
        <f>IFERROR(IF(VLOOKUP($G92,BD_PRINCIPAL[],41,FALSE)=0,"",VLOOKUP($G92,BD_PRINCIPAL[],41,FALSE)),"")</f>
        <v/>
      </c>
      <c r="V92" s="296" t="str">
        <f>IFERROR(IF(VLOOKUP($G92,BD_PRINCIPAL[],42,FALSE)=0,"",VLOOKUP($G92,BD_PRINCIPAL[],42,FALSE)),"")</f>
        <v/>
      </c>
      <c r="W92" s="296" t="str">
        <f>IFERROR(IF(VLOOKUP($G92,BD_PRINCIPAL[],43,FALSE)=0,"",VLOOKUP($G92,BD_PRINCIPAL[],43,FALSE)),"")</f>
        <v/>
      </c>
      <c r="X92" s="296" t="str">
        <f>IFERROR(IF(VLOOKUP($G92,BD_PRINCIPAL[],44,FALSE)=0,"",VLOOKUP($G92,BD_PRINCIPAL[],44,FALSE)),"")</f>
        <v/>
      </c>
      <c r="Y92" s="296" t="str">
        <f>IFERROR(IF(VLOOKUP($G92,BD_PRINCIPAL[],45,FALSE)=0,"",VLOOKUP($G92,BD_PRINCIPAL[],45,FALSE)),"")</f>
        <v/>
      </c>
      <c r="Z92" s="296" t="str">
        <f>IFERROR(IF(VLOOKUP($G92,BD_PRINCIPAL[],46,FALSE)=0,"",VLOOKUP($G92,BD_PRINCIPAL[],46,FALSE)),"")</f>
        <v/>
      </c>
      <c r="AA92" s="296" t="str">
        <f>IFERROR(IF(VLOOKUP($G92,BD_PRINCIPAL[],47,FALSE)=0,"",VLOOKUP($G92,BD_PRINCIPAL[],47,FALSE)),"")</f>
        <v/>
      </c>
      <c r="AB92" s="296" t="str">
        <f>IFERROR(IF(VLOOKUP($G92,BD_PRINCIPAL[],48,FALSE)=0,"",VLOOKUP($G92,BD_PRINCIPAL[],48,FALSE)),"")</f>
        <v/>
      </c>
      <c r="AC92" s="296" t="str">
        <f>IFERROR(IF(VLOOKUP($G92,BD_PRINCIPAL[],49,FALSE)=0,"",VLOOKUP($G92,BD_PRINCIPAL[],49,FALSE)),"")</f>
        <v/>
      </c>
      <c r="AD92" s="296" t="str">
        <f>IFERROR(IF(VLOOKUP($G92,BD_PRINCIPAL[],50,FALSE)=0,"",VLOOKUP($G92,BD_PRINCIPAL[],50,FALSE)),"")</f>
        <v/>
      </c>
      <c r="AE92" s="296" t="str">
        <f>IFERROR(IF(VLOOKUP($G92,BD_PRINCIPAL[],51,FALSE)=0,"",VLOOKUP($G92,BD_PRINCIPAL[],51,FALSE)),"")</f>
        <v/>
      </c>
      <c r="AF92" s="296" t="str">
        <f>IFERROR(IF(VLOOKUP($G92,BD_PRINCIPAL[],52,FALSE)=0,"",VLOOKUP($G92,BD_PRINCIPAL[],52,FALSE)),"")</f>
        <v/>
      </c>
      <c r="AG92" s="296" t="str">
        <f>IFERROR(IF(VLOOKUP($G92,BD_PRINCIPAL[],53,FALSE)=0,"",VLOOKUP($G92,BD_PRINCIPAL[],53,FALSE)),"")</f>
        <v/>
      </c>
      <c r="AH92" s="296" t="str">
        <f>IFERROR(IF(VLOOKUP($G92,BD_PRINCIPAL[],54,FALSE)=0,"",VLOOKUP($G92,BD_PRINCIPAL[],54,FALSE)),"")</f>
        <v/>
      </c>
      <c r="AI92" s="296" t="str">
        <f>IFERROR(IF(VLOOKUP($G92,BD_PRINCIPAL[],55,FALSE)=0,"",VLOOKUP($G92,BD_PRINCIPAL[],55,FALSE)),"")</f>
        <v/>
      </c>
      <c r="AJ92" s="296" t="str">
        <f>IFERROR(IF(VLOOKUP($G92,BD_PRINCIPAL[],56,FALSE)=0,"",VLOOKUP($G92,BD_PRINCIPAL[],56,FALSE)),"")</f>
        <v/>
      </c>
      <c r="AK92" s="296" t="str">
        <f>IFERROR(IF(VLOOKUP($G92,BD_PRINCIPAL[],57,FALSE)=0,"",VLOOKUP($G92,BD_PRINCIPAL[],57,FALSE)),"")</f>
        <v/>
      </c>
      <c r="AL92" s="296" t="str">
        <f>IFERROR(IF(VLOOKUP($G92,BD_PRINCIPAL[],58,FALSE)=0,"",VLOOKUP($G92,BD_PRINCIPAL[],58,FALSE)),"")</f>
        <v/>
      </c>
    </row>
    <row r="93" spans="2:38" x14ac:dyDescent="0.3">
      <c r="B93" s="289">
        <f t="shared" si="7"/>
        <v>0</v>
      </c>
      <c r="D93" s="296">
        <v>23</v>
      </c>
      <c r="E93" s="296" t="str">
        <f>IFERROR(VLOOKUP(G93,BD_PRINCIPAL[],7,FALSE),"")</f>
        <v/>
      </c>
      <c r="F93" s="297" t="str">
        <f>IFERROR(VLOOKUP(G93,BD_PRINCIPAL[],2,FALSE),"")</f>
        <v/>
      </c>
      <c r="G93" s="288"/>
      <c r="H93" s="296" t="str">
        <f>IFERROR(IF(VLOOKUP($G93,BD_PRINCIPAL[],28,FALSE)=0,"",VLOOKUP($G93,BD_PRINCIPAL[],28,FALSE)),"")</f>
        <v/>
      </c>
      <c r="I93" s="296" t="str">
        <f>IFERROR(IF(VLOOKUP($G93,BD_PRINCIPAL[],29,FALSE)=0,"",VLOOKUP($G93,BD_PRINCIPAL[],29,FALSE)),"")</f>
        <v/>
      </c>
      <c r="J93" s="296" t="str">
        <f>IFERROR(IF(VLOOKUP($G93,BD_PRINCIPAL[],30,FALSE)=0,"",VLOOKUP($G93,BD_PRINCIPAL[],30,FALSE)),"")</f>
        <v/>
      </c>
      <c r="K93" s="296" t="str">
        <f>IFERROR(IF(VLOOKUP($G93,BD_PRINCIPAL[],31,FALSE)=0,"",VLOOKUP($G93,BD_PRINCIPAL[],31,FALSE)),"")</f>
        <v/>
      </c>
      <c r="L93" s="296" t="str">
        <f>IFERROR(IF(VLOOKUP($G93,BD_PRINCIPAL[],32,FALSE)=0,"",VLOOKUP($G93,BD_PRINCIPAL[],32,FALSE)),"")</f>
        <v/>
      </c>
      <c r="M93" s="296" t="str">
        <f>IFERROR(IF(VLOOKUP($G93,BD_PRINCIPAL[],33,FALSE)=0,"",VLOOKUP($G93,BD_PRINCIPAL[],33,FALSE)),"")</f>
        <v/>
      </c>
      <c r="N93" s="296" t="str">
        <f>IFERROR(IF(VLOOKUP($G93,BD_PRINCIPAL[],34,FALSE)=0,"",VLOOKUP($G93,BD_PRINCIPAL[],34,FALSE)),"")</f>
        <v/>
      </c>
      <c r="O93" s="296" t="str">
        <f>IFERROR(IF(VLOOKUP($G93,BD_PRINCIPAL[],35,FALSE)=0,"",VLOOKUP($G93,BD_PRINCIPAL[],35,FALSE)),"")</f>
        <v/>
      </c>
      <c r="P93" s="296" t="str">
        <f>IFERROR(IF(VLOOKUP($G93,BD_PRINCIPAL[],36,FALSE)=0,"",VLOOKUP($G93,BD_PRINCIPAL[],36,FALSE)),"")</f>
        <v/>
      </c>
      <c r="Q93" s="296" t="str">
        <f>IFERROR(IF(VLOOKUP($G93,BD_PRINCIPAL[],37,FALSE)=0,"",VLOOKUP($G93,BD_PRINCIPAL[],37,FALSE)),"")</f>
        <v/>
      </c>
      <c r="R93" s="296" t="str">
        <f>IFERROR(IF(VLOOKUP($G93,BD_PRINCIPAL[],38,FALSE)=0,"",VLOOKUP($G93,BD_PRINCIPAL[],38,FALSE)),"")</f>
        <v/>
      </c>
      <c r="S93" s="296" t="str">
        <f>IFERROR(IF(VLOOKUP($G93,BD_PRINCIPAL[],39,FALSE)=0,"",VLOOKUP($G93,BD_PRINCIPAL[],39,FALSE)),"")</f>
        <v/>
      </c>
      <c r="T93" s="296" t="str">
        <f>IFERROR(IF(VLOOKUP($G93,BD_PRINCIPAL[],40,FALSE)=0,"",VLOOKUP($G93,BD_PRINCIPAL[],40,FALSE)),"")</f>
        <v/>
      </c>
      <c r="U93" s="296" t="str">
        <f>IFERROR(IF(VLOOKUP($G93,BD_PRINCIPAL[],41,FALSE)=0,"",VLOOKUP($G93,BD_PRINCIPAL[],41,FALSE)),"")</f>
        <v/>
      </c>
      <c r="V93" s="296" t="str">
        <f>IFERROR(IF(VLOOKUP($G93,BD_PRINCIPAL[],42,FALSE)=0,"",VLOOKUP($G93,BD_PRINCIPAL[],42,FALSE)),"")</f>
        <v/>
      </c>
      <c r="W93" s="296" t="str">
        <f>IFERROR(IF(VLOOKUP($G93,BD_PRINCIPAL[],43,FALSE)=0,"",VLOOKUP($G93,BD_PRINCIPAL[],43,FALSE)),"")</f>
        <v/>
      </c>
      <c r="X93" s="296" t="str">
        <f>IFERROR(IF(VLOOKUP($G93,BD_PRINCIPAL[],44,FALSE)=0,"",VLOOKUP($G93,BD_PRINCIPAL[],44,FALSE)),"")</f>
        <v/>
      </c>
      <c r="Y93" s="296" t="str">
        <f>IFERROR(IF(VLOOKUP($G93,BD_PRINCIPAL[],45,FALSE)=0,"",VLOOKUP($G93,BD_PRINCIPAL[],45,FALSE)),"")</f>
        <v/>
      </c>
      <c r="Z93" s="296" t="str">
        <f>IFERROR(IF(VLOOKUP($G93,BD_PRINCIPAL[],46,FALSE)=0,"",VLOOKUP($G93,BD_PRINCIPAL[],46,FALSE)),"")</f>
        <v/>
      </c>
      <c r="AA93" s="296" t="str">
        <f>IFERROR(IF(VLOOKUP($G93,BD_PRINCIPAL[],47,FALSE)=0,"",VLOOKUP($G93,BD_PRINCIPAL[],47,FALSE)),"")</f>
        <v/>
      </c>
      <c r="AB93" s="296" t="str">
        <f>IFERROR(IF(VLOOKUP($G93,BD_PRINCIPAL[],48,FALSE)=0,"",VLOOKUP($G93,BD_PRINCIPAL[],48,FALSE)),"")</f>
        <v/>
      </c>
      <c r="AC93" s="296" t="str">
        <f>IFERROR(IF(VLOOKUP($G93,BD_PRINCIPAL[],49,FALSE)=0,"",VLOOKUP($G93,BD_PRINCIPAL[],49,FALSE)),"")</f>
        <v/>
      </c>
      <c r="AD93" s="296" t="str">
        <f>IFERROR(IF(VLOOKUP($G93,BD_PRINCIPAL[],50,FALSE)=0,"",VLOOKUP($G93,BD_PRINCIPAL[],50,FALSE)),"")</f>
        <v/>
      </c>
      <c r="AE93" s="296" t="str">
        <f>IFERROR(IF(VLOOKUP($G93,BD_PRINCIPAL[],51,FALSE)=0,"",VLOOKUP($G93,BD_PRINCIPAL[],51,FALSE)),"")</f>
        <v/>
      </c>
      <c r="AF93" s="296" t="str">
        <f>IFERROR(IF(VLOOKUP($G93,BD_PRINCIPAL[],52,FALSE)=0,"",VLOOKUP($G93,BD_PRINCIPAL[],52,FALSE)),"")</f>
        <v/>
      </c>
      <c r="AG93" s="296" t="str">
        <f>IFERROR(IF(VLOOKUP($G93,BD_PRINCIPAL[],53,FALSE)=0,"",VLOOKUP($G93,BD_PRINCIPAL[],53,FALSE)),"")</f>
        <v/>
      </c>
      <c r="AH93" s="296" t="str">
        <f>IFERROR(IF(VLOOKUP($G93,BD_PRINCIPAL[],54,FALSE)=0,"",VLOOKUP($G93,BD_PRINCIPAL[],54,FALSE)),"")</f>
        <v/>
      </c>
      <c r="AI93" s="296" t="str">
        <f>IFERROR(IF(VLOOKUP($G93,BD_PRINCIPAL[],55,FALSE)=0,"",VLOOKUP($G93,BD_PRINCIPAL[],55,FALSE)),"")</f>
        <v/>
      </c>
      <c r="AJ93" s="296" t="str">
        <f>IFERROR(IF(VLOOKUP($G93,BD_PRINCIPAL[],56,FALSE)=0,"",VLOOKUP($G93,BD_PRINCIPAL[],56,FALSE)),"")</f>
        <v/>
      </c>
      <c r="AK93" s="296" t="str">
        <f>IFERROR(IF(VLOOKUP($G93,BD_PRINCIPAL[],57,FALSE)=0,"",VLOOKUP($G93,BD_PRINCIPAL[],57,FALSE)),"")</f>
        <v/>
      </c>
      <c r="AL93" s="296" t="str">
        <f>IFERROR(IF(VLOOKUP($G93,BD_PRINCIPAL[],58,FALSE)=0,"",VLOOKUP($G93,BD_PRINCIPAL[],58,FALSE)),"")</f>
        <v/>
      </c>
    </row>
    <row r="94" spans="2:38" x14ac:dyDescent="0.3">
      <c r="B94" s="289">
        <f t="shared" si="7"/>
        <v>0</v>
      </c>
      <c r="D94" s="296">
        <v>24</v>
      </c>
      <c r="E94" s="296" t="str">
        <f>IFERROR(VLOOKUP(G94,BD_PRINCIPAL[],7,FALSE),"")</f>
        <v/>
      </c>
      <c r="F94" s="297" t="str">
        <f>IFERROR(VLOOKUP(G94,BD_PRINCIPAL[],2,FALSE),"")</f>
        <v/>
      </c>
      <c r="G94" s="288"/>
      <c r="H94" s="296" t="str">
        <f>IFERROR(IF(VLOOKUP($G94,BD_PRINCIPAL[],28,FALSE)=0,"",VLOOKUP($G94,BD_PRINCIPAL[],28,FALSE)),"")</f>
        <v/>
      </c>
      <c r="I94" s="296" t="str">
        <f>IFERROR(IF(VLOOKUP($G94,BD_PRINCIPAL[],29,FALSE)=0,"",VLOOKUP($G94,BD_PRINCIPAL[],29,FALSE)),"")</f>
        <v/>
      </c>
      <c r="J94" s="296" t="str">
        <f>IFERROR(IF(VLOOKUP($G94,BD_PRINCIPAL[],30,FALSE)=0,"",VLOOKUP($G94,BD_PRINCIPAL[],30,FALSE)),"")</f>
        <v/>
      </c>
      <c r="K94" s="296" t="str">
        <f>IFERROR(IF(VLOOKUP($G94,BD_PRINCIPAL[],31,FALSE)=0,"",VLOOKUP($G94,BD_PRINCIPAL[],31,FALSE)),"")</f>
        <v/>
      </c>
      <c r="L94" s="296" t="str">
        <f>IFERROR(IF(VLOOKUP($G94,BD_PRINCIPAL[],32,FALSE)=0,"",VLOOKUP($G94,BD_PRINCIPAL[],32,FALSE)),"")</f>
        <v/>
      </c>
      <c r="M94" s="296" t="str">
        <f>IFERROR(IF(VLOOKUP($G94,BD_PRINCIPAL[],33,FALSE)=0,"",VLOOKUP($G94,BD_PRINCIPAL[],33,FALSE)),"")</f>
        <v/>
      </c>
      <c r="N94" s="296" t="str">
        <f>IFERROR(IF(VLOOKUP($G94,BD_PRINCIPAL[],34,FALSE)=0,"",VLOOKUP($G94,BD_PRINCIPAL[],34,FALSE)),"")</f>
        <v/>
      </c>
      <c r="O94" s="296" t="str">
        <f>IFERROR(IF(VLOOKUP($G94,BD_PRINCIPAL[],35,FALSE)=0,"",VLOOKUP($G94,BD_PRINCIPAL[],35,FALSE)),"")</f>
        <v/>
      </c>
      <c r="P94" s="296" t="str">
        <f>IFERROR(IF(VLOOKUP($G94,BD_PRINCIPAL[],36,FALSE)=0,"",VLOOKUP($G94,BD_PRINCIPAL[],36,FALSE)),"")</f>
        <v/>
      </c>
      <c r="Q94" s="296" t="str">
        <f>IFERROR(IF(VLOOKUP($G94,BD_PRINCIPAL[],37,FALSE)=0,"",VLOOKUP($G94,BD_PRINCIPAL[],37,FALSE)),"")</f>
        <v/>
      </c>
      <c r="R94" s="296" t="str">
        <f>IFERROR(IF(VLOOKUP($G94,BD_PRINCIPAL[],38,FALSE)=0,"",VLOOKUP($G94,BD_PRINCIPAL[],38,FALSE)),"")</f>
        <v/>
      </c>
      <c r="S94" s="296" t="str">
        <f>IFERROR(IF(VLOOKUP($G94,BD_PRINCIPAL[],39,FALSE)=0,"",VLOOKUP($G94,BD_PRINCIPAL[],39,FALSE)),"")</f>
        <v/>
      </c>
      <c r="T94" s="296" t="str">
        <f>IFERROR(IF(VLOOKUP($G94,BD_PRINCIPAL[],40,FALSE)=0,"",VLOOKUP($G94,BD_PRINCIPAL[],40,FALSE)),"")</f>
        <v/>
      </c>
      <c r="U94" s="296" t="str">
        <f>IFERROR(IF(VLOOKUP($G94,BD_PRINCIPAL[],41,FALSE)=0,"",VLOOKUP($G94,BD_PRINCIPAL[],41,FALSE)),"")</f>
        <v/>
      </c>
      <c r="V94" s="296" t="str">
        <f>IFERROR(IF(VLOOKUP($G94,BD_PRINCIPAL[],42,FALSE)=0,"",VLOOKUP($G94,BD_PRINCIPAL[],42,FALSE)),"")</f>
        <v/>
      </c>
      <c r="W94" s="296" t="str">
        <f>IFERROR(IF(VLOOKUP($G94,BD_PRINCIPAL[],43,FALSE)=0,"",VLOOKUP($G94,BD_PRINCIPAL[],43,FALSE)),"")</f>
        <v/>
      </c>
      <c r="X94" s="296" t="str">
        <f>IFERROR(IF(VLOOKUP($G94,BD_PRINCIPAL[],44,FALSE)=0,"",VLOOKUP($G94,BD_PRINCIPAL[],44,FALSE)),"")</f>
        <v/>
      </c>
      <c r="Y94" s="296" t="str">
        <f>IFERROR(IF(VLOOKUP($G94,BD_PRINCIPAL[],45,FALSE)=0,"",VLOOKUP($G94,BD_PRINCIPAL[],45,FALSE)),"")</f>
        <v/>
      </c>
      <c r="Z94" s="296" t="str">
        <f>IFERROR(IF(VLOOKUP($G94,BD_PRINCIPAL[],46,FALSE)=0,"",VLOOKUP($G94,BD_PRINCIPAL[],46,FALSE)),"")</f>
        <v/>
      </c>
      <c r="AA94" s="296" t="str">
        <f>IFERROR(IF(VLOOKUP($G94,BD_PRINCIPAL[],47,FALSE)=0,"",VLOOKUP($G94,BD_PRINCIPAL[],47,FALSE)),"")</f>
        <v/>
      </c>
      <c r="AB94" s="296" t="str">
        <f>IFERROR(IF(VLOOKUP($G94,BD_PRINCIPAL[],48,FALSE)=0,"",VLOOKUP($G94,BD_PRINCIPAL[],48,FALSE)),"")</f>
        <v/>
      </c>
      <c r="AC94" s="296" t="str">
        <f>IFERROR(IF(VLOOKUP($G94,BD_PRINCIPAL[],49,FALSE)=0,"",VLOOKUP($G94,BD_PRINCIPAL[],49,FALSE)),"")</f>
        <v/>
      </c>
      <c r="AD94" s="296" t="str">
        <f>IFERROR(IF(VLOOKUP($G94,BD_PRINCIPAL[],50,FALSE)=0,"",VLOOKUP($G94,BD_PRINCIPAL[],50,FALSE)),"")</f>
        <v/>
      </c>
      <c r="AE94" s="296" t="str">
        <f>IFERROR(IF(VLOOKUP($G94,BD_PRINCIPAL[],51,FALSE)=0,"",VLOOKUP($G94,BD_PRINCIPAL[],51,FALSE)),"")</f>
        <v/>
      </c>
      <c r="AF94" s="296" t="str">
        <f>IFERROR(IF(VLOOKUP($G94,BD_PRINCIPAL[],52,FALSE)=0,"",VLOOKUP($G94,BD_PRINCIPAL[],52,FALSE)),"")</f>
        <v/>
      </c>
      <c r="AG94" s="296" t="str">
        <f>IFERROR(IF(VLOOKUP($G94,BD_PRINCIPAL[],53,FALSE)=0,"",VLOOKUP($G94,BD_PRINCIPAL[],53,FALSE)),"")</f>
        <v/>
      </c>
      <c r="AH94" s="296" t="str">
        <f>IFERROR(IF(VLOOKUP($G94,BD_PRINCIPAL[],54,FALSE)=0,"",VLOOKUP($G94,BD_PRINCIPAL[],54,FALSE)),"")</f>
        <v/>
      </c>
      <c r="AI94" s="296" t="str">
        <f>IFERROR(IF(VLOOKUP($G94,BD_PRINCIPAL[],55,FALSE)=0,"",VLOOKUP($G94,BD_PRINCIPAL[],55,FALSE)),"")</f>
        <v/>
      </c>
      <c r="AJ94" s="296" t="str">
        <f>IFERROR(IF(VLOOKUP($G94,BD_PRINCIPAL[],56,FALSE)=0,"",VLOOKUP($G94,BD_PRINCIPAL[],56,FALSE)),"")</f>
        <v/>
      </c>
      <c r="AK94" s="296" t="str">
        <f>IFERROR(IF(VLOOKUP($G94,BD_PRINCIPAL[],57,FALSE)=0,"",VLOOKUP($G94,BD_PRINCIPAL[],57,FALSE)),"")</f>
        <v/>
      </c>
      <c r="AL94" s="296" t="str">
        <f>IFERROR(IF(VLOOKUP($G94,BD_PRINCIPAL[],58,FALSE)=0,"",VLOOKUP($G94,BD_PRINCIPAL[],58,FALSE)),"")</f>
        <v/>
      </c>
    </row>
    <row r="95" spans="2:38" x14ac:dyDescent="0.3">
      <c r="B95" s="289">
        <f t="shared" si="7"/>
        <v>0</v>
      </c>
      <c r="D95" s="296">
        <v>25</v>
      </c>
      <c r="E95" s="296" t="str">
        <f>IFERROR(VLOOKUP(G95,BD_PRINCIPAL[],7,FALSE),"")</f>
        <v/>
      </c>
      <c r="F95" s="297" t="str">
        <f>IFERROR(VLOOKUP(G95,BD_PRINCIPAL[],2,FALSE),"")</f>
        <v/>
      </c>
      <c r="G95" s="288"/>
      <c r="H95" s="296" t="str">
        <f>IFERROR(IF(VLOOKUP($G95,BD_PRINCIPAL[],28,FALSE)=0,"",VLOOKUP($G95,BD_PRINCIPAL[],28,FALSE)),"")</f>
        <v/>
      </c>
      <c r="I95" s="296" t="str">
        <f>IFERROR(IF(VLOOKUP($G95,BD_PRINCIPAL[],29,FALSE)=0,"",VLOOKUP($G95,BD_PRINCIPAL[],29,FALSE)),"")</f>
        <v/>
      </c>
      <c r="J95" s="296" t="str">
        <f>IFERROR(IF(VLOOKUP($G95,BD_PRINCIPAL[],30,FALSE)=0,"",VLOOKUP($G95,BD_PRINCIPAL[],30,FALSE)),"")</f>
        <v/>
      </c>
      <c r="K95" s="296" t="str">
        <f>IFERROR(IF(VLOOKUP($G95,BD_PRINCIPAL[],31,FALSE)=0,"",VLOOKUP($G95,BD_PRINCIPAL[],31,FALSE)),"")</f>
        <v/>
      </c>
      <c r="L95" s="296" t="str">
        <f>IFERROR(IF(VLOOKUP($G95,BD_PRINCIPAL[],32,FALSE)=0,"",VLOOKUP($G95,BD_PRINCIPAL[],32,FALSE)),"")</f>
        <v/>
      </c>
      <c r="M95" s="296" t="str">
        <f>IFERROR(IF(VLOOKUP($G95,BD_PRINCIPAL[],33,FALSE)=0,"",VLOOKUP($G95,BD_PRINCIPAL[],33,FALSE)),"")</f>
        <v/>
      </c>
      <c r="N95" s="296" t="str">
        <f>IFERROR(IF(VLOOKUP($G95,BD_PRINCIPAL[],34,FALSE)=0,"",VLOOKUP($G95,BD_PRINCIPAL[],34,FALSE)),"")</f>
        <v/>
      </c>
      <c r="O95" s="296" t="str">
        <f>IFERROR(IF(VLOOKUP($G95,BD_PRINCIPAL[],35,FALSE)=0,"",VLOOKUP($G95,BD_PRINCIPAL[],35,FALSE)),"")</f>
        <v/>
      </c>
      <c r="P95" s="296" t="str">
        <f>IFERROR(IF(VLOOKUP($G95,BD_PRINCIPAL[],36,FALSE)=0,"",VLOOKUP($G95,BD_PRINCIPAL[],36,FALSE)),"")</f>
        <v/>
      </c>
      <c r="Q95" s="296" t="str">
        <f>IFERROR(IF(VLOOKUP($G95,BD_PRINCIPAL[],37,FALSE)=0,"",VLOOKUP($G95,BD_PRINCIPAL[],37,FALSE)),"")</f>
        <v/>
      </c>
      <c r="R95" s="296" t="str">
        <f>IFERROR(IF(VLOOKUP($G95,BD_PRINCIPAL[],38,FALSE)=0,"",VLOOKUP($G95,BD_PRINCIPAL[],38,FALSE)),"")</f>
        <v/>
      </c>
      <c r="S95" s="296" t="str">
        <f>IFERROR(IF(VLOOKUP($G95,BD_PRINCIPAL[],39,FALSE)=0,"",VLOOKUP($G95,BD_PRINCIPAL[],39,FALSE)),"")</f>
        <v/>
      </c>
      <c r="T95" s="296" t="str">
        <f>IFERROR(IF(VLOOKUP($G95,BD_PRINCIPAL[],40,FALSE)=0,"",VLOOKUP($G95,BD_PRINCIPAL[],40,FALSE)),"")</f>
        <v/>
      </c>
      <c r="U95" s="296" t="str">
        <f>IFERROR(IF(VLOOKUP($G95,BD_PRINCIPAL[],41,FALSE)=0,"",VLOOKUP($G95,BD_PRINCIPAL[],41,FALSE)),"")</f>
        <v/>
      </c>
      <c r="V95" s="296" t="str">
        <f>IFERROR(IF(VLOOKUP($G95,BD_PRINCIPAL[],42,FALSE)=0,"",VLOOKUP($G95,BD_PRINCIPAL[],42,FALSE)),"")</f>
        <v/>
      </c>
      <c r="W95" s="296" t="str">
        <f>IFERROR(IF(VLOOKUP($G95,BD_PRINCIPAL[],43,FALSE)=0,"",VLOOKUP($G95,BD_PRINCIPAL[],43,FALSE)),"")</f>
        <v/>
      </c>
      <c r="X95" s="296" t="str">
        <f>IFERROR(IF(VLOOKUP($G95,BD_PRINCIPAL[],44,FALSE)=0,"",VLOOKUP($G95,BD_PRINCIPAL[],44,FALSE)),"")</f>
        <v/>
      </c>
      <c r="Y95" s="296" t="str">
        <f>IFERROR(IF(VLOOKUP($G95,BD_PRINCIPAL[],45,FALSE)=0,"",VLOOKUP($G95,BD_PRINCIPAL[],45,FALSE)),"")</f>
        <v/>
      </c>
      <c r="Z95" s="296" t="str">
        <f>IFERROR(IF(VLOOKUP($G95,BD_PRINCIPAL[],46,FALSE)=0,"",VLOOKUP($G95,BD_PRINCIPAL[],46,FALSE)),"")</f>
        <v/>
      </c>
      <c r="AA95" s="296" t="str">
        <f>IFERROR(IF(VLOOKUP($G95,BD_PRINCIPAL[],47,FALSE)=0,"",VLOOKUP($G95,BD_PRINCIPAL[],47,FALSE)),"")</f>
        <v/>
      </c>
      <c r="AB95" s="296" t="str">
        <f>IFERROR(IF(VLOOKUP($G95,BD_PRINCIPAL[],48,FALSE)=0,"",VLOOKUP($G95,BD_PRINCIPAL[],48,FALSE)),"")</f>
        <v/>
      </c>
      <c r="AC95" s="296" t="str">
        <f>IFERROR(IF(VLOOKUP($G95,BD_PRINCIPAL[],49,FALSE)=0,"",VLOOKUP($G95,BD_PRINCIPAL[],49,FALSE)),"")</f>
        <v/>
      </c>
      <c r="AD95" s="296" t="str">
        <f>IFERROR(IF(VLOOKUP($G95,BD_PRINCIPAL[],50,FALSE)=0,"",VLOOKUP($G95,BD_PRINCIPAL[],50,FALSE)),"")</f>
        <v/>
      </c>
      <c r="AE95" s="296" t="str">
        <f>IFERROR(IF(VLOOKUP($G95,BD_PRINCIPAL[],51,FALSE)=0,"",VLOOKUP($G95,BD_PRINCIPAL[],51,FALSE)),"")</f>
        <v/>
      </c>
      <c r="AF95" s="296" t="str">
        <f>IFERROR(IF(VLOOKUP($G95,BD_PRINCIPAL[],52,FALSE)=0,"",VLOOKUP($G95,BD_PRINCIPAL[],52,FALSE)),"")</f>
        <v/>
      </c>
      <c r="AG95" s="296" t="str">
        <f>IFERROR(IF(VLOOKUP($G95,BD_PRINCIPAL[],53,FALSE)=0,"",VLOOKUP($G95,BD_PRINCIPAL[],53,FALSE)),"")</f>
        <v/>
      </c>
      <c r="AH95" s="296" t="str">
        <f>IFERROR(IF(VLOOKUP($G95,BD_PRINCIPAL[],54,FALSE)=0,"",VLOOKUP($G95,BD_PRINCIPAL[],54,FALSE)),"")</f>
        <v/>
      </c>
      <c r="AI95" s="296" t="str">
        <f>IFERROR(IF(VLOOKUP($G95,BD_PRINCIPAL[],55,FALSE)=0,"",VLOOKUP($G95,BD_PRINCIPAL[],55,FALSE)),"")</f>
        <v/>
      </c>
      <c r="AJ95" s="296" t="str">
        <f>IFERROR(IF(VLOOKUP($G95,BD_PRINCIPAL[],56,FALSE)=0,"",VLOOKUP($G95,BD_PRINCIPAL[],56,FALSE)),"")</f>
        <v/>
      </c>
      <c r="AK95" s="296" t="str">
        <f>IFERROR(IF(VLOOKUP($G95,BD_PRINCIPAL[],57,FALSE)=0,"",VLOOKUP($G95,BD_PRINCIPAL[],57,FALSE)),"")</f>
        <v/>
      </c>
      <c r="AL95" s="296" t="str">
        <f>IFERROR(IF(VLOOKUP($G95,BD_PRINCIPAL[],58,FALSE)=0,"",VLOOKUP($G95,BD_PRINCIPAL[],58,FALSE)),"")</f>
        <v/>
      </c>
    </row>
    <row r="96" spans="2:38" x14ac:dyDescent="0.25">
      <c r="B96" s="289">
        <f>IF(H96=0,0,22)</f>
        <v>22</v>
      </c>
      <c r="G96" s="298"/>
      <c r="H96" s="1208" t="str">
        <f>A5</f>
        <v>P.F. ROBERTO DEL RIO 4</v>
      </c>
      <c r="I96" s="1209"/>
      <c r="J96" s="1209"/>
      <c r="K96" s="1209"/>
      <c r="L96" s="1209"/>
      <c r="M96" s="1209"/>
      <c r="N96" s="1209"/>
      <c r="O96" s="1209"/>
      <c r="P96" s="1209"/>
      <c r="Q96" s="1209"/>
      <c r="R96" s="1209"/>
      <c r="S96" s="1209"/>
      <c r="T96" s="1209"/>
      <c r="U96" s="1209"/>
      <c r="V96" s="1209"/>
      <c r="W96" s="1209"/>
      <c r="X96" s="1209"/>
      <c r="Y96" s="1209"/>
      <c r="Z96" s="1209"/>
      <c r="AA96" s="1209"/>
      <c r="AB96" s="1209"/>
      <c r="AC96" s="1209"/>
      <c r="AD96" s="1209"/>
      <c r="AE96" s="1209"/>
      <c r="AF96" s="1209"/>
      <c r="AG96" s="1209"/>
      <c r="AH96" s="1209"/>
      <c r="AI96" s="1209"/>
      <c r="AJ96" s="1209"/>
      <c r="AK96" s="1209"/>
      <c r="AL96" s="1210"/>
    </row>
    <row r="97" spans="2:38" x14ac:dyDescent="0.25">
      <c r="B97" s="289">
        <f>IF(H96=0,0,22)</f>
        <v>22</v>
      </c>
      <c r="C97" s="291"/>
      <c r="D97" s="291"/>
      <c r="E97" s="291"/>
      <c r="F97" s="291"/>
      <c r="G97" s="298"/>
      <c r="H97" s="293" t="str">
        <f>H13</f>
        <v>lun</v>
      </c>
      <c r="I97" s="293" t="str">
        <f t="shared" ref="I97:AL98" si="8">I13</f>
        <v>mar</v>
      </c>
      <c r="J97" s="293" t="str">
        <f t="shared" si="8"/>
        <v>mié</v>
      </c>
      <c r="K97" s="293" t="str">
        <f t="shared" si="8"/>
        <v>jue</v>
      </c>
      <c r="L97" s="293" t="str">
        <f t="shared" si="8"/>
        <v>vie</v>
      </c>
      <c r="M97" s="293" t="str">
        <f t="shared" si="8"/>
        <v>sáb</v>
      </c>
      <c r="N97" s="293" t="str">
        <f t="shared" si="8"/>
        <v>dom</v>
      </c>
      <c r="O97" s="293" t="str">
        <f t="shared" si="8"/>
        <v>lun</v>
      </c>
      <c r="P97" s="293" t="str">
        <f t="shared" si="8"/>
        <v>mar</v>
      </c>
      <c r="Q97" s="293" t="str">
        <f t="shared" si="8"/>
        <v>mié</v>
      </c>
      <c r="R97" s="293" t="str">
        <f t="shared" si="8"/>
        <v>jue</v>
      </c>
      <c r="S97" s="293" t="str">
        <f t="shared" si="8"/>
        <v>vie</v>
      </c>
      <c r="T97" s="293" t="str">
        <f t="shared" si="8"/>
        <v>sáb</v>
      </c>
      <c r="U97" s="293" t="str">
        <f t="shared" si="8"/>
        <v>dom</v>
      </c>
      <c r="V97" s="293" t="str">
        <f t="shared" si="8"/>
        <v>lun</v>
      </c>
      <c r="W97" s="293" t="str">
        <f t="shared" si="8"/>
        <v>mar</v>
      </c>
      <c r="X97" s="293" t="str">
        <f t="shared" si="8"/>
        <v>mié</v>
      </c>
      <c r="Y97" s="293" t="str">
        <f t="shared" si="8"/>
        <v>jue</v>
      </c>
      <c r="Z97" s="293" t="str">
        <f t="shared" si="8"/>
        <v>vie</v>
      </c>
      <c r="AA97" s="293" t="str">
        <f t="shared" si="8"/>
        <v>sáb</v>
      </c>
      <c r="AB97" s="293" t="str">
        <f t="shared" si="8"/>
        <v>dom</v>
      </c>
      <c r="AC97" s="293" t="str">
        <f t="shared" si="8"/>
        <v>lun</v>
      </c>
      <c r="AD97" s="293" t="str">
        <f t="shared" si="8"/>
        <v>mar</v>
      </c>
      <c r="AE97" s="293" t="str">
        <f t="shared" si="8"/>
        <v>mié</v>
      </c>
      <c r="AF97" s="293" t="str">
        <f t="shared" si="8"/>
        <v>jue</v>
      </c>
      <c r="AG97" s="293" t="str">
        <f t="shared" si="8"/>
        <v>vie</v>
      </c>
      <c r="AH97" s="293" t="str">
        <f t="shared" si="8"/>
        <v>sáb</v>
      </c>
      <c r="AI97" s="293" t="str">
        <f t="shared" si="8"/>
        <v>dom</v>
      </c>
      <c r="AJ97" s="293" t="str">
        <f t="shared" si="8"/>
        <v>lun</v>
      </c>
      <c r="AK97" s="293" t="str">
        <f t="shared" si="8"/>
        <v>mar</v>
      </c>
      <c r="AL97" s="293" t="str">
        <f t="shared" si="8"/>
        <v>mié</v>
      </c>
    </row>
    <row r="98" spans="2:38" x14ac:dyDescent="0.3">
      <c r="B98" s="289">
        <f>IF(H96=0,0,22)</f>
        <v>22</v>
      </c>
      <c r="D98" s="294" t="s">
        <v>1173</v>
      </c>
      <c r="E98" s="294" t="s">
        <v>0</v>
      </c>
      <c r="F98" s="295" t="s">
        <v>693</v>
      </c>
      <c r="G98" s="294" t="s">
        <v>815</v>
      </c>
      <c r="H98" s="294" t="str">
        <f>H14</f>
        <v>1</v>
      </c>
      <c r="I98" s="294" t="str">
        <f t="shared" si="8"/>
        <v>2</v>
      </c>
      <c r="J98" s="294" t="str">
        <f t="shared" si="8"/>
        <v>3</v>
      </c>
      <c r="K98" s="294" t="str">
        <f t="shared" si="8"/>
        <v>4</v>
      </c>
      <c r="L98" s="294" t="str">
        <f t="shared" si="8"/>
        <v>5</v>
      </c>
      <c r="M98" s="294" t="str">
        <f t="shared" si="8"/>
        <v>6</v>
      </c>
      <c r="N98" s="294" t="str">
        <f t="shared" si="8"/>
        <v>7</v>
      </c>
      <c r="O98" s="294" t="str">
        <f t="shared" si="8"/>
        <v>8</v>
      </c>
      <c r="P98" s="294" t="str">
        <f t="shared" si="8"/>
        <v>9</v>
      </c>
      <c r="Q98" s="294" t="str">
        <f t="shared" si="8"/>
        <v>10</v>
      </c>
      <c r="R98" s="294" t="str">
        <f t="shared" si="8"/>
        <v>11</v>
      </c>
      <c r="S98" s="294" t="str">
        <f t="shared" si="8"/>
        <v>12</v>
      </c>
      <c r="T98" s="294" t="str">
        <f t="shared" si="8"/>
        <v>13</v>
      </c>
      <c r="U98" s="294" t="str">
        <f t="shared" si="8"/>
        <v>14</v>
      </c>
      <c r="V98" s="294" t="str">
        <f t="shared" si="8"/>
        <v>15</v>
      </c>
      <c r="W98" s="294" t="str">
        <f t="shared" si="8"/>
        <v>16</v>
      </c>
      <c r="X98" s="294" t="str">
        <f t="shared" si="8"/>
        <v>17</v>
      </c>
      <c r="Y98" s="294" t="str">
        <f t="shared" si="8"/>
        <v>18</v>
      </c>
      <c r="Z98" s="294" t="str">
        <f t="shared" si="8"/>
        <v>19</v>
      </c>
      <c r="AA98" s="294" t="str">
        <f t="shared" si="8"/>
        <v>20</v>
      </c>
      <c r="AB98" s="294" t="str">
        <f t="shared" si="8"/>
        <v>21</v>
      </c>
      <c r="AC98" s="294" t="str">
        <f t="shared" si="8"/>
        <v>22</v>
      </c>
      <c r="AD98" s="294" t="str">
        <f t="shared" si="8"/>
        <v>23</v>
      </c>
      <c r="AE98" s="294" t="str">
        <f t="shared" si="8"/>
        <v>24</v>
      </c>
      <c r="AF98" s="294" t="str">
        <f t="shared" si="8"/>
        <v>25</v>
      </c>
      <c r="AG98" s="294" t="str">
        <f t="shared" si="8"/>
        <v>26</v>
      </c>
      <c r="AH98" s="294" t="str">
        <f t="shared" si="8"/>
        <v>27</v>
      </c>
      <c r="AI98" s="294" t="str">
        <f t="shared" si="8"/>
        <v>28</v>
      </c>
      <c r="AJ98" s="294" t="str">
        <f t="shared" si="8"/>
        <v>29</v>
      </c>
      <c r="AK98" s="294" t="str">
        <f t="shared" si="8"/>
        <v>30</v>
      </c>
      <c r="AL98" s="294" t="str">
        <f t="shared" si="8"/>
        <v>1</v>
      </c>
    </row>
    <row r="99" spans="2:38" x14ac:dyDescent="0.3">
      <c r="B99" s="289">
        <f t="shared" ref="B99:B123" si="9">IF(G99&lt;&gt;"",22,0)</f>
        <v>22</v>
      </c>
      <c r="D99" s="296">
        <v>1</v>
      </c>
      <c r="E99" s="296" t="str">
        <f>IFERROR(VLOOKUP(G99,BD_PRINCIPAL[],7,FALSE),"")</f>
        <v>SGTO 2DO.</v>
      </c>
      <c r="F99" s="297" t="str">
        <f>IFERROR(VLOOKUP(G99,BD_PRINCIPAL[],2,FALSE),"")</f>
        <v>MELLA GUTIERREZ SEBASTIAN ANDRES</v>
      </c>
      <c r="G99" s="197" t="s">
        <v>321</v>
      </c>
      <c r="H99" s="296" t="str">
        <f>IFERROR(IF(VLOOKUP($G99,BD_PRINCIPAL[],28,FALSE)=0,"",VLOOKUP($G99,BD_PRINCIPAL[],28,FALSE)),"")</f>
        <v>1T</v>
      </c>
      <c r="I99" s="296" t="str">
        <f>IFERROR(IF(VLOOKUP($G99,BD_PRINCIPAL[],29,FALSE)=0,"",VLOOKUP($G99,BD_PRINCIPAL[],29,FALSE)),"")</f>
        <v>2P</v>
      </c>
      <c r="J99" s="296" t="str">
        <f>IFERROR(IF(VLOOKUP($G99,BD_PRINCIPAL[],30,FALSE)=0,"",VLOOKUP($G99,BD_PRINCIPAL[],30,FALSE)),"")</f>
        <v>SN</v>
      </c>
      <c r="K99" s="296" t="str">
        <f>IFERROR(IF(VLOOKUP($G99,BD_PRINCIPAL[],31,FALSE)=0,"",VLOOKUP($G99,BD_PRINCIPAL[],31,FALSE)),"")</f>
        <v>2T</v>
      </c>
      <c r="L99" s="296" t="str">
        <f>IFERROR(IF(VLOOKUP($G99,BD_PRINCIPAL[],32,FALSE)=0,"",VLOOKUP($G99,BD_PRINCIPAL[],32,FALSE)),"")</f>
        <v>1T</v>
      </c>
      <c r="M99" s="296" t="str">
        <f>IFERROR(IF(VLOOKUP($G99,BD_PRINCIPAL[],33,FALSE)=0,"",VLOOKUP($G99,BD_PRINCIPAL[],33,FALSE)),"")</f>
        <v>2P</v>
      </c>
      <c r="N99" s="296" t="str">
        <f>IFERROR(IF(VLOOKUP($G99,BD_PRINCIPAL[],34,FALSE)=0,"",VLOOKUP($G99,BD_PRINCIPAL[],34,FALSE)),"")</f>
        <v/>
      </c>
      <c r="O99" s="296" t="str">
        <f>IFERROR(IF(VLOOKUP($G99,BD_PRINCIPAL[],35,FALSE)=0,"",VLOOKUP($G99,BD_PRINCIPAL[],35,FALSE)),"")</f>
        <v/>
      </c>
      <c r="P99" s="296" t="str">
        <f>IFERROR(IF(VLOOKUP($G99,BD_PRINCIPAL[],36,FALSE)=0,"",VLOOKUP($G99,BD_PRINCIPAL[],36,FALSE)),"")</f>
        <v/>
      </c>
      <c r="Q99" s="296" t="str">
        <f>IFERROR(IF(VLOOKUP($G99,BD_PRINCIPAL[],37,FALSE)=0,"",VLOOKUP($G99,BD_PRINCIPAL[],37,FALSE)),"")</f>
        <v/>
      </c>
      <c r="R99" s="296" t="str">
        <f>IFERROR(IF(VLOOKUP($G99,BD_PRINCIPAL[],38,FALSE)=0,"",VLOOKUP($G99,BD_PRINCIPAL[],38,FALSE)),"")</f>
        <v/>
      </c>
      <c r="S99" s="296" t="str">
        <f>IFERROR(IF(VLOOKUP($G99,BD_PRINCIPAL[],39,FALSE)=0,"",VLOOKUP($G99,BD_PRINCIPAL[],39,FALSE)),"")</f>
        <v/>
      </c>
      <c r="T99" s="296" t="str">
        <f>IFERROR(IF(VLOOKUP($G99,BD_PRINCIPAL[],40,FALSE)=0,"",VLOOKUP($G99,BD_PRINCIPAL[],40,FALSE)),"")</f>
        <v/>
      </c>
      <c r="U99" s="296" t="str">
        <f>IFERROR(IF(VLOOKUP($G99,BD_PRINCIPAL[],41,FALSE)=0,"",VLOOKUP($G99,BD_PRINCIPAL[],41,FALSE)),"")</f>
        <v/>
      </c>
      <c r="V99" s="296" t="str">
        <f>IFERROR(IF(VLOOKUP($G99,BD_PRINCIPAL[],42,FALSE)=0,"",VLOOKUP($G99,BD_PRINCIPAL[],42,FALSE)),"")</f>
        <v/>
      </c>
      <c r="W99" s="296" t="str">
        <f>IFERROR(IF(VLOOKUP($G99,BD_PRINCIPAL[],43,FALSE)=0,"",VLOOKUP($G99,BD_PRINCIPAL[],43,FALSE)),"")</f>
        <v/>
      </c>
      <c r="X99" s="296" t="str">
        <f>IFERROR(IF(VLOOKUP($G99,BD_PRINCIPAL[],44,FALSE)=0,"",VLOOKUP($G99,BD_PRINCIPAL[],44,FALSE)),"")</f>
        <v/>
      </c>
      <c r="Y99" s="296" t="str">
        <f>IFERROR(IF(VLOOKUP($G99,BD_PRINCIPAL[],45,FALSE)=0,"",VLOOKUP($G99,BD_PRINCIPAL[],45,FALSE)),"")</f>
        <v/>
      </c>
      <c r="Z99" s="296" t="str">
        <f>IFERROR(IF(VLOOKUP($G99,BD_PRINCIPAL[],46,FALSE)=0,"",VLOOKUP($G99,BD_PRINCIPAL[],46,FALSE)),"")</f>
        <v/>
      </c>
      <c r="AA99" s="296" t="str">
        <f>IFERROR(IF(VLOOKUP($G99,BD_PRINCIPAL[],47,FALSE)=0,"",VLOOKUP($G99,BD_PRINCIPAL[],47,FALSE)),"")</f>
        <v/>
      </c>
      <c r="AB99" s="296" t="str">
        <f>IFERROR(IF(VLOOKUP($G99,BD_PRINCIPAL[],48,FALSE)=0,"",VLOOKUP($G99,BD_PRINCIPAL[],48,FALSE)),"")</f>
        <v/>
      </c>
      <c r="AC99" s="296" t="str">
        <f>IFERROR(IF(VLOOKUP($G99,BD_PRINCIPAL[],49,FALSE)=0,"",VLOOKUP($G99,BD_PRINCIPAL[],49,FALSE)),"")</f>
        <v/>
      </c>
      <c r="AD99" s="296" t="str">
        <f>IFERROR(IF(VLOOKUP($G99,BD_PRINCIPAL[],50,FALSE)=0,"",VLOOKUP($G99,BD_PRINCIPAL[],50,FALSE)),"")</f>
        <v/>
      </c>
      <c r="AE99" s="296" t="str">
        <f>IFERROR(IF(VLOOKUP($G99,BD_PRINCIPAL[],51,FALSE)=0,"",VLOOKUP($G99,BD_PRINCIPAL[],51,FALSE)),"")</f>
        <v/>
      </c>
      <c r="AF99" s="296" t="str">
        <f>IFERROR(IF(VLOOKUP($G99,BD_PRINCIPAL[],52,FALSE)=0,"",VLOOKUP($G99,BD_PRINCIPAL[],52,FALSE)),"")</f>
        <v/>
      </c>
      <c r="AG99" s="296" t="str">
        <f>IFERROR(IF(VLOOKUP($G99,BD_PRINCIPAL[],53,FALSE)=0,"",VLOOKUP($G99,BD_PRINCIPAL[],53,FALSE)),"")</f>
        <v/>
      </c>
      <c r="AH99" s="296" t="str">
        <f>IFERROR(IF(VLOOKUP($G99,BD_PRINCIPAL[],54,FALSE)=0,"",VLOOKUP($G99,BD_PRINCIPAL[],54,FALSE)),"")</f>
        <v/>
      </c>
      <c r="AI99" s="296" t="str">
        <f>IFERROR(IF(VLOOKUP($G99,BD_PRINCIPAL[],55,FALSE)=0,"",VLOOKUP($G99,BD_PRINCIPAL[],55,FALSE)),"")</f>
        <v/>
      </c>
      <c r="AJ99" s="296" t="str">
        <f>IFERROR(IF(VLOOKUP($G99,BD_PRINCIPAL[],56,FALSE)=0,"",VLOOKUP($G99,BD_PRINCIPAL[],56,FALSE)),"")</f>
        <v/>
      </c>
      <c r="AK99" s="296" t="str">
        <f>IFERROR(IF(VLOOKUP($G99,BD_PRINCIPAL[],57,FALSE)=0,"",VLOOKUP($G99,BD_PRINCIPAL[],57,FALSE)),"")</f>
        <v/>
      </c>
      <c r="AL99" s="296" t="str">
        <f>IFERROR(IF(VLOOKUP($G99,BD_PRINCIPAL[],58,FALSE)=0,"",VLOOKUP($G99,BD_PRINCIPAL[],58,FALSE)),"")</f>
        <v/>
      </c>
    </row>
    <row r="100" spans="2:38" x14ac:dyDescent="0.3">
      <c r="B100" s="289">
        <f t="shared" si="9"/>
        <v>22</v>
      </c>
      <c r="D100" s="296">
        <v>2</v>
      </c>
      <c r="E100" s="296" t="str">
        <f>IFERROR(VLOOKUP(G100,BD_PRINCIPAL[],7,FALSE),"")</f>
        <v>CABO 2DO.</v>
      </c>
      <c r="F100" s="297" t="str">
        <f>IFERROR(VLOOKUP(G100,BD_PRINCIPAL[],2,FALSE),"")</f>
        <v>BARROS QUIJANO FABIAN ELIAS</v>
      </c>
      <c r="G100" s="197" t="s">
        <v>391</v>
      </c>
      <c r="H100" s="296" t="str">
        <f>IFERROR(IF(VLOOKUP($G100,BD_PRINCIPAL[],28,FALSE)=0,"",VLOOKUP($G100,BD_PRINCIPAL[],28,FALSE)),"")</f>
        <v>LIC.</v>
      </c>
      <c r="I100" s="296" t="str">
        <f>IFERROR(IF(VLOOKUP($G100,BD_PRINCIPAL[],29,FALSE)=0,"",VLOOKUP($G100,BD_PRINCIPAL[],29,FALSE)),"")</f>
        <v>2P</v>
      </c>
      <c r="J100" s="296" t="str">
        <f>IFERROR(IF(VLOOKUP($G100,BD_PRINCIPAL[],30,FALSE)=0,"",VLOOKUP($G100,BD_PRINCIPAL[],30,FALSE)),"")</f>
        <v>SN</v>
      </c>
      <c r="K100" s="296" t="str">
        <f>IFERROR(IF(VLOOKUP($G100,BD_PRINCIPAL[],31,FALSE)=0,"",VLOOKUP($G100,BD_PRINCIPAL[],31,FALSE)),"")</f>
        <v>2T</v>
      </c>
      <c r="L100" s="296" t="str">
        <f>IFERROR(IF(VLOOKUP($G100,BD_PRINCIPAL[],32,FALSE)=0,"",VLOOKUP($G100,BD_PRINCIPAL[],32,FALSE)),"")</f>
        <v>1T</v>
      </c>
      <c r="M100" s="296" t="str">
        <f>IFERROR(IF(VLOOKUP($G100,BD_PRINCIPAL[],33,FALSE)=0,"",VLOOKUP($G100,BD_PRINCIPAL[],33,FALSE)),"")</f>
        <v>2P</v>
      </c>
      <c r="N100" s="296" t="str">
        <f>IFERROR(IF(VLOOKUP($G100,BD_PRINCIPAL[],34,FALSE)=0,"",VLOOKUP($G100,BD_PRINCIPAL[],34,FALSE)),"")</f>
        <v/>
      </c>
      <c r="O100" s="296" t="str">
        <f>IFERROR(IF(VLOOKUP($G100,BD_PRINCIPAL[],35,FALSE)=0,"",VLOOKUP($G100,BD_PRINCIPAL[],35,FALSE)),"")</f>
        <v/>
      </c>
      <c r="P100" s="296" t="str">
        <f>IFERROR(IF(VLOOKUP($G100,BD_PRINCIPAL[],36,FALSE)=0,"",VLOOKUP($G100,BD_PRINCIPAL[],36,FALSE)),"")</f>
        <v/>
      </c>
      <c r="Q100" s="296" t="str">
        <f>IFERROR(IF(VLOOKUP($G100,BD_PRINCIPAL[],37,FALSE)=0,"",VLOOKUP($G100,BD_PRINCIPAL[],37,FALSE)),"")</f>
        <v/>
      </c>
      <c r="R100" s="296" t="str">
        <f>IFERROR(IF(VLOOKUP($G100,BD_PRINCIPAL[],38,FALSE)=0,"",VLOOKUP($G100,BD_PRINCIPAL[],38,FALSE)),"")</f>
        <v/>
      </c>
      <c r="S100" s="296" t="str">
        <f>IFERROR(IF(VLOOKUP($G100,BD_PRINCIPAL[],39,FALSE)=0,"",VLOOKUP($G100,BD_PRINCIPAL[],39,FALSE)),"")</f>
        <v/>
      </c>
      <c r="T100" s="296" t="str">
        <f>IFERROR(IF(VLOOKUP($G100,BD_PRINCIPAL[],40,FALSE)=0,"",VLOOKUP($G100,BD_PRINCIPAL[],40,FALSE)),"")</f>
        <v/>
      </c>
      <c r="U100" s="296" t="str">
        <f>IFERROR(IF(VLOOKUP($G100,BD_PRINCIPAL[],41,FALSE)=0,"",VLOOKUP($G100,BD_PRINCIPAL[],41,FALSE)),"")</f>
        <v/>
      </c>
      <c r="V100" s="296" t="str">
        <f>IFERROR(IF(VLOOKUP($G100,BD_PRINCIPAL[],42,FALSE)=0,"",VLOOKUP($G100,BD_PRINCIPAL[],42,FALSE)),"")</f>
        <v/>
      </c>
      <c r="W100" s="296" t="str">
        <f>IFERROR(IF(VLOOKUP($G100,BD_PRINCIPAL[],43,FALSE)=0,"",VLOOKUP($G100,BD_PRINCIPAL[],43,FALSE)),"")</f>
        <v/>
      </c>
      <c r="X100" s="296" t="str">
        <f>IFERROR(IF(VLOOKUP($G100,BD_PRINCIPAL[],44,FALSE)=0,"",VLOOKUP($G100,BD_PRINCIPAL[],44,FALSE)),"")</f>
        <v/>
      </c>
      <c r="Y100" s="296" t="str">
        <f>IFERROR(IF(VLOOKUP($G100,BD_PRINCIPAL[],45,FALSE)=0,"",VLOOKUP($G100,BD_PRINCIPAL[],45,FALSE)),"")</f>
        <v/>
      </c>
      <c r="Z100" s="296" t="str">
        <f>IFERROR(IF(VLOOKUP($G100,BD_PRINCIPAL[],46,FALSE)=0,"",VLOOKUP($G100,BD_PRINCIPAL[],46,FALSE)),"")</f>
        <v/>
      </c>
      <c r="AA100" s="296" t="str">
        <f>IFERROR(IF(VLOOKUP($G100,BD_PRINCIPAL[],47,FALSE)=0,"",VLOOKUP($G100,BD_PRINCIPAL[],47,FALSE)),"")</f>
        <v/>
      </c>
      <c r="AB100" s="296" t="str">
        <f>IFERROR(IF(VLOOKUP($G100,BD_PRINCIPAL[],48,FALSE)=0,"",VLOOKUP($G100,BD_PRINCIPAL[],48,FALSE)),"")</f>
        <v/>
      </c>
      <c r="AC100" s="296" t="str">
        <f>IFERROR(IF(VLOOKUP($G100,BD_PRINCIPAL[],49,FALSE)=0,"",VLOOKUP($G100,BD_PRINCIPAL[],49,FALSE)),"")</f>
        <v/>
      </c>
      <c r="AD100" s="296" t="str">
        <f>IFERROR(IF(VLOOKUP($G100,BD_PRINCIPAL[],50,FALSE)=0,"",VLOOKUP($G100,BD_PRINCIPAL[],50,FALSE)),"")</f>
        <v/>
      </c>
      <c r="AE100" s="296" t="str">
        <f>IFERROR(IF(VLOOKUP($G100,BD_PRINCIPAL[],51,FALSE)=0,"",VLOOKUP($G100,BD_PRINCIPAL[],51,FALSE)),"")</f>
        <v/>
      </c>
      <c r="AF100" s="296" t="str">
        <f>IFERROR(IF(VLOOKUP($G100,BD_PRINCIPAL[],52,FALSE)=0,"",VLOOKUP($G100,BD_PRINCIPAL[],52,FALSE)),"")</f>
        <v/>
      </c>
      <c r="AG100" s="296" t="str">
        <f>IFERROR(IF(VLOOKUP($G100,BD_PRINCIPAL[],53,FALSE)=0,"",VLOOKUP($G100,BD_PRINCIPAL[],53,FALSE)),"")</f>
        <v/>
      </c>
      <c r="AH100" s="296" t="str">
        <f>IFERROR(IF(VLOOKUP($G100,BD_PRINCIPAL[],54,FALSE)=0,"",VLOOKUP($G100,BD_PRINCIPAL[],54,FALSE)),"")</f>
        <v/>
      </c>
      <c r="AI100" s="296" t="str">
        <f>IFERROR(IF(VLOOKUP($G100,BD_PRINCIPAL[],55,FALSE)=0,"",VLOOKUP($G100,BD_PRINCIPAL[],55,FALSE)),"")</f>
        <v/>
      </c>
      <c r="AJ100" s="296" t="str">
        <f>IFERROR(IF(VLOOKUP($G100,BD_PRINCIPAL[],56,FALSE)=0,"",VLOOKUP($G100,BD_PRINCIPAL[],56,FALSE)),"")</f>
        <v/>
      </c>
      <c r="AK100" s="296" t="str">
        <f>IFERROR(IF(VLOOKUP($G100,BD_PRINCIPAL[],57,FALSE)=0,"",VLOOKUP($G100,BD_PRINCIPAL[],57,FALSE)),"")</f>
        <v/>
      </c>
      <c r="AL100" s="296" t="str">
        <f>IFERROR(IF(VLOOKUP($G100,BD_PRINCIPAL[],58,FALSE)=0,"",VLOOKUP($G100,BD_PRINCIPAL[],58,FALSE)),"")</f>
        <v/>
      </c>
    </row>
    <row r="101" spans="2:38" x14ac:dyDescent="0.3">
      <c r="B101" s="289">
        <f t="shared" si="9"/>
        <v>0</v>
      </c>
      <c r="D101" s="296">
        <v>3</v>
      </c>
      <c r="E101" s="296" t="str">
        <f>IFERROR(VLOOKUP(G101,BD_PRINCIPAL[],7,FALSE),"")</f>
        <v/>
      </c>
      <c r="F101" s="297" t="str">
        <f>IFERROR(VLOOKUP(G101,BD_PRINCIPAL[],2,FALSE),"")</f>
        <v/>
      </c>
      <c r="G101" s="197"/>
      <c r="H101" s="296" t="str">
        <f>IFERROR(IF(VLOOKUP($G101,BD_PRINCIPAL[],28,FALSE)=0,"",VLOOKUP($G101,BD_PRINCIPAL[],28,FALSE)),"")</f>
        <v/>
      </c>
      <c r="I101" s="296" t="str">
        <f>IFERROR(IF(VLOOKUP($G101,BD_PRINCIPAL[],29,FALSE)=0,"",VLOOKUP($G101,BD_PRINCIPAL[],29,FALSE)),"")</f>
        <v/>
      </c>
      <c r="J101" s="296" t="str">
        <f>IFERROR(IF(VLOOKUP($G101,BD_PRINCIPAL[],30,FALSE)=0,"",VLOOKUP($G101,BD_PRINCIPAL[],30,FALSE)),"")</f>
        <v/>
      </c>
      <c r="K101" s="296" t="str">
        <f>IFERROR(IF(VLOOKUP($G101,BD_PRINCIPAL[],31,FALSE)=0,"",VLOOKUP($G101,BD_PRINCIPAL[],31,FALSE)),"")</f>
        <v/>
      </c>
      <c r="L101" s="296" t="str">
        <f>IFERROR(IF(VLOOKUP($G101,BD_PRINCIPAL[],32,FALSE)=0,"",VLOOKUP($G101,BD_PRINCIPAL[],32,FALSE)),"")</f>
        <v/>
      </c>
      <c r="M101" s="296" t="str">
        <f>IFERROR(IF(VLOOKUP($G101,BD_PRINCIPAL[],33,FALSE)=0,"",VLOOKUP($G101,BD_PRINCIPAL[],33,FALSE)),"")</f>
        <v/>
      </c>
      <c r="N101" s="296" t="str">
        <f>IFERROR(IF(VLOOKUP($G101,BD_PRINCIPAL[],34,FALSE)=0,"",VLOOKUP($G101,BD_PRINCIPAL[],34,FALSE)),"")</f>
        <v/>
      </c>
      <c r="O101" s="296" t="str">
        <f>IFERROR(IF(VLOOKUP($G101,BD_PRINCIPAL[],35,FALSE)=0,"",VLOOKUP($G101,BD_PRINCIPAL[],35,FALSE)),"")</f>
        <v/>
      </c>
      <c r="P101" s="296" t="str">
        <f>IFERROR(IF(VLOOKUP($G101,BD_PRINCIPAL[],36,FALSE)=0,"",VLOOKUP($G101,BD_PRINCIPAL[],36,FALSE)),"")</f>
        <v/>
      </c>
      <c r="Q101" s="296" t="str">
        <f>IFERROR(IF(VLOOKUP($G101,BD_PRINCIPAL[],37,FALSE)=0,"",VLOOKUP($G101,BD_PRINCIPAL[],37,FALSE)),"")</f>
        <v/>
      </c>
      <c r="R101" s="296" t="str">
        <f>IFERROR(IF(VLOOKUP($G101,BD_PRINCIPAL[],38,FALSE)=0,"",VLOOKUP($G101,BD_PRINCIPAL[],38,FALSE)),"")</f>
        <v/>
      </c>
      <c r="S101" s="296" t="str">
        <f>IFERROR(IF(VLOOKUP($G101,BD_PRINCIPAL[],39,FALSE)=0,"",VLOOKUP($G101,BD_PRINCIPAL[],39,FALSE)),"")</f>
        <v/>
      </c>
      <c r="T101" s="296" t="str">
        <f>IFERROR(IF(VLOOKUP($G101,BD_PRINCIPAL[],40,FALSE)=0,"",VLOOKUP($G101,BD_PRINCIPAL[],40,FALSE)),"")</f>
        <v/>
      </c>
      <c r="U101" s="296" t="str">
        <f>IFERROR(IF(VLOOKUP($G101,BD_PRINCIPAL[],41,FALSE)=0,"",VLOOKUP($G101,BD_PRINCIPAL[],41,FALSE)),"")</f>
        <v/>
      </c>
      <c r="V101" s="296" t="str">
        <f>IFERROR(IF(VLOOKUP($G101,BD_PRINCIPAL[],42,FALSE)=0,"",VLOOKUP($G101,BD_PRINCIPAL[],42,FALSE)),"")</f>
        <v/>
      </c>
      <c r="W101" s="296" t="str">
        <f>IFERROR(IF(VLOOKUP($G101,BD_PRINCIPAL[],43,FALSE)=0,"",VLOOKUP($G101,BD_PRINCIPAL[],43,FALSE)),"")</f>
        <v/>
      </c>
      <c r="X101" s="296" t="str">
        <f>IFERROR(IF(VLOOKUP($G101,BD_PRINCIPAL[],44,FALSE)=0,"",VLOOKUP($G101,BD_PRINCIPAL[],44,FALSE)),"")</f>
        <v/>
      </c>
      <c r="Y101" s="296" t="str">
        <f>IFERROR(IF(VLOOKUP($G101,BD_PRINCIPAL[],45,FALSE)=0,"",VLOOKUP($G101,BD_PRINCIPAL[],45,FALSE)),"")</f>
        <v/>
      </c>
      <c r="Z101" s="296" t="str">
        <f>IFERROR(IF(VLOOKUP($G101,BD_PRINCIPAL[],46,FALSE)=0,"",VLOOKUP($G101,BD_PRINCIPAL[],46,FALSE)),"")</f>
        <v/>
      </c>
      <c r="AA101" s="296" t="str">
        <f>IFERROR(IF(VLOOKUP($G101,BD_PRINCIPAL[],47,FALSE)=0,"",VLOOKUP($G101,BD_PRINCIPAL[],47,FALSE)),"")</f>
        <v/>
      </c>
      <c r="AB101" s="296" t="str">
        <f>IFERROR(IF(VLOOKUP($G101,BD_PRINCIPAL[],48,FALSE)=0,"",VLOOKUP($G101,BD_PRINCIPAL[],48,FALSE)),"")</f>
        <v/>
      </c>
      <c r="AC101" s="296" t="str">
        <f>IFERROR(IF(VLOOKUP($G101,BD_PRINCIPAL[],49,FALSE)=0,"",VLOOKUP($G101,BD_PRINCIPAL[],49,FALSE)),"")</f>
        <v/>
      </c>
      <c r="AD101" s="296" t="str">
        <f>IFERROR(IF(VLOOKUP($G101,BD_PRINCIPAL[],50,FALSE)=0,"",VLOOKUP($G101,BD_PRINCIPAL[],50,FALSE)),"")</f>
        <v/>
      </c>
      <c r="AE101" s="296" t="str">
        <f>IFERROR(IF(VLOOKUP($G101,BD_PRINCIPAL[],51,FALSE)=0,"",VLOOKUP($G101,BD_PRINCIPAL[],51,FALSE)),"")</f>
        <v/>
      </c>
      <c r="AF101" s="296" t="str">
        <f>IFERROR(IF(VLOOKUP($G101,BD_PRINCIPAL[],52,FALSE)=0,"",VLOOKUP($G101,BD_PRINCIPAL[],52,FALSE)),"")</f>
        <v/>
      </c>
      <c r="AG101" s="296" t="str">
        <f>IFERROR(IF(VLOOKUP($G101,BD_PRINCIPAL[],53,FALSE)=0,"",VLOOKUP($G101,BD_PRINCIPAL[],53,FALSE)),"")</f>
        <v/>
      </c>
      <c r="AH101" s="296" t="str">
        <f>IFERROR(IF(VLOOKUP($G101,BD_PRINCIPAL[],54,FALSE)=0,"",VLOOKUP($G101,BD_PRINCIPAL[],54,FALSE)),"")</f>
        <v/>
      </c>
      <c r="AI101" s="296" t="str">
        <f>IFERROR(IF(VLOOKUP($G101,BD_PRINCIPAL[],55,FALSE)=0,"",VLOOKUP($G101,BD_PRINCIPAL[],55,FALSE)),"")</f>
        <v/>
      </c>
      <c r="AJ101" s="296" t="str">
        <f>IFERROR(IF(VLOOKUP($G101,BD_PRINCIPAL[],56,FALSE)=0,"",VLOOKUP($G101,BD_PRINCIPAL[],56,FALSE)),"")</f>
        <v/>
      </c>
      <c r="AK101" s="296" t="str">
        <f>IFERROR(IF(VLOOKUP($G101,BD_PRINCIPAL[],57,FALSE)=0,"",VLOOKUP($G101,BD_PRINCIPAL[],57,FALSE)),"")</f>
        <v/>
      </c>
      <c r="AL101" s="296" t="str">
        <f>IFERROR(IF(VLOOKUP($G101,BD_PRINCIPAL[],58,FALSE)=0,"",VLOOKUP($G101,BD_PRINCIPAL[],58,FALSE)),"")</f>
        <v/>
      </c>
    </row>
    <row r="102" spans="2:38" x14ac:dyDescent="0.3">
      <c r="B102" s="289">
        <f t="shared" si="9"/>
        <v>0</v>
      </c>
      <c r="D102" s="296">
        <v>4</v>
      </c>
      <c r="E102" s="296" t="str">
        <f>IFERROR(VLOOKUP(G102,BD_PRINCIPAL[],7,FALSE),"")</f>
        <v/>
      </c>
      <c r="F102" s="297" t="str">
        <f>IFERROR(VLOOKUP(G102,BD_PRINCIPAL[],2,FALSE),"")</f>
        <v/>
      </c>
      <c r="G102" s="197"/>
      <c r="H102" s="296" t="str">
        <f>IFERROR(IF(VLOOKUP($G102,BD_PRINCIPAL[],28,FALSE)=0,"",VLOOKUP($G102,BD_PRINCIPAL[],28,FALSE)),"")</f>
        <v/>
      </c>
      <c r="I102" s="296" t="str">
        <f>IFERROR(IF(VLOOKUP($G102,BD_PRINCIPAL[],29,FALSE)=0,"",VLOOKUP($G102,BD_PRINCIPAL[],29,FALSE)),"")</f>
        <v/>
      </c>
      <c r="J102" s="296" t="str">
        <f>IFERROR(IF(VLOOKUP($G102,BD_PRINCIPAL[],30,FALSE)=0,"",VLOOKUP($G102,BD_PRINCIPAL[],30,FALSE)),"")</f>
        <v/>
      </c>
      <c r="K102" s="296" t="str">
        <f>IFERROR(IF(VLOOKUP($G102,BD_PRINCIPAL[],31,FALSE)=0,"",VLOOKUP($G102,BD_PRINCIPAL[],31,FALSE)),"")</f>
        <v/>
      </c>
      <c r="L102" s="296" t="str">
        <f>IFERROR(IF(VLOOKUP($G102,BD_PRINCIPAL[],32,FALSE)=0,"",VLOOKUP($G102,BD_PRINCIPAL[],32,FALSE)),"")</f>
        <v/>
      </c>
      <c r="M102" s="296" t="str">
        <f>IFERROR(IF(VLOOKUP($G102,BD_PRINCIPAL[],33,FALSE)=0,"",VLOOKUP($G102,BD_PRINCIPAL[],33,FALSE)),"")</f>
        <v/>
      </c>
      <c r="N102" s="296" t="str">
        <f>IFERROR(IF(VLOOKUP($G102,BD_PRINCIPAL[],34,FALSE)=0,"",VLOOKUP($G102,BD_PRINCIPAL[],34,FALSE)),"")</f>
        <v/>
      </c>
      <c r="O102" s="296" t="str">
        <f>IFERROR(IF(VLOOKUP($G102,BD_PRINCIPAL[],35,FALSE)=0,"",VLOOKUP($G102,BD_PRINCIPAL[],35,FALSE)),"")</f>
        <v/>
      </c>
      <c r="P102" s="296" t="str">
        <f>IFERROR(IF(VLOOKUP($G102,BD_PRINCIPAL[],36,FALSE)=0,"",VLOOKUP($G102,BD_PRINCIPAL[],36,FALSE)),"")</f>
        <v/>
      </c>
      <c r="Q102" s="296" t="str">
        <f>IFERROR(IF(VLOOKUP($G102,BD_PRINCIPAL[],37,FALSE)=0,"",VLOOKUP($G102,BD_PRINCIPAL[],37,FALSE)),"")</f>
        <v/>
      </c>
      <c r="R102" s="296" t="str">
        <f>IFERROR(IF(VLOOKUP($G102,BD_PRINCIPAL[],38,FALSE)=0,"",VLOOKUP($G102,BD_PRINCIPAL[],38,FALSE)),"")</f>
        <v/>
      </c>
      <c r="S102" s="296" t="str">
        <f>IFERROR(IF(VLOOKUP($G102,BD_PRINCIPAL[],39,FALSE)=0,"",VLOOKUP($G102,BD_PRINCIPAL[],39,FALSE)),"")</f>
        <v/>
      </c>
      <c r="T102" s="296" t="str">
        <f>IFERROR(IF(VLOOKUP($G102,BD_PRINCIPAL[],40,FALSE)=0,"",VLOOKUP($G102,BD_PRINCIPAL[],40,FALSE)),"")</f>
        <v/>
      </c>
      <c r="U102" s="296" t="str">
        <f>IFERROR(IF(VLOOKUP($G102,BD_PRINCIPAL[],41,FALSE)=0,"",VLOOKUP($G102,BD_PRINCIPAL[],41,FALSE)),"")</f>
        <v/>
      </c>
      <c r="V102" s="296" t="str">
        <f>IFERROR(IF(VLOOKUP($G102,BD_PRINCIPAL[],42,FALSE)=0,"",VLOOKUP($G102,BD_PRINCIPAL[],42,FALSE)),"")</f>
        <v/>
      </c>
      <c r="W102" s="296" t="str">
        <f>IFERROR(IF(VLOOKUP($G102,BD_PRINCIPAL[],43,FALSE)=0,"",VLOOKUP($G102,BD_PRINCIPAL[],43,FALSE)),"")</f>
        <v/>
      </c>
      <c r="X102" s="296" t="str">
        <f>IFERROR(IF(VLOOKUP($G102,BD_PRINCIPAL[],44,FALSE)=0,"",VLOOKUP($G102,BD_PRINCIPAL[],44,FALSE)),"")</f>
        <v/>
      </c>
      <c r="Y102" s="296" t="str">
        <f>IFERROR(IF(VLOOKUP($G102,BD_PRINCIPAL[],45,FALSE)=0,"",VLOOKUP($G102,BD_PRINCIPAL[],45,FALSE)),"")</f>
        <v/>
      </c>
      <c r="Z102" s="296" t="str">
        <f>IFERROR(IF(VLOOKUP($G102,BD_PRINCIPAL[],46,FALSE)=0,"",VLOOKUP($G102,BD_PRINCIPAL[],46,FALSE)),"")</f>
        <v/>
      </c>
      <c r="AA102" s="296" t="str">
        <f>IFERROR(IF(VLOOKUP($G102,BD_PRINCIPAL[],47,FALSE)=0,"",VLOOKUP($G102,BD_PRINCIPAL[],47,FALSE)),"")</f>
        <v/>
      </c>
      <c r="AB102" s="296" t="str">
        <f>IFERROR(IF(VLOOKUP($G102,BD_PRINCIPAL[],48,FALSE)=0,"",VLOOKUP($G102,BD_PRINCIPAL[],48,FALSE)),"")</f>
        <v/>
      </c>
      <c r="AC102" s="296" t="str">
        <f>IFERROR(IF(VLOOKUP($G102,BD_PRINCIPAL[],49,FALSE)=0,"",VLOOKUP($G102,BD_PRINCIPAL[],49,FALSE)),"")</f>
        <v/>
      </c>
      <c r="AD102" s="296" t="str">
        <f>IFERROR(IF(VLOOKUP($G102,BD_PRINCIPAL[],50,FALSE)=0,"",VLOOKUP($G102,BD_PRINCIPAL[],50,FALSE)),"")</f>
        <v/>
      </c>
      <c r="AE102" s="296" t="str">
        <f>IFERROR(IF(VLOOKUP($G102,BD_PRINCIPAL[],51,FALSE)=0,"",VLOOKUP($G102,BD_PRINCIPAL[],51,FALSE)),"")</f>
        <v/>
      </c>
      <c r="AF102" s="296" t="str">
        <f>IFERROR(IF(VLOOKUP($G102,BD_PRINCIPAL[],52,FALSE)=0,"",VLOOKUP($G102,BD_PRINCIPAL[],52,FALSE)),"")</f>
        <v/>
      </c>
      <c r="AG102" s="296" t="str">
        <f>IFERROR(IF(VLOOKUP($G102,BD_PRINCIPAL[],53,FALSE)=0,"",VLOOKUP($G102,BD_PRINCIPAL[],53,FALSE)),"")</f>
        <v/>
      </c>
      <c r="AH102" s="296" t="str">
        <f>IFERROR(IF(VLOOKUP($G102,BD_PRINCIPAL[],54,FALSE)=0,"",VLOOKUP($G102,BD_PRINCIPAL[],54,FALSE)),"")</f>
        <v/>
      </c>
      <c r="AI102" s="296" t="str">
        <f>IFERROR(IF(VLOOKUP($G102,BD_PRINCIPAL[],55,FALSE)=0,"",VLOOKUP($G102,BD_PRINCIPAL[],55,FALSE)),"")</f>
        <v/>
      </c>
      <c r="AJ102" s="296" t="str">
        <f>IFERROR(IF(VLOOKUP($G102,BD_PRINCIPAL[],56,FALSE)=0,"",VLOOKUP($G102,BD_PRINCIPAL[],56,FALSE)),"")</f>
        <v/>
      </c>
      <c r="AK102" s="296" t="str">
        <f>IFERROR(IF(VLOOKUP($G102,BD_PRINCIPAL[],57,FALSE)=0,"",VLOOKUP($G102,BD_PRINCIPAL[],57,FALSE)),"")</f>
        <v/>
      </c>
      <c r="AL102" s="296" t="str">
        <f>IFERROR(IF(VLOOKUP($G102,BD_PRINCIPAL[],58,FALSE)=0,"",VLOOKUP($G102,BD_PRINCIPAL[],58,FALSE)),"")</f>
        <v/>
      </c>
    </row>
    <row r="103" spans="2:38" x14ac:dyDescent="0.3">
      <c r="B103" s="289">
        <f t="shared" si="9"/>
        <v>0</v>
      </c>
      <c r="D103" s="296">
        <v>5</v>
      </c>
      <c r="E103" s="296" t="str">
        <f>IFERROR(VLOOKUP(G103,BD_PRINCIPAL[],7,FALSE),"")</f>
        <v/>
      </c>
      <c r="F103" s="297" t="str">
        <f>IFERROR(VLOOKUP(G103,BD_PRINCIPAL[],2,FALSE),"")</f>
        <v/>
      </c>
      <c r="G103" s="197"/>
      <c r="H103" s="296" t="str">
        <f>IFERROR(IF(VLOOKUP($G103,BD_PRINCIPAL[],28,FALSE)=0,"",VLOOKUP($G103,BD_PRINCIPAL[],28,FALSE)),"")</f>
        <v/>
      </c>
      <c r="I103" s="296" t="str">
        <f>IFERROR(IF(VLOOKUP($G103,BD_PRINCIPAL[],29,FALSE)=0,"",VLOOKUP($G103,BD_PRINCIPAL[],29,FALSE)),"")</f>
        <v/>
      </c>
      <c r="J103" s="296" t="str">
        <f>IFERROR(IF(VLOOKUP($G103,BD_PRINCIPAL[],30,FALSE)=0,"",VLOOKUP($G103,BD_PRINCIPAL[],30,FALSE)),"")</f>
        <v/>
      </c>
      <c r="K103" s="296" t="str">
        <f>IFERROR(IF(VLOOKUP($G103,BD_PRINCIPAL[],31,FALSE)=0,"",VLOOKUP($G103,BD_PRINCIPAL[],31,FALSE)),"")</f>
        <v/>
      </c>
      <c r="L103" s="296" t="str">
        <f>IFERROR(IF(VLOOKUP($G103,BD_PRINCIPAL[],32,FALSE)=0,"",VLOOKUP($G103,BD_PRINCIPAL[],32,FALSE)),"")</f>
        <v/>
      </c>
      <c r="M103" s="296" t="str">
        <f>IFERROR(IF(VLOOKUP($G103,BD_PRINCIPAL[],33,FALSE)=0,"",VLOOKUP($G103,BD_PRINCIPAL[],33,FALSE)),"")</f>
        <v/>
      </c>
      <c r="N103" s="296" t="str">
        <f>IFERROR(IF(VLOOKUP($G103,BD_PRINCIPAL[],34,FALSE)=0,"",VLOOKUP($G103,BD_PRINCIPAL[],34,FALSE)),"")</f>
        <v/>
      </c>
      <c r="O103" s="296" t="str">
        <f>IFERROR(IF(VLOOKUP($G103,BD_PRINCIPAL[],35,FALSE)=0,"",VLOOKUP($G103,BD_PRINCIPAL[],35,FALSE)),"")</f>
        <v/>
      </c>
      <c r="P103" s="296" t="str">
        <f>IFERROR(IF(VLOOKUP($G103,BD_PRINCIPAL[],36,FALSE)=0,"",VLOOKUP($G103,BD_PRINCIPAL[],36,FALSE)),"")</f>
        <v/>
      </c>
      <c r="Q103" s="296" t="str">
        <f>IFERROR(IF(VLOOKUP($G103,BD_PRINCIPAL[],37,FALSE)=0,"",VLOOKUP($G103,BD_PRINCIPAL[],37,FALSE)),"")</f>
        <v/>
      </c>
      <c r="R103" s="296" t="str">
        <f>IFERROR(IF(VLOOKUP($G103,BD_PRINCIPAL[],38,FALSE)=0,"",VLOOKUP($G103,BD_PRINCIPAL[],38,FALSE)),"")</f>
        <v/>
      </c>
      <c r="S103" s="296" t="str">
        <f>IFERROR(IF(VLOOKUP($G103,BD_PRINCIPAL[],39,FALSE)=0,"",VLOOKUP($G103,BD_PRINCIPAL[],39,FALSE)),"")</f>
        <v/>
      </c>
      <c r="T103" s="296" t="str">
        <f>IFERROR(IF(VLOOKUP($G103,BD_PRINCIPAL[],40,FALSE)=0,"",VLOOKUP($G103,BD_PRINCIPAL[],40,FALSE)),"")</f>
        <v/>
      </c>
      <c r="U103" s="296" t="str">
        <f>IFERROR(IF(VLOOKUP($G103,BD_PRINCIPAL[],41,FALSE)=0,"",VLOOKUP($G103,BD_PRINCIPAL[],41,FALSE)),"")</f>
        <v/>
      </c>
      <c r="V103" s="296" t="str">
        <f>IFERROR(IF(VLOOKUP($G103,BD_PRINCIPAL[],42,FALSE)=0,"",VLOOKUP($G103,BD_PRINCIPAL[],42,FALSE)),"")</f>
        <v/>
      </c>
      <c r="W103" s="296" t="str">
        <f>IFERROR(IF(VLOOKUP($G103,BD_PRINCIPAL[],43,FALSE)=0,"",VLOOKUP($G103,BD_PRINCIPAL[],43,FALSE)),"")</f>
        <v/>
      </c>
      <c r="X103" s="296" t="str">
        <f>IFERROR(IF(VLOOKUP($G103,BD_PRINCIPAL[],44,FALSE)=0,"",VLOOKUP($G103,BD_PRINCIPAL[],44,FALSE)),"")</f>
        <v/>
      </c>
      <c r="Y103" s="296" t="str">
        <f>IFERROR(IF(VLOOKUP($G103,BD_PRINCIPAL[],45,FALSE)=0,"",VLOOKUP($G103,BD_PRINCIPAL[],45,FALSE)),"")</f>
        <v/>
      </c>
      <c r="Z103" s="296" t="str">
        <f>IFERROR(IF(VLOOKUP($G103,BD_PRINCIPAL[],46,FALSE)=0,"",VLOOKUP($G103,BD_PRINCIPAL[],46,FALSE)),"")</f>
        <v/>
      </c>
      <c r="AA103" s="296" t="str">
        <f>IFERROR(IF(VLOOKUP($G103,BD_PRINCIPAL[],47,FALSE)=0,"",VLOOKUP($G103,BD_PRINCIPAL[],47,FALSE)),"")</f>
        <v/>
      </c>
      <c r="AB103" s="296" t="str">
        <f>IFERROR(IF(VLOOKUP($G103,BD_PRINCIPAL[],48,FALSE)=0,"",VLOOKUP($G103,BD_PRINCIPAL[],48,FALSE)),"")</f>
        <v/>
      </c>
      <c r="AC103" s="296" t="str">
        <f>IFERROR(IF(VLOOKUP($G103,BD_PRINCIPAL[],49,FALSE)=0,"",VLOOKUP($G103,BD_PRINCIPAL[],49,FALSE)),"")</f>
        <v/>
      </c>
      <c r="AD103" s="296" t="str">
        <f>IFERROR(IF(VLOOKUP($G103,BD_PRINCIPAL[],50,FALSE)=0,"",VLOOKUP($G103,BD_PRINCIPAL[],50,FALSE)),"")</f>
        <v/>
      </c>
      <c r="AE103" s="296" t="str">
        <f>IFERROR(IF(VLOOKUP($G103,BD_PRINCIPAL[],51,FALSE)=0,"",VLOOKUP($G103,BD_PRINCIPAL[],51,FALSE)),"")</f>
        <v/>
      </c>
      <c r="AF103" s="296" t="str">
        <f>IFERROR(IF(VLOOKUP($G103,BD_PRINCIPAL[],52,FALSE)=0,"",VLOOKUP($G103,BD_PRINCIPAL[],52,FALSE)),"")</f>
        <v/>
      </c>
      <c r="AG103" s="296" t="str">
        <f>IFERROR(IF(VLOOKUP($G103,BD_PRINCIPAL[],53,FALSE)=0,"",VLOOKUP($G103,BD_PRINCIPAL[],53,FALSE)),"")</f>
        <v/>
      </c>
      <c r="AH103" s="296" t="str">
        <f>IFERROR(IF(VLOOKUP($G103,BD_PRINCIPAL[],54,FALSE)=0,"",VLOOKUP($G103,BD_PRINCIPAL[],54,FALSE)),"")</f>
        <v/>
      </c>
      <c r="AI103" s="296" t="str">
        <f>IFERROR(IF(VLOOKUP($G103,BD_PRINCIPAL[],55,FALSE)=0,"",VLOOKUP($G103,BD_PRINCIPAL[],55,FALSE)),"")</f>
        <v/>
      </c>
      <c r="AJ103" s="296" t="str">
        <f>IFERROR(IF(VLOOKUP($G103,BD_PRINCIPAL[],56,FALSE)=0,"",VLOOKUP($G103,BD_PRINCIPAL[],56,FALSE)),"")</f>
        <v/>
      </c>
      <c r="AK103" s="296" t="str">
        <f>IFERROR(IF(VLOOKUP($G103,BD_PRINCIPAL[],57,FALSE)=0,"",VLOOKUP($G103,BD_PRINCIPAL[],57,FALSE)),"")</f>
        <v/>
      </c>
      <c r="AL103" s="296" t="str">
        <f>IFERROR(IF(VLOOKUP($G103,BD_PRINCIPAL[],58,FALSE)=0,"",VLOOKUP($G103,BD_PRINCIPAL[],58,FALSE)),"")</f>
        <v/>
      </c>
    </row>
    <row r="104" spans="2:38" x14ac:dyDescent="0.3">
      <c r="B104" s="289">
        <f t="shared" si="9"/>
        <v>0</v>
      </c>
      <c r="D104" s="296">
        <v>6</v>
      </c>
      <c r="E104" s="296" t="str">
        <f>IFERROR(VLOOKUP(G104,BD_PRINCIPAL[],7,FALSE),"")</f>
        <v/>
      </c>
      <c r="F104" s="297" t="str">
        <f>IFERROR(VLOOKUP(G104,BD_PRINCIPAL[],2,FALSE),"")</f>
        <v/>
      </c>
      <c r="G104" s="321"/>
      <c r="H104" s="296" t="str">
        <f>IFERROR(IF(VLOOKUP($G104,BD_PRINCIPAL[],28,FALSE)=0,"",VLOOKUP($G104,BD_PRINCIPAL[],28,FALSE)),"")</f>
        <v/>
      </c>
      <c r="I104" s="296" t="str">
        <f>IFERROR(IF(VLOOKUP($G104,BD_PRINCIPAL[],29,FALSE)=0,"",VLOOKUP($G104,BD_PRINCIPAL[],29,FALSE)),"")</f>
        <v/>
      </c>
      <c r="J104" s="296" t="str">
        <f>IFERROR(IF(VLOOKUP($G104,BD_PRINCIPAL[],30,FALSE)=0,"",VLOOKUP($G104,BD_PRINCIPAL[],30,FALSE)),"")</f>
        <v/>
      </c>
      <c r="K104" s="296" t="str">
        <f>IFERROR(IF(VLOOKUP($G104,BD_PRINCIPAL[],31,FALSE)=0,"",VLOOKUP($G104,BD_PRINCIPAL[],31,FALSE)),"")</f>
        <v/>
      </c>
      <c r="L104" s="296" t="str">
        <f>IFERROR(IF(VLOOKUP($G104,BD_PRINCIPAL[],32,FALSE)=0,"",VLOOKUP($G104,BD_PRINCIPAL[],32,FALSE)),"")</f>
        <v/>
      </c>
      <c r="M104" s="296" t="str">
        <f>IFERROR(IF(VLOOKUP($G104,BD_PRINCIPAL[],33,FALSE)=0,"",VLOOKUP($G104,BD_PRINCIPAL[],33,FALSE)),"")</f>
        <v/>
      </c>
      <c r="N104" s="296" t="str">
        <f>IFERROR(IF(VLOOKUP($G104,BD_PRINCIPAL[],34,FALSE)=0,"",VLOOKUP($G104,BD_PRINCIPAL[],34,FALSE)),"")</f>
        <v/>
      </c>
      <c r="O104" s="296" t="str">
        <f>IFERROR(IF(VLOOKUP($G104,BD_PRINCIPAL[],35,FALSE)=0,"",VLOOKUP($G104,BD_PRINCIPAL[],35,FALSE)),"")</f>
        <v/>
      </c>
      <c r="P104" s="296" t="str">
        <f>IFERROR(IF(VLOOKUP($G104,BD_PRINCIPAL[],36,FALSE)=0,"",VLOOKUP($G104,BD_PRINCIPAL[],36,FALSE)),"")</f>
        <v/>
      </c>
      <c r="Q104" s="296" t="str">
        <f>IFERROR(IF(VLOOKUP($G104,BD_PRINCIPAL[],37,FALSE)=0,"",VLOOKUP($G104,BD_PRINCIPAL[],37,FALSE)),"")</f>
        <v/>
      </c>
      <c r="R104" s="296" t="str">
        <f>IFERROR(IF(VLOOKUP($G104,BD_PRINCIPAL[],38,FALSE)=0,"",VLOOKUP($G104,BD_PRINCIPAL[],38,FALSE)),"")</f>
        <v/>
      </c>
      <c r="S104" s="296" t="str">
        <f>IFERROR(IF(VLOOKUP($G104,BD_PRINCIPAL[],39,FALSE)=0,"",VLOOKUP($G104,BD_PRINCIPAL[],39,FALSE)),"")</f>
        <v/>
      </c>
      <c r="T104" s="296" t="str">
        <f>IFERROR(IF(VLOOKUP($G104,BD_PRINCIPAL[],40,FALSE)=0,"",VLOOKUP($G104,BD_PRINCIPAL[],40,FALSE)),"")</f>
        <v/>
      </c>
      <c r="U104" s="296" t="str">
        <f>IFERROR(IF(VLOOKUP($G104,BD_PRINCIPAL[],41,FALSE)=0,"",VLOOKUP($G104,BD_PRINCIPAL[],41,FALSE)),"")</f>
        <v/>
      </c>
      <c r="V104" s="296" t="str">
        <f>IFERROR(IF(VLOOKUP($G104,BD_PRINCIPAL[],42,FALSE)=0,"",VLOOKUP($G104,BD_PRINCIPAL[],42,FALSE)),"")</f>
        <v/>
      </c>
      <c r="W104" s="296" t="str">
        <f>IFERROR(IF(VLOOKUP($G104,BD_PRINCIPAL[],43,FALSE)=0,"",VLOOKUP($G104,BD_PRINCIPAL[],43,FALSE)),"")</f>
        <v/>
      </c>
      <c r="X104" s="296" t="str">
        <f>IFERROR(IF(VLOOKUP($G104,BD_PRINCIPAL[],44,FALSE)=0,"",VLOOKUP($G104,BD_PRINCIPAL[],44,FALSE)),"")</f>
        <v/>
      </c>
      <c r="Y104" s="296" t="str">
        <f>IFERROR(IF(VLOOKUP($G104,BD_PRINCIPAL[],45,FALSE)=0,"",VLOOKUP($G104,BD_PRINCIPAL[],45,FALSE)),"")</f>
        <v/>
      </c>
      <c r="Z104" s="296" t="str">
        <f>IFERROR(IF(VLOOKUP($G104,BD_PRINCIPAL[],46,FALSE)=0,"",VLOOKUP($G104,BD_PRINCIPAL[],46,FALSE)),"")</f>
        <v/>
      </c>
      <c r="AA104" s="296" t="str">
        <f>IFERROR(IF(VLOOKUP($G104,BD_PRINCIPAL[],47,FALSE)=0,"",VLOOKUP($G104,BD_PRINCIPAL[],47,FALSE)),"")</f>
        <v/>
      </c>
      <c r="AB104" s="296" t="str">
        <f>IFERROR(IF(VLOOKUP($G104,BD_PRINCIPAL[],48,FALSE)=0,"",VLOOKUP($G104,BD_PRINCIPAL[],48,FALSE)),"")</f>
        <v/>
      </c>
      <c r="AC104" s="296" t="str">
        <f>IFERROR(IF(VLOOKUP($G104,BD_PRINCIPAL[],49,FALSE)=0,"",VLOOKUP($G104,BD_PRINCIPAL[],49,FALSE)),"")</f>
        <v/>
      </c>
      <c r="AD104" s="296" t="str">
        <f>IFERROR(IF(VLOOKUP($G104,BD_PRINCIPAL[],50,FALSE)=0,"",VLOOKUP($G104,BD_PRINCIPAL[],50,FALSE)),"")</f>
        <v/>
      </c>
      <c r="AE104" s="296" t="str">
        <f>IFERROR(IF(VLOOKUP($G104,BD_PRINCIPAL[],51,FALSE)=0,"",VLOOKUP($G104,BD_PRINCIPAL[],51,FALSE)),"")</f>
        <v/>
      </c>
      <c r="AF104" s="296" t="str">
        <f>IFERROR(IF(VLOOKUP($G104,BD_PRINCIPAL[],52,FALSE)=0,"",VLOOKUP($G104,BD_PRINCIPAL[],52,FALSE)),"")</f>
        <v/>
      </c>
      <c r="AG104" s="296" t="str">
        <f>IFERROR(IF(VLOOKUP($G104,BD_PRINCIPAL[],53,FALSE)=0,"",VLOOKUP($G104,BD_PRINCIPAL[],53,FALSE)),"")</f>
        <v/>
      </c>
      <c r="AH104" s="296" t="str">
        <f>IFERROR(IF(VLOOKUP($G104,BD_PRINCIPAL[],54,FALSE)=0,"",VLOOKUP($G104,BD_PRINCIPAL[],54,FALSE)),"")</f>
        <v/>
      </c>
      <c r="AI104" s="296" t="str">
        <f>IFERROR(IF(VLOOKUP($G104,BD_PRINCIPAL[],55,FALSE)=0,"",VLOOKUP($G104,BD_PRINCIPAL[],55,FALSE)),"")</f>
        <v/>
      </c>
      <c r="AJ104" s="296" t="str">
        <f>IFERROR(IF(VLOOKUP($G104,BD_PRINCIPAL[],56,FALSE)=0,"",VLOOKUP($G104,BD_PRINCIPAL[],56,FALSE)),"")</f>
        <v/>
      </c>
      <c r="AK104" s="296" t="str">
        <f>IFERROR(IF(VLOOKUP($G104,BD_PRINCIPAL[],57,FALSE)=0,"",VLOOKUP($G104,BD_PRINCIPAL[],57,FALSE)),"")</f>
        <v/>
      </c>
      <c r="AL104" s="296" t="str">
        <f>IFERROR(IF(VLOOKUP($G104,BD_PRINCIPAL[],58,FALSE)=0,"",VLOOKUP($G104,BD_PRINCIPAL[],58,FALSE)),"")</f>
        <v/>
      </c>
    </row>
    <row r="105" spans="2:38" x14ac:dyDescent="0.3">
      <c r="B105" s="289">
        <f t="shared" si="9"/>
        <v>0</v>
      </c>
      <c r="D105" s="296">
        <v>7</v>
      </c>
      <c r="E105" s="296" t="str">
        <f>IFERROR(VLOOKUP(G105,BD_PRINCIPAL[],7,FALSE),"")</f>
        <v/>
      </c>
      <c r="F105" s="297" t="str">
        <f>IFERROR(VLOOKUP(G105,BD_PRINCIPAL[],2,FALSE),"")</f>
        <v/>
      </c>
      <c r="G105" s="321"/>
      <c r="H105" s="296" t="str">
        <f>IFERROR(IF(VLOOKUP($G105,BD_PRINCIPAL[],28,FALSE)=0,"",VLOOKUP($G105,BD_PRINCIPAL[],28,FALSE)),"")</f>
        <v/>
      </c>
      <c r="I105" s="296" t="str">
        <f>IFERROR(IF(VLOOKUP($G105,BD_PRINCIPAL[],29,FALSE)=0,"",VLOOKUP($G105,BD_PRINCIPAL[],29,FALSE)),"")</f>
        <v/>
      </c>
      <c r="J105" s="296" t="str">
        <f>IFERROR(IF(VLOOKUP($G105,BD_PRINCIPAL[],30,FALSE)=0,"",VLOOKUP($G105,BD_PRINCIPAL[],30,FALSE)),"")</f>
        <v/>
      </c>
      <c r="K105" s="296" t="str">
        <f>IFERROR(IF(VLOOKUP($G105,BD_PRINCIPAL[],31,FALSE)=0,"",VLOOKUP($G105,BD_PRINCIPAL[],31,FALSE)),"")</f>
        <v/>
      </c>
      <c r="L105" s="296" t="str">
        <f>IFERROR(IF(VLOOKUP($G105,BD_PRINCIPAL[],32,FALSE)=0,"",VLOOKUP($G105,BD_PRINCIPAL[],32,FALSE)),"")</f>
        <v/>
      </c>
      <c r="M105" s="296" t="str">
        <f>IFERROR(IF(VLOOKUP($G105,BD_PRINCIPAL[],33,FALSE)=0,"",VLOOKUP($G105,BD_PRINCIPAL[],33,FALSE)),"")</f>
        <v/>
      </c>
      <c r="N105" s="296" t="str">
        <f>IFERROR(IF(VLOOKUP($G105,BD_PRINCIPAL[],34,FALSE)=0,"",VLOOKUP($G105,BD_PRINCIPAL[],34,FALSE)),"")</f>
        <v/>
      </c>
      <c r="O105" s="296" t="str">
        <f>IFERROR(IF(VLOOKUP($G105,BD_PRINCIPAL[],35,FALSE)=0,"",VLOOKUP($G105,BD_PRINCIPAL[],35,FALSE)),"")</f>
        <v/>
      </c>
      <c r="P105" s="296" t="str">
        <f>IFERROR(IF(VLOOKUP($G105,BD_PRINCIPAL[],36,FALSE)=0,"",VLOOKUP($G105,BD_PRINCIPAL[],36,FALSE)),"")</f>
        <v/>
      </c>
      <c r="Q105" s="296" t="str">
        <f>IFERROR(IF(VLOOKUP($G105,BD_PRINCIPAL[],37,FALSE)=0,"",VLOOKUP($G105,BD_PRINCIPAL[],37,FALSE)),"")</f>
        <v/>
      </c>
      <c r="R105" s="296" t="str">
        <f>IFERROR(IF(VLOOKUP($G105,BD_PRINCIPAL[],38,FALSE)=0,"",VLOOKUP($G105,BD_PRINCIPAL[],38,FALSE)),"")</f>
        <v/>
      </c>
      <c r="S105" s="296" t="str">
        <f>IFERROR(IF(VLOOKUP($G105,BD_PRINCIPAL[],39,FALSE)=0,"",VLOOKUP($G105,BD_PRINCIPAL[],39,FALSE)),"")</f>
        <v/>
      </c>
      <c r="T105" s="296" t="str">
        <f>IFERROR(IF(VLOOKUP($G105,BD_PRINCIPAL[],40,FALSE)=0,"",VLOOKUP($G105,BD_PRINCIPAL[],40,FALSE)),"")</f>
        <v/>
      </c>
      <c r="U105" s="296" t="str">
        <f>IFERROR(IF(VLOOKUP($G105,BD_PRINCIPAL[],41,FALSE)=0,"",VLOOKUP($G105,BD_PRINCIPAL[],41,FALSE)),"")</f>
        <v/>
      </c>
      <c r="V105" s="296" t="str">
        <f>IFERROR(IF(VLOOKUP($G105,BD_PRINCIPAL[],42,FALSE)=0,"",VLOOKUP($G105,BD_PRINCIPAL[],42,FALSE)),"")</f>
        <v/>
      </c>
      <c r="W105" s="296" t="str">
        <f>IFERROR(IF(VLOOKUP($G105,BD_PRINCIPAL[],43,FALSE)=0,"",VLOOKUP($G105,BD_PRINCIPAL[],43,FALSE)),"")</f>
        <v/>
      </c>
      <c r="X105" s="296" t="str">
        <f>IFERROR(IF(VLOOKUP($G105,BD_PRINCIPAL[],44,FALSE)=0,"",VLOOKUP($G105,BD_PRINCIPAL[],44,FALSE)),"")</f>
        <v/>
      </c>
      <c r="Y105" s="296" t="str">
        <f>IFERROR(IF(VLOOKUP($G105,BD_PRINCIPAL[],45,FALSE)=0,"",VLOOKUP($G105,BD_PRINCIPAL[],45,FALSE)),"")</f>
        <v/>
      </c>
      <c r="Z105" s="296" t="str">
        <f>IFERROR(IF(VLOOKUP($G105,BD_PRINCIPAL[],46,FALSE)=0,"",VLOOKUP($G105,BD_PRINCIPAL[],46,FALSE)),"")</f>
        <v/>
      </c>
      <c r="AA105" s="296" t="str">
        <f>IFERROR(IF(VLOOKUP($G105,BD_PRINCIPAL[],47,FALSE)=0,"",VLOOKUP($G105,BD_PRINCIPAL[],47,FALSE)),"")</f>
        <v/>
      </c>
      <c r="AB105" s="296" t="str">
        <f>IFERROR(IF(VLOOKUP($G105,BD_PRINCIPAL[],48,FALSE)=0,"",VLOOKUP($G105,BD_PRINCIPAL[],48,FALSE)),"")</f>
        <v/>
      </c>
      <c r="AC105" s="296" t="str">
        <f>IFERROR(IF(VLOOKUP($G105,BD_PRINCIPAL[],49,FALSE)=0,"",VLOOKUP($G105,BD_PRINCIPAL[],49,FALSE)),"")</f>
        <v/>
      </c>
      <c r="AD105" s="296" t="str">
        <f>IFERROR(IF(VLOOKUP($G105,BD_PRINCIPAL[],50,FALSE)=0,"",VLOOKUP($G105,BD_PRINCIPAL[],50,FALSE)),"")</f>
        <v/>
      </c>
      <c r="AE105" s="296" t="str">
        <f>IFERROR(IF(VLOOKUP($G105,BD_PRINCIPAL[],51,FALSE)=0,"",VLOOKUP($G105,BD_PRINCIPAL[],51,FALSE)),"")</f>
        <v/>
      </c>
      <c r="AF105" s="296" t="str">
        <f>IFERROR(IF(VLOOKUP($G105,BD_PRINCIPAL[],52,FALSE)=0,"",VLOOKUP($G105,BD_PRINCIPAL[],52,FALSE)),"")</f>
        <v/>
      </c>
      <c r="AG105" s="296" t="str">
        <f>IFERROR(IF(VLOOKUP($G105,BD_PRINCIPAL[],53,FALSE)=0,"",VLOOKUP($G105,BD_PRINCIPAL[],53,FALSE)),"")</f>
        <v/>
      </c>
      <c r="AH105" s="296" t="str">
        <f>IFERROR(IF(VLOOKUP($G105,BD_PRINCIPAL[],54,FALSE)=0,"",VLOOKUP($G105,BD_PRINCIPAL[],54,FALSE)),"")</f>
        <v/>
      </c>
      <c r="AI105" s="296" t="str">
        <f>IFERROR(IF(VLOOKUP($G105,BD_PRINCIPAL[],55,FALSE)=0,"",VLOOKUP($G105,BD_PRINCIPAL[],55,FALSE)),"")</f>
        <v/>
      </c>
      <c r="AJ105" s="296" t="str">
        <f>IFERROR(IF(VLOOKUP($G105,BD_PRINCIPAL[],56,FALSE)=0,"",VLOOKUP($G105,BD_PRINCIPAL[],56,FALSE)),"")</f>
        <v/>
      </c>
      <c r="AK105" s="296" t="str">
        <f>IFERROR(IF(VLOOKUP($G105,BD_PRINCIPAL[],57,FALSE)=0,"",VLOOKUP($G105,BD_PRINCIPAL[],57,FALSE)),"")</f>
        <v/>
      </c>
      <c r="AL105" s="296" t="str">
        <f>IFERROR(IF(VLOOKUP($G105,BD_PRINCIPAL[],58,FALSE)=0,"",VLOOKUP($G105,BD_PRINCIPAL[],58,FALSE)),"")</f>
        <v/>
      </c>
    </row>
    <row r="106" spans="2:38" x14ac:dyDescent="0.3">
      <c r="B106" s="289">
        <f t="shared" si="9"/>
        <v>0</v>
      </c>
      <c r="D106" s="296">
        <v>8</v>
      </c>
      <c r="E106" s="296" t="str">
        <f>IFERROR(VLOOKUP(G106,BD_PRINCIPAL[],7,FALSE),"")</f>
        <v/>
      </c>
      <c r="F106" s="297" t="str">
        <f>IFERROR(VLOOKUP(G106,BD_PRINCIPAL[],2,FALSE),"")</f>
        <v/>
      </c>
      <c r="G106" s="321"/>
      <c r="H106" s="296" t="str">
        <f>IFERROR(IF(VLOOKUP($G106,BD_PRINCIPAL[],28,FALSE)=0,"",VLOOKUP($G106,BD_PRINCIPAL[],28,FALSE)),"")</f>
        <v/>
      </c>
      <c r="I106" s="296" t="str">
        <f>IFERROR(IF(VLOOKUP($G106,BD_PRINCIPAL[],29,FALSE)=0,"",VLOOKUP($G106,BD_PRINCIPAL[],29,FALSE)),"")</f>
        <v/>
      </c>
      <c r="J106" s="296" t="str">
        <f>IFERROR(IF(VLOOKUP($G106,BD_PRINCIPAL[],30,FALSE)=0,"",VLOOKUP($G106,BD_PRINCIPAL[],30,FALSE)),"")</f>
        <v/>
      </c>
      <c r="K106" s="296" t="str">
        <f>IFERROR(IF(VLOOKUP($G106,BD_PRINCIPAL[],31,FALSE)=0,"",VLOOKUP($G106,BD_PRINCIPAL[],31,FALSE)),"")</f>
        <v/>
      </c>
      <c r="L106" s="296" t="str">
        <f>IFERROR(IF(VLOOKUP($G106,BD_PRINCIPAL[],32,FALSE)=0,"",VLOOKUP($G106,BD_PRINCIPAL[],32,FALSE)),"")</f>
        <v/>
      </c>
      <c r="M106" s="296" t="str">
        <f>IFERROR(IF(VLOOKUP($G106,BD_PRINCIPAL[],33,FALSE)=0,"",VLOOKUP($G106,BD_PRINCIPAL[],33,FALSE)),"")</f>
        <v/>
      </c>
      <c r="N106" s="296" t="str">
        <f>IFERROR(IF(VLOOKUP($G106,BD_PRINCIPAL[],34,FALSE)=0,"",VLOOKUP($G106,BD_PRINCIPAL[],34,FALSE)),"")</f>
        <v/>
      </c>
      <c r="O106" s="296" t="str">
        <f>IFERROR(IF(VLOOKUP($G106,BD_PRINCIPAL[],35,FALSE)=0,"",VLOOKUP($G106,BD_PRINCIPAL[],35,FALSE)),"")</f>
        <v/>
      </c>
      <c r="P106" s="296" t="str">
        <f>IFERROR(IF(VLOOKUP($G106,BD_PRINCIPAL[],36,FALSE)=0,"",VLOOKUP($G106,BD_PRINCIPAL[],36,FALSE)),"")</f>
        <v/>
      </c>
      <c r="Q106" s="296" t="str">
        <f>IFERROR(IF(VLOOKUP($G106,BD_PRINCIPAL[],37,FALSE)=0,"",VLOOKUP($G106,BD_PRINCIPAL[],37,FALSE)),"")</f>
        <v/>
      </c>
      <c r="R106" s="296" t="str">
        <f>IFERROR(IF(VLOOKUP($G106,BD_PRINCIPAL[],38,FALSE)=0,"",VLOOKUP($G106,BD_PRINCIPAL[],38,FALSE)),"")</f>
        <v/>
      </c>
      <c r="S106" s="296" t="str">
        <f>IFERROR(IF(VLOOKUP($G106,BD_PRINCIPAL[],39,FALSE)=0,"",VLOOKUP($G106,BD_PRINCIPAL[],39,FALSE)),"")</f>
        <v/>
      </c>
      <c r="T106" s="296" t="str">
        <f>IFERROR(IF(VLOOKUP($G106,BD_PRINCIPAL[],40,FALSE)=0,"",VLOOKUP($G106,BD_PRINCIPAL[],40,FALSE)),"")</f>
        <v/>
      </c>
      <c r="U106" s="296" t="str">
        <f>IFERROR(IF(VLOOKUP($G106,BD_PRINCIPAL[],41,FALSE)=0,"",VLOOKUP($G106,BD_PRINCIPAL[],41,FALSE)),"")</f>
        <v/>
      </c>
      <c r="V106" s="296" t="str">
        <f>IFERROR(IF(VLOOKUP($G106,BD_PRINCIPAL[],42,FALSE)=0,"",VLOOKUP($G106,BD_PRINCIPAL[],42,FALSE)),"")</f>
        <v/>
      </c>
      <c r="W106" s="296" t="str">
        <f>IFERROR(IF(VLOOKUP($G106,BD_PRINCIPAL[],43,FALSE)=0,"",VLOOKUP($G106,BD_PRINCIPAL[],43,FALSE)),"")</f>
        <v/>
      </c>
      <c r="X106" s="296" t="str">
        <f>IFERROR(IF(VLOOKUP($G106,BD_PRINCIPAL[],44,FALSE)=0,"",VLOOKUP($G106,BD_PRINCIPAL[],44,FALSE)),"")</f>
        <v/>
      </c>
      <c r="Y106" s="296" t="str">
        <f>IFERROR(IF(VLOOKUP($G106,BD_PRINCIPAL[],45,FALSE)=0,"",VLOOKUP($G106,BD_PRINCIPAL[],45,FALSE)),"")</f>
        <v/>
      </c>
      <c r="Z106" s="296" t="str">
        <f>IFERROR(IF(VLOOKUP($G106,BD_PRINCIPAL[],46,FALSE)=0,"",VLOOKUP($G106,BD_PRINCIPAL[],46,FALSE)),"")</f>
        <v/>
      </c>
      <c r="AA106" s="296" t="str">
        <f>IFERROR(IF(VLOOKUP($G106,BD_PRINCIPAL[],47,FALSE)=0,"",VLOOKUP($G106,BD_PRINCIPAL[],47,FALSE)),"")</f>
        <v/>
      </c>
      <c r="AB106" s="296" t="str">
        <f>IFERROR(IF(VLOOKUP($G106,BD_PRINCIPAL[],48,FALSE)=0,"",VLOOKUP($G106,BD_PRINCIPAL[],48,FALSE)),"")</f>
        <v/>
      </c>
      <c r="AC106" s="296" t="str">
        <f>IFERROR(IF(VLOOKUP($G106,BD_PRINCIPAL[],49,FALSE)=0,"",VLOOKUP($G106,BD_PRINCIPAL[],49,FALSE)),"")</f>
        <v/>
      </c>
      <c r="AD106" s="296" t="str">
        <f>IFERROR(IF(VLOOKUP($G106,BD_PRINCIPAL[],50,FALSE)=0,"",VLOOKUP($G106,BD_PRINCIPAL[],50,FALSE)),"")</f>
        <v/>
      </c>
      <c r="AE106" s="296" t="str">
        <f>IFERROR(IF(VLOOKUP($G106,BD_PRINCIPAL[],51,FALSE)=0,"",VLOOKUP($G106,BD_PRINCIPAL[],51,FALSE)),"")</f>
        <v/>
      </c>
      <c r="AF106" s="296" t="str">
        <f>IFERROR(IF(VLOOKUP($G106,BD_PRINCIPAL[],52,FALSE)=0,"",VLOOKUP($G106,BD_PRINCIPAL[],52,FALSE)),"")</f>
        <v/>
      </c>
      <c r="AG106" s="296" t="str">
        <f>IFERROR(IF(VLOOKUP($G106,BD_PRINCIPAL[],53,FALSE)=0,"",VLOOKUP($G106,BD_PRINCIPAL[],53,FALSE)),"")</f>
        <v/>
      </c>
      <c r="AH106" s="296" t="str">
        <f>IFERROR(IF(VLOOKUP($G106,BD_PRINCIPAL[],54,FALSE)=0,"",VLOOKUP($G106,BD_PRINCIPAL[],54,FALSE)),"")</f>
        <v/>
      </c>
      <c r="AI106" s="296" t="str">
        <f>IFERROR(IF(VLOOKUP($G106,BD_PRINCIPAL[],55,FALSE)=0,"",VLOOKUP($G106,BD_PRINCIPAL[],55,FALSE)),"")</f>
        <v/>
      </c>
      <c r="AJ106" s="296" t="str">
        <f>IFERROR(IF(VLOOKUP($G106,BD_PRINCIPAL[],56,FALSE)=0,"",VLOOKUP($G106,BD_PRINCIPAL[],56,FALSE)),"")</f>
        <v/>
      </c>
      <c r="AK106" s="296" t="str">
        <f>IFERROR(IF(VLOOKUP($G106,BD_PRINCIPAL[],57,FALSE)=0,"",VLOOKUP($G106,BD_PRINCIPAL[],57,FALSE)),"")</f>
        <v/>
      </c>
      <c r="AL106" s="296" t="str">
        <f>IFERROR(IF(VLOOKUP($G106,BD_PRINCIPAL[],58,FALSE)=0,"",VLOOKUP($G106,BD_PRINCIPAL[],58,FALSE)),"")</f>
        <v/>
      </c>
    </row>
    <row r="107" spans="2:38" x14ac:dyDescent="0.3">
      <c r="B107" s="289">
        <f t="shared" si="9"/>
        <v>0</v>
      </c>
      <c r="D107" s="296">
        <v>9</v>
      </c>
      <c r="E107" s="296" t="str">
        <f>IFERROR(VLOOKUP(G107,BD_PRINCIPAL[],7,FALSE),"")</f>
        <v/>
      </c>
      <c r="F107" s="297" t="str">
        <f>IFERROR(VLOOKUP(G107,BD_PRINCIPAL[],2,FALSE),"")</f>
        <v/>
      </c>
      <c r="G107" s="321"/>
      <c r="H107" s="296" t="str">
        <f>IFERROR(IF(VLOOKUP($G107,BD_PRINCIPAL[],28,FALSE)=0,"",VLOOKUP($G107,BD_PRINCIPAL[],28,FALSE)),"")</f>
        <v/>
      </c>
      <c r="I107" s="296" t="str">
        <f>IFERROR(IF(VLOOKUP($G107,BD_PRINCIPAL[],29,FALSE)=0,"",VLOOKUP($G107,BD_PRINCIPAL[],29,FALSE)),"")</f>
        <v/>
      </c>
      <c r="J107" s="296" t="str">
        <f>IFERROR(IF(VLOOKUP($G107,BD_PRINCIPAL[],30,FALSE)=0,"",VLOOKUP($G107,BD_PRINCIPAL[],30,FALSE)),"")</f>
        <v/>
      </c>
      <c r="K107" s="296" t="str">
        <f>IFERROR(IF(VLOOKUP($G107,BD_PRINCIPAL[],31,FALSE)=0,"",VLOOKUP($G107,BD_PRINCIPAL[],31,FALSE)),"")</f>
        <v/>
      </c>
      <c r="L107" s="296" t="str">
        <f>IFERROR(IF(VLOOKUP($G107,BD_PRINCIPAL[],32,FALSE)=0,"",VLOOKUP($G107,BD_PRINCIPAL[],32,FALSE)),"")</f>
        <v/>
      </c>
      <c r="M107" s="296" t="str">
        <f>IFERROR(IF(VLOOKUP($G107,BD_PRINCIPAL[],33,FALSE)=0,"",VLOOKUP($G107,BD_PRINCIPAL[],33,FALSE)),"")</f>
        <v/>
      </c>
      <c r="N107" s="296" t="str">
        <f>IFERROR(IF(VLOOKUP($G107,BD_PRINCIPAL[],34,FALSE)=0,"",VLOOKUP($G107,BD_PRINCIPAL[],34,FALSE)),"")</f>
        <v/>
      </c>
      <c r="O107" s="296" t="str">
        <f>IFERROR(IF(VLOOKUP($G107,BD_PRINCIPAL[],35,FALSE)=0,"",VLOOKUP($G107,BD_PRINCIPAL[],35,FALSE)),"")</f>
        <v/>
      </c>
      <c r="P107" s="296" t="str">
        <f>IFERROR(IF(VLOOKUP($G107,BD_PRINCIPAL[],36,FALSE)=0,"",VLOOKUP($G107,BD_PRINCIPAL[],36,FALSE)),"")</f>
        <v/>
      </c>
      <c r="Q107" s="296" t="str">
        <f>IFERROR(IF(VLOOKUP($G107,BD_PRINCIPAL[],37,FALSE)=0,"",VLOOKUP($G107,BD_PRINCIPAL[],37,FALSE)),"")</f>
        <v/>
      </c>
      <c r="R107" s="296" t="str">
        <f>IFERROR(IF(VLOOKUP($G107,BD_PRINCIPAL[],38,FALSE)=0,"",VLOOKUP($G107,BD_PRINCIPAL[],38,FALSE)),"")</f>
        <v/>
      </c>
      <c r="S107" s="296" t="str">
        <f>IFERROR(IF(VLOOKUP($G107,BD_PRINCIPAL[],39,FALSE)=0,"",VLOOKUP($G107,BD_PRINCIPAL[],39,FALSE)),"")</f>
        <v/>
      </c>
      <c r="T107" s="296" t="str">
        <f>IFERROR(IF(VLOOKUP($G107,BD_PRINCIPAL[],40,FALSE)=0,"",VLOOKUP($G107,BD_PRINCIPAL[],40,FALSE)),"")</f>
        <v/>
      </c>
      <c r="U107" s="296" t="str">
        <f>IFERROR(IF(VLOOKUP($G107,BD_PRINCIPAL[],41,FALSE)=0,"",VLOOKUP($G107,BD_PRINCIPAL[],41,FALSE)),"")</f>
        <v/>
      </c>
      <c r="V107" s="296" t="str">
        <f>IFERROR(IF(VLOOKUP($G107,BD_PRINCIPAL[],42,FALSE)=0,"",VLOOKUP($G107,BD_PRINCIPAL[],42,FALSE)),"")</f>
        <v/>
      </c>
      <c r="W107" s="296" t="str">
        <f>IFERROR(IF(VLOOKUP($G107,BD_PRINCIPAL[],43,FALSE)=0,"",VLOOKUP($G107,BD_PRINCIPAL[],43,FALSE)),"")</f>
        <v/>
      </c>
      <c r="X107" s="296" t="str">
        <f>IFERROR(IF(VLOOKUP($G107,BD_PRINCIPAL[],44,FALSE)=0,"",VLOOKUP($G107,BD_PRINCIPAL[],44,FALSE)),"")</f>
        <v/>
      </c>
      <c r="Y107" s="296" t="str">
        <f>IFERROR(IF(VLOOKUP($G107,BD_PRINCIPAL[],45,FALSE)=0,"",VLOOKUP($G107,BD_PRINCIPAL[],45,FALSE)),"")</f>
        <v/>
      </c>
      <c r="Z107" s="296" t="str">
        <f>IFERROR(IF(VLOOKUP($G107,BD_PRINCIPAL[],46,FALSE)=0,"",VLOOKUP($G107,BD_PRINCIPAL[],46,FALSE)),"")</f>
        <v/>
      </c>
      <c r="AA107" s="296" t="str">
        <f>IFERROR(IF(VLOOKUP($G107,BD_PRINCIPAL[],47,FALSE)=0,"",VLOOKUP($G107,BD_PRINCIPAL[],47,FALSE)),"")</f>
        <v/>
      </c>
      <c r="AB107" s="296" t="str">
        <f>IFERROR(IF(VLOOKUP($G107,BD_PRINCIPAL[],48,FALSE)=0,"",VLOOKUP($G107,BD_PRINCIPAL[],48,FALSE)),"")</f>
        <v/>
      </c>
      <c r="AC107" s="296" t="str">
        <f>IFERROR(IF(VLOOKUP($G107,BD_PRINCIPAL[],49,FALSE)=0,"",VLOOKUP($G107,BD_PRINCIPAL[],49,FALSE)),"")</f>
        <v/>
      </c>
      <c r="AD107" s="296" t="str">
        <f>IFERROR(IF(VLOOKUP($G107,BD_PRINCIPAL[],50,FALSE)=0,"",VLOOKUP($G107,BD_PRINCIPAL[],50,FALSE)),"")</f>
        <v/>
      </c>
      <c r="AE107" s="296" t="str">
        <f>IFERROR(IF(VLOOKUP($G107,BD_PRINCIPAL[],51,FALSE)=0,"",VLOOKUP($G107,BD_PRINCIPAL[],51,FALSE)),"")</f>
        <v/>
      </c>
      <c r="AF107" s="296" t="str">
        <f>IFERROR(IF(VLOOKUP($G107,BD_PRINCIPAL[],52,FALSE)=0,"",VLOOKUP($G107,BD_PRINCIPAL[],52,FALSE)),"")</f>
        <v/>
      </c>
      <c r="AG107" s="296" t="str">
        <f>IFERROR(IF(VLOOKUP($G107,BD_PRINCIPAL[],53,FALSE)=0,"",VLOOKUP($G107,BD_PRINCIPAL[],53,FALSE)),"")</f>
        <v/>
      </c>
      <c r="AH107" s="296" t="str">
        <f>IFERROR(IF(VLOOKUP($G107,BD_PRINCIPAL[],54,FALSE)=0,"",VLOOKUP($G107,BD_PRINCIPAL[],54,FALSE)),"")</f>
        <v/>
      </c>
      <c r="AI107" s="296" t="str">
        <f>IFERROR(IF(VLOOKUP($G107,BD_PRINCIPAL[],55,FALSE)=0,"",VLOOKUP($G107,BD_PRINCIPAL[],55,FALSE)),"")</f>
        <v/>
      </c>
      <c r="AJ107" s="296" t="str">
        <f>IFERROR(IF(VLOOKUP($G107,BD_PRINCIPAL[],56,FALSE)=0,"",VLOOKUP($G107,BD_PRINCIPAL[],56,FALSE)),"")</f>
        <v/>
      </c>
      <c r="AK107" s="296" t="str">
        <f>IFERROR(IF(VLOOKUP($G107,BD_PRINCIPAL[],57,FALSE)=0,"",VLOOKUP($G107,BD_PRINCIPAL[],57,FALSE)),"")</f>
        <v/>
      </c>
      <c r="AL107" s="296" t="str">
        <f>IFERROR(IF(VLOOKUP($G107,BD_PRINCIPAL[],58,FALSE)=0,"",VLOOKUP($G107,BD_PRINCIPAL[],58,FALSE)),"")</f>
        <v/>
      </c>
    </row>
    <row r="108" spans="2:38" x14ac:dyDescent="0.3">
      <c r="B108" s="289">
        <f t="shared" si="9"/>
        <v>0</v>
      </c>
      <c r="D108" s="296">
        <v>10</v>
      </c>
      <c r="E108" s="296" t="str">
        <f>IFERROR(VLOOKUP(G108,BD_PRINCIPAL[],7,FALSE),"")</f>
        <v/>
      </c>
      <c r="F108" s="297" t="str">
        <f>IFERROR(VLOOKUP(G108,BD_PRINCIPAL[],2,FALSE),"")</f>
        <v/>
      </c>
      <c r="G108" s="321"/>
      <c r="H108" s="296" t="str">
        <f>IFERROR(IF(VLOOKUP($G108,BD_PRINCIPAL[],28,FALSE)=0,"",VLOOKUP($G108,BD_PRINCIPAL[],28,FALSE)),"")</f>
        <v/>
      </c>
      <c r="I108" s="296" t="str">
        <f>IFERROR(IF(VLOOKUP($G108,BD_PRINCIPAL[],29,FALSE)=0,"",VLOOKUP($G108,BD_PRINCIPAL[],29,FALSE)),"")</f>
        <v/>
      </c>
      <c r="J108" s="296" t="str">
        <f>IFERROR(IF(VLOOKUP($G108,BD_PRINCIPAL[],30,FALSE)=0,"",VLOOKUP($G108,BD_PRINCIPAL[],30,FALSE)),"")</f>
        <v/>
      </c>
      <c r="K108" s="296" t="str">
        <f>IFERROR(IF(VLOOKUP($G108,BD_PRINCIPAL[],31,FALSE)=0,"",VLOOKUP($G108,BD_PRINCIPAL[],31,FALSE)),"")</f>
        <v/>
      </c>
      <c r="L108" s="296" t="str">
        <f>IFERROR(IF(VLOOKUP($G108,BD_PRINCIPAL[],32,FALSE)=0,"",VLOOKUP($G108,BD_PRINCIPAL[],32,FALSE)),"")</f>
        <v/>
      </c>
      <c r="M108" s="296" t="str">
        <f>IFERROR(IF(VLOOKUP($G108,BD_PRINCIPAL[],33,FALSE)=0,"",VLOOKUP($G108,BD_PRINCIPAL[],33,FALSE)),"")</f>
        <v/>
      </c>
      <c r="N108" s="296" t="str">
        <f>IFERROR(IF(VLOOKUP($G108,BD_PRINCIPAL[],34,FALSE)=0,"",VLOOKUP($G108,BD_PRINCIPAL[],34,FALSE)),"")</f>
        <v/>
      </c>
      <c r="O108" s="296" t="str">
        <f>IFERROR(IF(VLOOKUP($G108,BD_PRINCIPAL[],35,FALSE)=0,"",VLOOKUP($G108,BD_PRINCIPAL[],35,FALSE)),"")</f>
        <v/>
      </c>
      <c r="P108" s="296" t="str">
        <f>IFERROR(IF(VLOOKUP($G108,BD_PRINCIPAL[],36,FALSE)=0,"",VLOOKUP($G108,BD_PRINCIPAL[],36,FALSE)),"")</f>
        <v/>
      </c>
      <c r="Q108" s="296" t="str">
        <f>IFERROR(IF(VLOOKUP($G108,BD_PRINCIPAL[],37,FALSE)=0,"",VLOOKUP($G108,BD_PRINCIPAL[],37,FALSE)),"")</f>
        <v/>
      </c>
      <c r="R108" s="296" t="str">
        <f>IFERROR(IF(VLOOKUP($G108,BD_PRINCIPAL[],38,FALSE)=0,"",VLOOKUP($G108,BD_PRINCIPAL[],38,FALSE)),"")</f>
        <v/>
      </c>
      <c r="S108" s="296" t="str">
        <f>IFERROR(IF(VLOOKUP($G108,BD_PRINCIPAL[],39,FALSE)=0,"",VLOOKUP($G108,BD_PRINCIPAL[],39,FALSE)),"")</f>
        <v/>
      </c>
      <c r="T108" s="296" t="str">
        <f>IFERROR(IF(VLOOKUP($G108,BD_PRINCIPAL[],40,FALSE)=0,"",VLOOKUP($G108,BD_PRINCIPAL[],40,FALSE)),"")</f>
        <v/>
      </c>
      <c r="U108" s="296" t="str">
        <f>IFERROR(IF(VLOOKUP($G108,BD_PRINCIPAL[],41,FALSE)=0,"",VLOOKUP($G108,BD_PRINCIPAL[],41,FALSE)),"")</f>
        <v/>
      </c>
      <c r="V108" s="296" t="str">
        <f>IFERROR(IF(VLOOKUP($G108,BD_PRINCIPAL[],42,FALSE)=0,"",VLOOKUP($G108,BD_PRINCIPAL[],42,FALSE)),"")</f>
        <v/>
      </c>
      <c r="W108" s="296" t="str">
        <f>IFERROR(IF(VLOOKUP($G108,BD_PRINCIPAL[],43,FALSE)=0,"",VLOOKUP($G108,BD_PRINCIPAL[],43,FALSE)),"")</f>
        <v/>
      </c>
      <c r="X108" s="296" t="str">
        <f>IFERROR(IF(VLOOKUP($G108,BD_PRINCIPAL[],44,FALSE)=0,"",VLOOKUP($G108,BD_PRINCIPAL[],44,FALSE)),"")</f>
        <v/>
      </c>
      <c r="Y108" s="296" t="str">
        <f>IFERROR(IF(VLOOKUP($G108,BD_PRINCIPAL[],45,FALSE)=0,"",VLOOKUP($G108,BD_PRINCIPAL[],45,FALSE)),"")</f>
        <v/>
      </c>
      <c r="Z108" s="296" t="str">
        <f>IFERROR(IF(VLOOKUP($G108,BD_PRINCIPAL[],46,FALSE)=0,"",VLOOKUP($G108,BD_PRINCIPAL[],46,FALSE)),"")</f>
        <v/>
      </c>
      <c r="AA108" s="296" t="str">
        <f>IFERROR(IF(VLOOKUP($G108,BD_PRINCIPAL[],47,FALSE)=0,"",VLOOKUP($G108,BD_PRINCIPAL[],47,FALSE)),"")</f>
        <v/>
      </c>
      <c r="AB108" s="296" t="str">
        <f>IFERROR(IF(VLOOKUP($G108,BD_PRINCIPAL[],48,FALSE)=0,"",VLOOKUP($G108,BD_PRINCIPAL[],48,FALSE)),"")</f>
        <v/>
      </c>
      <c r="AC108" s="296" t="str">
        <f>IFERROR(IF(VLOOKUP($G108,BD_PRINCIPAL[],49,FALSE)=0,"",VLOOKUP($G108,BD_PRINCIPAL[],49,FALSE)),"")</f>
        <v/>
      </c>
      <c r="AD108" s="296" t="str">
        <f>IFERROR(IF(VLOOKUP($G108,BD_PRINCIPAL[],50,FALSE)=0,"",VLOOKUP($G108,BD_PRINCIPAL[],50,FALSE)),"")</f>
        <v/>
      </c>
      <c r="AE108" s="296" t="str">
        <f>IFERROR(IF(VLOOKUP($G108,BD_PRINCIPAL[],51,FALSE)=0,"",VLOOKUP($G108,BD_PRINCIPAL[],51,FALSE)),"")</f>
        <v/>
      </c>
      <c r="AF108" s="296" t="str">
        <f>IFERROR(IF(VLOOKUP($G108,BD_PRINCIPAL[],52,FALSE)=0,"",VLOOKUP($G108,BD_PRINCIPAL[],52,FALSE)),"")</f>
        <v/>
      </c>
      <c r="AG108" s="296" t="str">
        <f>IFERROR(IF(VLOOKUP($G108,BD_PRINCIPAL[],53,FALSE)=0,"",VLOOKUP($G108,BD_PRINCIPAL[],53,FALSE)),"")</f>
        <v/>
      </c>
      <c r="AH108" s="296" t="str">
        <f>IFERROR(IF(VLOOKUP($G108,BD_PRINCIPAL[],54,FALSE)=0,"",VLOOKUP($G108,BD_PRINCIPAL[],54,FALSE)),"")</f>
        <v/>
      </c>
      <c r="AI108" s="296" t="str">
        <f>IFERROR(IF(VLOOKUP($G108,BD_PRINCIPAL[],55,FALSE)=0,"",VLOOKUP($G108,BD_PRINCIPAL[],55,FALSE)),"")</f>
        <v/>
      </c>
      <c r="AJ108" s="296" t="str">
        <f>IFERROR(IF(VLOOKUP($G108,BD_PRINCIPAL[],56,FALSE)=0,"",VLOOKUP($G108,BD_PRINCIPAL[],56,FALSE)),"")</f>
        <v/>
      </c>
      <c r="AK108" s="296" t="str">
        <f>IFERROR(IF(VLOOKUP($G108,BD_PRINCIPAL[],57,FALSE)=0,"",VLOOKUP($G108,BD_PRINCIPAL[],57,FALSE)),"")</f>
        <v/>
      </c>
      <c r="AL108" s="296" t="str">
        <f>IFERROR(IF(VLOOKUP($G108,BD_PRINCIPAL[],58,FALSE)=0,"",VLOOKUP($G108,BD_PRINCIPAL[],58,FALSE)),"")</f>
        <v/>
      </c>
    </row>
    <row r="109" spans="2:38" x14ac:dyDescent="0.3">
      <c r="B109" s="289">
        <f t="shared" si="9"/>
        <v>0</v>
      </c>
      <c r="D109" s="296">
        <v>11</v>
      </c>
      <c r="E109" s="296" t="str">
        <f>IFERROR(VLOOKUP(G109,BD_PRINCIPAL[],7,FALSE),"")</f>
        <v/>
      </c>
      <c r="F109" s="297" t="str">
        <f>IFERROR(VLOOKUP(G109,BD_PRINCIPAL[],2,FALSE),"")</f>
        <v/>
      </c>
      <c r="G109" s="321"/>
      <c r="H109" s="296" t="str">
        <f>IFERROR(IF(VLOOKUP($G109,BD_PRINCIPAL[],28,FALSE)=0,"",VLOOKUP($G109,BD_PRINCIPAL[],28,FALSE)),"")</f>
        <v/>
      </c>
      <c r="I109" s="296" t="str">
        <f>IFERROR(IF(VLOOKUP($G109,BD_PRINCIPAL[],29,FALSE)=0,"",VLOOKUP($G109,BD_PRINCIPAL[],29,FALSE)),"")</f>
        <v/>
      </c>
      <c r="J109" s="296" t="str">
        <f>IFERROR(IF(VLOOKUP($G109,BD_PRINCIPAL[],30,FALSE)=0,"",VLOOKUP($G109,BD_PRINCIPAL[],30,FALSE)),"")</f>
        <v/>
      </c>
      <c r="K109" s="296" t="str">
        <f>IFERROR(IF(VLOOKUP($G109,BD_PRINCIPAL[],31,FALSE)=0,"",VLOOKUP($G109,BD_PRINCIPAL[],31,FALSE)),"")</f>
        <v/>
      </c>
      <c r="L109" s="296" t="str">
        <f>IFERROR(IF(VLOOKUP($G109,BD_PRINCIPAL[],32,FALSE)=0,"",VLOOKUP($G109,BD_PRINCIPAL[],32,FALSE)),"")</f>
        <v/>
      </c>
      <c r="M109" s="296" t="str">
        <f>IFERROR(IF(VLOOKUP($G109,BD_PRINCIPAL[],33,FALSE)=0,"",VLOOKUP($G109,BD_PRINCIPAL[],33,FALSE)),"")</f>
        <v/>
      </c>
      <c r="N109" s="296" t="str">
        <f>IFERROR(IF(VLOOKUP($G109,BD_PRINCIPAL[],34,FALSE)=0,"",VLOOKUP($G109,BD_PRINCIPAL[],34,FALSE)),"")</f>
        <v/>
      </c>
      <c r="O109" s="296" t="str">
        <f>IFERROR(IF(VLOOKUP($G109,BD_PRINCIPAL[],35,FALSE)=0,"",VLOOKUP($G109,BD_PRINCIPAL[],35,FALSE)),"")</f>
        <v/>
      </c>
      <c r="P109" s="296" t="str">
        <f>IFERROR(IF(VLOOKUP($G109,BD_PRINCIPAL[],36,FALSE)=0,"",VLOOKUP($G109,BD_PRINCIPAL[],36,FALSE)),"")</f>
        <v/>
      </c>
      <c r="Q109" s="296" t="str">
        <f>IFERROR(IF(VLOOKUP($G109,BD_PRINCIPAL[],37,FALSE)=0,"",VLOOKUP($G109,BD_PRINCIPAL[],37,FALSE)),"")</f>
        <v/>
      </c>
      <c r="R109" s="296" t="str">
        <f>IFERROR(IF(VLOOKUP($G109,BD_PRINCIPAL[],38,FALSE)=0,"",VLOOKUP($G109,BD_PRINCIPAL[],38,FALSE)),"")</f>
        <v/>
      </c>
      <c r="S109" s="296" t="str">
        <f>IFERROR(IF(VLOOKUP($G109,BD_PRINCIPAL[],39,FALSE)=0,"",VLOOKUP($G109,BD_PRINCIPAL[],39,FALSE)),"")</f>
        <v/>
      </c>
      <c r="T109" s="296" t="str">
        <f>IFERROR(IF(VLOOKUP($G109,BD_PRINCIPAL[],40,FALSE)=0,"",VLOOKUP($G109,BD_PRINCIPAL[],40,FALSE)),"")</f>
        <v/>
      </c>
      <c r="U109" s="296" t="str">
        <f>IFERROR(IF(VLOOKUP($G109,BD_PRINCIPAL[],41,FALSE)=0,"",VLOOKUP($G109,BD_PRINCIPAL[],41,FALSE)),"")</f>
        <v/>
      </c>
      <c r="V109" s="296" t="str">
        <f>IFERROR(IF(VLOOKUP($G109,BD_PRINCIPAL[],42,FALSE)=0,"",VLOOKUP($G109,BD_PRINCIPAL[],42,FALSE)),"")</f>
        <v/>
      </c>
      <c r="W109" s="296" t="str">
        <f>IFERROR(IF(VLOOKUP($G109,BD_PRINCIPAL[],43,FALSE)=0,"",VLOOKUP($G109,BD_PRINCIPAL[],43,FALSE)),"")</f>
        <v/>
      </c>
      <c r="X109" s="296" t="str">
        <f>IFERROR(IF(VLOOKUP($G109,BD_PRINCIPAL[],44,FALSE)=0,"",VLOOKUP($G109,BD_PRINCIPAL[],44,FALSE)),"")</f>
        <v/>
      </c>
      <c r="Y109" s="296" t="str">
        <f>IFERROR(IF(VLOOKUP($G109,BD_PRINCIPAL[],45,FALSE)=0,"",VLOOKUP($G109,BD_PRINCIPAL[],45,FALSE)),"")</f>
        <v/>
      </c>
      <c r="Z109" s="296" t="str">
        <f>IFERROR(IF(VLOOKUP($G109,BD_PRINCIPAL[],46,FALSE)=0,"",VLOOKUP($G109,BD_PRINCIPAL[],46,FALSE)),"")</f>
        <v/>
      </c>
      <c r="AA109" s="296" t="str">
        <f>IFERROR(IF(VLOOKUP($G109,BD_PRINCIPAL[],47,FALSE)=0,"",VLOOKUP($G109,BD_PRINCIPAL[],47,FALSE)),"")</f>
        <v/>
      </c>
      <c r="AB109" s="296" t="str">
        <f>IFERROR(IF(VLOOKUP($G109,BD_PRINCIPAL[],48,FALSE)=0,"",VLOOKUP($G109,BD_PRINCIPAL[],48,FALSE)),"")</f>
        <v/>
      </c>
      <c r="AC109" s="296" t="str">
        <f>IFERROR(IF(VLOOKUP($G109,BD_PRINCIPAL[],49,FALSE)=0,"",VLOOKUP($G109,BD_PRINCIPAL[],49,FALSE)),"")</f>
        <v/>
      </c>
      <c r="AD109" s="296" t="str">
        <f>IFERROR(IF(VLOOKUP($G109,BD_PRINCIPAL[],50,FALSE)=0,"",VLOOKUP($G109,BD_PRINCIPAL[],50,FALSE)),"")</f>
        <v/>
      </c>
      <c r="AE109" s="296" t="str">
        <f>IFERROR(IF(VLOOKUP($G109,BD_PRINCIPAL[],51,FALSE)=0,"",VLOOKUP($G109,BD_PRINCIPAL[],51,FALSE)),"")</f>
        <v/>
      </c>
      <c r="AF109" s="296" t="str">
        <f>IFERROR(IF(VLOOKUP($G109,BD_PRINCIPAL[],52,FALSE)=0,"",VLOOKUP($G109,BD_PRINCIPAL[],52,FALSE)),"")</f>
        <v/>
      </c>
      <c r="AG109" s="296" t="str">
        <f>IFERROR(IF(VLOOKUP($G109,BD_PRINCIPAL[],53,FALSE)=0,"",VLOOKUP($G109,BD_PRINCIPAL[],53,FALSE)),"")</f>
        <v/>
      </c>
      <c r="AH109" s="296" t="str">
        <f>IFERROR(IF(VLOOKUP($G109,BD_PRINCIPAL[],54,FALSE)=0,"",VLOOKUP($G109,BD_PRINCIPAL[],54,FALSE)),"")</f>
        <v/>
      </c>
      <c r="AI109" s="296" t="str">
        <f>IFERROR(IF(VLOOKUP($G109,BD_PRINCIPAL[],55,FALSE)=0,"",VLOOKUP($G109,BD_PRINCIPAL[],55,FALSE)),"")</f>
        <v/>
      </c>
      <c r="AJ109" s="296" t="str">
        <f>IFERROR(IF(VLOOKUP($G109,BD_PRINCIPAL[],56,FALSE)=0,"",VLOOKUP($G109,BD_PRINCIPAL[],56,FALSE)),"")</f>
        <v/>
      </c>
      <c r="AK109" s="296" t="str">
        <f>IFERROR(IF(VLOOKUP($G109,BD_PRINCIPAL[],57,FALSE)=0,"",VLOOKUP($G109,BD_PRINCIPAL[],57,FALSE)),"")</f>
        <v/>
      </c>
      <c r="AL109" s="296" t="str">
        <f>IFERROR(IF(VLOOKUP($G109,BD_PRINCIPAL[],58,FALSE)=0,"",VLOOKUP($G109,BD_PRINCIPAL[],58,FALSE)),"")</f>
        <v/>
      </c>
    </row>
    <row r="110" spans="2:38" x14ac:dyDescent="0.3">
      <c r="B110" s="289">
        <f t="shared" si="9"/>
        <v>0</v>
      </c>
      <c r="D110" s="296">
        <v>12</v>
      </c>
      <c r="E110" s="296" t="str">
        <f>IFERROR(VLOOKUP(G110,BD_PRINCIPAL[],7,FALSE),"")</f>
        <v/>
      </c>
      <c r="F110" s="297" t="str">
        <f>IFERROR(VLOOKUP(G110,BD_PRINCIPAL[],2,FALSE),"")</f>
        <v/>
      </c>
      <c r="G110" s="321"/>
      <c r="H110" s="296" t="str">
        <f>IFERROR(IF(VLOOKUP($G110,BD_PRINCIPAL[],28,FALSE)=0,"",VLOOKUP($G110,BD_PRINCIPAL[],28,FALSE)),"")</f>
        <v/>
      </c>
      <c r="I110" s="296" t="str">
        <f>IFERROR(IF(VLOOKUP($G110,BD_PRINCIPAL[],29,FALSE)=0,"",VLOOKUP($G110,BD_PRINCIPAL[],29,FALSE)),"")</f>
        <v/>
      </c>
      <c r="J110" s="296" t="str">
        <f>IFERROR(IF(VLOOKUP($G110,BD_PRINCIPAL[],30,FALSE)=0,"",VLOOKUP($G110,BD_PRINCIPAL[],30,FALSE)),"")</f>
        <v/>
      </c>
      <c r="K110" s="296" t="str">
        <f>IFERROR(IF(VLOOKUP($G110,BD_PRINCIPAL[],31,FALSE)=0,"",VLOOKUP($G110,BD_PRINCIPAL[],31,FALSE)),"")</f>
        <v/>
      </c>
      <c r="L110" s="296" t="str">
        <f>IFERROR(IF(VLOOKUP($G110,BD_PRINCIPAL[],32,FALSE)=0,"",VLOOKUP($G110,BD_PRINCIPAL[],32,FALSE)),"")</f>
        <v/>
      </c>
      <c r="M110" s="296" t="str">
        <f>IFERROR(IF(VLOOKUP($G110,BD_PRINCIPAL[],33,FALSE)=0,"",VLOOKUP($G110,BD_PRINCIPAL[],33,FALSE)),"")</f>
        <v/>
      </c>
      <c r="N110" s="296" t="str">
        <f>IFERROR(IF(VLOOKUP($G110,BD_PRINCIPAL[],34,FALSE)=0,"",VLOOKUP($G110,BD_PRINCIPAL[],34,FALSE)),"")</f>
        <v/>
      </c>
      <c r="O110" s="296" t="str">
        <f>IFERROR(IF(VLOOKUP($G110,BD_PRINCIPAL[],35,FALSE)=0,"",VLOOKUP($G110,BD_PRINCIPAL[],35,FALSE)),"")</f>
        <v/>
      </c>
      <c r="P110" s="296" t="str">
        <f>IFERROR(IF(VLOOKUP($G110,BD_PRINCIPAL[],36,FALSE)=0,"",VLOOKUP($G110,BD_PRINCIPAL[],36,FALSE)),"")</f>
        <v/>
      </c>
      <c r="Q110" s="296" t="str">
        <f>IFERROR(IF(VLOOKUP($G110,BD_PRINCIPAL[],37,FALSE)=0,"",VLOOKUP($G110,BD_PRINCIPAL[],37,FALSE)),"")</f>
        <v/>
      </c>
      <c r="R110" s="296" t="str">
        <f>IFERROR(IF(VLOOKUP($G110,BD_PRINCIPAL[],38,FALSE)=0,"",VLOOKUP($G110,BD_PRINCIPAL[],38,FALSE)),"")</f>
        <v/>
      </c>
      <c r="S110" s="296" t="str">
        <f>IFERROR(IF(VLOOKUP($G110,BD_PRINCIPAL[],39,FALSE)=0,"",VLOOKUP($G110,BD_PRINCIPAL[],39,FALSE)),"")</f>
        <v/>
      </c>
      <c r="T110" s="296" t="str">
        <f>IFERROR(IF(VLOOKUP($G110,BD_PRINCIPAL[],40,FALSE)=0,"",VLOOKUP($G110,BD_PRINCIPAL[],40,FALSE)),"")</f>
        <v/>
      </c>
      <c r="U110" s="296" t="str">
        <f>IFERROR(IF(VLOOKUP($G110,BD_PRINCIPAL[],41,FALSE)=0,"",VLOOKUP($G110,BD_PRINCIPAL[],41,FALSE)),"")</f>
        <v/>
      </c>
      <c r="V110" s="296" t="str">
        <f>IFERROR(IF(VLOOKUP($G110,BD_PRINCIPAL[],42,FALSE)=0,"",VLOOKUP($G110,BD_PRINCIPAL[],42,FALSE)),"")</f>
        <v/>
      </c>
      <c r="W110" s="296" t="str">
        <f>IFERROR(IF(VLOOKUP($G110,BD_PRINCIPAL[],43,FALSE)=0,"",VLOOKUP($G110,BD_PRINCIPAL[],43,FALSE)),"")</f>
        <v/>
      </c>
      <c r="X110" s="296" t="str">
        <f>IFERROR(IF(VLOOKUP($G110,BD_PRINCIPAL[],44,FALSE)=0,"",VLOOKUP($G110,BD_PRINCIPAL[],44,FALSE)),"")</f>
        <v/>
      </c>
      <c r="Y110" s="296" t="str">
        <f>IFERROR(IF(VLOOKUP($G110,BD_PRINCIPAL[],45,FALSE)=0,"",VLOOKUP($G110,BD_PRINCIPAL[],45,FALSE)),"")</f>
        <v/>
      </c>
      <c r="Z110" s="296" t="str">
        <f>IFERROR(IF(VLOOKUP($G110,BD_PRINCIPAL[],46,FALSE)=0,"",VLOOKUP($G110,BD_PRINCIPAL[],46,FALSE)),"")</f>
        <v/>
      </c>
      <c r="AA110" s="296" t="str">
        <f>IFERROR(IF(VLOOKUP($G110,BD_PRINCIPAL[],47,FALSE)=0,"",VLOOKUP($G110,BD_PRINCIPAL[],47,FALSE)),"")</f>
        <v/>
      </c>
      <c r="AB110" s="296" t="str">
        <f>IFERROR(IF(VLOOKUP($G110,BD_PRINCIPAL[],48,FALSE)=0,"",VLOOKUP($G110,BD_PRINCIPAL[],48,FALSE)),"")</f>
        <v/>
      </c>
      <c r="AC110" s="296" t="str">
        <f>IFERROR(IF(VLOOKUP($G110,BD_PRINCIPAL[],49,FALSE)=0,"",VLOOKUP($G110,BD_PRINCIPAL[],49,FALSE)),"")</f>
        <v/>
      </c>
      <c r="AD110" s="296" t="str">
        <f>IFERROR(IF(VLOOKUP($G110,BD_PRINCIPAL[],50,FALSE)=0,"",VLOOKUP($G110,BD_PRINCIPAL[],50,FALSE)),"")</f>
        <v/>
      </c>
      <c r="AE110" s="296" t="str">
        <f>IFERROR(IF(VLOOKUP($G110,BD_PRINCIPAL[],51,FALSE)=0,"",VLOOKUP($G110,BD_PRINCIPAL[],51,FALSE)),"")</f>
        <v/>
      </c>
      <c r="AF110" s="296" t="str">
        <f>IFERROR(IF(VLOOKUP($G110,BD_PRINCIPAL[],52,FALSE)=0,"",VLOOKUP($G110,BD_PRINCIPAL[],52,FALSE)),"")</f>
        <v/>
      </c>
      <c r="AG110" s="296" t="str">
        <f>IFERROR(IF(VLOOKUP($G110,BD_PRINCIPAL[],53,FALSE)=0,"",VLOOKUP($G110,BD_PRINCIPAL[],53,FALSE)),"")</f>
        <v/>
      </c>
      <c r="AH110" s="296" t="str">
        <f>IFERROR(IF(VLOOKUP($G110,BD_PRINCIPAL[],54,FALSE)=0,"",VLOOKUP($G110,BD_PRINCIPAL[],54,FALSE)),"")</f>
        <v/>
      </c>
      <c r="AI110" s="296" t="str">
        <f>IFERROR(IF(VLOOKUP($G110,BD_PRINCIPAL[],55,FALSE)=0,"",VLOOKUP($G110,BD_PRINCIPAL[],55,FALSE)),"")</f>
        <v/>
      </c>
      <c r="AJ110" s="296" t="str">
        <f>IFERROR(IF(VLOOKUP($G110,BD_PRINCIPAL[],56,FALSE)=0,"",VLOOKUP($G110,BD_PRINCIPAL[],56,FALSE)),"")</f>
        <v/>
      </c>
      <c r="AK110" s="296" t="str">
        <f>IFERROR(IF(VLOOKUP($G110,BD_PRINCIPAL[],57,FALSE)=0,"",VLOOKUP($G110,BD_PRINCIPAL[],57,FALSE)),"")</f>
        <v/>
      </c>
      <c r="AL110" s="296" t="str">
        <f>IFERROR(IF(VLOOKUP($G110,BD_PRINCIPAL[],58,FALSE)=0,"",VLOOKUP($G110,BD_PRINCIPAL[],58,FALSE)),"")</f>
        <v/>
      </c>
    </row>
    <row r="111" spans="2:38" x14ac:dyDescent="0.3">
      <c r="B111" s="289">
        <f t="shared" si="9"/>
        <v>0</v>
      </c>
      <c r="D111" s="296">
        <v>13</v>
      </c>
      <c r="E111" s="296" t="str">
        <f>IFERROR(VLOOKUP(G111,BD_PRINCIPAL[],7,FALSE),"")</f>
        <v/>
      </c>
      <c r="F111" s="297" t="str">
        <f>IFERROR(VLOOKUP(G111,BD_PRINCIPAL[],2,FALSE),"")</f>
        <v/>
      </c>
      <c r="G111" s="321"/>
      <c r="H111" s="296" t="str">
        <f>IFERROR(IF(VLOOKUP($G111,BD_PRINCIPAL[],28,FALSE)=0,"",VLOOKUP($G111,BD_PRINCIPAL[],28,FALSE)),"")</f>
        <v/>
      </c>
      <c r="I111" s="296" t="str">
        <f>IFERROR(IF(VLOOKUP($G111,BD_PRINCIPAL[],29,FALSE)=0,"",VLOOKUP($G111,BD_PRINCIPAL[],29,FALSE)),"")</f>
        <v/>
      </c>
      <c r="J111" s="296" t="str">
        <f>IFERROR(IF(VLOOKUP($G111,BD_PRINCIPAL[],30,FALSE)=0,"",VLOOKUP($G111,BD_PRINCIPAL[],30,FALSE)),"")</f>
        <v/>
      </c>
      <c r="K111" s="296" t="str">
        <f>IFERROR(IF(VLOOKUP($G111,BD_PRINCIPAL[],31,FALSE)=0,"",VLOOKUP($G111,BD_PRINCIPAL[],31,FALSE)),"")</f>
        <v/>
      </c>
      <c r="L111" s="296" t="str">
        <f>IFERROR(IF(VLOOKUP($G111,BD_PRINCIPAL[],32,FALSE)=0,"",VLOOKUP($G111,BD_PRINCIPAL[],32,FALSE)),"")</f>
        <v/>
      </c>
      <c r="M111" s="296" t="str">
        <f>IFERROR(IF(VLOOKUP($G111,BD_PRINCIPAL[],33,FALSE)=0,"",VLOOKUP($G111,BD_PRINCIPAL[],33,FALSE)),"")</f>
        <v/>
      </c>
      <c r="N111" s="296" t="str">
        <f>IFERROR(IF(VLOOKUP($G111,BD_PRINCIPAL[],34,FALSE)=0,"",VLOOKUP($G111,BD_PRINCIPAL[],34,FALSE)),"")</f>
        <v/>
      </c>
      <c r="O111" s="296" t="str">
        <f>IFERROR(IF(VLOOKUP($G111,BD_PRINCIPAL[],35,FALSE)=0,"",VLOOKUP($G111,BD_PRINCIPAL[],35,FALSE)),"")</f>
        <v/>
      </c>
      <c r="P111" s="296" t="str">
        <f>IFERROR(IF(VLOOKUP($G111,BD_PRINCIPAL[],36,FALSE)=0,"",VLOOKUP($G111,BD_PRINCIPAL[],36,FALSE)),"")</f>
        <v/>
      </c>
      <c r="Q111" s="296" t="str">
        <f>IFERROR(IF(VLOOKUP($G111,BD_PRINCIPAL[],37,FALSE)=0,"",VLOOKUP($G111,BD_PRINCIPAL[],37,FALSE)),"")</f>
        <v/>
      </c>
      <c r="R111" s="296" t="str">
        <f>IFERROR(IF(VLOOKUP($G111,BD_PRINCIPAL[],38,FALSE)=0,"",VLOOKUP($G111,BD_PRINCIPAL[],38,FALSE)),"")</f>
        <v/>
      </c>
      <c r="S111" s="296" t="str">
        <f>IFERROR(IF(VLOOKUP($G111,BD_PRINCIPAL[],39,FALSE)=0,"",VLOOKUP($G111,BD_PRINCIPAL[],39,FALSE)),"")</f>
        <v/>
      </c>
      <c r="T111" s="296" t="str">
        <f>IFERROR(IF(VLOOKUP($G111,BD_PRINCIPAL[],40,FALSE)=0,"",VLOOKUP($G111,BD_PRINCIPAL[],40,FALSE)),"")</f>
        <v/>
      </c>
      <c r="U111" s="296" t="str">
        <f>IFERROR(IF(VLOOKUP($G111,BD_PRINCIPAL[],41,FALSE)=0,"",VLOOKUP($G111,BD_PRINCIPAL[],41,FALSE)),"")</f>
        <v/>
      </c>
      <c r="V111" s="296" t="str">
        <f>IFERROR(IF(VLOOKUP($G111,BD_PRINCIPAL[],42,FALSE)=0,"",VLOOKUP($G111,BD_PRINCIPAL[],42,FALSE)),"")</f>
        <v/>
      </c>
      <c r="W111" s="296" t="str">
        <f>IFERROR(IF(VLOOKUP($G111,BD_PRINCIPAL[],43,FALSE)=0,"",VLOOKUP($G111,BD_PRINCIPAL[],43,FALSE)),"")</f>
        <v/>
      </c>
      <c r="X111" s="296" t="str">
        <f>IFERROR(IF(VLOOKUP($G111,BD_PRINCIPAL[],44,FALSE)=0,"",VLOOKUP($G111,BD_PRINCIPAL[],44,FALSE)),"")</f>
        <v/>
      </c>
      <c r="Y111" s="296" t="str">
        <f>IFERROR(IF(VLOOKUP($G111,BD_PRINCIPAL[],45,FALSE)=0,"",VLOOKUP($G111,BD_PRINCIPAL[],45,FALSE)),"")</f>
        <v/>
      </c>
      <c r="Z111" s="296" t="str">
        <f>IFERROR(IF(VLOOKUP($G111,BD_PRINCIPAL[],46,FALSE)=0,"",VLOOKUP($G111,BD_PRINCIPAL[],46,FALSE)),"")</f>
        <v/>
      </c>
      <c r="AA111" s="296" t="str">
        <f>IFERROR(IF(VLOOKUP($G111,BD_PRINCIPAL[],47,FALSE)=0,"",VLOOKUP($G111,BD_PRINCIPAL[],47,FALSE)),"")</f>
        <v/>
      </c>
      <c r="AB111" s="296" t="str">
        <f>IFERROR(IF(VLOOKUP($G111,BD_PRINCIPAL[],48,FALSE)=0,"",VLOOKUP($G111,BD_PRINCIPAL[],48,FALSE)),"")</f>
        <v/>
      </c>
      <c r="AC111" s="296" t="str">
        <f>IFERROR(IF(VLOOKUP($G111,BD_PRINCIPAL[],49,FALSE)=0,"",VLOOKUP($G111,BD_PRINCIPAL[],49,FALSE)),"")</f>
        <v/>
      </c>
      <c r="AD111" s="296" t="str">
        <f>IFERROR(IF(VLOOKUP($G111,BD_PRINCIPAL[],50,FALSE)=0,"",VLOOKUP($G111,BD_PRINCIPAL[],50,FALSE)),"")</f>
        <v/>
      </c>
      <c r="AE111" s="296" t="str">
        <f>IFERROR(IF(VLOOKUP($G111,BD_PRINCIPAL[],51,FALSE)=0,"",VLOOKUP($G111,BD_PRINCIPAL[],51,FALSE)),"")</f>
        <v/>
      </c>
      <c r="AF111" s="296" t="str">
        <f>IFERROR(IF(VLOOKUP($G111,BD_PRINCIPAL[],52,FALSE)=0,"",VLOOKUP($G111,BD_PRINCIPAL[],52,FALSE)),"")</f>
        <v/>
      </c>
      <c r="AG111" s="296" t="str">
        <f>IFERROR(IF(VLOOKUP($G111,BD_PRINCIPAL[],53,FALSE)=0,"",VLOOKUP($G111,BD_PRINCIPAL[],53,FALSE)),"")</f>
        <v/>
      </c>
      <c r="AH111" s="296" t="str">
        <f>IFERROR(IF(VLOOKUP($G111,BD_PRINCIPAL[],54,FALSE)=0,"",VLOOKUP($G111,BD_PRINCIPAL[],54,FALSE)),"")</f>
        <v/>
      </c>
      <c r="AI111" s="296" t="str">
        <f>IFERROR(IF(VLOOKUP($G111,BD_PRINCIPAL[],55,FALSE)=0,"",VLOOKUP($G111,BD_PRINCIPAL[],55,FALSE)),"")</f>
        <v/>
      </c>
      <c r="AJ111" s="296" t="str">
        <f>IFERROR(IF(VLOOKUP($G111,BD_PRINCIPAL[],56,FALSE)=0,"",VLOOKUP($G111,BD_PRINCIPAL[],56,FALSE)),"")</f>
        <v/>
      </c>
      <c r="AK111" s="296" t="str">
        <f>IFERROR(IF(VLOOKUP($G111,BD_PRINCIPAL[],57,FALSE)=0,"",VLOOKUP($G111,BD_PRINCIPAL[],57,FALSE)),"")</f>
        <v/>
      </c>
      <c r="AL111" s="296" t="str">
        <f>IFERROR(IF(VLOOKUP($G111,BD_PRINCIPAL[],58,FALSE)=0,"",VLOOKUP($G111,BD_PRINCIPAL[],58,FALSE)),"")</f>
        <v/>
      </c>
    </row>
    <row r="112" spans="2:38" x14ac:dyDescent="0.3">
      <c r="B112" s="289">
        <f t="shared" si="9"/>
        <v>0</v>
      </c>
      <c r="D112" s="296">
        <v>14</v>
      </c>
      <c r="E112" s="296" t="str">
        <f>IFERROR(VLOOKUP(G112,BD_PRINCIPAL[],7,FALSE),"")</f>
        <v/>
      </c>
      <c r="F112" s="297" t="str">
        <f>IFERROR(VLOOKUP(G112,BD_PRINCIPAL[],2,FALSE),"")</f>
        <v/>
      </c>
      <c r="G112" s="321"/>
      <c r="H112" s="296" t="str">
        <f>IFERROR(IF(VLOOKUP($G112,BD_PRINCIPAL[],28,FALSE)=0,"",VLOOKUP($G112,BD_PRINCIPAL[],28,FALSE)),"")</f>
        <v/>
      </c>
      <c r="I112" s="296" t="str">
        <f>IFERROR(IF(VLOOKUP($G112,BD_PRINCIPAL[],29,FALSE)=0,"",VLOOKUP($G112,BD_PRINCIPAL[],29,FALSE)),"")</f>
        <v/>
      </c>
      <c r="J112" s="296" t="str">
        <f>IFERROR(IF(VLOOKUP($G112,BD_PRINCIPAL[],30,FALSE)=0,"",VLOOKUP($G112,BD_PRINCIPAL[],30,FALSE)),"")</f>
        <v/>
      </c>
      <c r="K112" s="296" t="str">
        <f>IFERROR(IF(VLOOKUP($G112,BD_PRINCIPAL[],31,FALSE)=0,"",VLOOKUP($G112,BD_PRINCIPAL[],31,FALSE)),"")</f>
        <v/>
      </c>
      <c r="L112" s="296" t="str">
        <f>IFERROR(IF(VLOOKUP($G112,BD_PRINCIPAL[],32,FALSE)=0,"",VLOOKUP($G112,BD_PRINCIPAL[],32,FALSE)),"")</f>
        <v/>
      </c>
      <c r="M112" s="296" t="str">
        <f>IFERROR(IF(VLOOKUP($G112,BD_PRINCIPAL[],33,FALSE)=0,"",VLOOKUP($G112,BD_PRINCIPAL[],33,FALSE)),"")</f>
        <v/>
      </c>
      <c r="N112" s="296" t="str">
        <f>IFERROR(IF(VLOOKUP($G112,BD_PRINCIPAL[],34,FALSE)=0,"",VLOOKUP($G112,BD_PRINCIPAL[],34,FALSE)),"")</f>
        <v/>
      </c>
      <c r="O112" s="296" t="str">
        <f>IFERROR(IF(VLOOKUP($G112,BD_PRINCIPAL[],35,FALSE)=0,"",VLOOKUP($G112,BD_PRINCIPAL[],35,FALSE)),"")</f>
        <v/>
      </c>
      <c r="P112" s="296" t="str">
        <f>IFERROR(IF(VLOOKUP($G112,BD_PRINCIPAL[],36,FALSE)=0,"",VLOOKUP($G112,BD_PRINCIPAL[],36,FALSE)),"")</f>
        <v/>
      </c>
      <c r="Q112" s="296" t="str">
        <f>IFERROR(IF(VLOOKUP($G112,BD_PRINCIPAL[],37,FALSE)=0,"",VLOOKUP($G112,BD_PRINCIPAL[],37,FALSE)),"")</f>
        <v/>
      </c>
      <c r="R112" s="296" t="str">
        <f>IFERROR(IF(VLOOKUP($G112,BD_PRINCIPAL[],38,FALSE)=0,"",VLOOKUP($G112,BD_PRINCIPAL[],38,FALSE)),"")</f>
        <v/>
      </c>
      <c r="S112" s="296" t="str">
        <f>IFERROR(IF(VLOOKUP($G112,BD_PRINCIPAL[],39,FALSE)=0,"",VLOOKUP($G112,BD_PRINCIPAL[],39,FALSE)),"")</f>
        <v/>
      </c>
      <c r="T112" s="296" t="str">
        <f>IFERROR(IF(VLOOKUP($G112,BD_PRINCIPAL[],40,FALSE)=0,"",VLOOKUP($G112,BD_PRINCIPAL[],40,FALSE)),"")</f>
        <v/>
      </c>
      <c r="U112" s="296" t="str">
        <f>IFERROR(IF(VLOOKUP($G112,BD_PRINCIPAL[],41,FALSE)=0,"",VLOOKUP($G112,BD_PRINCIPAL[],41,FALSE)),"")</f>
        <v/>
      </c>
      <c r="V112" s="296" t="str">
        <f>IFERROR(IF(VLOOKUP($G112,BD_PRINCIPAL[],42,FALSE)=0,"",VLOOKUP($G112,BD_PRINCIPAL[],42,FALSE)),"")</f>
        <v/>
      </c>
      <c r="W112" s="296" t="str">
        <f>IFERROR(IF(VLOOKUP($G112,BD_PRINCIPAL[],43,FALSE)=0,"",VLOOKUP($G112,BD_PRINCIPAL[],43,FALSE)),"")</f>
        <v/>
      </c>
      <c r="X112" s="296" t="str">
        <f>IFERROR(IF(VLOOKUP($G112,BD_PRINCIPAL[],44,FALSE)=0,"",VLOOKUP($G112,BD_PRINCIPAL[],44,FALSE)),"")</f>
        <v/>
      </c>
      <c r="Y112" s="296" t="str">
        <f>IFERROR(IF(VLOOKUP($G112,BD_PRINCIPAL[],45,FALSE)=0,"",VLOOKUP($G112,BD_PRINCIPAL[],45,FALSE)),"")</f>
        <v/>
      </c>
      <c r="Z112" s="296" t="str">
        <f>IFERROR(IF(VLOOKUP($G112,BD_PRINCIPAL[],46,FALSE)=0,"",VLOOKUP($G112,BD_PRINCIPAL[],46,FALSE)),"")</f>
        <v/>
      </c>
      <c r="AA112" s="296" t="str">
        <f>IFERROR(IF(VLOOKUP($G112,BD_PRINCIPAL[],47,FALSE)=0,"",VLOOKUP($G112,BD_PRINCIPAL[],47,FALSE)),"")</f>
        <v/>
      </c>
      <c r="AB112" s="296" t="str">
        <f>IFERROR(IF(VLOOKUP($G112,BD_PRINCIPAL[],48,FALSE)=0,"",VLOOKUP($G112,BD_PRINCIPAL[],48,FALSE)),"")</f>
        <v/>
      </c>
      <c r="AC112" s="296" t="str">
        <f>IFERROR(IF(VLOOKUP($G112,BD_PRINCIPAL[],49,FALSE)=0,"",VLOOKUP($G112,BD_PRINCIPAL[],49,FALSE)),"")</f>
        <v/>
      </c>
      <c r="AD112" s="296" t="str">
        <f>IFERROR(IF(VLOOKUP($G112,BD_PRINCIPAL[],50,FALSE)=0,"",VLOOKUP($G112,BD_PRINCIPAL[],50,FALSE)),"")</f>
        <v/>
      </c>
      <c r="AE112" s="296" t="str">
        <f>IFERROR(IF(VLOOKUP($G112,BD_PRINCIPAL[],51,FALSE)=0,"",VLOOKUP($G112,BD_PRINCIPAL[],51,FALSE)),"")</f>
        <v/>
      </c>
      <c r="AF112" s="296" t="str">
        <f>IFERROR(IF(VLOOKUP($G112,BD_PRINCIPAL[],52,FALSE)=0,"",VLOOKUP($G112,BD_PRINCIPAL[],52,FALSE)),"")</f>
        <v/>
      </c>
      <c r="AG112" s="296" t="str">
        <f>IFERROR(IF(VLOOKUP($G112,BD_PRINCIPAL[],53,FALSE)=0,"",VLOOKUP($G112,BD_PRINCIPAL[],53,FALSE)),"")</f>
        <v/>
      </c>
      <c r="AH112" s="296" t="str">
        <f>IFERROR(IF(VLOOKUP($G112,BD_PRINCIPAL[],54,FALSE)=0,"",VLOOKUP($G112,BD_PRINCIPAL[],54,FALSE)),"")</f>
        <v/>
      </c>
      <c r="AI112" s="296" t="str">
        <f>IFERROR(IF(VLOOKUP($G112,BD_PRINCIPAL[],55,FALSE)=0,"",VLOOKUP($G112,BD_PRINCIPAL[],55,FALSE)),"")</f>
        <v/>
      </c>
      <c r="AJ112" s="296" t="str">
        <f>IFERROR(IF(VLOOKUP($G112,BD_PRINCIPAL[],56,FALSE)=0,"",VLOOKUP($G112,BD_PRINCIPAL[],56,FALSE)),"")</f>
        <v/>
      </c>
      <c r="AK112" s="296" t="str">
        <f>IFERROR(IF(VLOOKUP($G112,BD_PRINCIPAL[],57,FALSE)=0,"",VLOOKUP($G112,BD_PRINCIPAL[],57,FALSE)),"")</f>
        <v/>
      </c>
      <c r="AL112" s="296" t="str">
        <f>IFERROR(IF(VLOOKUP($G112,BD_PRINCIPAL[],58,FALSE)=0,"",VLOOKUP($G112,BD_PRINCIPAL[],58,FALSE)),"")</f>
        <v/>
      </c>
    </row>
    <row r="113" spans="2:38" x14ac:dyDescent="0.3">
      <c r="B113" s="289">
        <f t="shared" si="9"/>
        <v>0</v>
      </c>
      <c r="D113" s="296">
        <v>15</v>
      </c>
      <c r="E113" s="296" t="str">
        <f>IFERROR(VLOOKUP(G113,BD_PRINCIPAL[],7,FALSE),"")</f>
        <v/>
      </c>
      <c r="F113" s="297" t="str">
        <f>IFERROR(VLOOKUP(G113,BD_PRINCIPAL[],2,FALSE),"")</f>
        <v/>
      </c>
      <c r="G113" s="321"/>
      <c r="H113" s="296" t="str">
        <f>IFERROR(IF(VLOOKUP($G113,BD_PRINCIPAL[],28,FALSE)=0,"",VLOOKUP($G113,BD_PRINCIPAL[],28,FALSE)),"")</f>
        <v/>
      </c>
      <c r="I113" s="296" t="str">
        <f>IFERROR(IF(VLOOKUP($G113,BD_PRINCIPAL[],29,FALSE)=0,"",VLOOKUP($G113,BD_PRINCIPAL[],29,FALSE)),"")</f>
        <v/>
      </c>
      <c r="J113" s="296" t="str">
        <f>IFERROR(IF(VLOOKUP($G113,BD_PRINCIPAL[],30,FALSE)=0,"",VLOOKUP($G113,BD_PRINCIPAL[],30,FALSE)),"")</f>
        <v/>
      </c>
      <c r="K113" s="296" t="str">
        <f>IFERROR(IF(VLOOKUP($G113,BD_PRINCIPAL[],31,FALSE)=0,"",VLOOKUP($G113,BD_PRINCIPAL[],31,FALSE)),"")</f>
        <v/>
      </c>
      <c r="L113" s="296" t="str">
        <f>IFERROR(IF(VLOOKUP($G113,BD_PRINCIPAL[],32,FALSE)=0,"",VLOOKUP($G113,BD_PRINCIPAL[],32,FALSE)),"")</f>
        <v/>
      </c>
      <c r="M113" s="296" t="str">
        <f>IFERROR(IF(VLOOKUP($G113,BD_PRINCIPAL[],33,FALSE)=0,"",VLOOKUP($G113,BD_PRINCIPAL[],33,FALSE)),"")</f>
        <v/>
      </c>
      <c r="N113" s="296" t="str">
        <f>IFERROR(IF(VLOOKUP($G113,BD_PRINCIPAL[],34,FALSE)=0,"",VLOOKUP($G113,BD_PRINCIPAL[],34,FALSE)),"")</f>
        <v/>
      </c>
      <c r="O113" s="296" t="str">
        <f>IFERROR(IF(VLOOKUP($G113,BD_PRINCIPAL[],35,FALSE)=0,"",VLOOKUP($G113,BD_PRINCIPAL[],35,FALSE)),"")</f>
        <v/>
      </c>
      <c r="P113" s="296" t="str">
        <f>IFERROR(IF(VLOOKUP($G113,BD_PRINCIPAL[],36,FALSE)=0,"",VLOOKUP($G113,BD_PRINCIPAL[],36,FALSE)),"")</f>
        <v/>
      </c>
      <c r="Q113" s="296" t="str">
        <f>IFERROR(IF(VLOOKUP($G113,BD_PRINCIPAL[],37,FALSE)=0,"",VLOOKUP($G113,BD_PRINCIPAL[],37,FALSE)),"")</f>
        <v/>
      </c>
      <c r="R113" s="296" t="str">
        <f>IFERROR(IF(VLOOKUP($G113,BD_PRINCIPAL[],38,FALSE)=0,"",VLOOKUP($G113,BD_PRINCIPAL[],38,FALSE)),"")</f>
        <v/>
      </c>
      <c r="S113" s="296" t="str">
        <f>IFERROR(IF(VLOOKUP($G113,BD_PRINCIPAL[],39,FALSE)=0,"",VLOOKUP($G113,BD_PRINCIPAL[],39,FALSE)),"")</f>
        <v/>
      </c>
      <c r="T113" s="296" t="str">
        <f>IFERROR(IF(VLOOKUP($G113,BD_PRINCIPAL[],40,FALSE)=0,"",VLOOKUP($G113,BD_PRINCIPAL[],40,FALSE)),"")</f>
        <v/>
      </c>
      <c r="U113" s="296" t="str">
        <f>IFERROR(IF(VLOOKUP($G113,BD_PRINCIPAL[],41,FALSE)=0,"",VLOOKUP($G113,BD_PRINCIPAL[],41,FALSE)),"")</f>
        <v/>
      </c>
      <c r="V113" s="296" t="str">
        <f>IFERROR(IF(VLOOKUP($G113,BD_PRINCIPAL[],42,FALSE)=0,"",VLOOKUP($G113,BD_PRINCIPAL[],42,FALSE)),"")</f>
        <v/>
      </c>
      <c r="W113" s="296" t="str">
        <f>IFERROR(IF(VLOOKUP($G113,BD_PRINCIPAL[],43,FALSE)=0,"",VLOOKUP($G113,BD_PRINCIPAL[],43,FALSE)),"")</f>
        <v/>
      </c>
      <c r="X113" s="296" t="str">
        <f>IFERROR(IF(VLOOKUP($G113,BD_PRINCIPAL[],44,FALSE)=0,"",VLOOKUP($G113,BD_PRINCIPAL[],44,FALSE)),"")</f>
        <v/>
      </c>
      <c r="Y113" s="296" t="str">
        <f>IFERROR(IF(VLOOKUP($G113,BD_PRINCIPAL[],45,FALSE)=0,"",VLOOKUP($G113,BD_PRINCIPAL[],45,FALSE)),"")</f>
        <v/>
      </c>
      <c r="Z113" s="296" t="str">
        <f>IFERROR(IF(VLOOKUP($G113,BD_PRINCIPAL[],46,FALSE)=0,"",VLOOKUP($G113,BD_PRINCIPAL[],46,FALSE)),"")</f>
        <v/>
      </c>
      <c r="AA113" s="296" t="str">
        <f>IFERROR(IF(VLOOKUP($G113,BD_PRINCIPAL[],47,FALSE)=0,"",VLOOKUP($G113,BD_PRINCIPAL[],47,FALSE)),"")</f>
        <v/>
      </c>
      <c r="AB113" s="296" t="str">
        <f>IFERROR(IF(VLOOKUP($G113,BD_PRINCIPAL[],48,FALSE)=0,"",VLOOKUP($G113,BD_PRINCIPAL[],48,FALSE)),"")</f>
        <v/>
      </c>
      <c r="AC113" s="296" t="str">
        <f>IFERROR(IF(VLOOKUP($G113,BD_PRINCIPAL[],49,FALSE)=0,"",VLOOKUP($G113,BD_PRINCIPAL[],49,FALSE)),"")</f>
        <v/>
      </c>
      <c r="AD113" s="296" t="str">
        <f>IFERROR(IF(VLOOKUP($G113,BD_PRINCIPAL[],50,FALSE)=0,"",VLOOKUP($G113,BD_PRINCIPAL[],50,FALSE)),"")</f>
        <v/>
      </c>
      <c r="AE113" s="296" t="str">
        <f>IFERROR(IF(VLOOKUP($G113,BD_PRINCIPAL[],51,FALSE)=0,"",VLOOKUP($G113,BD_PRINCIPAL[],51,FALSE)),"")</f>
        <v/>
      </c>
      <c r="AF113" s="296" t="str">
        <f>IFERROR(IF(VLOOKUP($G113,BD_PRINCIPAL[],52,FALSE)=0,"",VLOOKUP($G113,BD_PRINCIPAL[],52,FALSE)),"")</f>
        <v/>
      </c>
      <c r="AG113" s="296" t="str">
        <f>IFERROR(IF(VLOOKUP($G113,BD_PRINCIPAL[],53,FALSE)=0,"",VLOOKUP($G113,BD_PRINCIPAL[],53,FALSE)),"")</f>
        <v/>
      </c>
      <c r="AH113" s="296" t="str">
        <f>IFERROR(IF(VLOOKUP($G113,BD_PRINCIPAL[],54,FALSE)=0,"",VLOOKUP($G113,BD_PRINCIPAL[],54,FALSE)),"")</f>
        <v/>
      </c>
      <c r="AI113" s="296" t="str">
        <f>IFERROR(IF(VLOOKUP($G113,BD_PRINCIPAL[],55,FALSE)=0,"",VLOOKUP($G113,BD_PRINCIPAL[],55,FALSE)),"")</f>
        <v/>
      </c>
      <c r="AJ113" s="296" t="str">
        <f>IFERROR(IF(VLOOKUP($G113,BD_PRINCIPAL[],56,FALSE)=0,"",VLOOKUP($G113,BD_PRINCIPAL[],56,FALSE)),"")</f>
        <v/>
      </c>
      <c r="AK113" s="296" t="str">
        <f>IFERROR(IF(VLOOKUP($G113,BD_PRINCIPAL[],57,FALSE)=0,"",VLOOKUP($G113,BD_PRINCIPAL[],57,FALSE)),"")</f>
        <v/>
      </c>
      <c r="AL113" s="296" t="str">
        <f>IFERROR(IF(VLOOKUP($G113,BD_PRINCIPAL[],58,FALSE)=0,"",VLOOKUP($G113,BD_PRINCIPAL[],58,FALSE)),"")</f>
        <v/>
      </c>
    </row>
    <row r="114" spans="2:38" x14ac:dyDescent="0.3">
      <c r="B114" s="289">
        <f t="shared" si="9"/>
        <v>0</v>
      </c>
      <c r="D114" s="296">
        <v>16</v>
      </c>
      <c r="E114" s="296" t="str">
        <f>IFERROR(VLOOKUP(G114,BD_PRINCIPAL[],7,FALSE),"")</f>
        <v/>
      </c>
      <c r="F114" s="297" t="str">
        <f>IFERROR(VLOOKUP(G114,BD_PRINCIPAL[],2,FALSE),"")</f>
        <v/>
      </c>
      <c r="G114" s="321"/>
      <c r="H114" s="296" t="str">
        <f>IFERROR(IF(VLOOKUP($G114,BD_PRINCIPAL[],28,FALSE)=0,"",VLOOKUP($G114,BD_PRINCIPAL[],28,FALSE)),"")</f>
        <v/>
      </c>
      <c r="I114" s="296" t="str">
        <f>IFERROR(IF(VLOOKUP($G114,BD_PRINCIPAL[],29,FALSE)=0,"",VLOOKUP($G114,BD_PRINCIPAL[],29,FALSE)),"")</f>
        <v/>
      </c>
      <c r="J114" s="296" t="str">
        <f>IFERROR(IF(VLOOKUP($G114,BD_PRINCIPAL[],30,FALSE)=0,"",VLOOKUP($G114,BD_PRINCIPAL[],30,FALSE)),"")</f>
        <v/>
      </c>
      <c r="K114" s="296" t="str">
        <f>IFERROR(IF(VLOOKUP($G114,BD_PRINCIPAL[],31,FALSE)=0,"",VLOOKUP($G114,BD_PRINCIPAL[],31,FALSE)),"")</f>
        <v/>
      </c>
      <c r="L114" s="296" t="str">
        <f>IFERROR(IF(VLOOKUP($G114,BD_PRINCIPAL[],32,FALSE)=0,"",VLOOKUP($G114,BD_PRINCIPAL[],32,FALSE)),"")</f>
        <v/>
      </c>
      <c r="M114" s="296" t="str">
        <f>IFERROR(IF(VLOOKUP($G114,BD_PRINCIPAL[],33,FALSE)=0,"",VLOOKUP($G114,BD_PRINCIPAL[],33,FALSE)),"")</f>
        <v/>
      </c>
      <c r="N114" s="296" t="str">
        <f>IFERROR(IF(VLOOKUP($G114,BD_PRINCIPAL[],34,FALSE)=0,"",VLOOKUP($G114,BD_PRINCIPAL[],34,FALSE)),"")</f>
        <v/>
      </c>
      <c r="O114" s="296" t="str">
        <f>IFERROR(IF(VLOOKUP($G114,BD_PRINCIPAL[],35,FALSE)=0,"",VLOOKUP($G114,BD_PRINCIPAL[],35,FALSE)),"")</f>
        <v/>
      </c>
      <c r="P114" s="296" t="str">
        <f>IFERROR(IF(VLOOKUP($G114,BD_PRINCIPAL[],36,FALSE)=0,"",VLOOKUP($G114,BD_PRINCIPAL[],36,FALSE)),"")</f>
        <v/>
      </c>
      <c r="Q114" s="296" t="str">
        <f>IFERROR(IF(VLOOKUP($G114,BD_PRINCIPAL[],37,FALSE)=0,"",VLOOKUP($G114,BD_PRINCIPAL[],37,FALSE)),"")</f>
        <v/>
      </c>
      <c r="R114" s="296" t="str">
        <f>IFERROR(IF(VLOOKUP($G114,BD_PRINCIPAL[],38,FALSE)=0,"",VLOOKUP($G114,BD_PRINCIPAL[],38,FALSE)),"")</f>
        <v/>
      </c>
      <c r="S114" s="296" t="str">
        <f>IFERROR(IF(VLOOKUP($G114,BD_PRINCIPAL[],39,FALSE)=0,"",VLOOKUP($G114,BD_PRINCIPAL[],39,FALSE)),"")</f>
        <v/>
      </c>
      <c r="T114" s="296" t="str">
        <f>IFERROR(IF(VLOOKUP($G114,BD_PRINCIPAL[],40,FALSE)=0,"",VLOOKUP($G114,BD_PRINCIPAL[],40,FALSE)),"")</f>
        <v/>
      </c>
      <c r="U114" s="296" t="str">
        <f>IFERROR(IF(VLOOKUP($G114,BD_PRINCIPAL[],41,FALSE)=0,"",VLOOKUP($G114,BD_PRINCIPAL[],41,FALSE)),"")</f>
        <v/>
      </c>
      <c r="V114" s="296" t="str">
        <f>IFERROR(IF(VLOOKUP($G114,BD_PRINCIPAL[],42,FALSE)=0,"",VLOOKUP($G114,BD_PRINCIPAL[],42,FALSE)),"")</f>
        <v/>
      </c>
      <c r="W114" s="296" t="str">
        <f>IFERROR(IF(VLOOKUP($G114,BD_PRINCIPAL[],43,FALSE)=0,"",VLOOKUP($G114,BD_PRINCIPAL[],43,FALSE)),"")</f>
        <v/>
      </c>
      <c r="X114" s="296" t="str">
        <f>IFERROR(IF(VLOOKUP($G114,BD_PRINCIPAL[],44,FALSE)=0,"",VLOOKUP($G114,BD_PRINCIPAL[],44,FALSE)),"")</f>
        <v/>
      </c>
      <c r="Y114" s="296" t="str">
        <f>IFERROR(IF(VLOOKUP($G114,BD_PRINCIPAL[],45,FALSE)=0,"",VLOOKUP($G114,BD_PRINCIPAL[],45,FALSE)),"")</f>
        <v/>
      </c>
      <c r="Z114" s="296" t="str">
        <f>IFERROR(IF(VLOOKUP($G114,BD_PRINCIPAL[],46,FALSE)=0,"",VLOOKUP($G114,BD_PRINCIPAL[],46,FALSE)),"")</f>
        <v/>
      </c>
      <c r="AA114" s="296" t="str">
        <f>IFERROR(IF(VLOOKUP($G114,BD_PRINCIPAL[],47,FALSE)=0,"",VLOOKUP($G114,BD_PRINCIPAL[],47,FALSE)),"")</f>
        <v/>
      </c>
      <c r="AB114" s="296" t="str">
        <f>IFERROR(IF(VLOOKUP($G114,BD_PRINCIPAL[],48,FALSE)=0,"",VLOOKUP($G114,BD_PRINCIPAL[],48,FALSE)),"")</f>
        <v/>
      </c>
      <c r="AC114" s="296" t="str">
        <f>IFERROR(IF(VLOOKUP($G114,BD_PRINCIPAL[],49,FALSE)=0,"",VLOOKUP($G114,BD_PRINCIPAL[],49,FALSE)),"")</f>
        <v/>
      </c>
      <c r="AD114" s="296" t="str">
        <f>IFERROR(IF(VLOOKUP($G114,BD_PRINCIPAL[],50,FALSE)=0,"",VLOOKUP($G114,BD_PRINCIPAL[],50,FALSE)),"")</f>
        <v/>
      </c>
      <c r="AE114" s="296" t="str">
        <f>IFERROR(IF(VLOOKUP($G114,BD_PRINCIPAL[],51,FALSE)=0,"",VLOOKUP($G114,BD_PRINCIPAL[],51,FALSE)),"")</f>
        <v/>
      </c>
      <c r="AF114" s="296" t="str">
        <f>IFERROR(IF(VLOOKUP($G114,BD_PRINCIPAL[],52,FALSE)=0,"",VLOOKUP($G114,BD_PRINCIPAL[],52,FALSE)),"")</f>
        <v/>
      </c>
      <c r="AG114" s="296" t="str">
        <f>IFERROR(IF(VLOOKUP($G114,BD_PRINCIPAL[],53,FALSE)=0,"",VLOOKUP($G114,BD_PRINCIPAL[],53,FALSE)),"")</f>
        <v/>
      </c>
      <c r="AH114" s="296" t="str">
        <f>IFERROR(IF(VLOOKUP($G114,BD_PRINCIPAL[],54,FALSE)=0,"",VLOOKUP($G114,BD_PRINCIPAL[],54,FALSE)),"")</f>
        <v/>
      </c>
      <c r="AI114" s="296" t="str">
        <f>IFERROR(IF(VLOOKUP($G114,BD_PRINCIPAL[],55,FALSE)=0,"",VLOOKUP($G114,BD_PRINCIPAL[],55,FALSE)),"")</f>
        <v/>
      </c>
      <c r="AJ114" s="296" t="str">
        <f>IFERROR(IF(VLOOKUP($G114,BD_PRINCIPAL[],56,FALSE)=0,"",VLOOKUP($G114,BD_PRINCIPAL[],56,FALSE)),"")</f>
        <v/>
      </c>
      <c r="AK114" s="296" t="str">
        <f>IFERROR(IF(VLOOKUP($G114,BD_PRINCIPAL[],57,FALSE)=0,"",VLOOKUP($G114,BD_PRINCIPAL[],57,FALSE)),"")</f>
        <v/>
      </c>
      <c r="AL114" s="296" t="str">
        <f>IFERROR(IF(VLOOKUP($G114,BD_PRINCIPAL[],58,FALSE)=0,"",VLOOKUP($G114,BD_PRINCIPAL[],58,FALSE)),"")</f>
        <v/>
      </c>
    </row>
    <row r="115" spans="2:38" x14ac:dyDescent="0.3">
      <c r="B115" s="289">
        <f t="shared" si="9"/>
        <v>0</v>
      </c>
      <c r="D115" s="296">
        <v>17</v>
      </c>
      <c r="E115" s="296" t="str">
        <f>IFERROR(VLOOKUP(G115,BD_PRINCIPAL[],7,FALSE),"")</f>
        <v/>
      </c>
      <c r="F115" s="297" t="str">
        <f>IFERROR(VLOOKUP(G115,BD_PRINCIPAL[],2,FALSE),"")</f>
        <v/>
      </c>
      <c r="G115" s="321"/>
      <c r="H115" s="296" t="str">
        <f>IFERROR(IF(VLOOKUP($G115,BD_PRINCIPAL[],28,FALSE)=0,"",VLOOKUP($G115,BD_PRINCIPAL[],28,FALSE)),"")</f>
        <v/>
      </c>
      <c r="I115" s="296" t="str">
        <f>IFERROR(IF(VLOOKUP($G115,BD_PRINCIPAL[],29,FALSE)=0,"",VLOOKUP($G115,BD_PRINCIPAL[],29,FALSE)),"")</f>
        <v/>
      </c>
      <c r="J115" s="296" t="str">
        <f>IFERROR(IF(VLOOKUP($G115,BD_PRINCIPAL[],30,FALSE)=0,"",VLOOKUP($G115,BD_PRINCIPAL[],30,FALSE)),"")</f>
        <v/>
      </c>
      <c r="K115" s="296" t="str">
        <f>IFERROR(IF(VLOOKUP($G115,BD_PRINCIPAL[],31,FALSE)=0,"",VLOOKUP($G115,BD_PRINCIPAL[],31,FALSE)),"")</f>
        <v/>
      </c>
      <c r="L115" s="296" t="str">
        <f>IFERROR(IF(VLOOKUP($G115,BD_PRINCIPAL[],32,FALSE)=0,"",VLOOKUP($G115,BD_PRINCIPAL[],32,FALSE)),"")</f>
        <v/>
      </c>
      <c r="M115" s="296" t="str">
        <f>IFERROR(IF(VLOOKUP($G115,BD_PRINCIPAL[],33,FALSE)=0,"",VLOOKUP($G115,BD_PRINCIPAL[],33,FALSE)),"")</f>
        <v/>
      </c>
      <c r="N115" s="296" t="str">
        <f>IFERROR(IF(VLOOKUP($G115,BD_PRINCIPAL[],34,FALSE)=0,"",VLOOKUP($G115,BD_PRINCIPAL[],34,FALSE)),"")</f>
        <v/>
      </c>
      <c r="O115" s="296" t="str">
        <f>IFERROR(IF(VLOOKUP($G115,BD_PRINCIPAL[],35,FALSE)=0,"",VLOOKUP($G115,BD_PRINCIPAL[],35,FALSE)),"")</f>
        <v/>
      </c>
      <c r="P115" s="296" t="str">
        <f>IFERROR(IF(VLOOKUP($G115,BD_PRINCIPAL[],36,FALSE)=0,"",VLOOKUP($G115,BD_PRINCIPAL[],36,FALSE)),"")</f>
        <v/>
      </c>
      <c r="Q115" s="296" t="str">
        <f>IFERROR(IF(VLOOKUP($G115,BD_PRINCIPAL[],37,FALSE)=0,"",VLOOKUP($G115,BD_PRINCIPAL[],37,FALSE)),"")</f>
        <v/>
      </c>
      <c r="R115" s="296" t="str">
        <f>IFERROR(IF(VLOOKUP($G115,BD_PRINCIPAL[],38,FALSE)=0,"",VLOOKUP($G115,BD_PRINCIPAL[],38,FALSE)),"")</f>
        <v/>
      </c>
      <c r="S115" s="296" t="str">
        <f>IFERROR(IF(VLOOKUP($G115,BD_PRINCIPAL[],39,FALSE)=0,"",VLOOKUP($G115,BD_PRINCIPAL[],39,FALSE)),"")</f>
        <v/>
      </c>
      <c r="T115" s="296" t="str">
        <f>IFERROR(IF(VLOOKUP($G115,BD_PRINCIPAL[],40,FALSE)=0,"",VLOOKUP($G115,BD_PRINCIPAL[],40,FALSE)),"")</f>
        <v/>
      </c>
      <c r="U115" s="296" t="str">
        <f>IFERROR(IF(VLOOKUP($G115,BD_PRINCIPAL[],41,FALSE)=0,"",VLOOKUP($G115,BD_PRINCIPAL[],41,FALSE)),"")</f>
        <v/>
      </c>
      <c r="V115" s="296" t="str">
        <f>IFERROR(IF(VLOOKUP($G115,BD_PRINCIPAL[],42,FALSE)=0,"",VLOOKUP($G115,BD_PRINCIPAL[],42,FALSE)),"")</f>
        <v/>
      </c>
      <c r="W115" s="296" t="str">
        <f>IFERROR(IF(VLOOKUP($G115,BD_PRINCIPAL[],43,FALSE)=0,"",VLOOKUP($G115,BD_PRINCIPAL[],43,FALSE)),"")</f>
        <v/>
      </c>
      <c r="X115" s="296" t="str">
        <f>IFERROR(IF(VLOOKUP($G115,BD_PRINCIPAL[],44,FALSE)=0,"",VLOOKUP($G115,BD_PRINCIPAL[],44,FALSE)),"")</f>
        <v/>
      </c>
      <c r="Y115" s="296" t="str">
        <f>IFERROR(IF(VLOOKUP($G115,BD_PRINCIPAL[],45,FALSE)=0,"",VLOOKUP($G115,BD_PRINCIPAL[],45,FALSE)),"")</f>
        <v/>
      </c>
      <c r="Z115" s="296" t="str">
        <f>IFERROR(IF(VLOOKUP($G115,BD_PRINCIPAL[],46,FALSE)=0,"",VLOOKUP($G115,BD_PRINCIPAL[],46,FALSE)),"")</f>
        <v/>
      </c>
      <c r="AA115" s="296" t="str">
        <f>IFERROR(IF(VLOOKUP($G115,BD_PRINCIPAL[],47,FALSE)=0,"",VLOOKUP($G115,BD_PRINCIPAL[],47,FALSE)),"")</f>
        <v/>
      </c>
      <c r="AB115" s="296" t="str">
        <f>IFERROR(IF(VLOOKUP($G115,BD_PRINCIPAL[],48,FALSE)=0,"",VLOOKUP($G115,BD_PRINCIPAL[],48,FALSE)),"")</f>
        <v/>
      </c>
      <c r="AC115" s="296" t="str">
        <f>IFERROR(IF(VLOOKUP($G115,BD_PRINCIPAL[],49,FALSE)=0,"",VLOOKUP($G115,BD_PRINCIPAL[],49,FALSE)),"")</f>
        <v/>
      </c>
      <c r="AD115" s="296" t="str">
        <f>IFERROR(IF(VLOOKUP($G115,BD_PRINCIPAL[],50,FALSE)=0,"",VLOOKUP($G115,BD_PRINCIPAL[],50,FALSE)),"")</f>
        <v/>
      </c>
      <c r="AE115" s="296" t="str">
        <f>IFERROR(IF(VLOOKUP($G115,BD_PRINCIPAL[],51,FALSE)=0,"",VLOOKUP($G115,BD_PRINCIPAL[],51,FALSE)),"")</f>
        <v/>
      </c>
      <c r="AF115" s="296" t="str">
        <f>IFERROR(IF(VLOOKUP($G115,BD_PRINCIPAL[],52,FALSE)=0,"",VLOOKUP($G115,BD_PRINCIPAL[],52,FALSE)),"")</f>
        <v/>
      </c>
      <c r="AG115" s="296" t="str">
        <f>IFERROR(IF(VLOOKUP($G115,BD_PRINCIPAL[],53,FALSE)=0,"",VLOOKUP($G115,BD_PRINCIPAL[],53,FALSE)),"")</f>
        <v/>
      </c>
      <c r="AH115" s="296" t="str">
        <f>IFERROR(IF(VLOOKUP($G115,BD_PRINCIPAL[],54,FALSE)=0,"",VLOOKUP($G115,BD_PRINCIPAL[],54,FALSE)),"")</f>
        <v/>
      </c>
      <c r="AI115" s="296" t="str">
        <f>IFERROR(IF(VLOOKUP($G115,BD_PRINCIPAL[],55,FALSE)=0,"",VLOOKUP($G115,BD_PRINCIPAL[],55,FALSE)),"")</f>
        <v/>
      </c>
      <c r="AJ115" s="296" t="str">
        <f>IFERROR(IF(VLOOKUP($G115,BD_PRINCIPAL[],56,FALSE)=0,"",VLOOKUP($G115,BD_PRINCIPAL[],56,FALSE)),"")</f>
        <v/>
      </c>
      <c r="AK115" s="296" t="str">
        <f>IFERROR(IF(VLOOKUP($G115,BD_PRINCIPAL[],57,FALSE)=0,"",VLOOKUP($G115,BD_PRINCIPAL[],57,FALSE)),"")</f>
        <v/>
      </c>
      <c r="AL115" s="296" t="str">
        <f>IFERROR(IF(VLOOKUP($G115,BD_PRINCIPAL[],58,FALSE)=0,"",VLOOKUP($G115,BD_PRINCIPAL[],58,FALSE)),"")</f>
        <v/>
      </c>
    </row>
    <row r="116" spans="2:38" x14ac:dyDescent="0.3">
      <c r="B116" s="289">
        <f t="shared" si="9"/>
        <v>0</v>
      </c>
      <c r="D116" s="296">
        <v>18</v>
      </c>
      <c r="E116" s="296" t="str">
        <f>IFERROR(VLOOKUP(G116,BD_PRINCIPAL[],7,FALSE),"")</f>
        <v/>
      </c>
      <c r="F116" s="297" t="str">
        <f>IFERROR(VLOOKUP(G116,BD_PRINCIPAL[],2,FALSE),"")</f>
        <v/>
      </c>
      <c r="G116" s="197"/>
      <c r="H116" s="296" t="str">
        <f>IFERROR(IF(VLOOKUP($G116,BD_PRINCIPAL[],28,FALSE)=0,"",VLOOKUP($G116,BD_PRINCIPAL[],28,FALSE)),"")</f>
        <v/>
      </c>
      <c r="I116" s="296" t="str">
        <f>IFERROR(IF(VLOOKUP($G116,BD_PRINCIPAL[],29,FALSE)=0,"",VLOOKUP($G116,BD_PRINCIPAL[],29,FALSE)),"")</f>
        <v/>
      </c>
      <c r="J116" s="296" t="str">
        <f>IFERROR(IF(VLOOKUP($G116,BD_PRINCIPAL[],30,FALSE)=0,"",VLOOKUP($G116,BD_PRINCIPAL[],30,FALSE)),"")</f>
        <v/>
      </c>
      <c r="K116" s="296" t="str">
        <f>IFERROR(IF(VLOOKUP($G116,BD_PRINCIPAL[],31,FALSE)=0,"",VLOOKUP($G116,BD_PRINCIPAL[],31,FALSE)),"")</f>
        <v/>
      </c>
      <c r="L116" s="296" t="str">
        <f>IFERROR(IF(VLOOKUP($G116,BD_PRINCIPAL[],32,FALSE)=0,"",VLOOKUP($G116,BD_PRINCIPAL[],32,FALSE)),"")</f>
        <v/>
      </c>
      <c r="M116" s="296" t="str">
        <f>IFERROR(IF(VLOOKUP($G116,BD_PRINCIPAL[],33,FALSE)=0,"",VLOOKUP($G116,BD_PRINCIPAL[],33,FALSE)),"")</f>
        <v/>
      </c>
      <c r="N116" s="296" t="str">
        <f>IFERROR(IF(VLOOKUP($G116,BD_PRINCIPAL[],34,FALSE)=0,"",VLOOKUP($G116,BD_PRINCIPAL[],34,FALSE)),"")</f>
        <v/>
      </c>
      <c r="O116" s="296" t="str">
        <f>IFERROR(IF(VLOOKUP($G116,BD_PRINCIPAL[],35,FALSE)=0,"",VLOOKUP($G116,BD_PRINCIPAL[],35,FALSE)),"")</f>
        <v/>
      </c>
      <c r="P116" s="296" t="str">
        <f>IFERROR(IF(VLOOKUP($G116,BD_PRINCIPAL[],36,FALSE)=0,"",VLOOKUP($G116,BD_PRINCIPAL[],36,FALSE)),"")</f>
        <v/>
      </c>
      <c r="Q116" s="296" t="str">
        <f>IFERROR(IF(VLOOKUP($G116,BD_PRINCIPAL[],37,FALSE)=0,"",VLOOKUP($G116,BD_PRINCIPAL[],37,FALSE)),"")</f>
        <v/>
      </c>
      <c r="R116" s="296" t="str">
        <f>IFERROR(IF(VLOOKUP($G116,BD_PRINCIPAL[],38,FALSE)=0,"",VLOOKUP($G116,BD_PRINCIPAL[],38,FALSE)),"")</f>
        <v/>
      </c>
      <c r="S116" s="296" t="str">
        <f>IFERROR(IF(VLOOKUP($G116,BD_PRINCIPAL[],39,FALSE)=0,"",VLOOKUP($G116,BD_PRINCIPAL[],39,FALSE)),"")</f>
        <v/>
      </c>
      <c r="T116" s="296" t="str">
        <f>IFERROR(IF(VLOOKUP($G116,BD_PRINCIPAL[],40,FALSE)=0,"",VLOOKUP($G116,BD_PRINCIPAL[],40,FALSE)),"")</f>
        <v/>
      </c>
      <c r="U116" s="296" t="str">
        <f>IFERROR(IF(VLOOKUP($G116,BD_PRINCIPAL[],41,FALSE)=0,"",VLOOKUP($G116,BD_PRINCIPAL[],41,FALSE)),"")</f>
        <v/>
      </c>
      <c r="V116" s="296" t="str">
        <f>IFERROR(IF(VLOOKUP($G116,BD_PRINCIPAL[],42,FALSE)=0,"",VLOOKUP($G116,BD_PRINCIPAL[],42,FALSE)),"")</f>
        <v/>
      </c>
      <c r="W116" s="296" t="str">
        <f>IFERROR(IF(VLOOKUP($G116,BD_PRINCIPAL[],43,FALSE)=0,"",VLOOKUP($G116,BD_PRINCIPAL[],43,FALSE)),"")</f>
        <v/>
      </c>
      <c r="X116" s="296" t="str">
        <f>IFERROR(IF(VLOOKUP($G116,BD_PRINCIPAL[],44,FALSE)=0,"",VLOOKUP($G116,BD_PRINCIPAL[],44,FALSE)),"")</f>
        <v/>
      </c>
      <c r="Y116" s="296" t="str">
        <f>IFERROR(IF(VLOOKUP($G116,BD_PRINCIPAL[],45,FALSE)=0,"",VLOOKUP($G116,BD_PRINCIPAL[],45,FALSE)),"")</f>
        <v/>
      </c>
      <c r="Z116" s="296" t="str">
        <f>IFERROR(IF(VLOOKUP($G116,BD_PRINCIPAL[],46,FALSE)=0,"",VLOOKUP($G116,BD_PRINCIPAL[],46,FALSE)),"")</f>
        <v/>
      </c>
      <c r="AA116" s="296" t="str">
        <f>IFERROR(IF(VLOOKUP($G116,BD_PRINCIPAL[],47,FALSE)=0,"",VLOOKUP($G116,BD_PRINCIPAL[],47,FALSE)),"")</f>
        <v/>
      </c>
      <c r="AB116" s="296" t="str">
        <f>IFERROR(IF(VLOOKUP($G116,BD_PRINCIPAL[],48,FALSE)=0,"",VLOOKUP($G116,BD_PRINCIPAL[],48,FALSE)),"")</f>
        <v/>
      </c>
      <c r="AC116" s="296" t="str">
        <f>IFERROR(IF(VLOOKUP($G116,BD_PRINCIPAL[],49,FALSE)=0,"",VLOOKUP($G116,BD_PRINCIPAL[],49,FALSE)),"")</f>
        <v/>
      </c>
      <c r="AD116" s="296" t="str">
        <f>IFERROR(IF(VLOOKUP($G116,BD_PRINCIPAL[],50,FALSE)=0,"",VLOOKUP($G116,BD_PRINCIPAL[],50,FALSE)),"")</f>
        <v/>
      </c>
      <c r="AE116" s="296" t="str">
        <f>IFERROR(IF(VLOOKUP($G116,BD_PRINCIPAL[],51,FALSE)=0,"",VLOOKUP($G116,BD_PRINCIPAL[],51,FALSE)),"")</f>
        <v/>
      </c>
      <c r="AF116" s="296" t="str">
        <f>IFERROR(IF(VLOOKUP($G116,BD_PRINCIPAL[],52,FALSE)=0,"",VLOOKUP($G116,BD_PRINCIPAL[],52,FALSE)),"")</f>
        <v/>
      </c>
      <c r="AG116" s="296" t="str">
        <f>IFERROR(IF(VLOOKUP($G116,BD_PRINCIPAL[],53,FALSE)=0,"",VLOOKUP($G116,BD_PRINCIPAL[],53,FALSE)),"")</f>
        <v/>
      </c>
      <c r="AH116" s="296" t="str">
        <f>IFERROR(IF(VLOOKUP($G116,BD_PRINCIPAL[],54,FALSE)=0,"",VLOOKUP($G116,BD_PRINCIPAL[],54,FALSE)),"")</f>
        <v/>
      </c>
      <c r="AI116" s="296" t="str">
        <f>IFERROR(IF(VLOOKUP($G116,BD_PRINCIPAL[],55,FALSE)=0,"",VLOOKUP($G116,BD_PRINCIPAL[],55,FALSE)),"")</f>
        <v/>
      </c>
      <c r="AJ116" s="296" t="str">
        <f>IFERROR(IF(VLOOKUP($G116,BD_PRINCIPAL[],56,FALSE)=0,"",VLOOKUP($G116,BD_PRINCIPAL[],56,FALSE)),"")</f>
        <v/>
      </c>
      <c r="AK116" s="296" t="str">
        <f>IFERROR(IF(VLOOKUP($G116,BD_PRINCIPAL[],57,FALSE)=0,"",VLOOKUP($G116,BD_PRINCIPAL[],57,FALSE)),"")</f>
        <v/>
      </c>
      <c r="AL116" s="296" t="str">
        <f>IFERROR(IF(VLOOKUP($G116,BD_PRINCIPAL[],58,FALSE)=0,"",VLOOKUP($G116,BD_PRINCIPAL[],58,FALSE)),"")</f>
        <v/>
      </c>
    </row>
    <row r="117" spans="2:38" x14ac:dyDescent="0.3">
      <c r="B117" s="289">
        <f t="shared" si="9"/>
        <v>0</v>
      </c>
      <c r="D117" s="296">
        <v>19</v>
      </c>
      <c r="E117" s="296" t="str">
        <f>IFERROR(VLOOKUP(G117,BD_PRINCIPAL[],7,FALSE),"")</f>
        <v/>
      </c>
      <c r="F117" s="297" t="str">
        <f>IFERROR(VLOOKUP(G117,BD_PRINCIPAL[],2,FALSE),"")</f>
        <v/>
      </c>
      <c r="G117" s="288"/>
      <c r="H117" s="296" t="str">
        <f>IFERROR(IF(VLOOKUP($G117,BD_PRINCIPAL[],28,FALSE)=0,"",VLOOKUP($G117,BD_PRINCIPAL[],28,FALSE)),"")</f>
        <v/>
      </c>
      <c r="I117" s="296" t="str">
        <f>IFERROR(IF(VLOOKUP($G117,BD_PRINCIPAL[],29,FALSE)=0,"",VLOOKUP($G117,BD_PRINCIPAL[],29,FALSE)),"")</f>
        <v/>
      </c>
      <c r="J117" s="296" t="str">
        <f>IFERROR(IF(VLOOKUP($G117,BD_PRINCIPAL[],30,FALSE)=0,"",VLOOKUP($G117,BD_PRINCIPAL[],30,FALSE)),"")</f>
        <v/>
      </c>
      <c r="K117" s="296" t="str">
        <f>IFERROR(IF(VLOOKUP($G117,BD_PRINCIPAL[],31,FALSE)=0,"",VLOOKUP($G117,BD_PRINCIPAL[],31,FALSE)),"")</f>
        <v/>
      </c>
      <c r="L117" s="296" t="str">
        <f>IFERROR(IF(VLOOKUP($G117,BD_PRINCIPAL[],32,FALSE)=0,"",VLOOKUP($G117,BD_PRINCIPAL[],32,FALSE)),"")</f>
        <v/>
      </c>
      <c r="M117" s="296" t="str">
        <f>IFERROR(IF(VLOOKUP($G117,BD_PRINCIPAL[],33,FALSE)=0,"",VLOOKUP($G117,BD_PRINCIPAL[],33,FALSE)),"")</f>
        <v/>
      </c>
      <c r="N117" s="296" t="str">
        <f>IFERROR(IF(VLOOKUP($G117,BD_PRINCIPAL[],34,FALSE)=0,"",VLOOKUP($G117,BD_PRINCIPAL[],34,FALSE)),"")</f>
        <v/>
      </c>
      <c r="O117" s="296" t="str">
        <f>IFERROR(IF(VLOOKUP($G117,BD_PRINCIPAL[],35,FALSE)=0,"",VLOOKUP($G117,BD_PRINCIPAL[],35,FALSE)),"")</f>
        <v/>
      </c>
      <c r="P117" s="296" t="str">
        <f>IFERROR(IF(VLOOKUP($G117,BD_PRINCIPAL[],36,FALSE)=0,"",VLOOKUP($G117,BD_PRINCIPAL[],36,FALSE)),"")</f>
        <v/>
      </c>
      <c r="Q117" s="296" t="str">
        <f>IFERROR(IF(VLOOKUP($G117,BD_PRINCIPAL[],37,FALSE)=0,"",VLOOKUP($G117,BD_PRINCIPAL[],37,FALSE)),"")</f>
        <v/>
      </c>
      <c r="R117" s="296" t="str">
        <f>IFERROR(IF(VLOOKUP($G117,BD_PRINCIPAL[],38,FALSE)=0,"",VLOOKUP($G117,BD_PRINCIPAL[],38,FALSE)),"")</f>
        <v/>
      </c>
      <c r="S117" s="296" t="str">
        <f>IFERROR(IF(VLOOKUP($G117,BD_PRINCIPAL[],39,FALSE)=0,"",VLOOKUP($G117,BD_PRINCIPAL[],39,FALSE)),"")</f>
        <v/>
      </c>
      <c r="T117" s="296" t="str">
        <f>IFERROR(IF(VLOOKUP($G117,BD_PRINCIPAL[],40,FALSE)=0,"",VLOOKUP($G117,BD_PRINCIPAL[],40,FALSE)),"")</f>
        <v/>
      </c>
      <c r="U117" s="296" t="str">
        <f>IFERROR(IF(VLOOKUP($G117,BD_PRINCIPAL[],41,FALSE)=0,"",VLOOKUP($G117,BD_PRINCIPAL[],41,FALSE)),"")</f>
        <v/>
      </c>
      <c r="V117" s="296" t="str">
        <f>IFERROR(IF(VLOOKUP($G117,BD_PRINCIPAL[],42,FALSE)=0,"",VLOOKUP($G117,BD_PRINCIPAL[],42,FALSE)),"")</f>
        <v/>
      </c>
      <c r="W117" s="296" t="str">
        <f>IFERROR(IF(VLOOKUP($G117,BD_PRINCIPAL[],43,FALSE)=0,"",VLOOKUP($G117,BD_PRINCIPAL[],43,FALSE)),"")</f>
        <v/>
      </c>
      <c r="X117" s="296" t="str">
        <f>IFERROR(IF(VLOOKUP($G117,BD_PRINCIPAL[],44,FALSE)=0,"",VLOOKUP($G117,BD_PRINCIPAL[],44,FALSE)),"")</f>
        <v/>
      </c>
      <c r="Y117" s="296" t="str">
        <f>IFERROR(IF(VLOOKUP($G117,BD_PRINCIPAL[],45,FALSE)=0,"",VLOOKUP($G117,BD_PRINCIPAL[],45,FALSE)),"")</f>
        <v/>
      </c>
      <c r="Z117" s="296" t="str">
        <f>IFERROR(IF(VLOOKUP($G117,BD_PRINCIPAL[],46,FALSE)=0,"",VLOOKUP($G117,BD_PRINCIPAL[],46,FALSE)),"")</f>
        <v/>
      </c>
      <c r="AA117" s="296" t="str">
        <f>IFERROR(IF(VLOOKUP($G117,BD_PRINCIPAL[],47,FALSE)=0,"",VLOOKUP($G117,BD_PRINCIPAL[],47,FALSE)),"")</f>
        <v/>
      </c>
      <c r="AB117" s="296" t="str">
        <f>IFERROR(IF(VLOOKUP($G117,BD_PRINCIPAL[],48,FALSE)=0,"",VLOOKUP($G117,BD_PRINCIPAL[],48,FALSE)),"")</f>
        <v/>
      </c>
      <c r="AC117" s="296" t="str">
        <f>IFERROR(IF(VLOOKUP($G117,BD_PRINCIPAL[],49,FALSE)=0,"",VLOOKUP($G117,BD_PRINCIPAL[],49,FALSE)),"")</f>
        <v/>
      </c>
      <c r="AD117" s="296" t="str">
        <f>IFERROR(IF(VLOOKUP($G117,BD_PRINCIPAL[],50,FALSE)=0,"",VLOOKUP($G117,BD_PRINCIPAL[],50,FALSE)),"")</f>
        <v/>
      </c>
      <c r="AE117" s="296" t="str">
        <f>IFERROR(IF(VLOOKUP($G117,BD_PRINCIPAL[],51,FALSE)=0,"",VLOOKUP($G117,BD_PRINCIPAL[],51,FALSE)),"")</f>
        <v/>
      </c>
      <c r="AF117" s="296" t="str">
        <f>IFERROR(IF(VLOOKUP($G117,BD_PRINCIPAL[],52,FALSE)=0,"",VLOOKUP($G117,BD_PRINCIPAL[],52,FALSE)),"")</f>
        <v/>
      </c>
      <c r="AG117" s="296" t="str">
        <f>IFERROR(IF(VLOOKUP($G117,BD_PRINCIPAL[],53,FALSE)=0,"",VLOOKUP($G117,BD_PRINCIPAL[],53,FALSE)),"")</f>
        <v/>
      </c>
      <c r="AH117" s="296" t="str">
        <f>IFERROR(IF(VLOOKUP($G117,BD_PRINCIPAL[],54,FALSE)=0,"",VLOOKUP($G117,BD_PRINCIPAL[],54,FALSE)),"")</f>
        <v/>
      </c>
      <c r="AI117" s="296" t="str">
        <f>IFERROR(IF(VLOOKUP($G117,BD_PRINCIPAL[],55,FALSE)=0,"",VLOOKUP($G117,BD_PRINCIPAL[],55,FALSE)),"")</f>
        <v/>
      </c>
      <c r="AJ117" s="296" t="str">
        <f>IFERROR(IF(VLOOKUP($G117,BD_PRINCIPAL[],56,FALSE)=0,"",VLOOKUP($G117,BD_PRINCIPAL[],56,FALSE)),"")</f>
        <v/>
      </c>
      <c r="AK117" s="296" t="str">
        <f>IFERROR(IF(VLOOKUP($G117,BD_PRINCIPAL[],57,FALSE)=0,"",VLOOKUP($G117,BD_PRINCIPAL[],57,FALSE)),"")</f>
        <v/>
      </c>
      <c r="AL117" s="296" t="str">
        <f>IFERROR(IF(VLOOKUP($G117,BD_PRINCIPAL[],58,FALSE)=0,"",VLOOKUP($G117,BD_PRINCIPAL[],58,FALSE)),"")</f>
        <v/>
      </c>
    </row>
    <row r="118" spans="2:38" x14ac:dyDescent="0.3">
      <c r="B118" s="289">
        <f t="shared" si="9"/>
        <v>0</v>
      </c>
      <c r="D118" s="296">
        <v>20</v>
      </c>
      <c r="E118" s="296" t="str">
        <f>IFERROR(VLOOKUP(G118,BD_PRINCIPAL[],7,FALSE),"")</f>
        <v/>
      </c>
      <c r="F118" s="297" t="str">
        <f>IFERROR(VLOOKUP(G118,BD_PRINCIPAL[],2,FALSE),"")</f>
        <v/>
      </c>
      <c r="G118" s="288"/>
      <c r="H118" s="296" t="str">
        <f>IFERROR(IF(VLOOKUP($G118,BD_PRINCIPAL[],28,FALSE)=0,"",VLOOKUP($G118,BD_PRINCIPAL[],28,FALSE)),"")</f>
        <v/>
      </c>
      <c r="I118" s="296" t="str">
        <f>IFERROR(IF(VLOOKUP($G118,BD_PRINCIPAL[],29,FALSE)=0,"",VLOOKUP($G118,BD_PRINCIPAL[],29,FALSE)),"")</f>
        <v/>
      </c>
      <c r="J118" s="296" t="str">
        <f>IFERROR(IF(VLOOKUP($G118,BD_PRINCIPAL[],30,FALSE)=0,"",VLOOKUP($G118,BD_PRINCIPAL[],30,FALSE)),"")</f>
        <v/>
      </c>
      <c r="K118" s="296" t="str">
        <f>IFERROR(IF(VLOOKUP($G118,BD_PRINCIPAL[],31,FALSE)=0,"",VLOOKUP($G118,BD_PRINCIPAL[],31,FALSE)),"")</f>
        <v/>
      </c>
      <c r="L118" s="296" t="str">
        <f>IFERROR(IF(VLOOKUP($G118,BD_PRINCIPAL[],32,FALSE)=0,"",VLOOKUP($G118,BD_PRINCIPAL[],32,FALSE)),"")</f>
        <v/>
      </c>
      <c r="M118" s="296" t="str">
        <f>IFERROR(IF(VLOOKUP($G118,BD_PRINCIPAL[],33,FALSE)=0,"",VLOOKUP($G118,BD_PRINCIPAL[],33,FALSE)),"")</f>
        <v/>
      </c>
      <c r="N118" s="296" t="str">
        <f>IFERROR(IF(VLOOKUP($G118,BD_PRINCIPAL[],34,FALSE)=0,"",VLOOKUP($G118,BD_PRINCIPAL[],34,FALSE)),"")</f>
        <v/>
      </c>
      <c r="O118" s="296" t="str">
        <f>IFERROR(IF(VLOOKUP($G118,BD_PRINCIPAL[],35,FALSE)=0,"",VLOOKUP($G118,BD_PRINCIPAL[],35,FALSE)),"")</f>
        <v/>
      </c>
      <c r="P118" s="296" t="str">
        <f>IFERROR(IF(VLOOKUP($G118,BD_PRINCIPAL[],36,FALSE)=0,"",VLOOKUP($G118,BD_PRINCIPAL[],36,FALSE)),"")</f>
        <v/>
      </c>
      <c r="Q118" s="296" t="str">
        <f>IFERROR(IF(VLOOKUP($G118,BD_PRINCIPAL[],37,FALSE)=0,"",VLOOKUP($G118,BD_PRINCIPAL[],37,FALSE)),"")</f>
        <v/>
      </c>
      <c r="R118" s="296" t="str">
        <f>IFERROR(IF(VLOOKUP($G118,BD_PRINCIPAL[],38,FALSE)=0,"",VLOOKUP($G118,BD_PRINCIPAL[],38,FALSE)),"")</f>
        <v/>
      </c>
      <c r="S118" s="296" t="str">
        <f>IFERROR(IF(VLOOKUP($G118,BD_PRINCIPAL[],39,FALSE)=0,"",VLOOKUP($G118,BD_PRINCIPAL[],39,FALSE)),"")</f>
        <v/>
      </c>
      <c r="T118" s="296" t="str">
        <f>IFERROR(IF(VLOOKUP($G118,BD_PRINCIPAL[],40,FALSE)=0,"",VLOOKUP($G118,BD_PRINCIPAL[],40,FALSE)),"")</f>
        <v/>
      </c>
      <c r="U118" s="296" t="str">
        <f>IFERROR(IF(VLOOKUP($G118,BD_PRINCIPAL[],41,FALSE)=0,"",VLOOKUP($G118,BD_PRINCIPAL[],41,FALSE)),"")</f>
        <v/>
      </c>
      <c r="V118" s="296" t="str">
        <f>IFERROR(IF(VLOOKUP($G118,BD_PRINCIPAL[],42,FALSE)=0,"",VLOOKUP($G118,BD_PRINCIPAL[],42,FALSE)),"")</f>
        <v/>
      </c>
      <c r="W118" s="296" t="str">
        <f>IFERROR(IF(VLOOKUP($G118,BD_PRINCIPAL[],43,FALSE)=0,"",VLOOKUP($G118,BD_PRINCIPAL[],43,FALSE)),"")</f>
        <v/>
      </c>
      <c r="X118" s="296" t="str">
        <f>IFERROR(IF(VLOOKUP($G118,BD_PRINCIPAL[],44,FALSE)=0,"",VLOOKUP($G118,BD_PRINCIPAL[],44,FALSE)),"")</f>
        <v/>
      </c>
      <c r="Y118" s="296" t="str">
        <f>IFERROR(IF(VLOOKUP($G118,BD_PRINCIPAL[],45,FALSE)=0,"",VLOOKUP($G118,BD_PRINCIPAL[],45,FALSE)),"")</f>
        <v/>
      </c>
      <c r="Z118" s="296" t="str">
        <f>IFERROR(IF(VLOOKUP($G118,BD_PRINCIPAL[],46,FALSE)=0,"",VLOOKUP($G118,BD_PRINCIPAL[],46,FALSE)),"")</f>
        <v/>
      </c>
      <c r="AA118" s="296" t="str">
        <f>IFERROR(IF(VLOOKUP($G118,BD_PRINCIPAL[],47,FALSE)=0,"",VLOOKUP($G118,BD_PRINCIPAL[],47,FALSE)),"")</f>
        <v/>
      </c>
      <c r="AB118" s="296" t="str">
        <f>IFERROR(IF(VLOOKUP($G118,BD_PRINCIPAL[],48,FALSE)=0,"",VLOOKUP($G118,BD_PRINCIPAL[],48,FALSE)),"")</f>
        <v/>
      </c>
      <c r="AC118" s="296" t="str">
        <f>IFERROR(IF(VLOOKUP($G118,BD_PRINCIPAL[],49,FALSE)=0,"",VLOOKUP($G118,BD_PRINCIPAL[],49,FALSE)),"")</f>
        <v/>
      </c>
      <c r="AD118" s="296" t="str">
        <f>IFERROR(IF(VLOOKUP($G118,BD_PRINCIPAL[],50,FALSE)=0,"",VLOOKUP($G118,BD_PRINCIPAL[],50,FALSE)),"")</f>
        <v/>
      </c>
      <c r="AE118" s="296" t="str">
        <f>IFERROR(IF(VLOOKUP($G118,BD_PRINCIPAL[],51,FALSE)=0,"",VLOOKUP($G118,BD_PRINCIPAL[],51,FALSE)),"")</f>
        <v/>
      </c>
      <c r="AF118" s="296" t="str">
        <f>IFERROR(IF(VLOOKUP($G118,BD_PRINCIPAL[],52,FALSE)=0,"",VLOOKUP($G118,BD_PRINCIPAL[],52,FALSE)),"")</f>
        <v/>
      </c>
      <c r="AG118" s="296" t="str">
        <f>IFERROR(IF(VLOOKUP($G118,BD_PRINCIPAL[],53,FALSE)=0,"",VLOOKUP($G118,BD_PRINCIPAL[],53,FALSE)),"")</f>
        <v/>
      </c>
      <c r="AH118" s="296" t="str">
        <f>IFERROR(IF(VLOOKUP($G118,BD_PRINCIPAL[],54,FALSE)=0,"",VLOOKUP($G118,BD_PRINCIPAL[],54,FALSE)),"")</f>
        <v/>
      </c>
      <c r="AI118" s="296" t="str">
        <f>IFERROR(IF(VLOOKUP($G118,BD_PRINCIPAL[],55,FALSE)=0,"",VLOOKUP($G118,BD_PRINCIPAL[],55,FALSE)),"")</f>
        <v/>
      </c>
      <c r="AJ118" s="296" t="str">
        <f>IFERROR(IF(VLOOKUP($G118,BD_PRINCIPAL[],56,FALSE)=0,"",VLOOKUP($G118,BD_PRINCIPAL[],56,FALSE)),"")</f>
        <v/>
      </c>
      <c r="AK118" s="296" t="str">
        <f>IFERROR(IF(VLOOKUP($G118,BD_PRINCIPAL[],57,FALSE)=0,"",VLOOKUP($G118,BD_PRINCIPAL[],57,FALSE)),"")</f>
        <v/>
      </c>
      <c r="AL118" s="296" t="str">
        <f>IFERROR(IF(VLOOKUP($G118,BD_PRINCIPAL[],58,FALSE)=0,"",VLOOKUP($G118,BD_PRINCIPAL[],58,FALSE)),"")</f>
        <v/>
      </c>
    </row>
    <row r="119" spans="2:38" x14ac:dyDescent="0.3">
      <c r="B119" s="289">
        <f t="shared" si="9"/>
        <v>0</v>
      </c>
      <c r="D119" s="296">
        <v>21</v>
      </c>
      <c r="E119" s="296" t="str">
        <f>IFERROR(VLOOKUP(G119,BD_PRINCIPAL[],7,FALSE),"")</f>
        <v/>
      </c>
      <c r="F119" s="297" t="str">
        <f>IFERROR(VLOOKUP(G119,BD_PRINCIPAL[],2,FALSE),"")</f>
        <v/>
      </c>
      <c r="G119" s="288"/>
      <c r="H119" s="296" t="str">
        <f>IFERROR(IF(VLOOKUP($G119,BD_PRINCIPAL[],28,FALSE)=0,"",VLOOKUP($G119,BD_PRINCIPAL[],28,FALSE)),"")</f>
        <v/>
      </c>
      <c r="I119" s="296" t="str">
        <f>IFERROR(IF(VLOOKUP($G119,BD_PRINCIPAL[],29,FALSE)=0,"",VLOOKUP($G119,BD_PRINCIPAL[],29,FALSE)),"")</f>
        <v/>
      </c>
      <c r="J119" s="296" t="str">
        <f>IFERROR(IF(VLOOKUP($G119,BD_PRINCIPAL[],30,FALSE)=0,"",VLOOKUP($G119,BD_PRINCIPAL[],30,FALSE)),"")</f>
        <v/>
      </c>
      <c r="K119" s="296" t="str">
        <f>IFERROR(IF(VLOOKUP($G119,BD_PRINCIPAL[],31,FALSE)=0,"",VLOOKUP($G119,BD_PRINCIPAL[],31,FALSE)),"")</f>
        <v/>
      </c>
      <c r="L119" s="296" t="str">
        <f>IFERROR(IF(VLOOKUP($G119,BD_PRINCIPAL[],32,FALSE)=0,"",VLOOKUP($G119,BD_PRINCIPAL[],32,FALSE)),"")</f>
        <v/>
      </c>
      <c r="M119" s="296" t="str">
        <f>IFERROR(IF(VLOOKUP($G119,BD_PRINCIPAL[],33,FALSE)=0,"",VLOOKUP($G119,BD_PRINCIPAL[],33,FALSE)),"")</f>
        <v/>
      </c>
      <c r="N119" s="296" t="str">
        <f>IFERROR(IF(VLOOKUP($G119,BD_PRINCIPAL[],34,FALSE)=0,"",VLOOKUP($G119,BD_PRINCIPAL[],34,FALSE)),"")</f>
        <v/>
      </c>
      <c r="O119" s="296" t="str">
        <f>IFERROR(IF(VLOOKUP($G119,BD_PRINCIPAL[],35,FALSE)=0,"",VLOOKUP($G119,BD_PRINCIPAL[],35,FALSE)),"")</f>
        <v/>
      </c>
      <c r="P119" s="296" t="str">
        <f>IFERROR(IF(VLOOKUP($G119,BD_PRINCIPAL[],36,FALSE)=0,"",VLOOKUP($G119,BD_PRINCIPAL[],36,FALSE)),"")</f>
        <v/>
      </c>
      <c r="Q119" s="296" t="str">
        <f>IFERROR(IF(VLOOKUP($G119,BD_PRINCIPAL[],37,FALSE)=0,"",VLOOKUP($G119,BD_PRINCIPAL[],37,FALSE)),"")</f>
        <v/>
      </c>
      <c r="R119" s="296" t="str">
        <f>IFERROR(IF(VLOOKUP($G119,BD_PRINCIPAL[],38,FALSE)=0,"",VLOOKUP($G119,BD_PRINCIPAL[],38,FALSE)),"")</f>
        <v/>
      </c>
      <c r="S119" s="296" t="str">
        <f>IFERROR(IF(VLOOKUP($G119,BD_PRINCIPAL[],39,FALSE)=0,"",VLOOKUP($G119,BD_PRINCIPAL[],39,FALSE)),"")</f>
        <v/>
      </c>
      <c r="T119" s="296" t="str">
        <f>IFERROR(IF(VLOOKUP($G119,BD_PRINCIPAL[],40,FALSE)=0,"",VLOOKUP($G119,BD_PRINCIPAL[],40,FALSE)),"")</f>
        <v/>
      </c>
      <c r="U119" s="296" t="str">
        <f>IFERROR(IF(VLOOKUP($G119,BD_PRINCIPAL[],41,FALSE)=0,"",VLOOKUP($G119,BD_PRINCIPAL[],41,FALSE)),"")</f>
        <v/>
      </c>
      <c r="V119" s="296" t="str">
        <f>IFERROR(IF(VLOOKUP($G119,BD_PRINCIPAL[],42,FALSE)=0,"",VLOOKUP($G119,BD_PRINCIPAL[],42,FALSE)),"")</f>
        <v/>
      </c>
      <c r="W119" s="296" t="str">
        <f>IFERROR(IF(VLOOKUP($G119,BD_PRINCIPAL[],43,FALSE)=0,"",VLOOKUP($G119,BD_PRINCIPAL[],43,FALSE)),"")</f>
        <v/>
      </c>
      <c r="X119" s="296" t="str">
        <f>IFERROR(IF(VLOOKUP($G119,BD_PRINCIPAL[],44,FALSE)=0,"",VLOOKUP($G119,BD_PRINCIPAL[],44,FALSE)),"")</f>
        <v/>
      </c>
      <c r="Y119" s="296" t="str">
        <f>IFERROR(IF(VLOOKUP($G119,BD_PRINCIPAL[],45,FALSE)=0,"",VLOOKUP($G119,BD_PRINCIPAL[],45,FALSE)),"")</f>
        <v/>
      </c>
      <c r="Z119" s="296" t="str">
        <f>IFERROR(IF(VLOOKUP($G119,BD_PRINCIPAL[],46,FALSE)=0,"",VLOOKUP($G119,BD_PRINCIPAL[],46,FALSE)),"")</f>
        <v/>
      </c>
      <c r="AA119" s="296" t="str">
        <f>IFERROR(IF(VLOOKUP($G119,BD_PRINCIPAL[],47,FALSE)=0,"",VLOOKUP($G119,BD_PRINCIPAL[],47,FALSE)),"")</f>
        <v/>
      </c>
      <c r="AB119" s="296" t="str">
        <f>IFERROR(IF(VLOOKUP($G119,BD_PRINCIPAL[],48,FALSE)=0,"",VLOOKUP($G119,BD_PRINCIPAL[],48,FALSE)),"")</f>
        <v/>
      </c>
      <c r="AC119" s="296" t="str">
        <f>IFERROR(IF(VLOOKUP($G119,BD_PRINCIPAL[],49,FALSE)=0,"",VLOOKUP($G119,BD_PRINCIPAL[],49,FALSE)),"")</f>
        <v/>
      </c>
      <c r="AD119" s="296" t="str">
        <f>IFERROR(IF(VLOOKUP($G119,BD_PRINCIPAL[],50,FALSE)=0,"",VLOOKUP($G119,BD_PRINCIPAL[],50,FALSE)),"")</f>
        <v/>
      </c>
      <c r="AE119" s="296" t="str">
        <f>IFERROR(IF(VLOOKUP($G119,BD_PRINCIPAL[],51,FALSE)=0,"",VLOOKUP($G119,BD_PRINCIPAL[],51,FALSE)),"")</f>
        <v/>
      </c>
      <c r="AF119" s="296" t="str">
        <f>IFERROR(IF(VLOOKUP($G119,BD_PRINCIPAL[],52,FALSE)=0,"",VLOOKUP($G119,BD_PRINCIPAL[],52,FALSE)),"")</f>
        <v/>
      </c>
      <c r="AG119" s="296" t="str">
        <f>IFERROR(IF(VLOOKUP($G119,BD_PRINCIPAL[],53,FALSE)=0,"",VLOOKUP($G119,BD_PRINCIPAL[],53,FALSE)),"")</f>
        <v/>
      </c>
      <c r="AH119" s="296" t="str">
        <f>IFERROR(IF(VLOOKUP($G119,BD_PRINCIPAL[],54,FALSE)=0,"",VLOOKUP($G119,BD_PRINCIPAL[],54,FALSE)),"")</f>
        <v/>
      </c>
      <c r="AI119" s="296" t="str">
        <f>IFERROR(IF(VLOOKUP($G119,BD_PRINCIPAL[],55,FALSE)=0,"",VLOOKUP($G119,BD_PRINCIPAL[],55,FALSE)),"")</f>
        <v/>
      </c>
      <c r="AJ119" s="296" t="str">
        <f>IFERROR(IF(VLOOKUP($G119,BD_PRINCIPAL[],56,FALSE)=0,"",VLOOKUP($G119,BD_PRINCIPAL[],56,FALSE)),"")</f>
        <v/>
      </c>
      <c r="AK119" s="296" t="str">
        <f>IFERROR(IF(VLOOKUP($G119,BD_PRINCIPAL[],57,FALSE)=0,"",VLOOKUP($G119,BD_PRINCIPAL[],57,FALSE)),"")</f>
        <v/>
      </c>
      <c r="AL119" s="296" t="str">
        <f>IFERROR(IF(VLOOKUP($G119,BD_PRINCIPAL[],58,FALSE)=0,"",VLOOKUP($G119,BD_PRINCIPAL[],58,FALSE)),"")</f>
        <v/>
      </c>
    </row>
    <row r="120" spans="2:38" x14ac:dyDescent="0.3">
      <c r="B120" s="289">
        <f t="shared" si="9"/>
        <v>0</v>
      </c>
      <c r="D120" s="296">
        <v>22</v>
      </c>
      <c r="E120" s="296" t="str">
        <f>IFERROR(VLOOKUP(G120,BD_PRINCIPAL[],7,FALSE),"")</f>
        <v/>
      </c>
      <c r="F120" s="297" t="str">
        <f>IFERROR(VLOOKUP(G120,BD_PRINCIPAL[],2,FALSE),"")</f>
        <v/>
      </c>
      <c r="G120" s="288"/>
      <c r="H120" s="296" t="str">
        <f>IFERROR(IF(VLOOKUP($G120,BD_PRINCIPAL[],28,FALSE)=0,"",VLOOKUP($G120,BD_PRINCIPAL[],28,FALSE)),"")</f>
        <v/>
      </c>
      <c r="I120" s="296" t="str">
        <f>IFERROR(IF(VLOOKUP($G120,BD_PRINCIPAL[],29,FALSE)=0,"",VLOOKUP($G120,BD_PRINCIPAL[],29,FALSE)),"")</f>
        <v/>
      </c>
      <c r="J120" s="296" t="str">
        <f>IFERROR(IF(VLOOKUP($G120,BD_PRINCIPAL[],30,FALSE)=0,"",VLOOKUP($G120,BD_PRINCIPAL[],30,FALSE)),"")</f>
        <v/>
      </c>
      <c r="K120" s="296" t="str">
        <f>IFERROR(IF(VLOOKUP($G120,BD_PRINCIPAL[],31,FALSE)=0,"",VLOOKUP($G120,BD_PRINCIPAL[],31,FALSE)),"")</f>
        <v/>
      </c>
      <c r="L120" s="296" t="str">
        <f>IFERROR(IF(VLOOKUP($G120,BD_PRINCIPAL[],32,FALSE)=0,"",VLOOKUP($G120,BD_PRINCIPAL[],32,FALSE)),"")</f>
        <v/>
      </c>
      <c r="M120" s="296" t="str">
        <f>IFERROR(IF(VLOOKUP($G120,BD_PRINCIPAL[],33,FALSE)=0,"",VLOOKUP($G120,BD_PRINCIPAL[],33,FALSE)),"")</f>
        <v/>
      </c>
      <c r="N120" s="296" t="str">
        <f>IFERROR(IF(VLOOKUP($G120,BD_PRINCIPAL[],34,FALSE)=0,"",VLOOKUP($G120,BD_PRINCIPAL[],34,FALSE)),"")</f>
        <v/>
      </c>
      <c r="O120" s="296" t="str">
        <f>IFERROR(IF(VLOOKUP($G120,BD_PRINCIPAL[],35,FALSE)=0,"",VLOOKUP($G120,BD_PRINCIPAL[],35,FALSE)),"")</f>
        <v/>
      </c>
      <c r="P120" s="296" t="str">
        <f>IFERROR(IF(VLOOKUP($G120,BD_PRINCIPAL[],36,FALSE)=0,"",VLOOKUP($G120,BD_PRINCIPAL[],36,FALSE)),"")</f>
        <v/>
      </c>
      <c r="Q120" s="296" t="str">
        <f>IFERROR(IF(VLOOKUP($G120,BD_PRINCIPAL[],37,FALSE)=0,"",VLOOKUP($G120,BD_PRINCIPAL[],37,FALSE)),"")</f>
        <v/>
      </c>
      <c r="R120" s="296" t="str">
        <f>IFERROR(IF(VLOOKUP($G120,BD_PRINCIPAL[],38,FALSE)=0,"",VLOOKUP($G120,BD_PRINCIPAL[],38,FALSE)),"")</f>
        <v/>
      </c>
      <c r="S120" s="296" t="str">
        <f>IFERROR(IF(VLOOKUP($G120,BD_PRINCIPAL[],39,FALSE)=0,"",VLOOKUP($G120,BD_PRINCIPAL[],39,FALSE)),"")</f>
        <v/>
      </c>
      <c r="T120" s="296" t="str">
        <f>IFERROR(IF(VLOOKUP($G120,BD_PRINCIPAL[],40,FALSE)=0,"",VLOOKUP($G120,BD_PRINCIPAL[],40,FALSE)),"")</f>
        <v/>
      </c>
      <c r="U120" s="296" t="str">
        <f>IFERROR(IF(VLOOKUP($G120,BD_PRINCIPAL[],41,FALSE)=0,"",VLOOKUP($G120,BD_PRINCIPAL[],41,FALSE)),"")</f>
        <v/>
      </c>
      <c r="V120" s="296" t="str">
        <f>IFERROR(IF(VLOOKUP($G120,BD_PRINCIPAL[],42,FALSE)=0,"",VLOOKUP($G120,BD_PRINCIPAL[],42,FALSE)),"")</f>
        <v/>
      </c>
      <c r="W120" s="296" t="str">
        <f>IFERROR(IF(VLOOKUP($G120,BD_PRINCIPAL[],43,FALSE)=0,"",VLOOKUP($G120,BD_PRINCIPAL[],43,FALSE)),"")</f>
        <v/>
      </c>
      <c r="X120" s="296" t="str">
        <f>IFERROR(IF(VLOOKUP($G120,BD_PRINCIPAL[],44,FALSE)=0,"",VLOOKUP($G120,BD_PRINCIPAL[],44,FALSE)),"")</f>
        <v/>
      </c>
      <c r="Y120" s="296" t="str">
        <f>IFERROR(IF(VLOOKUP($G120,BD_PRINCIPAL[],45,FALSE)=0,"",VLOOKUP($G120,BD_PRINCIPAL[],45,FALSE)),"")</f>
        <v/>
      </c>
      <c r="Z120" s="296" t="str">
        <f>IFERROR(IF(VLOOKUP($G120,BD_PRINCIPAL[],46,FALSE)=0,"",VLOOKUP($G120,BD_PRINCIPAL[],46,FALSE)),"")</f>
        <v/>
      </c>
      <c r="AA120" s="296" t="str">
        <f>IFERROR(IF(VLOOKUP($G120,BD_PRINCIPAL[],47,FALSE)=0,"",VLOOKUP($G120,BD_PRINCIPAL[],47,FALSE)),"")</f>
        <v/>
      </c>
      <c r="AB120" s="296" t="str">
        <f>IFERROR(IF(VLOOKUP($G120,BD_PRINCIPAL[],48,FALSE)=0,"",VLOOKUP($G120,BD_PRINCIPAL[],48,FALSE)),"")</f>
        <v/>
      </c>
      <c r="AC120" s="296" t="str">
        <f>IFERROR(IF(VLOOKUP($G120,BD_PRINCIPAL[],49,FALSE)=0,"",VLOOKUP($G120,BD_PRINCIPAL[],49,FALSE)),"")</f>
        <v/>
      </c>
      <c r="AD120" s="296" t="str">
        <f>IFERROR(IF(VLOOKUP($G120,BD_PRINCIPAL[],50,FALSE)=0,"",VLOOKUP($G120,BD_PRINCIPAL[],50,FALSE)),"")</f>
        <v/>
      </c>
      <c r="AE120" s="296" t="str">
        <f>IFERROR(IF(VLOOKUP($G120,BD_PRINCIPAL[],51,FALSE)=0,"",VLOOKUP($G120,BD_PRINCIPAL[],51,FALSE)),"")</f>
        <v/>
      </c>
      <c r="AF120" s="296" t="str">
        <f>IFERROR(IF(VLOOKUP($G120,BD_PRINCIPAL[],52,FALSE)=0,"",VLOOKUP($G120,BD_PRINCIPAL[],52,FALSE)),"")</f>
        <v/>
      </c>
      <c r="AG120" s="296" t="str">
        <f>IFERROR(IF(VLOOKUP($G120,BD_PRINCIPAL[],53,FALSE)=0,"",VLOOKUP($G120,BD_PRINCIPAL[],53,FALSE)),"")</f>
        <v/>
      </c>
      <c r="AH120" s="296" t="str">
        <f>IFERROR(IF(VLOOKUP($G120,BD_PRINCIPAL[],54,FALSE)=0,"",VLOOKUP($G120,BD_PRINCIPAL[],54,FALSE)),"")</f>
        <v/>
      </c>
      <c r="AI120" s="296" t="str">
        <f>IFERROR(IF(VLOOKUP($G120,BD_PRINCIPAL[],55,FALSE)=0,"",VLOOKUP($G120,BD_PRINCIPAL[],55,FALSE)),"")</f>
        <v/>
      </c>
      <c r="AJ120" s="296" t="str">
        <f>IFERROR(IF(VLOOKUP($G120,BD_PRINCIPAL[],56,FALSE)=0,"",VLOOKUP($G120,BD_PRINCIPAL[],56,FALSE)),"")</f>
        <v/>
      </c>
      <c r="AK120" s="296" t="str">
        <f>IFERROR(IF(VLOOKUP($G120,BD_PRINCIPAL[],57,FALSE)=0,"",VLOOKUP($G120,BD_PRINCIPAL[],57,FALSE)),"")</f>
        <v/>
      </c>
      <c r="AL120" s="296" t="str">
        <f>IFERROR(IF(VLOOKUP($G120,BD_PRINCIPAL[],58,FALSE)=0,"",VLOOKUP($G120,BD_PRINCIPAL[],58,FALSE)),"")</f>
        <v/>
      </c>
    </row>
    <row r="121" spans="2:38" x14ac:dyDescent="0.3">
      <c r="B121" s="289">
        <f t="shared" si="9"/>
        <v>0</v>
      </c>
      <c r="D121" s="296">
        <v>23</v>
      </c>
      <c r="E121" s="296" t="str">
        <f>IFERROR(VLOOKUP(G121,BD_PRINCIPAL[],7,FALSE),"")</f>
        <v/>
      </c>
      <c r="F121" s="297" t="str">
        <f>IFERROR(VLOOKUP(G121,BD_PRINCIPAL[],2,FALSE),"")</f>
        <v/>
      </c>
      <c r="G121" s="288"/>
      <c r="H121" s="296" t="str">
        <f>IFERROR(IF(VLOOKUP($G121,BD_PRINCIPAL[],28,FALSE)=0,"",VLOOKUP($G121,BD_PRINCIPAL[],28,FALSE)),"")</f>
        <v/>
      </c>
      <c r="I121" s="296" t="str">
        <f>IFERROR(IF(VLOOKUP($G121,BD_PRINCIPAL[],29,FALSE)=0,"",VLOOKUP($G121,BD_PRINCIPAL[],29,FALSE)),"")</f>
        <v/>
      </c>
      <c r="J121" s="296" t="str">
        <f>IFERROR(IF(VLOOKUP($G121,BD_PRINCIPAL[],30,FALSE)=0,"",VLOOKUP($G121,BD_PRINCIPAL[],30,FALSE)),"")</f>
        <v/>
      </c>
      <c r="K121" s="296" t="str">
        <f>IFERROR(IF(VLOOKUP($G121,BD_PRINCIPAL[],31,FALSE)=0,"",VLOOKUP($G121,BD_PRINCIPAL[],31,FALSE)),"")</f>
        <v/>
      </c>
      <c r="L121" s="296" t="str">
        <f>IFERROR(IF(VLOOKUP($G121,BD_PRINCIPAL[],32,FALSE)=0,"",VLOOKUP($G121,BD_PRINCIPAL[],32,FALSE)),"")</f>
        <v/>
      </c>
      <c r="M121" s="296" t="str">
        <f>IFERROR(IF(VLOOKUP($G121,BD_PRINCIPAL[],33,FALSE)=0,"",VLOOKUP($G121,BD_PRINCIPAL[],33,FALSE)),"")</f>
        <v/>
      </c>
      <c r="N121" s="296" t="str">
        <f>IFERROR(IF(VLOOKUP($G121,BD_PRINCIPAL[],34,FALSE)=0,"",VLOOKUP($G121,BD_PRINCIPAL[],34,FALSE)),"")</f>
        <v/>
      </c>
      <c r="O121" s="296" t="str">
        <f>IFERROR(IF(VLOOKUP($G121,BD_PRINCIPAL[],35,FALSE)=0,"",VLOOKUP($G121,BD_PRINCIPAL[],35,FALSE)),"")</f>
        <v/>
      </c>
      <c r="P121" s="296" t="str">
        <f>IFERROR(IF(VLOOKUP($G121,BD_PRINCIPAL[],36,FALSE)=0,"",VLOOKUP($G121,BD_PRINCIPAL[],36,FALSE)),"")</f>
        <v/>
      </c>
      <c r="Q121" s="296" t="str">
        <f>IFERROR(IF(VLOOKUP($G121,BD_PRINCIPAL[],37,FALSE)=0,"",VLOOKUP($G121,BD_PRINCIPAL[],37,FALSE)),"")</f>
        <v/>
      </c>
      <c r="R121" s="296" t="str">
        <f>IFERROR(IF(VLOOKUP($G121,BD_PRINCIPAL[],38,FALSE)=0,"",VLOOKUP($G121,BD_PRINCIPAL[],38,FALSE)),"")</f>
        <v/>
      </c>
      <c r="S121" s="296" t="str">
        <f>IFERROR(IF(VLOOKUP($G121,BD_PRINCIPAL[],39,FALSE)=0,"",VLOOKUP($G121,BD_PRINCIPAL[],39,FALSE)),"")</f>
        <v/>
      </c>
      <c r="T121" s="296" t="str">
        <f>IFERROR(IF(VLOOKUP($G121,BD_PRINCIPAL[],40,FALSE)=0,"",VLOOKUP($G121,BD_PRINCIPAL[],40,FALSE)),"")</f>
        <v/>
      </c>
      <c r="U121" s="296" t="str">
        <f>IFERROR(IF(VLOOKUP($G121,BD_PRINCIPAL[],41,FALSE)=0,"",VLOOKUP($G121,BD_PRINCIPAL[],41,FALSE)),"")</f>
        <v/>
      </c>
      <c r="V121" s="296" t="str">
        <f>IFERROR(IF(VLOOKUP($G121,BD_PRINCIPAL[],42,FALSE)=0,"",VLOOKUP($G121,BD_PRINCIPAL[],42,FALSE)),"")</f>
        <v/>
      </c>
      <c r="W121" s="296" t="str">
        <f>IFERROR(IF(VLOOKUP($G121,BD_PRINCIPAL[],43,FALSE)=0,"",VLOOKUP($G121,BD_PRINCIPAL[],43,FALSE)),"")</f>
        <v/>
      </c>
      <c r="X121" s="296" t="str">
        <f>IFERROR(IF(VLOOKUP($G121,BD_PRINCIPAL[],44,FALSE)=0,"",VLOOKUP($G121,BD_PRINCIPAL[],44,FALSE)),"")</f>
        <v/>
      </c>
      <c r="Y121" s="296" t="str">
        <f>IFERROR(IF(VLOOKUP($G121,BD_PRINCIPAL[],45,FALSE)=0,"",VLOOKUP($G121,BD_PRINCIPAL[],45,FALSE)),"")</f>
        <v/>
      </c>
      <c r="Z121" s="296" t="str">
        <f>IFERROR(IF(VLOOKUP($G121,BD_PRINCIPAL[],46,FALSE)=0,"",VLOOKUP($G121,BD_PRINCIPAL[],46,FALSE)),"")</f>
        <v/>
      </c>
      <c r="AA121" s="296" t="str">
        <f>IFERROR(IF(VLOOKUP($G121,BD_PRINCIPAL[],47,FALSE)=0,"",VLOOKUP($G121,BD_PRINCIPAL[],47,FALSE)),"")</f>
        <v/>
      </c>
      <c r="AB121" s="296" t="str">
        <f>IFERROR(IF(VLOOKUP($G121,BD_PRINCIPAL[],48,FALSE)=0,"",VLOOKUP($G121,BD_PRINCIPAL[],48,FALSE)),"")</f>
        <v/>
      </c>
      <c r="AC121" s="296" t="str">
        <f>IFERROR(IF(VLOOKUP($G121,BD_PRINCIPAL[],49,FALSE)=0,"",VLOOKUP($G121,BD_PRINCIPAL[],49,FALSE)),"")</f>
        <v/>
      </c>
      <c r="AD121" s="296" t="str">
        <f>IFERROR(IF(VLOOKUP($G121,BD_PRINCIPAL[],50,FALSE)=0,"",VLOOKUP($G121,BD_PRINCIPAL[],50,FALSE)),"")</f>
        <v/>
      </c>
      <c r="AE121" s="296" t="str">
        <f>IFERROR(IF(VLOOKUP($G121,BD_PRINCIPAL[],51,FALSE)=0,"",VLOOKUP($G121,BD_PRINCIPAL[],51,FALSE)),"")</f>
        <v/>
      </c>
      <c r="AF121" s="296" t="str">
        <f>IFERROR(IF(VLOOKUP($G121,BD_PRINCIPAL[],52,FALSE)=0,"",VLOOKUP($G121,BD_PRINCIPAL[],52,FALSE)),"")</f>
        <v/>
      </c>
      <c r="AG121" s="296" t="str">
        <f>IFERROR(IF(VLOOKUP($G121,BD_PRINCIPAL[],53,FALSE)=0,"",VLOOKUP($G121,BD_PRINCIPAL[],53,FALSE)),"")</f>
        <v/>
      </c>
      <c r="AH121" s="296" t="str">
        <f>IFERROR(IF(VLOOKUP($G121,BD_PRINCIPAL[],54,FALSE)=0,"",VLOOKUP($G121,BD_PRINCIPAL[],54,FALSE)),"")</f>
        <v/>
      </c>
      <c r="AI121" s="296" t="str">
        <f>IFERROR(IF(VLOOKUP($G121,BD_PRINCIPAL[],55,FALSE)=0,"",VLOOKUP($G121,BD_PRINCIPAL[],55,FALSE)),"")</f>
        <v/>
      </c>
      <c r="AJ121" s="296" t="str">
        <f>IFERROR(IF(VLOOKUP($G121,BD_PRINCIPAL[],56,FALSE)=0,"",VLOOKUP($G121,BD_PRINCIPAL[],56,FALSE)),"")</f>
        <v/>
      </c>
      <c r="AK121" s="296" t="str">
        <f>IFERROR(IF(VLOOKUP($G121,BD_PRINCIPAL[],57,FALSE)=0,"",VLOOKUP($G121,BD_PRINCIPAL[],57,FALSE)),"")</f>
        <v/>
      </c>
      <c r="AL121" s="296" t="str">
        <f>IFERROR(IF(VLOOKUP($G121,BD_PRINCIPAL[],58,FALSE)=0,"",VLOOKUP($G121,BD_PRINCIPAL[],58,FALSE)),"")</f>
        <v/>
      </c>
    </row>
    <row r="122" spans="2:38" x14ac:dyDescent="0.3">
      <c r="B122" s="289">
        <f t="shared" si="9"/>
        <v>0</v>
      </c>
      <c r="D122" s="296">
        <v>24</v>
      </c>
      <c r="E122" s="296" t="str">
        <f>IFERROR(VLOOKUP(G122,BD_PRINCIPAL[],7,FALSE),"")</f>
        <v/>
      </c>
      <c r="F122" s="297" t="str">
        <f>IFERROR(VLOOKUP(G122,BD_PRINCIPAL[],2,FALSE),"")</f>
        <v/>
      </c>
      <c r="G122" s="288"/>
      <c r="H122" s="296" t="str">
        <f>IFERROR(IF(VLOOKUP($G122,BD_PRINCIPAL[],28,FALSE)=0,"",VLOOKUP($G122,BD_PRINCIPAL[],28,FALSE)),"")</f>
        <v/>
      </c>
      <c r="I122" s="296" t="str">
        <f>IFERROR(IF(VLOOKUP($G122,BD_PRINCIPAL[],29,FALSE)=0,"",VLOOKUP($G122,BD_PRINCIPAL[],29,FALSE)),"")</f>
        <v/>
      </c>
      <c r="J122" s="296" t="str">
        <f>IFERROR(IF(VLOOKUP($G122,BD_PRINCIPAL[],30,FALSE)=0,"",VLOOKUP($G122,BD_PRINCIPAL[],30,FALSE)),"")</f>
        <v/>
      </c>
      <c r="K122" s="296" t="str">
        <f>IFERROR(IF(VLOOKUP($G122,BD_PRINCIPAL[],31,FALSE)=0,"",VLOOKUP($G122,BD_PRINCIPAL[],31,FALSE)),"")</f>
        <v/>
      </c>
      <c r="L122" s="296" t="str">
        <f>IFERROR(IF(VLOOKUP($G122,BD_PRINCIPAL[],32,FALSE)=0,"",VLOOKUP($G122,BD_PRINCIPAL[],32,FALSE)),"")</f>
        <v/>
      </c>
      <c r="M122" s="296" t="str">
        <f>IFERROR(IF(VLOOKUP($G122,BD_PRINCIPAL[],33,FALSE)=0,"",VLOOKUP($G122,BD_PRINCIPAL[],33,FALSE)),"")</f>
        <v/>
      </c>
      <c r="N122" s="296" t="str">
        <f>IFERROR(IF(VLOOKUP($G122,BD_PRINCIPAL[],34,FALSE)=0,"",VLOOKUP($G122,BD_PRINCIPAL[],34,FALSE)),"")</f>
        <v/>
      </c>
      <c r="O122" s="296" t="str">
        <f>IFERROR(IF(VLOOKUP($G122,BD_PRINCIPAL[],35,FALSE)=0,"",VLOOKUP($G122,BD_PRINCIPAL[],35,FALSE)),"")</f>
        <v/>
      </c>
      <c r="P122" s="296" t="str">
        <f>IFERROR(IF(VLOOKUP($G122,BD_PRINCIPAL[],36,FALSE)=0,"",VLOOKUP($G122,BD_PRINCIPAL[],36,FALSE)),"")</f>
        <v/>
      </c>
      <c r="Q122" s="296" t="str">
        <f>IFERROR(IF(VLOOKUP($G122,BD_PRINCIPAL[],37,FALSE)=0,"",VLOOKUP($G122,BD_PRINCIPAL[],37,FALSE)),"")</f>
        <v/>
      </c>
      <c r="R122" s="296" t="str">
        <f>IFERROR(IF(VLOOKUP($G122,BD_PRINCIPAL[],38,FALSE)=0,"",VLOOKUP($G122,BD_PRINCIPAL[],38,FALSE)),"")</f>
        <v/>
      </c>
      <c r="S122" s="296" t="str">
        <f>IFERROR(IF(VLOOKUP($G122,BD_PRINCIPAL[],39,FALSE)=0,"",VLOOKUP($G122,BD_PRINCIPAL[],39,FALSE)),"")</f>
        <v/>
      </c>
      <c r="T122" s="296" t="str">
        <f>IFERROR(IF(VLOOKUP($G122,BD_PRINCIPAL[],40,FALSE)=0,"",VLOOKUP($G122,BD_PRINCIPAL[],40,FALSE)),"")</f>
        <v/>
      </c>
      <c r="U122" s="296" t="str">
        <f>IFERROR(IF(VLOOKUP($G122,BD_PRINCIPAL[],41,FALSE)=0,"",VLOOKUP($G122,BD_PRINCIPAL[],41,FALSE)),"")</f>
        <v/>
      </c>
      <c r="V122" s="296" t="str">
        <f>IFERROR(IF(VLOOKUP($G122,BD_PRINCIPAL[],42,FALSE)=0,"",VLOOKUP($G122,BD_PRINCIPAL[],42,FALSE)),"")</f>
        <v/>
      </c>
      <c r="W122" s="296" t="str">
        <f>IFERROR(IF(VLOOKUP($G122,BD_PRINCIPAL[],43,FALSE)=0,"",VLOOKUP($G122,BD_PRINCIPAL[],43,FALSE)),"")</f>
        <v/>
      </c>
      <c r="X122" s="296" t="str">
        <f>IFERROR(IF(VLOOKUP($G122,BD_PRINCIPAL[],44,FALSE)=0,"",VLOOKUP($G122,BD_PRINCIPAL[],44,FALSE)),"")</f>
        <v/>
      </c>
      <c r="Y122" s="296" t="str">
        <f>IFERROR(IF(VLOOKUP($G122,BD_PRINCIPAL[],45,FALSE)=0,"",VLOOKUP($G122,BD_PRINCIPAL[],45,FALSE)),"")</f>
        <v/>
      </c>
      <c r="Z122" s="296" t="str">
        <f>IFERROR(IF(VLOOKUP($G122,BD_PRINCIPAL[],46,FALSE)=0,"",VLOOKUP($G122,BD_PRINCIPAL[],46,FALSE)),"")</f>
        <v/>
      </c>
      <c r="AA122" s="296" t="str">
        <f>IFERROR(IF(VLOOKUP($G122,BD_PRINCIPAL[],47,FALSE)=0,"",VLOOKUP($G122,BD_PRINCIPAL[],47,FALSE)),"")</f>
        <v/>
      </c>
      <c r="AB122" s="296" t="str">
        <f>IFERROR(IF(VLOOKUP($G122,BD_PRINCIPAL[],48,FALSE)=0,"",VLOOKUP($G122,BD_PRINCIPAL[],48,FALSE)),"")</f>
        <v/>
      </c>
      <c r="AC122" s="296" t="str">
        <f>IFERROR(IF(VLOOKUP($G122,BD_PRINCIPAL[],49,FALSE)=0,"",VLOOKUP($G122,BD_PRINCIPAL[],49,FALSE)),"")</f>
        <v/>
      </c>
      <c r="AD122" s="296" t="str">
        <f>IFERROR(IF(VLOOKUP($G122,BD_PRINCIPAL[],50,FALSE)=0,"",VLOOKUP($G122,BD_PRINCIPAL[],50,FALSE)),"")</f>
        <v/>
      </c>
      <c r="AE122" s="296" t="str">
        <f>IFERROR(IF(VLOOKUP($G122,BD_PRINCIPAL[],51,FALSE)=0,"",VLOOKUP($G122,BD_PRINCIPAL[],51,FALSE)),"")</f>
        <v/>
      </c>
      <c r="AF122" s="296" t="str">
        <f>IFERROR(IF(VLOOKUP($G122,BD_PRINCIPAL[],52,FALSE)=0,"",VLOOKUP($G122,BD_PRINCIPAL[],52,FALSE)),"")</f>
        <v/>
      </c>
      <c r="AG122" s="296" t="str">
        <f>IFERROR(IF(VLOOKUP($G122,BD_PRINCIPAL[],53,FALSE)=0,"",VLOOKUP($G122,BD_PRINCIPAL[],53,FALSE)),"")</f>
        <v/>
      </c>
      <c r="AH122" s="296" t="str">
        <f>IFERROR(IF(VLOOKUP($G122,BD_PRINCIPAL[],54,FALSE)=0,"",VLOOKUP($G122,BD_PRINCIPAL[],54,FALSE)),"")</f>
        <v/>
      </c>
      <c r="AI122" s="296" t="str">
        <f>IFERROR(IF(VLOOKUP($G122,BD_PRINCIPAL[],55,FALSE)=0,"",VLOOKUP($G122,BD_PRINCIPAL[],55,FALSE)),"")</f>
        <v/>
      </c>
      <c r="AJ122" s="296" t="str">
        <f>IFERROR(IF(VLOOKUP($G122,BD_PRINCIPAL[],56,FALSE)=0,"",VLOOKUP($G122,BD_PRINCIPAL[],56,FALSE)),"")</f>
        <v/>
      </c>
      <c r="AK122" s="296" t="str">
        <f>IFERROR(IF(VLOOKUP($G122,BD_PRINCIPAL[],57,FALSE)=0,"",VLOOKUP($G122,BD_PRINCIPAL[],57,FALSE)),"")</f>
        <v/>
      </c>
      <c r="AL122" s="296" t="str">
        <f>IFERROR(IF(VLOOKUP($G122,BD_PRINCIPAL[],58,FALSE)=0,"",VLOOKUP($G122,BD_PRINCIPAL[],58,FALSE)),"")</f>
        <v/>
      </c>
    </row>
    <row r="123" spans="2:38" x14ac:dyDescent="0.3">
      <c r="B123" s="289">
        <f t="shared" si="9"/>
        <v>0</v>
      </c>
      <c r="D123" s="296">
        <v>25</v>
      </c>
      <c r="E123" s="296" t="str">
        <f>IFERROR(VLOOKUP(G123,BD_PRINCIPAL[],7,FALSE),"")</f>
        <v/>
      </c>
      <c r="F123" s="297" t="str">
        <f>IFERROR(VLOOKUP(G123,BD_PRINCIPAL[],2,FALSE),"")</f>
        <v/>
      </c>
      <c r="G123" s="288"/>
      <c r="H123" s="296" t="str">
        <f>IFERROR(IF(VLOOKUP($G123,BD_PRINCIPAL[],28,FALSE)=0,"",VLOOKUP($G123,BD_PRINCIPAL[],28,FALSE)),"")</f>
        <v/>
      </c>
      <c r="I123" s="296" t="str">
        <f>IFERROR(IF(VLOOKUP($G123,BD_PRINCIPAL[],29,FALSE)=0,"",VLOOKUP($G123,BD_PRINCIPAL[],29,FALSE)),"")</f>
        <v/>
      </c>
      <c r="J123" s="296" t="str">
        <f>IFERROR(IF(VLOOKUP($G123,BD_PRINCIPAL[],30,FALSE)=0,"",VLOOKUP($G123,BD_PRINCIPAL[],30,FALSE)),"")</f>
        <v/>
      </c>
      <c r="K123" s="296" t="str">
        <f>IFERROR(IF(VLOOKUP($G123,BD_PRINCIPAL[],31,FALSE)=0,"",VLOOKUP($G123,BD_PRINCIPAL[],31,FALSE)),"")</f>
        <v/>
      </c>
      <c r="L123" s="296" t="str">
        <f>IFERROR(IF(VLOOKUP($G123,BD_PRINCIPAL[],32,FALSE)=0,"",VLOOKUP($G123,BD_PRINCIPAL[],32,FALSE)),"")</f>
        <v/>
      </c>
      <c r="M123" s="296" t="str">
        <f>IFERROR(IF(VLOOKUP($G123,BD_PRINCIPAL[],33,FALSE)=0,"",VLOOKUP($G123,BD_PRINCIPAL[],33,FALSE)),"")</f>
        <v/>
      </c>
      <c r="N123" s="296" t="str">
        <f>IFERROR(IF(VLOOKUP($G123,BD_PRINCIPAL[],34,FALSE)=0,"",VLOOKUP($G123,BD_PRINCIPAL[],34,FALSE)),"")</f>
        <v/>
      </c>
      <c r="O123" s="296" t="str">
        <f>IFERROR(IF(VLOOKUP($G123,BD_PRINCIPAL[],35,FALSE)=0,"",VLOOKUP($G123,BD_PRINCIPAL[],35,FALSE)),"")</f>
        <v/>
      </c>
      <c r="P123" s="296" t="str">
        <f>IFERROR(IF(VLOOKUP($G123,BD_PRINCIPAL[],36,FALSE)=0,"",VLOOKUP($G123,BD_PRINCIPAL[],36,FALSE)),"")</f>
        <v/>
      </c>
      <c r="Q123" s="296" t="str">
        <f>IFERROR(IF(VLOOKUP($G123,BD_PRINCIPAL[],37,FALSE)=0,"",VLOOKUP($G123,BD_PRINCIPAL[],37,FALSE)),"")</f>
        <v/>
      </c>
      <c r="R123" s="296" t="str">
        <f>IFERROR(IF(VLOOKUP($G123,BD_PRINCIPAL[],38,FALSE)=0,"",VLOOKUP($G123,BD_PRINCIPAL[],38,FALSE)),"")</f>
        <v/>
      </c>
      <c r="S123" s="296" t="str">
        <f>IFERROR(IF(VLOOKUP($G123,BD_PRINCIPAL[],39,FALSE)=0,"",VLOOKUP($G123,BD_PRINCIPAL[],39,FALSE)),"")</f>
        <v/>
      </c>
      <c r="T123" s="296" t="str">
        <f>IFERROR(IF(VLOOKUP($G123,BD_PRINCIPAL[],40,FALSE)=0,"",VLOOKUP($G123,BD_PRINCIPAL[],40,FALSE)),"")</f>
        <v/>
      </c>
      <c r="U123" s="296" t="str">
        <f>IFERROR(IF(VLOOKUP($G123,BD_PRINCIPAL[],41,FALSE)=0,"",VLOOKUP($G123,BD_PRINCIPAL[],41,FALSE)),"")</f>
        <v/>
      </c>
      <c r="V123" s="296" t="str">
        <f>IFERROR(IF(VLOOKUP($G123,BD_PRINCIPAL[],42,FALSE)=0,"",VLOOKUP($G123,BD_PRINCIPAL[],42,FALSE)),"")</f>
        <v/>
      </c>
      <c r="W123" s="296" t="str">
        <f>IFERROR(IF(VLOOKUP($G123,BD_PRINCIPAL[],43,FALSE)=0,"",VLOOKUP($G123,BD_PRINCIPAL[],43,FALSE)),"")</f>
        <v/>
      </c>
      <c r="X123" s="296" t="str">
        <f>IFERROR(IF(VLOOKUP($G123,BD_PRINCIPAL[],44,FALSE)=0,"",VLOOKUP($G123,BD_PRINCIPAL[],44,FALSE)),"")</f>
        <v/>
      </c>
      <c r="Y123" s="296" t="str">
        <f>IFERROR(IF(VLOOKUP($G123,BD_PRINCIPAL[],45,FALSE)=0,"",VLOOKUP($G123,BD_PRINCIPAL[],45,FALSE)),"")</f>
        <v/>
      </c>
      <c r="Z123" s="296" t="str">
        <f>IFERROR(IF(VLOOKUP($G123,BD_PRINCIPAL[],46,FALSE)=0,"",VLOOKUP($G123,BD_PRINCIPAL[],46,FALSE)),"")</f>
        <v/>
      </c>
      <c r="AA123" s="296" t="str">
        <f>IFERROR(IF(VLOOKUP($G123,BD_PRINCIPAL[],47,FALSE)=0,"",VLOOKUP($G123,BD_PRINCIPAL[],47,FALSE)),"")</f>
        <v/>
      </c>
      <c r="AB123" s="296" t="str">
        <f>IFERROR(IF(VLOOKUP($G123,BD_PRINCIPAL[],48,FALSE)=0,"",VLOOKUP($G123,BD_PRINCIPAL[],48,FALSE)),"")</f>
        <v/>
      </c>
      <c r="AC123" s="296" t="str">
        <f>IFERROR(IF(VLOOKUP($G123,BD_PRINCIPAL[],49,FALSE)=0,"",VLOOKUP($G123,BD_PRINCIPAL[],49,FALSE)),"")</f>
        <v/>
      </c>
      <c r="AD123" s="296" t="str">
        <f>IFERROR(IF(VLOOKUP($G123,BD_PRINCIPAL[],50,FALSE)=0,"",VLOOKUP($G123,BD_PRINCIPAL[],50,FALSE)),"")</f>
        <v/>
      </c>
      <c r="AE123" s="296" t="str">
        <f>IFERROR(IF(VLOOKUP($G123,BD_PRINCIPAL[],51,FALSE)=0,"",VLOOKUP($G123,BD_PRINCIPAL[],51,FALSE)),"")</f>
        <v/>
      </c>
      <c r="AF123" s="296" t="str">
        <f>IFERROR(IF(VLOOKUP($G123,BD_PRINCIPAL[],52,FALSE)=0,"",VLOOKUP($G123,BD_PRINCIPAL[],52,FALSE)),"")</f>
        <v/>
      </c>
      <c r="AG123" s="296" t="str">
        <f>IFERROR(IF(VLOOKUP($G123,BD_PRINCIPAL[],53,FALSE)=0,"",VLOOKUP($G123,BD_PRINCIPAL[],53,FALSE)),"")</f>
        <v/>
      </c>
      <c r="AH123" s="296" t="str">
        <f>IFERROR(IF(VLOOKUP($G123,BD_PRINCIPAL[],54,FALSE)=0,"",VLOOKUP($G123,BD_PRINCIPAL[],54,FALSE)),"")</f>
        <v/>
      </c>
      <c r="AI123" s="296" t="str">
        <f>IFERROR(IF(VLOOKUP($G123,BD_PRINCIPAL[],55,FALSE)=0,"",VLOOKUP($G123,BD_PRINCIPAL[],55,FALSE)),"")</f>
        <v/>
      </c>
      <c r="AJ123" s="296" t="str">
        <f>IFERROR(IF(VLOOKUP($G123,BD_PRINCIPAL[],56,FALSE)=0,"",VLOOKUP($G123,BD_PRINCIPAL[],56,FALSE)),"")</f>
        <v/>
      </c>
      <c r="AK123" s="296" t="str">
        <f>IFERROR(IF(VLOOKUP($G123,BD_PRINCIPAL[],57,FALSE)=0,"",VLOOKUP($G123,BD_PRINCIPAL[],57,FALSE)),"")</f>
        <v/>
      </c>
      <c r="AL123" s="296" t="str">
        <f>IFERROR(IF(VLOOKUP($G123,BD_PRINCIPAL[],58,FALSE)=0,"",VLOOKUP($G123,BD_PRINCIPAL[],58,FALSE)),"")</f>
        <v/>
      </c>
    </row>
    <row r="124" spans="2:38" x14ac:dyDescent="0.3">
      <c r="B124" s="289">
        <v>22</v>
      </c>
      <c r="G124" s="299"/>
    </row>
    <row r="125" spans="2:38" ht="20.399999999999999" x14ac:dyDescent="0.3">
      <c r="B125" s="289">
        <v>22</v>
      </c>
      <c r="G125" s="299"/>
      <c r="AK125" s="324" t="str">
        <f>CONCATENATE(TEXT(A12,"dddd"),", ",TEXT(A12,"dd")," ",TEXT(A12,"mmmm")," del año ",TEXT(A12,"yyyyy"))</f>
        <v>jueves, 02 mayo del año 2024</v>
      </c>
    </row>
    <row r="126" spans="2:38" ht="20.399999999999999" x14ac:dyDescent="0.3">
      <c r="B126" s="289">
        <v>22</v>
      </c>
      <c r="G126" s="299"/>
      <c r="AK126" s="324"/>
    </row>
    <row r="127" spans="2:38" ht="20.399999999999999" x14ac:dyDescent="0.3">
      <c r="B127" s="289">
        <v>22</v>
      </c>
      <c r="G127" s="299"/>
      <c r="AK127" s="324"/>
    </row>
    <row r="128" spans="2:38" ht="20.399999999999999" x14ac:dyDescent="0.3">
      <c r="B128" s="289">
        <v>22</v>
      </c>
      <c r="G128" s="299"/>
      <c r="AK128" s="324"/>
    </row>
    <row r="129" spans="2:33" ht="24.6" x14ac:dyDescent="0.25">
      <c r="B129" s="289">
        <v>22</v>
      </c>
      <c r="AG129" s="325" t="str">
        <f>Datos!Z3</f>
        <v>JORGE A. DIAZ CASTAÑEDA</v>
      </c>
    </row>
    <row r="130" spans="2:33" ht="24.6" x14ac:dyDescent="0.25">
      <c r="B130" s="289">
        <v>22</v>
      </c>
      <c r="AG130" s="326" t="str">
        <f>Datos!Z4&amp;" de Carabineros"</f>
        <v>MAYOR de Carabineros</v>
      </c>
    </row>
    <row r="131" spans="2:33" ht="24.6" x14ac:dyDescent="0.25">
      <c r="B131" s="289">
        <v>22</v>
      </c>
      <c r="AG131" s="325" t="str">
        <f>Datos!Z5</f>
        <v>JEFE OPERATIVO</v>
      </c>
    </row>
    <row r="132" spans="2:33" x14ac:dyDescent="0.25">
      <c r="B132" s="289">
        <v>22</v>
      </c>
    </row>
  </sheetData>
  <autoFilter ref="B1:AL132" xr:uid="{00000000-0009-0000-0000-00000A000000}"/>
  <mergeCells count="5">
    <mergeCell ref="D9:AL9"/>
    <mergeCell ref="H40:AL40"/>
    <mergeCell ref="H12:AL12"/>
    <mergeCell ref="H96:AL96"/>
    <mergeCell ref="H68:AL68"/>
  </mergeCells>
  <conditionalFormatting sqref="G116">
    <cfRule type="duplicateValues" dxfId="195" priority="12085"/>
  </conditionalFormatting>
  <conditionalFormatting sqref="G31">
    <cfRule type="duplicateValues" dxfId="194" priority="10116"/>
  </conditionalFormatting>
  <conditionalFormatting sqref="G60">
    <cfRule type="duplicateValues" dxfId="193" priority="9910"/>
  </conditionalFormatting>
  <conditionalFormatting sqref="G30">
    <cfRule type="duplicateValues" dxfId="192" priority="9321"/>
  </conditionalFormatting>
  <conditionalFormatting sqref="G110">
    <cfRule type="duplicateValues" dxfId="191" priority="8936"/>
  </conditionalFormatting>
  <conditionalFormatting sqref="G111">
    <cfRule type="duplicateValues" dxfId="190" priority="8935"/>
  </conditionalFormatting>
  <conditionalFormatting sqref="G112">
    <cfRule type="duplicateValues" dxfId="189" priority="8934"/>
  </conditionalFormatting>
  <conditionalFormatting sqref="G113">
    <cfRule type="duplicateValues" dxfId="188" priority="8933"/>
  </conditionalFormatting>
  <conditionalFormatting sqref="G114">
    <cfRule type="duplicateValues" dxfId="187" priority="8932"/>
  </conditionalFormatting>
  <conditionalFormatting sqref="G115">
    <cfRule type="duplicateValues" dxfId="186" priority="8931"/>
  </conditionalFormatting>
  <conditionalFormatting sqref="G59">
    <cfRule type="duplicateValues" dxfId="185" priority="8521"/>
  </conditionalFormatting>
  <conditionalFormatting sqref="G58">
    <cfRule type="duplicateValues" dxfId="184" priority="8476"/>
  </conditionalFormatting>
  <conditionalFormatting sqref="G88">
    <cfRule type="duplicateValues" dxfId="183" priority="8458"/>
  </conditionalFormatting>
  <conditionalFormatting sqref="G87">
    <cfRule type="duplicateValues" dxfId="182" priority="8285"/>
  </conditionalFormatting>
  <conditionalFormatting sqref="G28">
    <cfRule type="duplicateValues" dxfId="181" priority="8083"/>
  </conditionalFormatting>
  <conditionalFormatting sqref="G29">
    <cfRule type="duplicateValues" dxfId="180" priority="8082"/>
  </conditionalFormatting>
  <conditionalFormatting sqref="G57">
    <cfRule type="duplicateValues" dxfId="179" priority="8028"/>
  </conditionalFormatting>
  <conditionalFormatting sqref="G84">
    <cfRule type="duplicateValues" dxfId="178" priority="7900"/>
  </conditionalFormatting>
  <conditionalFormatting sqref="G85">
    <cfRule type="duplicateValues" dxfId="177" priority="7899"/>
  </conditionalFormatting>
  <conditionalFormatting sqref="G86">
    <cfRule type="duplicateValues" dxfId="176" priority="7898"/>
  </conditionalFormatting>
  <conditionalFormatting sqref="G105">
    <cfRule type="duplicateValues" dxfId="175" priority="7133"/>
  </conditionalFormatting>
  <conditionalFormatting sqref="G106">
    <cfRule type="duplicateValues" dxfId="174" priority="7132"/>
  </conditionalFormatting>
  <conditionalFormatting sqref="G107">
    <cfRule type="duplicateValues" dxfId="173" priority="7131"/>
  </conditionalFormatting>
  <conditionalFormatting sqref="G108">
    <cfRule type="duplicateValues" dxfId="172" priority="7130"/>
  </conditionalFormatting>
  <conditionalFormatting sqref="G109">
    <cfRule type="duplicateValues" dxfId="171" priority="7129"/>
  </conditionalFormatting>
  <conditionalFormatting sqref="G104">
    <cfRule type="duplicateValues" dxfId="170" priority="5194"/>
  </conditionalFormatting>
  <conditionalFormatting sqref="G27">
    <cfRule type="duplicateValues" dxfId="169" priority="4053"/>
  </conditionalFormatting>
  <conditionalFormatting sqref="G103">
    <cfRule type="duplicateValues" dxfId="168" priority="1953"/>
  </conditionalFormatting>
  <conditionalFormatting sqref="G83">
    <cfRule type="duplicateValues" dxfId="167" priority="1545"/>
  </conditionalFormatting>
  <conditionalFormatting sqref="G82">
    <cfRule type="duplicateValues" dxfId="166" priority="1474"/>
  </conditionalFormatting>
  <conditionalFormatting sqref="G102">
    <cfRule type="duplicateValues" dxfId="165" priority="1457"/>
  </conditionalFormatting>
  <conditionalFormatting sqref="G26">
    <cfRule type="duplicateValues" dxfId="164" priority="473"/>
  </conditionalFormatting>
  <conditionalFormatting sqref="G56">
    <cfRule type="duplicateValues" dxfId="163" priority="401"/>
  </conditionalFormatting>
  <conditionalFormatting sqref="G25">
    <cfRule type="duplicateValues" dxfId="162" priority="348"/>
  </conditionalFormatting>
  <conditionalFormatting sqref="G53">
    <cfRule type="duplicateValues" dxfId="161" priority="277"/>
  </conditionalFormatting>
  <conditionalFormatting sqref="G54">
    <cfRule type="duplicateValues" dxfId="160" priority="276"/>
  </conditionalFormatting>
  <conditionalFormatting sqref="G55">
    <cfRule type="duplicateValues" dxfId="159" priority="275"/>
  </conditionalFormatting>
  <conditionalFormatting sqref="G52">
    <cfRule type="duplicateValues" dxfId="158" priority="105"/>
  </conditionalFormatting>
  <conditionalFormatting sqref="G24">
    <cfRule type="duplicateValues" dxfId="157" priority="86"/>
  </conditionalFormatting>
  <conditionalFormatting sqref="G19">
    <cfRule type="duplicateValues" dxfId="156" priority="62"/>
  </conditionalFormatting>
  <conditionalFormatting sqref="G20">
    <cfRule type="duplicateValues" dxfId="155" priority="61"/>
  </conditionalFormatting>
  <conditionalFormatting sqref="G21">
    <cfRule type="duplicateValues" dxfId="154" priority="60"/>
  </conditionalFormatting>
  <conditionalFormatting sqref="G22">
    <cfRule type="duplicateValues" dxfId="153" priority="59"/>
  </conditionalFormatting>
  <conditionalFormatting sqref="G23">
    <cfRule type="duplicateValues" dxfId="152" priority="58"/>
  </conditionalFormatting>
  <conditionalFormatting sqref="G47">
    <cfRule type="duplicateValues" dxfId="151" priority="53"/>
  </conditionalFormatting>
  <conditionalFormatting sqref="G48">
    <cfRule type="duplicateValues" dxfId="150" priority="52"/>
  </conditionalFormatting>
  <conditionalFormatting sqref="G49">
    <cfRule type="duplicateValues" dxfId="149" priority="51"/>
  </conditionalFormatting>
  <conditionalFormatting sqref="G50">
    <cfRule type="duplicateValues" dxfId="148" priority="50"/>
  </conditionalFormatting>
  <conditionalFormatting sqref="G51">
    <cfRule type="duplicateValues" dxfId="147" priority="49"/>
  </conditionalFormatting>
  <conditionalFormatting sqref="G75">
    <cfRule type="duplicateValues" dxfId="146" priority="44"/>
  </conditionalFormatting>
  <conditionalFormatting sqref="G76">
    <cfRule type="duplicateValues" dxfId="145" priority="43"/>
  </conditionalFormatting>
  <conditionalFormatting sqref="G77">
    <cfRule type="duplicateValues" dxfId="144" priority="42"/>
  </conditionalFormatting>
  <conditionalFormatting sqref="G78">
    <cfRule type="duplicateValues" dxfId="143" priority="41"/>
  </conditionalFormatting>
  <conditionalFormatting sqref="G79">
    <cfRule type="duplicateValues" dxfId="142" priority="40"/>
  </conditionalFormatting>
  <conditionalFormatting sqref="G80">
    <cfRule type="duplicateValues" dxfId="141" priority="39"/>
  </conditionalFormatting>
  <conditionalFormatting sqref="G81">
    <cfRule type="duplicateValues" dxfId="140" priority="38"/>
  </conditionalFormatting>
  <conditionalFormatting sqref="G101">
    <cfRule type="duplicateValues" dxfId="139" priority="29"/>
  </conditionalFormatting>
  <conditionalFormatting sqref="G17">
    <cfRule type="duplicateValues" dxfId="138" priority="26"/>
  </conditionalFormatting>
  <conditionalFormatting sqref="G18">
    <cfRule type="duplicateValues" dxfId="137" priority="25"/>
  </conditionalFormatting>
  <conditionalFormatting sqref="G45">
    <cfRule type="duplicateValues" dxfId="136" priority="22"/>
  </conditionalFormatting>
  <conditionalFormatting sqref="G46">
    <cfRule type="duplicateValues" dxfId="135" priority="21"/>
  </conditionalFormatting>
  <conditionalFormatting sqref="G73">
    <cfRule type="duplicateValues" dxfId="134" priority="18"/>
  </conditionalFormatting>
  <conditionalFormatting sqref="G74">
    <cfRule type="duplicateValues" dxfId="133" priority="17"/>
  </conditionalFormatting>
  <conditionalFormatting sqref="G15">
    <cfRule type="duplicateValues" dxfId="132" priority="8"/>
  </conditionalFormatting>
  <conditionalFormatting sqref="G16">
    <cfRule type="duplicateValues" dxfId="131" priority="7"/>
  </conditionalFormatting>
  <conditionalFormatting sqref="G43">
    <cfRule type="duplicateValues" dxfId="130" priority="6"/>
  </conditionalFormatting>
  <conditionalFormatting sqref="G44">
    <cfRule type="duplicateValues" dxfId="129" priority="5"/>
  </conditionalFormatting>
  <conditionalFormatting sqref="G71">
    <cfRule type="duplicateValues" dxfId="128" priority="4"/>
  </conditionalFormatting>
  <conditionalFormatting sqref="G72">
    <cfRule type="duplicateValues" dxfId="127" priority="3"/>
  </conditionalFormatting>
  <conditionalFormatting sqref="G99">
    <cfRule type="duplicateValues" dxfId="126" priority="2"/>
  </conditionalFormatting>
  <conditionalFormatting sqref="G100">
    <cfRule type="duplicateValues" dxfId="125" priority="1"/>
  </conditionalFormatting>
  <pageMargins left="0.19685039370078741" right="3.937007874015748E-2" top="0.19685039370078741" bottom="0.19685039370078741" header="0.11811023622047245" footer="0.31496062992125984"/>
  <pageSetup paperSize="5" scale="31"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5">
    <pageSetUpPr fitToPage="1"/>
  </sheetPr>
  <dimension ref="B1:AL50"/>
  <sheetViews>
    <sheetView showGridLines="0" view="pageBreakPreview" topLeftCell="B1" zoomScale="50" zoomScaleNormal="60" zoomScaleSheetLayoutView="50" workbookViewId="0">
      <selection activeCell="I10" sqref="I10"/>
    </sheetView>
  </sheetViews>
  <sheetFormatPr baseColWidth="10" defaultColWidth="11.44140625" defaultRowHeight="14.4" outlineLevelRow="1" outlineLevelCol="1" x14ac:dyDescent="0.3"/>
  <cols>
    <col min="1" max="1" width="3.6640625" style="64" customWidth="1"/>
    <col min="2" max="2" width="23.33203125" style="64" customWidth="1"/>
    <col min="3" max="4" width="6.33203125" style="64" customWidth="1" outlineLevel="1"/>
    <col min="5" max="5" width="7.109375" style="64" bestFit="1" customWidth="1" outlineLevel="1"/>
    <col min="6" max="6" width="9.33203125" style="64" bestFit="1" customWidth="1" outlineLevel="1"/>
    <col min="7" max="8" width="6.33203125" style="64" customWidth="1" outlineLevel="1"/>
    <col min="9" max="9" width="9.33203125" style="64" bestFit="1" customWidth="1" outlineLevel="1"/>
    <col min="10" max="10" width="6.33203125" style="64" customWidth="1" outlineLevel="1"/>
    <col min="11" max="11" width="9.33203125" style="64" bestFit="1" customWidth="1" outlineLevel="1"/>
    <col min="12" max="12" width="7.5546875" style="64" customWidth="1" outlineLevel="1"/>
    <col min="13" max="14" width="6.33203125" style="64" customWidth="1" outlineLevel="1"/>
    <col min="15" max="15" width="8.109375" style="64" customWidth="1" outlineLevel="1"/>
    <col min="16" max="16" width="6.33203125" style="64" customWidth="1" outlineLevel="1"/>
    <col min="17" max="18" width="7.44140625" style="64" customWidth="1" outlineLevel="1"/>
    <col min="19" max="19" width="6.33203125" style="64" customWidth="1" outlineLevel="1"/>
    <col min="20" max="20" width="9.6640625" style="64" customWidth="1" outlineLevel="1"/>
    <col min="21" max="21" width="9.44140625" style="64" customWidth="1" outlineLevel="1"/>
    <col min="22" max="22" width="7.44140625" style="64" customWidth="1" outlineLevel="1"/>
    <col min="23" max="23" width="7.88671875" style="64" customWidth="1" outlineLevel="1"/>
    <col min="24" max="24" width="5.33203125" style="64" bestFit="1" customWidth="1" outlineLevel="1"/>
    <col min="25" max="25" width="6.109375" style="64" customWidth="1" outlineLevel="1"/>
    <col min="26" max="26" width="7.6640625" style="64" customWidth="1" outlineLevel="1"/>
    <col min="27" max="27" width="4.44140625" style="64" bestFit="1" customWidth="1" outlineLevel="1"/>
    <col min="28" max="28" width="6.33203125" style="64" bestFit="1" customWidth="1" outlineLevel="1"/>
    <col min="29" max="29" width="6.6640625" style="64" customWidth="1"/>
    <col min="30" max="30" width="5" style="64" customWidth="1"/>
    <col min="31" max="31" width="3.88671875" style="64" bestFit="1" customWidth="1"/>
    <col min="32" max="32" width="5.6640625" style="64" customWidth="1"/>
    <col min="33" max="33" width="9" style="64" customWidth="1"/>
    <col min="34" max="34" width="10" style="64" bestFit="1" customWidth="1"/>
    <col min="35" max="35" width="11.44140625" style="64"/>
    <col min="36" max="36" width="17.6640625" style="64" bestFit="1" customWidth="1"/>
    <col min="37" max="37" width="6.5546875" style="64" customWidth="1"/>
    <col min="38" max="38" width="2.5546875" style="64" customWidth="1"/>
    <col min="39" max="16384" width="11.44140625" style="64"/>
  </cols>
  <sheetData>
    <row r="1" spans="2:34" x14ac:dyDescent="0.3">
      <c r="C1" s="1241" t="str">
        <f>CONCATENATE("FUERZA EFECTIVA ACTUALIZADA ",UPPER(TEXT('DISTRIBUCION DIARIA'!B1,"DDDD")),", ",UPPER(TEXT('DISTRIBUCION DIARIA'!B1,"DD"))," DE 'ULTIMO FORM. F.E'!",UPPER(TEXT('DISTRIBUCION DIARIA'!B1,"MMMM"))," DEL AÑO ",TEXT('DISTRIBUCION DIARIA'!B1,"YYYY"),".")</f>
        <v>FUERZA EFECTIVA ACTUALIZADA SÁBADO, 06 DE 'ULTIMO FORM. F.E'!ABRIL DEL AÑO 2024.</v>
      </c>
      <c r="D1" s="1241"/>
      <c r="E1" s="1241"/>
      <c r="F1" s="1241"/>
      <c r="G1" s="1241"/>
      <c r="H1" s="1241"/>
      <c r="I1" s="1241"/>
      <c r="J1" s="1241"/>
      <c r="K1" s="1241"/>
      <c r="L1" s="1241"/>
      <c r="M1" s="1241"/>
      <c r="N1" s="1241"/>
      <c r="O1" s="1241"/>
      <c r="P1" s="1241"/>
      <c r="Q1" s="1241"/>
      <c r="R1" s="1241"/>
      <c r="S1" s="1241"/>
      <c r="T1" s="1241"/>
      <c r="U1" s="1241"/>
      <c r="V1" s="1241"/>
      <c r="W1" s="1241"/>
      <c r="X1" s="1241"/>
      <c r="Y1" s="1241"/>
      <c r="Z1" s="1241"/>
      <c r="AA1" s="1241"/>
      <c r="AB1" s="1241"/>
      <c r="AC1" s="1241"/>
      <c r="AD1" s="1241"/>
      <c r="AE1" s="1241"/>
      <c r="AF1" s="1241"/>
      <c r="AG1" s="1241"/>
      <c r="AH1" s="1241"/>
    </row>
    <row r="3" spans="2:34" ht="54.75" customHeight="1" x14ac:dyDescent="0.3">
      <c r="B3" s="1227" t="s">
        <v>963</v>
      </c>
      <c r="C3" s="1242" t="s">
        <v>851</v>
      </c>
      <c r="D3" s="1242"/>
      <c r="E3" s="1237" t="s">
        <v>964</v>
      </c>
      <c r="F3" s="1237"/>
      <c r="G3" s="1243" t="s">
        <v>965</v>
      </c>
      <c r="H3" s="1225" t="s">
        <v>966</v>
      </c>
      <c r="I3" s="1225"/>
      <c r="J3" s="1244" t="s">
        <v>965</v>
      </c>
      <c r="K3" s="1243" t="s">
        <v>967</v>
      </c>
      <c r="L3" s="1243"/>
      <c r="M3" s="1243" t="s">
        <v>965</v>
      </c>
      <c r="N3" s="1225" t="s">
        <v>968</v>
      </c>
      <c r="O3" s="1225"/>
      <c r="P3" s="1250" t="s">
        <v>969</v>
      </c>
      <c r="Q3" s="1243" t="s">
        <v>970</v>
      </c>
      <c r="R3" s="1243"/>
      <c r="S3" s="1238" t="s">
        <v>965</v>
      </c>
      <c r="T3" s="1225" t="s">
        <v>936</v>
      </c>
      <c r="U3" s="1225"/>
      <c r="V3" s="1237" t="s">
        <v>971</v>
      </c>
      <c r="W3" s="1237"/>
      <c r="X3" s="1238" t="s">
        <v>965</v>
      </c>
      <c r="Y3" s="1225" t="s">
        <v>949</v>
      </c>
      <c r="Z3" s="1225"/>
      <c r="AA3" s="1226" t="s">
        <v>972</v>
      </c>
      <c r="AB3" s="1226"/>
      <c r="AC3" s="1225" t="s">
        <v>880</v>
      </c>
      <c r="AD3" s="1225"/>
      <c r="AE3" s="1245" t="s">
        <v>969</v>
      </c>
      <c r="AF3" s="1247" t="s">
        <v>973</v>
      </c>
      <c r="AG3" s="1247"/>
      <c r="AH3" s="1248" t="s">
        <v>965</v>
      </c>
    </row>
    <row r="4" spans="2:34" x14ac:dyDescent="0.3">
      <c r="B4" s="1227"/>
      <c r="C4" s="67" t="s">
        <v>927</v>
      </c>
      <c r="D4" s="67" t="s">
        <v>928</v>
      </c>
      <c r="E4" s="68" t="s">
        <v>927</v>
      </c>
      <c r="F4" s="68" t="s">
        <v>928</v>
      </c>
      <c r="G4" s="1243"/>
      <c r="H4" s="69" t="s">
        <v>927</v>
      </c>
      <c r="I4" s="69" t="s">
        <v>928</v>
      </c>
      <c r="J4" s="1244"/>
      <c r="K4" s="66" t="s">
        <v>927</v>
      </c>
      <c r="L4" s="66" t="s">
        <v>928</v>
      </c>
      <c r="M4" s="1243"/>
      <c r="N4" s="69" t="s">
        <v>927</v>
      </c>
      <c r="O4" s="69" t="s">
        <v>928</v>
      </c>
      <c r="P4" s="1251"/>
      <c r="Q4" s="70" t="s">
        <v>927</v>
      </c>
      <c r="R4" s="70" t="s">
        <v>928</v>
      </c>
      <c r="S4" s="1239"/>
      <c r="T4" s="69" t="s">
        <v>927</v>
      </c>
      <c r="U4" s="69" t="s">
        <v>928</v>
      </c>
      <c r="V4" s="68" t="s">
        <v>927</v>
      </c>
      <c r="W4" s="68" t="s">
        <v>928</v>
      </c>
      <c r="X4" s="1239"/>
      <c r="Y4" s="69" t="s">
        <v>927</v>
      </c>
      <c r="Z4" s="69" t="s">
        <v>928</v>
      </c>
      <c r="AA4" s="68" t="s">
        <v>927</v>
      </c>
      <c r="AB4" s="68" t="s">
        <v>928</v>
      </c>
      <c r="AC4" s="69" t="s">
        <v>927</v>
      </c>
      <c r="AD4" s="69" t="s">
        <v>928</v>
      </c>
      <c r="AE4" s="1246"/>
      <c r="AF4" s="71" t="s">
        <v>927</v>
      </c>
      <c r="AG4" s="71" t="s">
        <v>928</v>
      </c>
      <c r="AH4" s="1249"/>
    </row>
    <row r="5" spans="2:34" outlineLevel="1" x14ac:dyDescent="0.3">
      <c r="B5" s="72" t="s">
        <v>974</v>
      </c>
      <c r="C5" s="73"/>
      <c r="D5" s="73"/>
      <c r="E5" s="74"/>
      <c r="F5" s="74"/>
      <c r="G5" s="74"/>
      <c r="H5" s="75"/>
      <c r="I5" s="75"/>
      <c r="J5" s="75"/>
      <c r="K5" s="74"/>
      <c r="L5" s="74"/>
      <c r="M5" s="74"/>
      <c r="N5" s="75"/>
      <c r="O5" s="75"/>
      <c r="P5" s="75"/>
      <c r="Q5" s="74"/>
      <c r="R5" s="74"/>
      <c r="S5" s="74"/>
      <c r="T5" s="75"/>
      <c r="U5" s="75"/>
      <c r="V5" s="74"/>
      <c r="W5" s="74"/>
      <c r="X5" s="74"/>
      <c r="Y5" s="75"/>
      <c r="Z5" s="75"/>
      <c r="AA5" s="76">
        <f t="shared" ref="AA5:AA15" si="0">AC21</f>
        <v>0</v>
      </c>
      <c r="AB5" s="76">
        <f t="shared" ref="AB5:AB15" si="1">AD21</f>
        <v>0</v>
      </c>
      <c r="AC5" s="75">
        <f>+I39</f>
        <v>0</v>
      </c>
      <c r="AD5" s="75">
        <f>+J39</f>
        <v>0</v>
      </c>
      <c r="AE5" s="75"/>
      <c r="AF5" s="71">
        <f t="shared" ref="AF5:AF15" si="2">E5+H5+K5+N5+Q5+T5+V5+Y5+C21+E21+G21+K21+M21+O21+Q21+S21</f>
        <v>0</v>
      </c>
      <c r="AG5" s="71">
        <f t="shared" ref="AG5:AG15" si="3">F5+I5+L5+O5+R5+U5+W5+Z5+D21+F21+J21+L21+N21+P21+R21+T21+V21+X21+Z21+AB21+D39+F39+H39+H21</f>
        <v>0</v>
      </c>
      <c r="AH5" s="71">
        <f t="shared" ref="AH5:AH15" si="4">G5+J5+M5+P5+S5+X5+AE5</f>
        <v>0</v>
      </c>
    </row>
    <row r="6" spans="2:34" outlineLevel="1" x14ac:dyDescent="0.3">
      <c r="B6" s="72" t="s">
        <v>975</v>
      </c>
      <c r="C6" s="73"/>
      <c r="D6" s="73"/>
      <c r="E6" s="74"/>
      <c r="F6" s="74"/>
      <c r="G6" s="74"/>
      <c r="H6" s="75"/>
      <c r="I6" s="75"/>
      <c r="J6" s="75"/>
      <c r="K6" s="74"/>
      <c r="L6" s="74"/>
      <c r="M6" s="74"/>
      <c r="N6" s="75"/>
      <c r="O6" s="75"/>
      <c r="P6" s="75"/>
      <c r="Q6" s="74"/>
      <c r="R6" s="74"/>
      <c r="S6" s="74"/>
      <c r="T6" s="75"/>
      <c r="U6" s="75"/>
      <c r="V6" s="74"/>
      <c r="W6" s="74"/>
      <c r="X6" s="74"/>
      <c r="Y6" s="75"/>
      <c r="Z6" s="75"/>
      <c r="AA6" s="76">
        <f t="shared" si="0"/>
        <v>0</v>
      </c>
      <c r="AB6" s="76">
        <f t="shared" si="1"/>
        <v>0</v>
      </c>
      <c r="AC6" s="75">
        <f>+I40</f>
        <v>0</v>
      </c>
      <c r="AD6" s="75">
        <f>+J40</f>
        <v>0</v>
      </c>
      <c r="AE6" s="75"/>
      <c r="AF6" s="71">
        <f t="shared" si="2"/>
        <v>0</v>
      </c>
      <c r="AG6" s="71">
        <f t="shared" si="3"/>
        <v>0</v>
      </c>
      <c r="AH6" s="71">
        <f t="shared" si="4"/>
        <v>0</v>
      </c>
    </row>
    <row r="7" spans="2:34" outlineLevel="1" x14ac:dyDescent="0.3">
      <c r="B7" s="72" t="s">
        <v>976</v>
      </c>
      <c r="C7" s="73"/>
      <c r="D7" s="73"/>
      <c r="E7" s="74"/>
      <c r="F7" s="74"/>
      <c r="G7" s="74"/>
      <c r="H7" s="75"/>
      <c r="I7" s="75"/>
      <c r="J7" s="75"/>
      <c r="K7" s="74"/>
      <c r="L7" s="74"/>
      <c r="M7" s="74"/>
      <c r="N7" s="75"/>
      <c r="O7" s="75"/>
      <c r="P7" s="75"/>
      <c r="Q7" s="74"/>
      <c r="R7" s="74"/>
      <c r="S7" s="74"/>
      <c r="T7" s="75"/>
      <c r="U7" s="75"/>
      <c r="V7" s="74"/>
      <c r="W7" s="74"/>
      <c r="X7" s="74"/>
      <c r="Y7" s="75"/>
      <c r="Z7" s="75"/>
      <c r="AA7" s="76">
        <f t="shared" si="0"/>
        <v>0</v>
      </c>
      <c r="AB7" s="76">
        <f t="shared" si="1"/>
        <v>0</v>
      </c>
      <c r="AC7" s="75">
        <f t="shared" ref="AC7:AD15" si="5">+I41</f>
        <v>0</v>
      </c>
      <c r="AD7" s="75">
        <f t="shared" si="5"/>
        <v>0</v>
      </c>
      <c r="AE7" s="75"/>
      <c r="AF7" s="71">
        <f t="shared" si="2"/>
        <v>0</v>
      </c>
      <c r="AG7" s="71">
        <f t="shared" si="3"/>
        <v>0</v>
      </c>
      <c r="AH7" s="71">
        <f t="shared" si="4"/>
        <v>0</v>
      </c>
    </row>
    <row r="8" spans="2:34" outlineLevel="1" x14ac:dyDescent="0.3">
      <c r="B8" s="72" t="s">
        <v>977</v>
      </c>
      <c r="C8" s="73"/>
      <c r="D8" s="73"/>
      <c r="E8" s="74"/>
      <c r="F8" s="74"/>
      <c r="G8" s="74"/>
      <c r="H8" s="77"/>
      <c r="I8" s="77"/>
      <c r="J8" s="77"/>
      <c r="K8" s="74"/>
      <c r="L8" s="74"/>
      <c r="M8" s="74"/>
      <c r="N8" s="77"/>
      <c r="O8" s="77"/>
      <c r="P8" s="77"/>
      <c r="Q8" s="74"/>
      <c r="R8" s="74"/>
      <c r="S8" s="74"/>
      <c r="T8" s="77"/>
      <c r="U8" s="77"/>
      <c r="V8" s="74"/>
      <c r="W8" s="74"/>
      <c r="X8" s="74"/>
      <c r="Y8" s="77"/>
      <c r="Z8" s="77"/>
      <c r="AA8" s="76">
        <f t="shared" si="0"/>
        <v>0</v>
      </c>
      <c r="AB8" s="76">
        <f t="shared" si="1"/>
        <v>0</v>
      </c>
      <c r="AC8" s="77">
        <f t="shared" si="5"/>
        <v>0</v>
      </c>
      <c r="AD8" s="77">
        <f t="shared" si="5"/>
        <v>0</v>
      </c>
      <c r="AE8" s="77"/>
      <c r="AF8" s="71">
        <f t="shared" si="2"/>
        <v>0</v>
      </c>
      <c r="AG8" s="71">
        <f t="shared" si="3"/>
        <v>0</v>
      </c>
      <c r="AH8" s="71">
        <f t="shared" si="4"/>
        <v>0</v>
      </c>
    </row>
    <row r="9" spans="2:34" outlineLevel="1" x14ac:dyDescent="0.3">
      <c r="B9" s="72" t="s">
        <v>978</v>
      </c>
      <c r="C9" s="73"/>
      <c r="D9" s="73"/>
      <c r="E9" s="74"/>
      <c r="F9" s="74"/>
      <c r="G9" s="74"/>
      <c r="H9" s="77"/>
      <c r="I9" s="77"/>
      <c r="J9" s="77"/>
      <c r="K9" s="74"/>
      <c r="L9" s="74"/>
      <c r="M9" s="74"/>
      <c r="N9" s="77"/>
      <c r="O9" s="77"/>
      <c r="P9" s="77"/>
      <c r="Q9" s="74"/>
      <c r="R9" s="74"/>
      <c r="S9" s="74"/>
      <c r="T9" s="77"/>
      <c r="U9" s="77"/>
      <c r="V9" s="74"/>
      <c r="W9" s="74"/>
      <c r="X9" s="74"/>
      <c r="Y9" s="77"/>
      <c r="Z9" s="77"/>
      <c r="AA9" s="76">
        <f t="shared" si="0"/>
        <v>0</v>
      </c>
      <c r="AB9" s="76">
        <f t="shared" si="1"/>
        <v>0</v>
      </c>
      <c r="AC9" s="77">
        <f>+I43</f>
        <v>0</v>
      </c>
      <c r="AD9" s="77">
        <f>+J43</f>
        <v>0</v>
      </c>
      <c r="AE9" s="77"/>
      <c r="AF9" s="71">
        <f t="shared" si="2"/>
        <v>0</v>
      </c>
      <c r="AG9" s="71">
        <f t="shared" si="3"/>
        <v>0</v>
      </c>
      <c r="AH9" s="71">
        <f>G9+J9+M9+P9+S9+X9+AE9</f>
        <v>0</v>
      </c>
    </row>
    <row r="10" spans="2:34" s="80" customFormat="1" outlineLevel="1" x14ac:dyDescent="0.3">
      <c r="B10" s="72" t="s">
        <v>979</v>
      </c>
      <c r="C10" s="78">
        <v>19</v>
      </c>
      <c r="D10" s="78">
        <v>392</v>
      </c>
      <c r="E10" s="76">
        <f>GETPIVOTDATA("TURNO",'TABLAS DINAMICAS'!$A$3,"ESC.","PNS O/S","TURNO","1T")</f>
        <v>1</v>
      </c>
      <c r="F10" s="76">
        <f>GETPIVOTDATA("TURNO",'TABLAS DINAMICAS'!$A$3,"ESC.","PNI O/S","TURNO","1T")</f>
        <v>32</v>
      </c>
      <c r="G10" s="305">
        <v>4</v>
      </c>
      <c r="H10" s="79">
        <f>GETPIVOTDATA("TURNO",'TABLAS DINAMICAS'!$A$3,"ESC.","PNS O/S","TURNO","2T")</f>
        <v>0</v>
      </c>
      <c r="I10" s="79">
        <f>GETPIVOTDATA("TURNO",'TABLAS DINAMICAS'!$A$3,"ESC.","PNI O/S","TURNO","2T")</f>
        <v>38</v>
      </c>
      <c r="J10" s="306">
        <v>5</v>
      </c>
      <c r="K10" s="76">
        <f>GETPIVOTDATA("TURNO",'TABLAS DINAMICAS'!$A$3,"ESC.","PNS O/S","TURNO","1P")</f>
        <v>7</v>
      </c>
      <c r="L10" s="76">
        <f>GETPIVOTDATA("TURNO",'TABLAS DINAMICAS'!$A$3,"ESC.","PNI O/S","TURNO","1P")</f>
        <v>86</v>
      </c>
      <c r="M10" s="305">
        <v>8</v>
      </c>
      <c r="N10" s="79">
        <f>GETPIVOTDATA("TURNO",'TABLAS DINAMICAS'!$A$3,"ESC.","PNS O/S","TURNO","3T")</f>
        <v>1</v>
      </c>
      <c r="O10" s="79">
        <f>GETPIVOTDATA("TURNO",'TABLAS DINAMICAS'!$A$3,"ESC.","PNI O/S","TURNO","3T")</f>
        <v>17</v>
      </c>
      <c r="P10" s="306">
        <v>6</v>
      </c>
      <c r="Q10" s="76">
        <f>GETPIVOTDATA("TURNO",'TABLAS DINAMICAS'!$A$3,"ESC.","PNS O/S","TURNO","2P")</f>
        <v>1</v>
      </c>
      <c r="R10" s="76">
        <f>GETPIVOTDATA("TURNO",'TABLAS DINAMICAS'!$A$3,"ESC.","PNI O/S","TURNO","2P")</f>
        <v>12</v>
      </c>
      <c r="S10" s="305">
        <v>3</v>
      </c>
      <c r="T10" s="79">
        <f>GETPIVOTDATA("TURNO",'TABLAS DINAMICAS'!$A$3,"ESC.","PNS O/S","TURNO","F")+GETPIVOTDATA("TURNO",'TABLAS DINAMICAS'!$A$3,"ESC.","PNS O/S","TURNO","SN")</f>
        <v>7</v>
      </c>
      <c r="U10" s="79">
        <f>GETPIVOTDATA("TURNO",'TABLAS DINAMICAS'!$A$3,"ESC.","PNI O/S","TURNO","SN")+GETPIVOTDATA("TURNO",'TABLAS DINAMICAS'!$A$3,"ESC.","PNI O/S","TURNO","F")</f>
        <v>121</v>
      </c>
      <c r="V10" s="76"/>
      <c r="W10" s="76"/>
      <c r="X10" s="305"/>
      <c r="Y10" s="79">
        <v>0</v>
      </c>
      <c r="Z10" s="79">
        <f>GETPIVOTDATA("TURNO",'TABLAS DINAMICAS'!$A$3,"ESC.","PNI O/S","TURNO","ADM.")+GETPIVOTDATA("TURNO",'TABLAS DINAMICAS'!$A$3,"ESC.","PNI O/S","TURNO","1G")+GETPIVOTDATA("TURNO",'TABLAS DINAMICAS'!$A$3,"ESC.","PNI O/S","TURNO","2G")</f>
        <v>43</v>
      </c>
      <c r="AA10" s="76">
        <f>AC26</f>
        <v>2</v>
      </c>
      <c r="AB10" s="76">
        <f>AD26</f>
        <v>73</v>
      </c>
      <c r="AC10" s="79"/>
      <c r="AD10" s="79"/>
      <c r="AE10" s="307"/>
      <c r="AF10" s="71">
        <f>SUM(E10+H10+K10+N10+Q10+T10+Y10+C26+E26+G26+I26+K26+M26+O26+Q26+S26+U26)</f>
        <v>19</v>
      </c>
      <c r="AG10" s="71">
        <f>F10+I10+L10+O10+R10+U10+Z10+AB10</f>
        <v>422</v>
      </c>
      <c r="AH10" s="71">
        <f>G10+J10+M10+P10+S10+X10+AE10</f>
        <v>26</v>
      </c>
    </row>
    <row r="11" spans="2:34" outlineLevel="1" x14ac:dyDescent="0.3">
      <c r="B11" s="72" t="s">
        <v>980</v>
      </c>
      <c r="C11" s="73"/>
      <c r="D11" s="73"/>
      <c r="E11" s="74"/>
      <c r="F11" s="74"/>
      <c r="G11" s="74"/>
      <c r="H11" s="77"/>
      <c r="I11" s="77"/>
      <c r="J11" s="77"/>
      <c r="K11" s="74"/>
      <c r="L11" s="74"/>
      <c r="M11" s="74"/>
      <c r="N11" s="81"/>
      <c r="O11" s="77"/>
      <c r="P11" s="77"/>
      <c r="Q11" s="74"/>
      <c r="R11" s="74"/>
      <c r="S11" s="74"/>
      <c r="T11" s="77"/>
      <c r="U11" s="77"/>
      <c r="V11" s="74"/>
      <c r="W11" s="74"/>
      <c r="X11" s="74"/>
      <c r="Y11" s="77"/>
      <c r="AA11" s="76">
        <f t="shared" si="0"/>
        <v>0</v>
      </c>
      <c r="AB11" s="76">
        <f t="shared" si="1"/>
        <v>0</v>
      </c>
      <c r="AC11" s="77">
        <f>+I45</f>
        <v>0</v>
      </c>
      <c r="AD11" s="75">
        <f t="shared" si="5"/>
        <v>0</v>
      </c>
      <c r="AE11" s="75"/>
      <c r="AF11" s="71">
        <f>E11+H11+K11+N11+Q11+T11+V11+Y11+C27+E27+G27+K27+M27+O27+Q27+S27</f>
        <v>0</v>
      </c>
      <c r="AG11" s="71">
        <f t="shared" si="3"/>
        <v>0</v>
      </c>
      <c r="AH11" s="71">
        <f>G11+J11+M11+P11+S11+X11+AE11</f>
        <v>0</v>
      </c>
    </row>
    <row r="12" spans="2:34" outlineLevel="1" x14ac:dyDescent="0.3">
      <c r="B12" s="72"/>
      <c r="C12" s="73"/>
      <c r="D12" s="73"/>
      <c r="E12" s="82"/>
      <c r="F12" s="74"/>
      <c r="G12" s="83"/>
      <c r="H12" s="84"/>
      <c r="I12" s="77"/>
      <c r="J12" s="85"/>
      <c r="K12" s="82"/>
      <c r="L12" s="74"/>
      <c r="M12" s="83"/>
      <c r="N12" s="84"/>
      <c r="O12" s="75"/>
      <c r="P12" s="85"/>
      <c r="Q12" s="82"/>
      <c r="R12" s="74"/>
      <c r="S12" s="83"/>
      <c r="T12" s="84"/>
      <c r="U12" s="75"/>
      <c r="V12" s="86"/>
      <c r="W12" s="74"/>
      <c r="X12" s="83"/>
      <c r="Y12" s="87"/>
      <c r="Z12" s="77"/>
      <c r="AA12" s="76">
        <f t="shared" si="0"/>
        <v>0</v>
      </c>
      <c r="AB12" s="76">
        <f t="shared" si="1"/>
        <v>0</v>
      </c>
      <c r="AC12" s="88">
        <f t="shared" si="5"/>
        <v>0</v>
      </c>
      <c r="AD12" s="75">
        <f t="shared" si="5"/>
        <v>0</v>
      </c>
      <c r="AE12" s="85"/>
      <c r="AF12" s="71">
        <f t="shared" si="2"/>
        <v>0</v>
      </c>
      <c r="AG12" s="71">
        <f t="shared" si="3"/>
        <v>0</v>
      </c>
      <c r="AH12" s="71">
        <f t="shared" si="4"/>
        <v>0</v>
      </c>
    </row>
    <row r="13" spans="2:34" outlineLevel="1" x14ac:dyDescent="0.3">
      <c r="B13" s="72"/>
      <c r="C13" s="73"/>
      <c r="D13" s="73"/>
      <c r="E13" s="89"/>
      <c r="F13" s="90"/>
      <c r="G13" s="89"/>
      <c r="H13" s="91"/>
      <c r="I13" s="92"/>
      <c r="J13" s="91"/>
      <c r="K13" s="93"/>
      <c r="L13" s="93"/>
      <c r="M13" s="93"/>
      <c r="N13" s="94"/>
      <c r="O13" s="95"/>
      <c r="P13" s="94"/>
      <c r="Q13" s="89"/>
      <c r="R13" s="90"/>
      <c r="S13" s="89"/>
      <c r="T13" s="91"/>
      <c r="U13" s="96"/>
      <c r="V13" s="93"/>
      <c r="W13" s="97"/>
      <c r="X13" s="93"/>
      <c r="Y13" s="98"/>
      <c r="Z13" s="99"/>
      <c r="AA13" s="76">
        <f t="shared" si="0"/>
        <v>0</v>
      </c>
      <c r="AB13" s="76">
        <f t="shared" si="1"/>
        <v>0</v>
      </c>
      <c r="AC13" s="91">
        <f t="shared" si="5"/>
        <v>0</v>
      </c>
      <c r="AD13" s="96">
        <f t="shared" si="5"/>
        <v>0</v>
      </c>
      <c r="AE13" s="91"/>
      <c r="AF13" s="71">
        <f t="shared" si="2"/>
        <v>0</v>
      </c>
      <c r="AG13" s="71">
        <f t="shared" si="3"/>
        <v>0</v>
      </c>
      <c r="AH13" s="71">
        <f t="shared" si="4"/>
        <v>0</v>
      </c>
    </row>
    <row r="14" spans="2:34" outlineLevel="1" x14ac:dyDescent="0.3">
      <c r="B14" s="72"/>
      <c r="C14" s="100"/>
      <c r="D14" s="100"/>
      <c r="E14" s="101"/>
      <c r="F14" s="101"/>
      <c r="G14" s="101"/>
      <c r="H14" s="102"/>
      <c r="I14" s="102"/>
      <c r="J14" s="102"/>
      <c r="K14" s="101"/>
      <c r="L14" s="101"/>
      <c r="M14" s="101"/>
      <c r="N14" s="102"/>
      <c r="O14" s="102"/>
      <c r="P14" s="102"/>
      <c r="Q14" s="101"/>
      <c r="R14" s="101"/>
      <c r="S14" s="101"/>
      <c r="T14" s="102"/>
      <c r="U14" s="102"/>
      <c r="V14" s="101"/>
      <c r="W14" s="101"/>
      <c r="X14" s="101"/>
      <c r="Y14" s="102"/>
      <c r="Z14" s="102"/>
      <c r="AA14" s="76">
        <f t="shared" si="0"/>
        <v>0</v>
      </c>
      <c r="AB14" s="76">
        <f t="shared" si="1"/>
        <v>0</v>
      </c>
      <c r="AC14" s="75">
        <f t="shared" si="5"/>
        <v>0</v>
      </c>
      <c r="AD14" s="75">
        <f t="shared" si="5"/>
        <v>0</v>
      </c>
      <c r="AE14" s="75"/>
      <c r="AF14" s="71">
        <f t="shared" si="2"/>
        <v>0</v>
      </c>
      <c r="AG14" s="71">
        <f t="shared" si="3"/>
        <v>0</v>
      </c>
      <c r="AH14" s="71">
        <f t="shared" si="4"/>
        <v>0</v>
      </c>
    </row>
    <row r="15" spans="2:34" outlineLevel="1" x14ac:dyDescent="0.3">
      <c r="B15" s="72"/>
      <c r="C15" s="73"/>
      <c r="D15" s="73"/>
      <c r="E15" s="74"/>
      <c r="F15" s="74"/>
      <c r="G15" s="74"/>
      <c r="H15" s="75"/>
      <c r="I15" s="75"/>
      <c r="J15" s="75"/>
      <c r="K15" s="74"/>
      <c r="L15" s="74"/>
      <c r="M15" s="74"/>
      <c r="N15" s="75"/>
      <c r="O15" s="75"/>
      <c r="P15" s="75"/>
      <c r="Q15" s="74"/>
      <c r="R15" s="74"/>
      <c r="S15" s="74"/>
      <c r="T15" s="75"/>
      <c r="U15" s="75"/>
      <c r="V15" s="74"/>
      <c r="W15" s="74"/>
      <c r="X15" s="74"/>
      <c r="Y15" s="75"/>
      <c r="Z15" s="75"/>
      <c r="AA15" s="76">
        <f t="shared" si="0"/>
        <v>0</v>
      </c>
      <c r="AB15" s="76">
        <f t="shared" si="1"/>
        <v>0</v>
      </c>
      <c r="AC15" s="75">
        <f t="shared" si="5"/>
        <v>0</v>
      </c>
      <c r="AD15" s="75">
        <f t="shared" si="5"/>
        <v>0</v>
      </c>
      <c r="AE15" s="75"/>
      <c r="AF15" s="71">
        <f t="shared" si="2"/>
        <v>0</v>
      </c>
      <c r="AG15" s="71">
        <f t="shared" si="3"/>
        <v>0</v>
      </c>
      <c r="AH15" s="71">
        <f t="shared" si="4"/>
        <v>0</v>
      </c>
    </row>
    <row r="16" spans="2:34" x14ac:dyDescent="0.3">
      <c r="B16" s="103" t="s">
        <v>973</v>
      </c>
      <c r="C16" s="104">
        <f>SUM(C5:C15)</f>
        <v>19</v>
      </c>
      <c r="D16" s="104">
        <f t="shared" ref="D16:AH16" si="6">SUM(D5:D15)</f>
        <v>392</v>
      </c>
      <c r="E16" s="104">
        <f t="shared" si="6"/>
        <v>1</v>
      </c>
      <c r="F16" s="104">
        <f t="shared" si="6"/>
        <v>32</v>
      </c>
      <c r="G16" s="104">
        <f t="shared" si="6"/>
        <v>4</v>
      </c>
      <c r="H16" s="104">
        <f t="shared" si="6"/>
        <v>0</v>
      </c>
      <c r="I16" s="104">
        <f t="shared" si="6"/>
        <v>38</v>
      </c>
      <c r="J16" s="104">
        <f t="shared" si="6"/>
        <v>5</v>
      </c>
      <c r="K16" s="104">
        <f t="shared" si="6"/>
        <v>7</v>
      </c>
      <c r="L16" s="104">
        <f t="shared" si="6"/>
        <v>86</v>
      </c>
      <c r="M16" s="104">
        <f t="shared" si="6"/>
        <v>8</v>
      </c>
      <c r="N16" s="104">
        <f t="shared" si="6"/>
        <v>1</v>
      </c>
      <c r="O16" s="104">
        <f t="shared" si="6"/>
        <v>17</v>
      </c>
      <c r="P16" s="104">
        <f t="shared" si="6"/>
        <v>6</v>
      </c>
      <c r="Q16" s="104">
        <f t="shared" si="6"/>
        <v>1</v>
      </c>
      <c r="R16" s="104">
        <f t="shared" si="6"/>
        <v>12</v>
      </c>
      <c r="S16" s="104">
        <f t="shared" si="6"/>
        <v>3</v>
      </c>
      <c r="T16" s="104">
        <f t="shared" si="6"/>
        <v>7</v>
      </c>
      <c r="U16" s="104">
        <f t="shared" si="6"/>
        <v>121</v>
      </c>
      <c r="V16" s="104">
        <f t="shared" si="6"/>
        <v>0</v>
      </c>
      <c r="W16" s="104">
        <f t="shared" si="6"/>
        <v>0</v>
      </c>
      <c r="X16" s="104">
        <f t="shared" si="6"/>
        <v>0</v>
      </c>
      <c r="Y16" s="104">
        <f t="shared" si="6"/>
        <v>0</v>
      </c>
      <c r="Z16" s="104">
        <f t="shared" si="6"/>
        <v>43</v>
      </c>
      <c r="AA16" s="104">
        <f>SUM(AA5:AA15)</f>
        <v>2</v>
      </c>
      <c r="AB16" s="104">
        <f>SUM(AB5:AB15)</f>
        <v>73</v>
      </c>
      <c r="AC16" s="104">
        <f t="shared" si="6"/>
        <v>0</v>
      </c>
      <c r="AD16" s="104">
        <f>SUM(AD5:AD15)</f>
        <v>0</v>
      </c>
      <c r="AE16" s="104">
        <f t="shared" si="6"/>
        <v>0</v>
      </c>
      <c r="AF16" s="104">
        <f>SUM(AF5:AF15)</f>
        <v>19</v>
      </c>
      <c r="AG16" s="104">
        <f>SUM(AG5:AG15)</f>
        <v>422</v>
      </c>
      <c r="AH16" s="104">
        <f t="shared" si="6"/>
        <v>26</v>
      </c>
    </row>
    <row r="18" spans="2:38" ht="15" customHeight="1" x14ac:dyDescent="0.3">
      <c r="B18" s="1227" t="s">
        <v>963</v>
      </c>
      <c r="C18" s="1228" t="s">
        <v>943</v>
      </c>
      <c r="D18" s="1229"/>
      <c r="E18" s="1229"/>
      <c r="F18" s="1229"/>
      <c r="G18" s="1229"/>
      <c r="H18" s="1229"/>
      <c r="I18" s="1229"/>
      <c r="J18" s="1230"/>
      <c r="K18" s="1231" t="s">
        <v>13</v>
      </c>
      <c r="L18" s="1231"/>
      <c r="M18" s="1232" t="s">
        <v>981</v>
      </c>
      <c r="N18" s="1232"/>
      <c r="O18" s="1232" t="s">
        <v>982</v>
      </c>
      <c r="P18" s="1232"/>
      <c r="Q18" s="1235" t="s">
        <v>983</v>
      </c>
      <c r="R18" s="1240"/>
      <c r="S18" s="1240"/>
      <c r="T18" s="1236"/>
      <c r="U18" s="1232" t="s">
        <v>984</v>
      </c>
      <c r="V18" s="1232"/>
      <c r="W18" s="1232" t="s">
        <v>985</v>
      </c>
      <c r="X18" s="1232"/>
      <c r="Y18" s="1232" t="s">
        <v>986</v>
      </c>
      <c r="Z18" s="1232"/>
      <c r="AA18" s="1211" t="s">
        <v>987</v>
      </c>
      <c r="AB18" s="1212"/>
      <c r="AC18" s="1215" t="s">
        <v>972</v>
      </c>
      <c r="AD18" s="1216"/>
    </row>
    <row r="19" spans="2:38" ht="62.25" customHeight="1" x14ac:dyDescent="0.3">
      <c r="B19" s="1227"/>
      <c r="C19" s="1232" t="s">
        <v>988</v>
      </c>
      <c r="D19" s="1232"/>
      <c r="E19" s="1232" t="s">
        <v>989</v>
      </c>
      <c r="F19" s="1232"/>
      <c r="G19" s="1233" t="s">
        <v>990</v>
      </c>
      <c r="H19" s="1234"/>
      <c r="I19" s="1233" t="s">
        <v>991</v>
      </c>
      <c r="J19" s="1234"/>
      <c r="K19" s="1231"/>
      <c r="L19" s="1231"/>
      <c r="M19" s="1232"/>
      <c r="N19" s="1232"/>
      <c r="O19" s="1232"/>
      <c r="P19" s="1232"/>
      <c r="Q19" s="1235" t="s">
        <v>992</v>
      </c>
      <c r="R19" s="1236"/>
      <c r="S19" s="1235" t="s">
        <v>993</v>
      </c>
      <c r="T19" s="1236"/>
      <c r="U19" s="1232"/>
      <c r="V19" s="1232"/>
      <c r="W19" s="1232"/>
      <c r="X19" s="1232"/>
      <c r="Y19" s="1232"/>
      <c r="Z19" s="1232"/>
      <c r="AA19" s="1213"/>
      <c r="AB19" s="1214"/>
      <c r="AC19" s="1217"/>
      <c r="AD19" s="1218"/>
      <c r="AE19" s="105"/>
    </row>
    <row r="20" spans="2:38" x14ac:dyDescent="0.3">
      <c r="B20" s="1227"/>
      <c r="C20" s="106" t="s">
        <v>927</v>
      </c>
      <c r="D20" s="106" t="s">
        <v>928</v>
      </c>
      <c r="E20" s="106" t="s">
        <v>927</v>
      </c>
      <c r="F20" s="106" t="s">
        <v>928</v>
      </c>
      <c r="G20" s="106" t="s">
        <v>927</v>
      </c>
      <c r="H20" s="106" t="s">
        <v>928</v>
      </c>
      <c r="I20" s="106" t="s">
        <v>927</v>
      </c>
      <c r="J20" s="106" t="s">
        <v>928</v>
      </c>
      <c r="K20" s="106" t="s">
        <v>927</v>
      </c>
      <c r="L20" s="106" t="s">
        <v>928</v>
      </c>
      <c r="M20" s="106" t="s">
        <v>927</v>
      </c>
      <c r="N20" s="106" t="s">
        <v>928</v>
      </c>
      <c r="O20" s="106" t="s">
        <v>927</v>
      </c>
      <c r="P20" s="106" t="s">
        <v>928</v>
      </c>
      <c r="Q20" s="106" t="s">
        <v>927</v>
      </c>
      <c r="R20" s="106" t="s">
        <v>928</v>
      </c>
      <c r="S20" s="106" t="s">
        <v>927</v>
      </c>
      <c r="T20" s="106" t="s">
        <v>928</v>
      </c>
      <c r="U20" s="106" t="s">
        <v>927</v>
      </c>
      <c r="V20" s="106" t="s">
        <v>928</v>
      </c>
      <c r="W20" s="106" t="s">
        <v>927</v>
      </c>
      <c r="X20" s="106" t="s">
        <v>928</v>
      </c>
      <c r="Y20" s="106" t="s">
        <v>927</v>
      </c>
      <c r="Z20" s="107" t="s">
        <v>928</v>
      </c>
      <c r="AA20" s="107" t="s">
        <v>927</v>
      </c>
      <c r="AB20" s="107" t="s">
        <v>928</v>
      </c>
      <c r="AC20" s="71" t="s">
        <v>927</v>
      </c>
      <c r="AD20" s="71" t="s">
        <v>928</v>
      </c>
      <c r="AE20" s="105"/>
    </row>
    <row r="21" spans="2:38" outlineLevel="1" x14ac:dyDescent="0.3">
      <c r="B21" s="72" t="s">
        <v>974</v>
      </c>
      <c r="C21" s="74"/>
      <c r="D21" s="74"/>
      <c r="E21" s="75"/>
      <c r="F21" s="75"/>
      <c r="G21" s="75"/>
      <c r="H21" s="75"/>
      <c r="I21" s="75"/>
      <c r="J21" s="75"/>
      <c r="K21" s="74"/>
      <c r="L21" s="74"/>
      <c r="M21" s="75"/>
      <c r="N21" s="75"/>
      <c r="O21" s="74"/>
      <c r="P21" s="74"/>
      <c r="Q21" s="75"/>
      <c r="R21" s="75"/>
      <c r="S21" s="75"/>
      <c r="T21" s="75"/>
      <c r="U21" s="74"/>
      <c r="V21" s="74"/>
      <c r="W21" s="75"/>
      <c r="X21" s="75"/>
      <c r="Y21" s="74"/>
      <c r="Z21" s="74"/>
      <c r="AA21" s="74"/>
      <c r="AB21" s="74"/>
      <c r="AC21" s="71">
        <f t="shared" ref="AC21:AC31" si="7">C21+E21+G21+I21+K21+M21+O21+Q21+S21+U21+W21+Y21+AA21</f>
        <v>0</v>
      </c>
      <c r="AD21" s="71">
        <f t="shared" ref="AD21:AD31" si="8">D21+F21+H21+J21+L21+N21+P21+R21+T21+V21+X21+Z21+AB21</f>
        <v>0</v>
      </c>
      <c r="AE21" s="105"/>
      <c r="AH21" s="64" t="s">
        <v>1957</v>
      </c>
    </row>
    <row r="22" spans="2:38" outlineLevel="1" x14ac:dyDescent="0.3">
      <c r="B22" s="72" t="s">
        <v>975</v>
      </c>
      <c r="C22" s="74"/>
      <c r="D22" s="74"/>
      <c r="E22" s="75"/>
      <c r="F22" s="75"/>
      <c r="G22" s="75"/>
      <c r="H22" s="75"/>
      <c r="I22" s="75"/>
      <c r="J22" s="75"/>
      <c r="K22" s="74"/>
      <c r="L22" s="74"/>
      <c r="M22" s="75"/>
      <c r="N22" s="75"/>
      <c r="O22" s="74"/>
      <c r="P22" s="74"/>
      <c r="Q22" s="75"/>
      <c r="R22" s="75"/>
      <c r="S22" s="75"/>
      <c r="T22" s="75"/>
      <c r="U22" s="74"/>
      <c r="V22" s="74"/>
      <c r="W22" s="75"/>
      <c r="X22" s="75"/>
      <c r="Y22" s="74"/>
      <c r="Z22" s="74"/>
      <c r="AA22" s="74"/>
      <c r="AB22" s="74"/>
      <c r="AC22" s="71">
        <f t="shared" si="7"/>
        <v>0</v>
      </c>
      <c r="AD22" s="71">
        <f t="shared" si="8"/>
        <v>0</v>
      </c>
      <c r="AE22" s="105"/>
    </row>
    <row r="23" spans="2:38" outlineLevel="1" x14ac:dyDescent="0.3">
      <c r="B23" s="72" t="s">
        <v>976</v>
      </c>
      <c r="C23" s="74"/>
      <c r="D23" s="74"/>
      <c r="E23" s="75"/>
      <c r="F23" s="75"/>
      <c r="G23" s="75"/>
      <c r="H23" s="75"/>
      <c r="I23" s="75"/>
      <c r="J23" s="75"/>
      <c r="K23" s="74"/>
      <c r="L23" s="74"/>
      <c r="M23" s="75"/>
      <c r="N23" s="75"/>
      <c r="O23" s="74"/>
      <c r="P23" s="74"/>
      <c r="Q23" s="75"/>
      <c r="R23" s="75"/>
      <c r="S23" s="75"/>
      <c r="T23" s="75"/>
      <c r="U23" s="74"/>
      <c r="V23" s="74"/>
      <c r="W23" s="75"/>
      <c r="X23" s="75"/>
      <c r="Y23" s="74"/>
      <c r="Z23" s="74"/>
      <c r="AA23" s="74"/>
      <c r="AB23" s="74"/>
      <c r="AC23" s="71">
        <f t="shared" si="7"/>
        <v>0</v>
      </c>
      <c r="AD23" s="71">
        <f t="shared" si="8"/>
        <v>0</v>
      </c>
      <c r="AE23" s="105"/>
    </row>
    <row r="24" spans="2:38" outlineLevel="1" x14ac:dyDescent="0.3">
      <c r="B24" s="72" t="s">
        <v>977</v>
      </c>
      <c r="C24" s="74"/>
      <c r="D24" s="74"/>
      <c r="E24" s="77"/>
      <c r="F24" s="77"/>
      <c r="G24" s="77"/>
      <c r="H24" s="77"/>
      <c r="I24" s="77"/>
      <c r="J24" s="77"/>
      <c r="K24" s="74"/>
      <c r="L24" s="74"/>
      <c r="M24" s="77"/>
      <c r="N24" s="77"/>
      <c r="O24" s="74"/>
      <c r="P24" s="74"/>
      <c r="Q24" s="77"/>
      <c r="R24" s="77"/>
      <c r="S24" s="77"/>
      <c r="T24" s="77"/>
      <c r="U24" s="74"/>
      <c r="V24" s="74"/>
      <c r="W24" s="77"/>
      <c r="X24" s="77"/>
      <c r="Y24" s="74"/>
      <c r="Z24" s="74"/>
      <c r="AA24" s="74"/>
      <c r="AB24" s="74"/>
      <c r="AC24" s="71">
        <f t="shared" si="7"/>
        <v>0</v>
      </c>
      <c r="AD24" s="71">
        <f t="shared" si="8"/>
        <v>0</v>
      </c>
      <c r="AE24" s="105"/>
    </row>
    <row r="25" spans="2:38" outlineLevel="1" x14ac:dyDescent="0.3">
      <c r="B25" s="72" t="s">
        <v>978</v>
      </c>
      <c r="C25" s="74"/>
      <c r="D25" s="74"/>
      <c r="E25" s="77"/>
      <c r="F25" s="77"/>
      <c r="G25" s="77"/>
      <c r="H25" s="77"/>
      <c r="I25" s="77"/>
      <c r="J25" s="77"/>
      <c r="K25" s="74"/>
      <c r="L25" s="74"/>
      <c r="M25" s="77"/>
      <c r="N25" s="77"/>
      <c r="O25" s="74"/>
      <c r="P25" s="74"/>
      <c r="Q25" s="77"/>
      <c r="R25" s="77"/>
      <c r="S25" s="77"/>
      <c r="T25" s="77"/>
      <c r="U25" s="74"/>
      <c r="V25" s="74"/>
      <c r="W25" s="77"/>
      <c r="X25" s="77"/>
      <c r="Y25" s="74"/>
      <c r="Z25" s="74"/>
      <c r="AA25" s="74"/>
      <c r="AB25" s="74"/>
      <c r="AC25" s="71">
        <f t="shared" si="7"/>
        <v>0</v>
      </c>
      <c r="AD25" s="71">
        <f t="shared" si="8"/>
        <v>0</v>
      </c>
      <c r="AE25" s="105"/>
    </row>
    <row r="26" spans="2:38" outlineLevel="1" x14ac:dyDescent="0.3">
      <c r="B26" s="72" t="s">
        <v>979</v>
      </c>
      <c r="C26" s="74">
        <f>GETPIVOTDATA("TURNO",'TABLAS DINAMICAS'!$A$3,"ESC.","PNS O/S","TURNO","LIC.")</f>
        <v>2</v>
      </c>
      <c r="D26" s="74">
        <f>GETPIVOTDATA("TURNO",'TABLAS DINAMICAS'!$A$3,"ESC.","PNI O/S","TURNO","LIC.")</f>
        <v>38</v>
      </c>
      <c r="E26" s="75"/>
      <c r="F26" s="75"/>
      <c r="G26" s="77"/>
      <c r="H26" s="77"/>
      <c r="I26" s="77"/>
      <c r="J26" s="77"/>
      <c r="K26" s="74">
        <f>GETPIVOTDATA("TURNO",'TABLAS DINAMICAS'!$A$3,"ESC.","PNS O/S","TURNO","FER.")</f>
        <v>0</v>
      </c>
      <c r="L26" s="74">
        <f>GETPIVOTDATA("TURNO",'TABLAS DINAMICAS'!$A$3,"ESC.","PNI O/S","TURNO","FER.")</f>
        <v>7</v>
      </c>
      <c r="M26" s="77"/>
      <c r="N26" s="77">
        <f>GETPIVOTDATA("TURNO",'TABLAS DINAMICAS'!$A$3,"ESC.","PNI O/S","TURNO","PER.")</f>
        <v>4</v>
      </c>
      <c r="O26" s="74"/>
      <c r="P26" s="74"/>
      <c r="Q26" s="77">
        <v>0</v>
      </c>
      <c r="R26" s="77">
        <f>GETPIVOTDATA("TURNO",'TABLAS DINAMICAS'!$H$31,"REPARTICIÓN","DENTRO ZONA","ESC.","PNI O/S")</f>
        <v>21</v>
      </c>
      <c r="S26" s="77">
        <v>0</v>
      </c>
      <c r="T26" s="77">
        <f>GETPIVOTDATA("TURNO",'TABLAS DINAMICAS'!$H$31,"REPARTICIÓN","FUERA ZONA","ESC.","PNI O/S")</f>
        <v>2</v>
      </c>
      <c r="U26" s="74"/>
      <c r="V26" s="74">
        <f>GETPIVOTDATA("TURNO",'TABLAS DINAMICAS'!$A$3,"ESC.","PNI O/S","TURNO","RETIRO")</f>
        <v>1</v>
      </c>
      <c r="W26" s="77"/>
      <c r="X26" s="77"/>
      <c r="Y26" s="74"/>
      <c r="Z26" s="74"/>
      <c r="AA26" s="74"/>
      <c r="AB26" s="74"/>
      <c r="AC26" s="71">
        <f>C26+E26+G26+I26+K26+M26+O26+Q26+S26+U26+W26+Y26+AA26</f>
        <v>2</v>
      </c>
      <c r="AD26" s="71">
        <f t="shared" si="8"/>
        <v>73</v>
      </c>
      <c r="AE26" s="105"/>
    </row>
    <row r="27" spans="2:38" outlineLevel="1" x14ac:dyDescent="0.3">
      <c r="B27" s="72" t="s">
        <v>980</v>
      </c>
      <c r="C27" s="74"/>
      <c r="D27" s="74"/>
      <c r="E27" s="75"/>
      <c r="F27" s="75"/>
      <c r="G27" s="75"/>
      <c r="H27" s="75"/>
      <c r="I27" s="75"/>
      <c r="J27" s="75"/>
      <c r="K27" s="74"/>
      <c r="L27" s="74"/>
      <c r="M27" s="75"/>
      <c r="N27" s="75"/>
      <c r="O27" s="74"/>
      <c r="P27" s="74"/>
      <c r="Q27" s="75"/>
      <c r="R27" s="75"/>
      <c r="S27" s="75"/>
      <c r="T27" s="75"/>
      <c r="U27" s="74"/>
      <c r="V27" s="74"/>
      <c r="W27" s="75"/>
      <c r="X27" s="75"/>
      <c r="Y27" s="74"/>
      <c r="Z27" s="74"/>
      <c r="AA27" s="74"/>
      <c r="AB27" s="74"/>
      <c r="AC27" s="71">
        <f t="shared" si="7"/>
        <v>0</v>
      </c>
      <c r="AD27" s="71">
        <f t="shared" si="8"/>
        <v>0</v>
      </c>
      <c r="AE27" s="105"/>
      <c r="AL27" s="108"/>
    </row>
    <row r="28" spans="2:38" outlineLevel="1" x14ac:dyDescent="0.3">
      <c r="B28" s="72"/>
      <c r="C28" s="74"/>
      <c r="D28" s="83"/>
      <c r="E28" s="84"/>
      <c r="F28" s="77"/>
      <c r="G28" s="77"/>
      <c r="H28" s="77"/>
      <c r="I28" s="77"/>
      <c r="J28" s="77"/>
      <c r="K28" s="74"/>
      <c r="L28" s="83"/>
      <c r="M28" s="84"/>
      <c r="N28" s="77"/>
      <c r="O28" s="74"/>
      <c r="P28" s="83"/>
      <c r="Q28" s="84"/>
      <c r="R28" s="77"/>
      <c r="S28" s="77"/>
      <c r="T28" s="77"/>
      <c r="U28" s="74"/>
      <c r="V28" s="83"/>
      <c r="W28" s="84"/>
      <c r="X28" s="77"/>
      <c r="Y28" s="74"/>
      <c r="Z28" s="83"/>
      <c r="AA28" s="83"/>
      <c r="AB28" s="83"/>
      <c r="AC28" s="71">
        <f t="shared" si="7"/>
        <v>0</v>
      </c>
      <c r="AD28" s="71">
        <f t="shared" si="8"/>
        <v>0</v>
      </c>
      <c r="AE28" s="105"/>
      <c r="AL28" s="108"/>
    </row>
    <row r="29" spans="2:38" outlineLevel="1" x14ac:dyDescent="0.3">
      <c r="B29" s="72"/>
      <c r="C29" s="90"/>
      <c r="D29" s="89"/>
      <c r="E29" s="91"/>
      <c r="F29" s="92"/>
      <c r="G29" s="109"/>
      <c r="H29" s="109"/>
      <c r="I29" s="109"/>
      <c r="J29" s="109"/>
      <c r="K29" s="90"/>
      <c r="L29" s="89"/>
      <c r="M29" s="91"/>
      <c r="N29" s="92"/>
      <c r="O29" s="90"/>
      <c r="P29" s="89"/>
      <c r="Q29" s="91"/>
      <c r="R29" s="92"/>
      <c r="S29" s="109"/>
      <c r="T29" s="109"/>
      <c r="U29" s="90"/>
      <c r="V29" s="89"/>
      <c r="W29" s="91"/>
      <c r="X29" s="92"/>
      <c r="Y29" s="90"/>
      <c r="Z29" s="89"/>
      <c r="AA29" s="89"/>
      <c r="AB29" s="89"/>
      <c r="AC29" s="71">
        <f t="shared" si="7"/>
        <v>0</v>
      </c>
      <c r="AD29" s="71">
        <f t="shared" si="8"/>
        <v>0</v>
      </c>
      <c r="AE29" s="105"/>
      <c r="AL29" s="108"/>
    </row>
    <row r="30" spans="2:38" outlineLevel="1" x14ac:dyDescent="0.3">
      <c r="B30" s="72"/>
      <c r="C30" s="101"/>
      <c r="D30" s="101"/>
      <c r="E30" s="102"/>
      <c r="F30" s="102"/>
      <c r="G30" s="75"/>
      <c r="H30" s="75"/>
      <c r="I30" s="75"/>
      <c r="J30" s="75"/>
      <c r="K30" s="101"/>
      <c r="L30" s="101"/>
      <c r="M30" s="102"/>
      <c r="N30" s="102"/>
      <c r="O30" s="101"/>
      <c r="P30" s="101"/>
      <c r="Q30" s="75"/>
      <c r="R30" s="75"/>
      <c r="S30" s="75"/>
      <c r="T30" s="75"/>
      <c r="U30" s="74"/>
      <c r="V30" s="74"/>
      <c r="W30" s="75"/>
      <c r="X30" s="75"/>
      <c r="Y30" s="74"/>
      <c r="Z30" s="74"/>
      <c r="AA30" s="74"/>
      <c r="AB30" s="74"/>
      <c r="AC30" s="71">
        <f t="shared" si="7"/>
        <v>0</v>
      </c>
      <c r="AD30" s="71">
        <f t="shared" si="8"/>
        <v>0</v>
      </c>
      <c r="AE30" s="105"/>
      <c r="AL30" s="108"/>
    </row>
    <row r="31" spans="2:38" outlineLevel="1" x14ac:dyDescent="0.3">
      <c r="B31" s="72"/>
      <c r="C31" s="74"/>
      <c r="D31" s="74"/>
      <c r="E31" s="75"/>
      <c r="F31" s="75"/>
      <c r="G31" s="75"/>
      <c r="H31" s="75"/>
      <c r="I31" s="75"/>
      <c r="J31" s="75"/>
      <c r="K31" s="74"/>
      <c r="L31" s="74"/>
      <c r="M31" s="75"/>
      <c r="N31" s="75"/>
      <c r="O31" s="74"/>
      <c r="P31" s="74"/>
      <c r="Q31" s="75"/>
      <c r="R31" s="75"/>
      <c r="S31" s="75"/>
      <c r="T31" s="75"/>
      <c r="U31" s="74"/>
      <c r="V31" s="74"/>
      <c r="W31" s="75"/>
      <c r="X31" s="75"/>
      <c r="Y31" s="74"/>
      <c r="Z31" s="74"/>
      <c r="AA31" s="74"/>
      <c r="AB31" s="74"/>
      <c r="AC31" s="71">
        <f t="shared" si="7"/>
        <v>0</v>
      </c>
      <c r="AD31" s="71">
        <f t="shared" si="8"/>
        <v>0</v>
      </c>
      <c r="AL31" s="108"/>
    </row>
    <row r="32" spans="2:38" x14ac:dyDescent="0.3">
      <c r="B32" s="103" t="s">
        <v>973</v>
      </c>
      <c r="C32" s="104">
        <f>SUM(C21:C31)</f>
        <v>2</v>
      </c>
      <c r="D32" s="104">
        <f t="shared" ref="D32:AB32" si="9">SUM(D21:D31)</f>
        <v>38</v>
      </c>
      <c r="E32" s="104">
        <f t="shared" si="9"/>
        <v>0</v>
      </c>
      <c r="F32" s="104">
        <f t="shared" si="9"/>
        <v>0</v>
      </c>
      <c r="G32" s="104">
        <f t="shared" si="9"/>
        <v>0</v>
      </c>
      <c r="H32" s="104">
        <f t="shared" si="9"/>
        <v>0</v>
      </c>
      <c r="I32" s="104">
        <f t="shared" si="9"/>
        <v>0</v>
      </c>
      <c r="J32" s="104">
        <f>SUM(J21:J31)</f>
        <v>0</v>
      </c>
      <c r="K32" s="104">
        <f>SUM(K21:K31)</f>
        <v>0</v>
      </c>
      <c r="L32" s="104">
        <f t="shared" si="9"/>
        <v>7</v>
      </c>
      <c r="M32" s="104">
        <f t="shared" si="9"/>
        <v>0</v>
      </c>
      <c r="N32" s="104">
        <f t="shared" si="9"/>
        <v>4</v>
      </c>
      <c r="O32" s="104">
        <f t="shared" si="9"/>
        <v>0</v>
      </c>
      <c r="P32" s="104">
        <f t="shared" si="9"/>
        <v>0</v>
      </c>
      <c r="Q32" s="104">
        <f t="shared" si="9"/>
        <v>0</v>
      </c>
      <c r="R32" s="104">
        <f t="shared" si="9"/>
        <v>21</v>
      </c>
      <c r="S32" s="104">
        <f t="shared" si="9"/>
        <v>0</v>
      </c>
      <c r="T32" s="104">
        <f t="shared" si="9"/>
        <v>2</v>
      </c>
      <c r="U32" s="104">
        <f t="shared" si="9"/>
        <v>0</v>
      </c>
      <c r="V32" s="104">
        <f t="shared" si="9"/>
        <v>1</v>
      </c>
      <c r="W32" s="104">
        <f t="shared" si="9"/>
        <v>0</v>
      </c>
      <c r="X32" s="104">
        <f t="shared" si="9"/>
        <v>0</v>
      </c>
      <c r="Y32" s="104">
        <f t="shared" si="9"/>
        <v>0</v>
      </c>
      <c r="Z32" s="104">
        <f t="shared" si="9"/>
        <v>0</v>
      </c>
      <c r="AA32" s="104">
        <f t="shared" si="9"/>
        <v>0</v>
      </c>
      <c r="AB32" s="104">
        <f t="shared" si="9"/>
        <v>0</v>
      </c>
      <c r="AC32" s="71">
        <f>SUM(AC21:AC31)</f>
        <v>2</v>
      </c>
      <c r="AD32" s="71">
        <f>SUM(AD21:AD31)</f>
        <v>73</v>
      </c>
      <c r="AL32" s="108"/>
    </row>
    <row r="33" spans="2:38" x14ac:dyDescent="0.3">
      <c r="AL33" s="108"/>
    </row>
    <row r="34" spans="2:38" x14ac:dyDescent="0.3">
      <c r="AL34" s="108"/>
    </row>
    <row r="37" spans="2:38" ht="73.2" customHeight="1" x14ac:dyDescent="0.3">
      <c r="B37" s="1219" t="s">
        <v>963</v>
      </c>
      <c r="C37" s="1221" t="s">
        <v>994</v>
      </c>
      <c r="D37" s="1222"/>
      <c r="E37" s="1221" t="s">
        <v>995</v>
      </c>
      <c r="F37" s="1222"/>
      <c r="G37" s="1221" t="s">
        <v>996</v>
      </c>
      <c r="H37" s="1222"/>
      <c r="I37" s="1223" t="s">
        <v>997</v>
      </c>
      <c r="J37" s="1224"/>
    </row>
    <row r="38" spans="2:38" ht="33.6" customHeight="1" x14ac:dyDescent="0.3">
      <c r="B38" s="1220"/>
      <c r="C38" s="110" t="s">
        <v>927</v>
      </c>
      <c r="D38" s="110" t="s">
        <v>928</v>
      </c>
      <c r="E38" s="110" t="s">
        <v>927</v>
      </c>
      <c r="F38" s="110" t="s">
        <v>928</v>
      </c>
      <c r="G38" s="110" t="s">
        <v>927</v>
      </c>
      <c r="H38" s="110" t="s">
        <v>928</v>
      </c>
      <c r="I38" s="111" t="s">
        <v>927</v>
      </c>
      <c r="J38" s="111" t="s">
        <v>928</v>
      </c>
    </row>
    <row r="39" spans="2:38" outlineLevel="1" x14ac:dyDescent="0.3">
      <c r="B39" s="72" t="s">
        <v>974</v>
      </c>
      <c r="C39" s="74"/>
      <c r="D39" s="74"/>
      <c r="E39" s="75"/>
      <c r="F39" s="75"/>
      <c r="G39" s="74"/>
      <c r="H39" s="74"/>
      <c r="I39" s="112">
        <f>+SUM(C39,E39,G39)</f>
        <v>0</v>
      </c>
      <c r="J39" s="112">
        <f>+SUM(D39,F39,H39)</f>
        <v>0</v>
      </c>
    </row>
    <row r="40" spans="2:38" outlineLevel="1" x14ac:dyDescent="0.3">
      <c r="B40" s="72" t="s">
        <v>975</v>
      </c>
      <c r="C40" s="74"/>
      <c r="D40" s="74"/>
      <c r="E40" s="75"/>
      <c r="F40" s="75"/>
      <c r="G40" s="74"/>
      <c r="H40" s="74"/>
      <c r="I40" s="112">
        <f t="shared" ref="I40:J49" si="10">+SUM(C40,E40,G40)</f>
        <v>0</v>
      </c>
      <c r="J40" s="112">
        <f t="shared" si="10"/>
        <v>0</v>
      </c>
    </row>
    <row r="41" spans="2:38" outlineLevel="1" x14ac:dyDescent="0.3">
      <c r="B41" s="72" t="s">
        <v>976</v>
      </c>
      <c r="C41" s="74"/>
      <c r="D41" s="74"/>
      <c r="E41" s="75"/>
      <c r="F41" s="75"/>
      <c r="G41" s="74"/>
      <c r="H41" s="74"/>
      <c r="I41" s="112">
        <f t="shared" si="10"/>
        <v>0</v>
      </c>
      <c r="J41" s="112">
        <f t="shared" si="10"/>
        <v>0</v>
      </c>
    </row>
    <row r="42" spans="2:38" outlineLevel="1" x14ac:dyDescent="0.3">
      <c r="B42" s="72" t="s">
        <v>977</v>
      </c>
      <c r="C42" s="74"/>
      <c r="D42" s="74"/>
      <c r="E42" s="75"/>
      <c r="F42" s="75"/>
      <c r="G42" s="74"/>
      <c r="H42" s="74"/>
      <c r="I42" s="112">
        <f t="shared" si="10"/>
        <v>0</v>
      </c>
      <c r="J42" s="112">
        <f t="shared" si="10"/>
        <v>0</v>
      </c>
    </row>
    <row r="43" spans="2:38" outlineLevel="1" x14ac:dyDescent="0.3">
      <c r="B43" s="72" t="s">
        <v>978</v>
      </c>
      <c r="C43" s="74"/>
      <c r="D43" s="74"/>
      <c r="E43" s="75"/>
      <c r="F43" s="75"/>
      <c r="G43" s="74"/>
      <c r="H43" s="74"/>
      <c r="I43" s="112">
        <f t="shared" si="10"/>
        <v>0</v>
      </c>
      <c r="J43" s="112">
        <f t="shared" si="10"/>
        <v>0</v>
      </c>
    </row>
    <row r="44" spans="2:38" outlineLevel="1" x14ac:dyDescent="0.3">
      <c r="B44" s="72" t="s">
        <v>979</v>
      </c>
      <c r="C44" s="74"/>
      <c r="D44" s="74"/>
      <c r="E44" s="75"/>
      <c r="F44" s="75"/>
      <c r="G44" s="74"/>
      <c r="H44" s="74"/>
      <c r="I44" s="112">
        <f t="shared" si="10"/>
        <v>0</v>
      </c>
      <c r="J44" s="112">
        <f>+SUM(D44,F44,H44)</f>
        <v>0</v>
      </c>
    </row>
    <row r="45" spans="2:38" outlineLevel="1" x14ac:dyDescent="0.3">
      <c r="B45" s="72" t="s">
        <v>980</v>
      </c>
      <c r="C45" s="74"/>
      <c r="D45" s="74"/>
      <c r="E45" s="75"/>
      <c r="F45" s="75"/>
      <c r="G45" s="74"/>
      <c r="H45" s="74"/>
      <c r="I45" s="112">
        <f t="shared" si="10"/>
        <v>0</v>
      </c>
      <c r="J45" s="112">
        <f t="shared" si="10"/>
        <v>0</v>
      </c>
    </row>
    <row r="46" spans="2:38" outlineLevel="1" x14ac:dyDescent="0.3">
      <c r="B46" s="72"/>
      <c r="C46" s="74"/>
      <c r="D46" s="74"/>
      <c r="E46" s="75"/>
      <c r="F46" s="75"/>
      <c r="G46" s="74"/>
      <c r="H46" s="74"/>
      <c r="I46" s="112">
        <f t="shared" si="10"/>
        <v>0</v>
      </c>
      <c r="J46" s="112">
        <f t="shared" si="10"/>
        <v>0</v>
      </c>
    </row>
    <row r="47" spans="2:38" outlineLevel="1" x14ac:dyDescent="0.3">
      <c r="B47" s="72"/>
      <c r="C47" s="89"/>
      <c r="D47" s="89"/>
      <c r="E47" s="94"/>
      <c r="F47" s="94"/>
      <c r="G47" s="89"/>
      <c r="H47" s="89"/>
      <c r="I47" s="112">
        <f t="shared" si="10"/>
        <v>0</v>
      </c>
      <c r="J47" s="112">
        <f t="shared" si="10"/>
        <v>0</v>
      </c>
    </row>
    <row r="48" spans="2:38" outlineLevel="1" x14ac:dyDescent="0.3">
      <c r="B48" s="72"/>
      <c r="C48" s="74"/>
      <c r="D48" s="74"/>
      <c r="E48" s="75"/>
      <c r="F48" s="75"/>
      <c r="G48" s="74"/>
      <c r="H48" s="74"/>
      <c r="I48" s="112">
        <f t="shared" si="10"/>
        <v>0</v>
      </c>
      <c r="J48" s="112">
        <f t="shared" si="10"/>
        <v>0</v>
      </c>
    </row>
    <row r="49" spans="2:10" outlineLevel="1" x14ac:dyDescent="0.3">
      <c r="B49" s="72"/>
      <c r="C49" s="74"/>
      <c r="D49" s="74"/>
      <c r="E49" s="75"/>
      <c r="F49" s="75"/>
      <c r="G49" s="74"/>
      <c r="H49" s="74"/>
      <c r="I49" s="112">
        <f t="shared" si="10"/>
        <v>0</v>
      </c>
      <c r="J49" s="112">
        <f t="shared" si="10"/>
        <v>0</v>
      </c>
    </row>
    <row r="50" spans="2:10" x14ac:dyDescent="0.3">
      <c r="B50" s="103" t="s">
        <v>973</v>
      </c>
      <c r="C50" s="104">
        <f t="shared" ref="C50:J50" si="11">SUM(C39:C49)</f>
        <v>0</v>
      </c>
      <c r="D50" s="104">
        <f t="shared" si="11"/>
        <v>0</v>
      </c>
      <c r="E50" s="104">
        <f t="shared" si="11"/>
        <v>0</v>
      </c>
      <c r="F50" s="104">
        <f t="shared" si="11"/>
        <v>0</v>
      </c>
      <c r="G50" s="104">
        <f t="shared" si="11"/>
        <v>0</v>
      </c>
      <c r="H50" s="104">
        <f t="shared" si="11"/>
        <v>0</v>
      </c>
      <c r="I50" s="113">
        <f t="shared" si="11"/>
        <v>0</v>
      </c>
      <c r="J50" s="113">
        <f t="shared" si="11"/>
        <v>0</v>
      </c>
    </row>
  </sheetData>
  <mergeCells count="44">
    <mergeCell ref="C1:AH1"/>
    <mergeCell ref="B3:B4"/>
    <mergeCell ref="C3:D3"/>
    <mergeCell ref="E3:F3"/>
    <mergeCell ref="G3:G4"/>
    <mergeCell ref="H3:I3"/>
    <mergeCell ref="J3:J4"/>
    <mergeCell ref="K3:L3"/>
    <mergeCell ref="M3:M4"/>
    <mergeCell ref="N3:O3"/>
    <mergeCell ref="AE3:AE4"/>
    <mergeCell ref="AF3:AG3"/>
    <mergeCell ref="AH3:AH4"/>
    <mergeCell ref="P3:P4"/>
    <mergeCell ref="Q3:R3"/>
    <mergeCell ref="S3:S4"/>
    <mergeCell ref="T3:U3"/>
    <mergeCell ref="V3:W3"/>
    <mergeCell ref="X3:X4"/>
    <mergeCell ref="Q18:T18"/>
    <mergeCell ref="S19:T19"/>
    <mergeCell ref="Y3:Z3"/>
    <mergeCell ref="AA3:AB3"/>
    <mergeCell ref="AC3:AD3"/>
    <mergeCell ref="B18:B20"/>
    <mergeCell ref="C18:J18"/>
    <mergeCell ref="K18:L19"/>
    <mergeCell ref="M18:N19"/>
    <mergeCell ref="O18:P19"/>
    <mergeCell ref="C19:D19"/>
    <mergeCell ref="E19:F19"/>
    <mergeCell ref="G19:H19"/>
    <mergeCell ref="I19:J19"/>
    <mergeCell ref="Q19:R19"/>
    <mergeCell ref="U18:V19"/>
    <mergeCell ref="W18:X19"/>
    <mergeCell ref="Y18:Z19"/>
    <mergeCell ref="AA18:AB19"/>
    <mergeCell ref="AC18:AD19"/>
    <mergeCell ref="B37:B38"/>
    <mergeCell ref="C37:D37"/>
    <mergeCell ref="E37:F37"/>
    <mergeCell ref="G37:H37"/>
    <mergeCell ref="I37:J37"/>
  </mergeCells>
  <pageMargins left="1" right="1" top="1" bottom="1" header="0.5" footer="0.5"/>
  <pageSetup paperSize="5" scale="52" orientation="landscape" r:id="rId1"/>
  <ignoredErrors>
    <ignoredError sqref="AC5:AD9 AC11:AD16"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2:AF67"/>
  <sheetViews>
    <sheetView zoomScale="40" zoomScaleNormal="40" workbookViewId="0">
      <selection activeCell="E15" sqref="E15:J15"/>
    </sheetView>
  </sheetViews>
  <sheetFormatPr baseColWidth="10" defaultColWidth="11.44140625" defaultRowHeight="14.4" x14ac:dyDescent="0.3"/>
  <cols>
    <col min="1" max="1" width="14.33203125" style="114" bestFit="1" customWidth="1"/>
    <col min="2" max="3" width="7.6640625" style="114" customWidth="1"/>
    <col min="4" max="4" width="22.6640625" style="115" customWidth="1"/>
    <col min="5" max="24" width="21.6640625" style="114" customWidth="1"/>
    <col min="25" max="25" width="11.44140625" style="114" customWidth="1"/>
    <col min="26" max="26" width="15.6640625" style="114" bestFit="1" customWidth="1"/>
    <col min="27" max="27" width="6.33203125" style="114" customWidth="1"/>
    <col min="28" max="16384" width="11.44140625" style="114"/>
  </cols>
  <sheetData>
    <row r="2" spans="1:32" x14ac:dyDescent="0.3">
      <c r="E2" s="1252" t="s">
        <v>919</v>
      </c>
      <c r="F2" s="1252"/>
      <c r="G2" s="1252"/>
      <c r="H2" s="1252"/>
      <c r="I2" s="1252"/>
      <c r="J2" s="1252"/>
      <c r="K2" s="1252"/>
      <c r="L2" s="1252"/>
      <c r="M2" s="1252"/>
      <c r="N2" s="1252"/>
      <c r="O2" s="1252"/>
      <c r="P2" s="1252"/>
      <c r="Q2" s="1252"/>
      <c r="R2" s="1252"/>
      <c r="S2" s="1252"/>
      <c r="T2" s="1252"/>
      <c r="U2" s="1252"/>
      <c r="V2" s="1252"/>
      <c r="W2" s="1252"/>
      <c r="X2" s="1252"/>
      <c r="Z2" s="64"/>
    </row>
    <row r="3" spans="1:32" x14ac:dyDescent="0.3">
      <c r="B3" s="1253" t="s">
        <v>920</v>
      </c>
      <c r="C3" s="1253"/>
      <c r="E3" s="1253" t="s">
        <v>2</v>
      </c>
      <c r="F3" s="1253"/>
      <c r="G3" s="1254" t="s">
        <v>1</v>
      </c>
      <c r="H3" s="1255"/>
      <c r="I3" s="1253" t="s">
        <v>6</v>
      </c>
      <c r="J3" s="1253"/>
      <c r="K3" s="1253" t="s">
        <v>853</v>
      </c>
      <c r="L3" s="1253"/>
      <c r="M3" s="1253" t="s">
        <v>854</v>
      </c>
      <c r="N3" s="1253"/>
      <c r="O3" s="1253" t="s">
        <v>921</v>
      </c>
      <c r="P3" s="1253"/>
      <c r="Q3" s="1253" t="s">
        <v>922</v>
      </c>
      <c r="R3" s="1253"/>
      <c r="S3" s="1253" t="s">
        <v>923</v>
      </c>
      <c r="T3" s="1253"/>
      <c r="U3" s="1253" t="s">
        <v>924</v>
      </c>
      <c r="V3" s="1253"/>
      <c r="W3" s="1253" t="s">
        <v>925</v>
      </c>
      <c r="X3" s="1253"/>
    </row>
    <row r="4" spans="1:32" x14ac:dyDescent="0.3">
      <c r="A4" s="118" t="s">
        <v>926</v>
      </c>
      <c r="B4" s="116" t="s">
        <v>927</v>
      </c>
      <c r="C4" s="116" t="s">
        <v>928</v>
      </c>
      <c r="E4" s="116" t="s">
        <v>927</v>
      </c>
      <c r="F4" s="116" t="s">
        <v>928</v>
      </c>
      <c r="G4" s="116" t="s">
        <v>927</v>
      </c>
      <c r="H4" s="116" t="s">
        <v>928</v>
      </c>
      <c r="I4" s="116" t="s">
        <v>927</v>
      </c>
      <c r="J4" s="116" t="s">
        <v>928</v>
      </c>
      <c r="K4" s="116" t="s">
        <v>927</v>
      </c>
      <c r="L4" s="116" t="s">
        <v>928</v>
      </c>
      <c r="M4" s="116" t="s">
        <v>927</v>
      </c>
      <c r="N4" s="116" t="s">
        <v>928</v>
      </c>
      <c r="O4" s="116" t="s">
        <v>927</v>
      </c>
      <c r="P4" s="116" t="s">
        <v>928</v>
      </c>
      <c r="Q4" s="116" t="s">
        <v>927</v>
      </c>
      <c r="R4" s="116" t="s">
        <v>928</v>
      </c>
      <c r="S4" s="116" t="s">
        <v>927</v>
      </c>
      <c r="T4" s="116" t="s">
        <v>928</v>
      </c>
      <c r="U4" s="116" t="s">
        <v>927</v>
      </c>
      <c r="V4" s="116" t="s">
        <v>928</v>
      </c>
      <c r="W4" s="116" t="s">
        <v>927</v>
      </c>
      <c r="X4" s="116" t="s">
        <v>928</v>
      </c>
    </row>
    <row r="5" spans="1:32" x14ac:dyDescent="0.3">
      <c r="A5" s="119" t="s">
        <v>929</v>
      </c>
      <c r="B5" s="119">
        <f>GETPIVOTDATA("TURNO",'TABLAS DINAMICAS'!$A$3,"ESC.","PNS O/S")</f>
        <v>19</v>
      </c>
      <c r="C5" s="119">
        <v>394</v>
      </c>
      <c r="D5" s="120"/>
      <c r="E5" s="121">
        <f>'TABLAS DINAMICAS'!G6</f>
        <v>1</v>
      </c>
      <c r="F5" s="121">
        <f>'TABLAS DINAMICAS'!H6</f>
        <v>32</v>
      </c>
      <c r="G5" s="121">
        <f>'TABLAS DINAMICAS'!G7</f>
        <v>0</v>
      </c>
      <c r="H5" s="121">
        <f>'TABLAS DINAMICAS'!H7</f>
        <v>38</v>
      </c>
      <c r="I5" s="121">
        <f>'TABLAS DINAMICAS'!G8</f>
        <v>1</v>
      </c>
      <c r="J5" s="121">
        <f>'TABLAS DINAMICAS'!H8</f>
        <v>17</v>
      </c>
      <c r="K5" s="121">
        <f>GETPIVOTDATA("TURNO",'TABLAS DINAMICAS'!$A$3,"ESC.","PNS O/S","TURNO","1P")</f>
        <v>7</v>
      </c>
      <c r="L5" s="121">
        <f>'TABLAS DINAMICAS'!H4</f>
        <v>86</v>
      </c>
      <c r="M5" s="121">
        <f>'TABLAS DINAMICAS'!G5</f>
        <v>1</v>
      </c>
      <c r="N5" s="121">
        <f>'TABLAS DINAMICAS'!H5</f>
        <v>12</v>
      </c>
      <c r="O5" s="121"/>
      <c r="P5" s="122"/>
      <c r="Q5" s="121"/>
      <c r="R5" s="122"/>
      <c r="S5" s="121"/>
      <c r="T5" s="122"/>
      <c r="U5" s="121"/>
      <c r="V5" s="122"/>
      <c r="W5" s="119"/>
      <c r="X5" s="122">
        <f>GETPIVOTDATA("TURNO",'TABLAS DINAMICAS'!$A$3,"ESC.","PNI O/S","TURNO","RETIRO")</f>
        <v>1</v>
      </c>
      <c r="AB5" s="64"/>
      <c r="AC5" s="64"/>
      <c r="AD5" s="64"/>
      <c r="AE5" s="64"/>
      <c r="AF5" s="64"/>
    </row>
    <row r="6" spans="1:32" x14ac:dyDescent="0.3">
      <c r="AB6" s="64"/>
      <c r="AC6" s="64"/>
      <c r="AD6" s="64"/>
      <c r="AE6" s="64"/>
      <c r="AF6" s="64"/>
    </row>
    <row r="7" spans="1:32" x14ac:dyDescent="0.3">
      <c r="E7" s="1259" t="s">
        <v>930</v>
      </c>
      <c r="F7" s="1260"/>
      <c r="G7" s="1260"/>
      <c r="H7" s="1260"/>
      <c r="I7" s="1260"/>
      <c r="J7" s="1260"/>
      <c r="K7" s="1260"/>
      <c r="L7" s="1260"/>
      <c r="M7" s="1260"/>
      <c r="N7" s="1260"/>
      <c r="O7" s="1260"/>
      <c r="P7" s="1260"/>
      <c r="Q7" s="1260"/>
      <c r="R7" s="1260"/>
      <c r="S7" s="1260"/>
      <c r="T7" s="1260"/>
      <c r="U7" s="1260"/>
      <c r="V7" s="1261"/>
      <c r="Z7" s="64"/>
      <c r="AA7" s="64"/>
      <c r="AB7" s="64"/>
      <c r="AC7" s="64"/>
      <c r="AD7" s="64"/>
      <c r="AE7" s="64"/>
      <c r="AF7" s="64"/>
    </row>
    <row r="8" spans="1:32" x14ac:dyDescent="0.3">
      <c r="E8" s="1253" t="s">
        <v>2</v>
      </c>
      <c r="F8" s="1253"/>
      <c r="G8" s="1253" t="s">
        <v>1</v>
      </c>
      <c r="H8" s="1253"/>
      <c r="I8" s="1253" t="s">
        <v>6</v>
      </c>
      <c r="J8" s="1253"/>
      <c r="K8" s="1253" t="s">
        <v>853</v>
      </c>
      <c r="L8" s="1253"/>
      <c r="M8" s="1253" t="s">
        <v>854</v>
      </c>
      <c r="N8" s="1253"/>
      <c r="O8" s="1253" t="s">
        <v>921</v>
      </c>
      <c r="P8" s="1253"/>
      <c r="Q8" s="1253" t="s">
        <v>931</v>
      </c>
      <c r="R8" s="1253"/>
      <c r="S8" s="1253" t="s">
        <v>932</v>
      </c>
      <c r="T8" s="1253"/>
      <c r="U8" s="1253" t="s">
        <v>933</v>
      </c>
      <c r="V8" s="1253"/>
      <c r="Z8" s="64"/>
      <c r="AA8" s="64"/>
      <c r="AB8" s="64"/>
      <c r="AC8" s="64"/>
      <c r="AD8" s="64"/>
      <c r="AE8" s="64"/>
      <c r="AF8" s="64"/>
    </row>
    <row r="9" spans="1:32" x14ac:dyDescent="0.3">
      <c r="E9" s="116" t="s">
        <v>927</v>
      </c>
      <c r="F9" s="116" t="s">
        <v>928</v>
      </c>
      <c r="G9" s="116" t="s">
        <v>927</v>
      </c>
      <c r="H9" s="116" t="s">
        <v>928</v>
      </c>
      <c r="I9" s="116" t="s">
        <v>927</v>
      </c>
      <c r="J9" s="116" t="s">
        <v>928</v>
      </c>
      <c r="K9" s="116" t="s">
        <v>927</v>
      </c>
      <c r="L9" s="116" t="s">
        <v>928</v>
      </c>
      <c r="M9" s="116" t="s">
        <v>927</v>
      </c>
      <c r="N9" s="116" t="s">
        <v>928</v>
      </c>
      <c r="O9" s="116" t="s">
        <v>927</v>
      </c>
      <c r="P9" s="116" t="s">
        <v>928</v>
      </c>
      <c r="Q9" s="116" t="s">
        <v>927</v>
      </c>
      <c r="R9" s="116" t="s">
        <v>928</v>
      </c>
      <c r="S9" s="116" t="s">
        <v>927</v>
      </c>
      <c r="T9" s="116" t="s">
        <v>928</v>
      </c>
      <c r="U9" s="116" t="s">
        <v>927</v>
      </c>
      <c r="V9" s="116" t="s">
        <v>928</v>
      </c>
      <c r="Z9" s="64"/>
      <c r="AA9" s="64"/>
      <c r="AB9" s="64"/>
      <c r="AC9" s="64"/>
      <c r="AD9" s="64"/>
      <c r="AE9" s="64"/>
      <c r="AF9" s="64"/>
    </row>
    <row r="10" spans="1:32" x14ac:dyDescent="0.3">
      <c r="E10" s="121"/>
      <c r="F10" s="121"/>
      <c r="G10" s="121"/>
      <c r="H10" s="121"/>
      <c r="I10" s="121"/>
      <c r="J10" s="121"/>
      <c r="K10" s="121">
        <f>'TABLAS DINAMICAS'!G10+'TABLAS DINAMICAS'!G16</f>
        <v>0</v>
      </c>
      <c r="L10" s="121">
        <f>'TABLAS DINAMICAS'!H10+'TABLAS DINAMICAS'!H16</f>
        <v>6</v>
      </c>
      <c r="M10" s="121">
        <f>'TABLAS DINAMICAS'!G11</f>
        <v>0</v>
      </c>
      <c r="N10" s="121">
        <f>'TABLAS DINAMICAS'!H11</f>
        <v>3</v>
      </c>
      <c r="O10" s="121"/>
      <c r="P10" s="121"/>
      <c r="Q10" s="121">
        <f>'TABLAS DINAMICAS'!G12+'TABLAS DINAMICAS'!G13</f>
        <v>0</v>
      </c>
      <c r="R10" s="121">
        <f>'TABLAS DINAMICAS'!H12+'TABLAS DINAMICAS'!H13</f>
        <v>34</v>
      </c>
      <c r="S10" s="123">
        <v>0</v>
      </c>
      <c r="T10" s="123">
        <f>'TABLAS DINAMICAS'!L20</f>
        <v>21</v>
      </c>
      <c r="U10" s="123">
        <v>0</v>
      </c>
      <c r="V10" s="123">
        <f>'TABLAS DINAMICAS'!L21</f>
        <v>2</v>
      </c>
      <c r="Z10" s="64"/>
      <c r="AA10" s="64"/>
      <c r="AB10" s="64"/>
      <c r="AC10" s="64"/>
      <c r="AD10" s="64"/>
      <c r="AE10" s="64"/>
      <c r="AF10" s="64"/>
    </row>
    <row r="11" spans="1:32" x14ac:dyDescent="0.3">
      <c r="Z11" s="64"/>
      <c r="AA11" s="64"/>
      <c r="AB11" s="64"/>
      <c r="AC11" s="64"/>
      <c r="AD11" s="64"/>
      <c r="AE11" s="64"/>
      <c r="AF11" s="64"/>
    </row>
    <row r="12" spans="1:32" x14ac:dyDescent="0.3">
      <c r="V12" s="64"/>
      <c r="Z12" s="64"/>
      <c r="AA12" s="64"/>
      <c r="AB12" s="64"/>
      <c r="AC12" s="64"/>
      <c r="AD12" s="64"/>
      <c r="AE12" s="64"/>
      <c r="AF12" s="64"/>
    </row>
    <row r="13" spans="1:32" x14ac:dyDescent="0.3">
      <c r="E13" s="1253" t="s">
        <v>934</v>
      </c>
      <c r="F13" s="1253"/>
      <c r="G13" s="1253" t="s">
        <v>935</v>
      </c>
      <c r="H13" s="1253"/>
      <c r="I13" s="1253" t="s">
        <v>936</v>
      </c>
      <c r="J13" s="1253"/>
      <c r="R13" s="64"/>
      <c r="Z13" s="64"/>
      <c r="AA13" s="64"/>
      <c r="AB13" s="64"/>
      <c r="AC13" s="64"/>
      <c r="AD13" s="64"/>
      <c r="AE13" s="64"/>
      <c r="AF13" s="64"/>
    </row>
    <row r="14" spans="1:32" ht="27" thickBot="1" x14ac:dyDescent="0.35">
      <c r="E14" s="116" t="s">
        <v>927</v>
      </c>
      <c r="F14" s="116" t="s">
        <v>928</v>
      </c>
      <c r="G14" s="116" t="s">
        <v>927</v>
      </c>
      <c r="H14" s="116" t="s">
        <v>928</v>
      </c>
      <c r="I14" s="116" t="s">
        <v>927</v>
      </c>
      <c r="J14" s="116" t="s">
        <v>928</v>
      </c>
      <c r="M14" s="114" t="s">
        <v>2854</v>
      </c>
      <c r="N14" s="124" t="s">
        <v>937</v>
      </c>
      <c r="O14" s="124" t="s">
        <v>938</v>
      </c>
      <c r="P14" s="124" t="s">
        <v>939</v>
      </c>
      <c r="Q14" s="124" t="s">
        <v>940</v>
      </c>
      <c r="R14" s="124" t="s">
        <v>941</v>
      </c>
      <c r="S14" s="124" t="s">
        <v>942</v>
      </c>
      <c r="Z14" s="64"/>
      <c r="AA14" s="64"/>
      <c r="AB14" s="64"/>
      <c r="AC14" s="64"/>
      <c r="AD14" s="64"/>
      <c r="AE14" s="64"/>
      <c r="AF14" s="64"/>
    </row>
    <row r="15" spans="1:32" ht="15" thickBot="1" x14ac:dyDescent="0.35">
      <c r="E15" s="123">
        <f>GETPIVOTDATA("TURNO",'TABLAS DINAMICAS'!$A$3,"ESC.","PNS O/S","TURNO","LIC.")</f>
        <v>2</v>
      </c>
      <c r="F15" s="123">
        <f>'TABLAS DINAMICAS'!H17</f>
        <v>38</v>
      </c>
      <c r="G15" s="121">
        <f>'TABLAS DINAMICAS'!G15+'TABLAS DINAMICAS'!G18+'TABLAS DINAMICAS'!G19+'TABLAS DINAMICAS'!G20+'TABLAS DINAMICAS'!G21</f>
        <v>0</v>
      </c>
      <c r="H15" s="121">
        <f>GETPIVOTDATA("TURNO",'TABLAS DINAMICAS'!$A$3,"ESC.","PNI O/S","TURNO","FER.")+GETPIVOTDATA("TURNO",'TABLAS DINAMICAS'!$A$3,"ESC.","PNI O/S","TURNO","PER.")</f>
        <v>11</v>
      </c>
      <c r="I15" s="121">
        <f>'TABLAS DINAMICAS'!G9+'TABLAS DINAMICAS'!G22</f>
        <v>7</v>
      </c>
      <c r="J15" s="121">
        <f>'TABLAS DINAMICAS'!H9+'TABLAS DINAMICAS'!H22</f>
        <v>121</v>
      </c>
      <c r="N15" s="119">
        <f>SUM(E5:X5)+SUM(E10:R10)</f>
        <v>239</v>
      </c>
      <c r="O15" s="119">
        <f>SUM(I15:J15)</f>
        <v>128</v>
      </c>
      <c r="P15" s="119">
        <f>SUM(E15:F15)</f>
        <v>40</v>
      </c>
      <c r="Q15" s="119">
        <f>SUM('TABLAS DINAMICAS'!G18:H18)</f>
        <v>7</v>
      </c>
      <c r="R15" s="119">
        <f>SUM('TABLAS DINAMICAS'!G19:H19)</f>
        <v>4</v>
      </c>
      <c r="S15" s="125">
        <f>SUM(S10:V10)</f>
        <v>23</v>
      </c>
      <c r="T15" s="126">
        <f>SUM(N15:S15)</f>
        <v>441</v>
      </c>
      <c r="V15" s="64"/>
      <c r="W15" s="64"/>
      <c r="Z15" s="64"/>
      <c r="AA15" s="64"/>
      <c r="AB15" s="64"/>
      <c r="AC15" s="64"/>
      <c r="AD15" s="64"/>
      <c r="AE15" s="64"/>
      <c r="AF15" s="64"/>
    </row>
    <row r="16" spans="1:32" x14ac:dyDescent="0.3">
      <c r="R16" s="64"/>
      <c r="V16" s="64"/>
      <c r="W16" s="64"/>
      <c r="Z16" s="64"/>
      <c r="AA16" s="64"/>
      <c r="AB16" s="64"/>
      <c r="AC16" s="64"/>
      <c r="AD16" s="64"/>
      <c r="AE16" s="64"/>
      <c r="AF16" s="64"/>
    </row>
    <row r="17" spans="4:32" x14ac:dyDescent="0.3">
      <c r="R17" s="64"/>
      <c r="V17" s="64"/>
      <c r="W17" s="64"/>
      <c r="Z17" s="64"/>
      <c r="AA17" s="64"/>
      <c r="AB17" s="64"/>
      <c r="AC17" s="64"/>
      <c r="AD17" s="64"/>
      <c r="AE17" s="64"/>
      <c r="AF17" s="64"/>
    </row>
    <row r="18" spans="4:32" x14ac:dyDescent="0.3">
      <c r="E18" s="116" t="s">
        <v>927</v>
      </c>
      <c r="F18" s="116" t="s">
        <v>928</v>
      </c>
      <c r="R18" s="64"/>
      <c r="V18" s="64"/>
      <c r="W18" s="64"/>
      <c r="Z18" s="64"/>
      <c r="AA18" s="64"/>
      <c r="AB18" s="64"/>
      <c r="AC18" s="64"/>
      <c r="AD18" s="64"/>
      <c r="AE18" s="64"/>
      <c r="AF18" s="64"/>
    </row>
    <row r="19" spans="4:32" x14ac:dyDescent="0.3">
      <c r="D19" s="117" t="s">
        <v>946</v>
      </c>
      <c r="E19" s="65">
        <f>SUM(Q5+E5+G5+I5+K5+M5+O5+S5+U5+W5+E10+G10+I10+K10+M10+O10+Q10+S10+U10+E15+G15+I15)</f>
        <v>19</v>
      </c>
      <c r="F19" s="65">
        <f>SUM(F5,H5,J5,L5,N5,P5,R5,T5,V5,X5,F10,H10,J10,L10,N10,P10,R10,T10,V10,F15,H15,J15)</f>
        <v>422</v>
      </c>
      <c r="R19" s="64"/>
      <c r="V19" s="64"/>
      <c r="W19" s="64"/>
      <c r="Z19" s="64"/>
      <c r="AA19" s="64"/>
    </row>
    <row r="20" spans="4:32" ht="15" thickBot="1" x14ac:dyDescent="0.35">
      <c r="J20" s="127"/>
      <c r="N20" s="64"/>
      <c r="O20" s="64"/>
      <c r="P20" s="64"/>
      <c r="V20" s="64"/>
      <c r="W20" s="64"/>
      <c r="Z20" s="64"/>
      <c r="AA20" s="64"/>
    </row>
    <row r="21" spans="4:32" ht="15" thickBot="1" x14ac:dyDescent="0.35">
      <c r="F21" s="64"/>
      <c r="J21" s="127"/>
      <c r="N21" s="127"/>
      <c r="O21" s="128"/>
      <c r="P21" s="64"/>
      <c r="V21" s="64"/>
      <c r="W21" s="64"/>
      <c r="Z21" s="64"/>
      <c r="AA21" s="64"/>
    </row>
    <row r="22" spans="4:32" x14ac:dyDescent="0.3">
      <c r="F22" s="64"/>
      <c r="J22" s="127"/>
      <c r="N22" s="127"/>
      <c r="O22" s="128"/>
      <c r="P22" s="64"/>
      <c r="V22" s="64"/>
      <c r="W22" s="64"/>
      <c r="Z22" s="64"/>
      <c r="AA22" s="64"/>
    </row>
    <row r="23" spans="4:32" ht="15" thickBot="1" x14ac:dyDescent="0.35">
      <c r="F23" s="64"/>
      <c r="J23" s="127"/>
      <c r="N23" s="127"/>
      <c r="O23" s="128"/>
      <c r="P23" s="64"/>
      <c r="V23" s="64"/>
      <c r="W23" s="64"/>
      <c r="Z23" s="64"/>
      <c r="AA23" s="64"/>
    </row>
    <row r="24" spans="4:32" ht="24" thickBot="1" x14ac:dyDescent="0.5">
      <c r="D24" s="1256" t="str">
        <f>CONCATENATE("FUERZA EFECTIVA ACTUALIZADA ",UPPER(TEXT('DISTRIBUCION DIARIA'!B1,"DDDD")),", ",UPPER(TEXT('DISTRIBUCION DIARIA'!B1,"DD"))," DE ",UPPER(TEXT('DISTRIBUCION DIARIA'!B1,"MMMM"))," DEL AÑO ",TEXT('DISTRIBUCION DIARIA'!B1,"YYYY"),".")</f>
        <v>FUERZA EFECTIVA ACTUALIZADA SÁBADO, 06 DE ABRIL DEL AÑO 2024.</v>
      </c>
      <c r="E24" s="1257"/>
      <c r="F24" s="1257"/>
      <c r="G24" s="1257"/>
      <c r="H24" s="1257"/>
      <c r="I24" s="1257"/>
      <c r="J24" s="1257"/>
      <c r="K24" s="1257"/>
      <c r="L24" s="1257"/>
      <c r="M24" s="1257"/>
      <c r="N24" s="1257"/>
      <c r="O24" s="1257"/>
      <c r="P24" s="1258"/>
      <c r="V24" s="64"/>
      <c r="W24" s="64"/>
    </row>
    <row r="25" spans="4:32" ht="54.6" thickBot="1" x14ac:dyDescent="0.35">
      <c r="D25" s="129" t="s">
        <v>1076</v>
      </c>
      <c r="E25" s="130" t="s">
        <v>947</v>
      </c>
      <c r="F25" s="131" t="s">
        <v>948</v>
      </c>
      <c r="G25" s="131" t="s">
        <v>949</v>
      </c>
      <c r="H25" s="131" t="s">
        <v>950</v>
      </c>
      <c r="I25" s="131" t="s">
        <v>951</v>
      </c>
      <c r="J25" s="131" t="s">
        <v>952</v>
      </c>
      <c r="K25" s="131" t="s">
        <v>953</v>
      </c>
      <c r="L25" s="131" t="s">
        <v>13</v>
      </c>
      <c r="M25" s="131" t="s">
        <v>881</v>
      </c>
      <c r="N25" s="132" t="s">
        <v>954</v>
      </c>
      <c r="O25" s="133" t="s">
        <v>955</v>
      </c>
      <c r="P25" s="134" t="s">
        <v>956</v>
      </c>
      <c r="V25" s="64"/>
      <c r="W25" s="64"/>
    </row>
    <row r="26" spans="4:32" ht="28.95" customHeight="1" x14ac:dyDescent="0.3">
      <c r="D26" s="135" t="s">
        <v>957</v>
      </c>
      <c r="E26" s="119">
        <v>0</v>
      </c>
      <c r="F26" s="119">
        <v>0</v>
      </c>
      <c r="G26" s="119">
        <v>0</v>
      </c>
      <c r="H26" s="119">
        <v>0</v>
      </c>
      <c r="I26" s="119">
        <v>0</v>
      </c>
      <c r="J26" s="119">
        <v>0</v>
      </c>
      <c r="K26" s="119">
        <v>0</v>
      </c>
      <c r="L26" s="119">
        <v>0</v>
      </c>
      <c r="M26" s="119">
        <v>0</v>
      </c>
      <c r="N26" s="119">
        <v>0</v>
      </c>
      <c r="O26" s="119">
        <v>0</v>
      </c>
      <c r="P26" s="119">
        <v>0</v>
      </c>
      <c r="V26" s="64"/>
      <c r="W26" s="64"/>
    </row>
    <row r="27" spans="4:32" ht="31.2" x14ac:dyDescent="0.3">
      <c r="D27" s="136" t="s">
        <v>958</v>
      </c>
      <c r="E27" s="119">
        <v>0</v>
      </c>
      <c r="F27" s="119">
        <v>0</v>
      </c>
      <c r="G27" s="119">
        <v>0</v>
      </c>
      <c r="H27" s="119">
        <v>0</v>
      </c>
      <c r="I27" s="119">
        <v>0</v>
      </c>
      <c r="J27" s="119">
        <v>0</v>
      </c>
      <c r="K27" s="119">
        <v>0</v>
      </c>
      <c r="L27" s="119">
        <v>0</v>
      </c>
      <c r="M27" s="119">
        <v>0</v>
      </c>
      <c r="N27" s="119">
        <v>0</v>
      </c>
      <c r="O27" s="119">
        <v>0</v>
      </c>
      <c r="P27" s="119">
        <v>0</v>
      </c>
      <c r="V27" s="64"/>
      <c r="W27" s="64"/>
    </row>
    <row r="28" spans="4:32" ht="60" customHeight="1" x14ac:dyDescent="0.3">
      <c r="D28" s="136" t="s">
        <v>959</v>
      </c>
      <c r="E28" s="119">
        <v>0</v>
      </c>
      <c r="F28" s="119">
        <v>0</v>
      </c>
      <c r="G28" s="119">
        <v>0</v>
      </c>
      <c r="H28" s="119">
        <v>0</v>
      </c>
      <c r="I28" s="119">
        <v>0</v>
      </c>
      <c r="J28" s="119">
        <v>0</v>
      </c>
      <c r="K28" s="119">
        <v>0</v>
      </c>
      <c r="L28" s="119">
        <v>0</v>
      </c>
      <c r="M28" s="119">
        <v>0</v>
      </c>
      <c r="N28" s="119">
        <v>0</v>
      </c>
      <c r="O28" s="119">
        <v>0</v>
      </c>
      <c r="P28" s="119">
        <v>0</v>
      </c>
      <c r="V28" s="64"/>
      <c r="W28" s="64"/>
      <c r="Z28" s="64"/>
      <c r="AA28" s="64"/>
    </row>
    <row r="29" spans="4:32" ht="22.2" customHeight="1" x14ac:dyDescent="0.3">
      <c r="D29" s="136" t="s">
        <v>202</v>
      </c>
      <c r="E29" s="137"/>
      <c r="F29" s="119"/>
      <c r="G29" s="119"/>
      <c r="H29" s="119"/>
      <c r="I29" s="119"/>
      <c r="J29" s="119"/>
      <c r="K29" s="119"/>
      <c r="L29" s="119"/>
      <c r="M29" s="119"/>
      <c r="N29" s="119"/>
      <c r="O29" s="119"/>
      <c r="P29" s="119"/>
      <c r="V29" s="64"/>
      <c r="W29" s="64"/>
      <c r="Z29" s="64"/>
      <c r="AA29" s="64"/>
    </row>
    <row r="30" spans="4:32" ht="21.6" customHeight="1" x14ac:dyDescent="0.3">
      <c r="D30" s="136" t="s">
        <v>960</v>
      </c>
      <c r="E30" s="119">
        <v>0</v>
      </c>
      <c r="F30" s="119">
        <v>0</v>
      </c>
      <c r="G30" s="119">
        <v>0</v>
      </c>
      <c r="H30" s="119">
        <v>0</v>
      </c>
      <c r="I30" s="119">
        <v>0</v>
      </c>
      <c r="J30" s="119">
        <v>0</v>
      </c>
      <c r="K30" s="119">
        <v>0</v>
      </c>
      <c r="L30" s="119">
        <v>0</v>
      </c>
      <c r="M30" s="119">
        <v>0</v>
      </c>
      <c r="N30" s="119">
        <v>0</v>
      </c>
      <c r="O30" s="119">
        <v>0</v>
      </c>
      <c r="P30" s="119">
        <v>0</v>
      </c>
      <c r="V30" s="64"/>
      <c r="W30" s="64"/>
      <c r="Z30" s="64"/>
      <c r="AA30" s="64"/>
    </row>
    <row r="31" spans="4:32" ht="36" customHeight="1" x14ac:dyDescent="0.3">
      <c r="D31" s="136" t="s">
        <v>961</v>
      </c>
      <c r="E31" s="119">
        <v>0</v>
      </c>
      <c r="F31" s="119">
        <v>0</v>
      </c>
      <c r="G31" s="119">
        <v>0</v>
      </c>
      <c r="H31" s="119">
        <v>0</v>
      </c>
      <c r="I31" s="119">
        <v>0</v>
      </c>
      <c r="J31" s="119">
        <v>0</v>
      </c>
      <c r="K31" s="119">
        <v>0</v>
      </c>
      <c r="L31" s="119">
        <v>0</v>
      </c>
      <c r="M31" s="119">
        <v>0</v>
      </c>
      <c r="N31" s="119">
        <v>0</v>
      </c>
      <c r="O31" s="119">
        <v>0</v>
      </c>
      <c r="P31" s="119">
        <v>0</v>
      </c>
      <c r="V31" s="64"/>
      <c r="W31" s="64"/>
      <c r="Z31" s="64"/>
      <c r="AA31" s="64"/>
    </row>
    <row r="32" spans="4:32" ht="15.6" x14ac:dyDescent="0.3">
      <c r="D32" s="136"/>
      <c r="E32" s="119"/>
      <c r="F32" s="119"/>
      <c r="G32" s="119"/>
      <c r="H32" s="119"/>
      <c r="I32" s="119"/>
      <c r="J32" s="119"/>
      <c r="K32" s="119"/>
      <c r="L32" s="119"/>
      <c r="M32" s="119"/>
      <c r="N32" s="119"/>
      <c r="O32" s="119"/>
      <c r="P32" s="119"/>
      <c r="V32" s="64"/>
      <c r="W32" s="64"/>
      <c r="Z32" s="64"/>
      <c r="AA32" s="64"/>
    </row>
    <row r="33" spans="2:23" x14ac:dyDescent="0.3">
      <c r="G33" s="64"/>
      <c r="H33" s="64"/>
      <c r="I33" s="64"/>
      <c r="J33" s="64"/>
    </row>
    <row r="34" spans="2:23" x14ac:dyDescent="0.3">
      <c r="G34" s="64"/>
      <c r="H34" s="64"/>
      <c r="I34" s="64"/>
    </row>
    <row r="35" spans="2:23" x14ac:dyDescent="0.3">
      <c r="G35" s="64"/>
      <c r="H35" s="64"/>
      <c r="I35" s="64"/>
      <c r="L35" s="64"/>
    </row>
    <row r="36" spans="2:23" x14ac:dyDescent="0.3">
      <c r="G36" s="64"/>
      <c r="H36" s="64"/>
      <c r="I36" s="64"/>
      <c r="L36" s="64"/>
    </row>
    <row r="37" spans="2:23" x14ac:dyDescent="0.3">
      <c r="G37" s="64"/>
      <c r="H37" s="64"/>
      <c r="I37" s="64"/>
      <c r="L37" s="64"/>
    </row>
    <row r="38" spans="2:23" x14ac:dyDescent="0.3">
      <c r="G38" s="64"/>
      <c r="H38" s="64"/>
      <c r="I38" s="64"/>
      <c r="L38" s="64"/>
    </row>
    <row r="39" spans="2:23" x14ac:dyDescent="0.3">
      <c r="G39" s="64"/>
      <c r="H39" s="64"/>
      <c r="I39" s="64"/>
    </row>
    <row r="40" spans="2:23" x14ac:dyDescent="0.3">
      <c r="G40" s="64"/>
      <c r="H40" s="64"/>
      <c r="I40" s="64"/>
    </row>
    <row r="41" spans="2:23" x14ac:dyDescent="0.3">
      <c r="G41" s="64"/>
      <c r="H41" s="64"/>
      <c r="I41" s="64"/>
    </row>
    <row r="42" spans="2:23" s="64" customFormat="1" x14ac:dyDescent="0.3">
      <c r="B42" s="114"/>
      <c r="C42" s="114"/>
      <c r="D42" s="115"/>
      <c r="E42" s="114"/>
      <c r="F42" s="114"/>
      <c r="G42" s="114"/>
      <c r="H42" s="114"/>
      <c r="I42" s="114"/>
      <c r="J42" s="114"/>
      <c r="K42" s="114"/>
      <c r="L42" s="114"/>
      <c r="M42" s="114"/>
      <c r="N42" s="114"/>
      <c r="O42" s="114"/>
      <c r="V42" s="114"/>
      <c r="W42" s="114"/>
    </row>
    <row r="43" spans="2:23" s="64" customFormat="1" x14ac:dyDescent="0.3">
      <c r="B43" s="114"/>
      <c r="C43" s="114"/>
      <c r="D43" s="115"/>
      <c r="E43" s="114"/>
      <c r="F43" s="114"/>
      <c r="G43" s="114"/>
      <c r="H43" s="114"/>
      <c r="I43" s="114"/>
      <c r="J43" s="114"/>
      <c r="K43" s="114"/>
      <c r="L43" s="114"/>
      <c r="M43" s="114"/>
      <c r="N43" s="114"/>
      <c r="O43" s="114"/>
      <c r="P43" s="114"/>
      <c r="Q43" s="114"/>
      <c r="T43" s="114"/>
      <c r="U43" s="114"/>
      <c r="V43" s="114"/>
      <c r="W43" s="114"/>
    </row>
    <row r="44" spans="2:23" s="64" customFormat="1" x14ac:dyDescent="0.3">
      <c r="B44" s="114"/>
      <c r="C44" s="114"/>
      <c r="D44" s="115"/>
      <c r="E44" s="114"/>
      <c r="F44" s="114"/>
      <c r="G44" s="114"/>
      <c r="H44" s="114"/>
      <c r="I44" s="114"/>
      <c r="J44" s="114"/>
      <c r="K44" s="114"/>
      <c r="L44" s="114"/>
      <c r="M44" s="114"/>
      <c r="N44" s="114"/>
      <c r="O44" s="114"/>
      <c r="P44" s="114"/>
      <c r="Q44" s="114"/>
      <c r="T44" s="114"/>
      <c r="U44" s="114"/>
      <c r="V44" s="114"/>
      <c r="W44" s="114"/>
    </row>
    <row r="45" spans="2:23" s="64" customFormat="1" x14ac:dyDescent="0.3">
      <c r="B45" s="114"/>
      <c r="C45" s="114"/>
      <c r="D45" s="115"/>
      <c r="E45" s="114"/>
      <c r="F45" s="114"/>
      <c r="G45" s="114"/>
      <c r="H45" s="114"/>
      <c r="I45" s="114"/>
      <c r="J45" s="114"/>
      <c r="K45" s="114"/>
      <c r="L45" s="114"/>
      <c r="M45" s="114"/>
      <c r="N45" s="114"/>
      <c r="O45" s="114"/>
      <c r="P45" s="114"/>
      <c r="Q45" s="114"/>
      <c r="T45" s="114"/>
      <c r="U45" s="114"/>
      <c r="V45" s="114"/>
      <c r="W45" s="114"/>
    </row>
    <row r="46" spans="2:23" s="64" customFormat="1" x14ac:dyDescent="0.3">
      <c r="B46" s="114"/>
      <c r="C46" s="114"/>
      <c r="D46" s="115"/>
      <c r="E46" s="114"/>
      <c r="F46" s="114"/>
      <c r="G46" s="114"/>
      <c r="H46" s="114"/>
      <c r="I46" s="114"/>
      <c r="J46" s="114"/>
      <c r="K46" s="114"/>
      <c r="L46" s="114"/>
      <c r="M46" s="114"/>
      <c r="N46" s="114"/>
      <c r="O46" s="114"/>
      <c r="P46" s="114"/>
      <c r="Q46" s="114"/>
      <c r="T46" s="114"/>
      <c r="U46" s="114"/>
      <c r="V46" s="114"/>
      <c r="W46" s="114"/>
    </row>
    <row r="47" spans="2:23" s="64" customFormat="1" x14ac:dyDescent="0.3">
      <c r="B47" s="114"/>
      <c r="C47" s="114"/>
      <c r="D47" s="115"/>
      <c r="E47" s="114"/>
      <c r="F47" s="114"/>
      <c r="G47" s="114"/>
      <c r="H47" s="114"/>
      <c r="I47" s="114"/>
      <c r="J47" s="114"/>
      <c r="K47" s="114"/>
      <c r="L47" s="114"/>
      <c r="M47" s="114"/>
      <c r="N47" s="114"/>
      <c r="O47" s="114"/>
      <c r="P47" s="114"/>
      <c r="Q47" s="114"/>
      <c r="T47" s="114"/>
      <c r="U47" s="114"/>
      <c r="V47" s="114"/>
      <c r="W47" s="114"/>
    </row>
    <row r="48" spans="2:23" s="64" customFormat="1" x14ac:dyDescent="0.3">
      <c r="B48" s="114"/>
      <c r="C48" s="114"/>
      <c r="D48" s="115"/>
      <c r="E48" s="114"/>
      <c r="F48" s="114"/>
      <c r="G48" s="114"/>
      <c r="H48" s="114"/>
      <c r="I48" s="114"/>
      <c r="L48" s="114"/>
      <c r="M48" s="114"/>
      <c r="N48" s="114"/>
      <c r="O48" s="114"/>
      <c r="P48" s="114"/>
      <c r="Q48" s="114"/>
      <c r="T48" s="114"/>
      <c r="U48" s="114"/>
      <c r="V48" s="114"/>
      <c r="W48" s="114"/>
    </row>
    <row r="49" spans="2:23" s="64" customFormat="1" x14ac:dyDescent="0.3">
      <c r="B49" s="114"/>
      <c r="C49" s="114"/>
      <c r="D49" s="115"/>
      <c r="E49" s="114"/>
      <c r="F49" s="114"/>
      <c r="G49" s="114"/>
      <c r="H49" s="114"/>
      <c r="I49" s="114"/>
      <c r="L49" s="114"/>
      <c r="M49" s="114"/>
      <c r="P49" s="114"/>
      <c r="Q49" s="114"/>
      <c r="T49" s="114"/>
      <c r="U49" s="114"/>
      <c r="V49" s="114"/>
      <c r="W49" s="114"/>
    </row>
    <row r="50" spans="2:23" s="64" customFormat="1" x14ac:dyDescent="0.3">
      <c r="B50" s="114"/>
      <c r="C50" s="114"/>
      <c r="D50" s="115"/>
      <c r="E50" s="114"/>
      <c r="F50" s="114"/>
      <c r="G50" s="114"/>
      <c r="H50" s="114"/>
      <c r="I50" s="114"/>
      <c r="L50" s="114"/>
      <c r="M50" s="114"/>
      <c r="P50" s="114"/>
      <c r="Q50" s="114"/>
      <c r="T50" s="114"/>
      <c r="U50" s="114"/>
      <c r="V50" s="114"/>
      <c r="W50" s="114"/>
    </row>
    <row r="51" spans="2:23" s="64" customFormat="1" x14ac:dyDescent="0.3">
      <c r="D51" s="115"/>
      <c r="E51" s="114"/>
      <c r="P51" s="114"/>
      <c r="Q51" s="114"/>
      <c r="T51" s="114"/>
      <c r="U51" s="114"/>
      <c r="V51" s="114"/>
      <c r="W51" s="114"/>
    </row>
    <row r="52" spans="2:23" x14ac:dyDescent="0.3">
      <c r="G52" s="64"/>
      <c r="H52" s="64"/>
      <c r="I52" s="64"/>
      <c r="J52" s="64"/>
      <c r="N52" s="64"/>
      <c r="O52" s="64"/>
      <c r="V52" s="64"/>
      <c r="W52" s="64"/>
    </row>
    <row r="53" spans="2:23" x14ac:dyDescent="0.3">
      <c r="G53" s="64"/>
      <c r="H53" s="64"/>
      <c r="I53" s="64"/>
      <c r="J53" s="64"/>
      <c r="V53" s="64"/>
      <c r="W53" s="64"/>
    </row>
    <row r="54" spans="2:23" x14ac:dyDescent="0.3">
      <c r="G54" s="64"/>
      <c r="H54" s="64"/>
      <c r="I54" s="64"/>
      <c r="J54" s="64"/>
      <c r="V54" s="64"/>
      <c r="W54" s="64"/>
    </row>
    <row r="55" spans="2:23" x14ac:dyDescent="0.3">
      <c r="D55" s="138"/>
      <c r="E55" s="64"/>
      <c r="G55" s="64"/>
      <c r="H55" s="64"/>
      <c r="I55" s="64"/>
      <c r="J55" s="64"/>
      <c r="V55" s="64"/>
      <c r="W55" s="64"/>
    </row>
    <row r="56" spans="2:23" x14ac:dyDescent="0.3">
      <c r="D56" s="138"/>
      <c r="E56" s="64"/>
      <c r="G56" s="64"/>
      <c r="H56" s="64"/>
      <c r="I56" s="64"/>
      <c r="J56" s="64"/>
      <c r="V56" s="64"/>
      <c r="W56" s="64"/>
    </row>
    <row r="57" spans="2:23" x14ac:dyDescent="0.3">
      <c r="V57" s="64"/>
      <c r="W57" s="64"/>
    </row>
    <row r="58" spans="2:23" x14ac:dyDescent="0.3">
      <c r="V58" s="64"/>
      <c r="W58" s="64"/>
    </row>
    <row r="59" spans="2:23" x14ac:dyDescent="0.3">
      <c r="V59" s="64"/>
      <c r="W59" s="64"/>
    </row>
    <row r="60" spans="2:23" x14ac:dyDescent="0.3">
      <c r="V60" s="64"/>
      <c r="W60" s="64"/>
    </row>
    <row r="61" spans="2:23" x14ac:dyDescent="0.3">
      <c r="V61" s="64"/>
      <c r="W61" s="64"/>
    </row>
    <row r="62" spans="2:23" x14ac:dyDescent="0.3">
      <c r="V62" s="64"/>
      <c r="W62" s="64"/>
    </row>
    <row r="63" spans="2:23" x14ac:dyDescent="0.3">
      <c r="V63" s="64"/>
      <c r="W63" s="64"/>
    </row>
    <row r="64" spans="2:23" x14ac:dyDescent="0.3">
      <c r="V64" s="64"/>
      <c r="W64" s="64"/>
    </row>
    <row r="65" spans="22:23" x14ac:dyDescent="0.3">
      <c r="V65" s="64"/>
      <c r="W65" s="64"/>
    </row>
    <row r="66" spans="22:23" x14ac:dyDescent="0.3">
      <c r="V66" s="64"/>
      <c r="W66" s="64"/>
    </row>
    <row r="67" spans="22:23" x14ac:dyDescent="0.3">
      <c r="V67" s="64"/>
      <c r="W67" s="64"/>
    </row>
  </sheetData>
  <mergeCells count="26">
    <mergeCell ref="D24:P24"/>
    <mergeCell ref="U3:V3"/>
    <mergeCell ref="W3:X3"/>
    <mergeCell ref="E7:V7"/>
    <mergeCell ref="E8:F8"/>
    <mergeCell ref="G8:H8"/>
    <mergeCell ref="I8:J8"/>
    <mergeCell ref="K8:L8"/>
    <mergeCell ref="M8:N8"/>
    <mergeCell ref="O8:P8"/>
    <mergeCell ref="Q8:R8"/>
    <mergeCell ref="S8:T8"/>
    <mergeCell ref="U8:V8"/>
    <mergeCell ref="E13:F13"/>
    <mergeCell ref="G13:H13"/>
    <mergeCell ref="I13:J13"/>
    <mergeCell ref="E2:X2"/>
    <mergeCell ref="B3:C3"/>
    <mergeCell ref="E3:F3"/>
    <mergeCell ref="G3:H3"/>
    <mergeCell ref="I3:J3"/>
    <mergeCell ref="K3:L3"/>
    <mergeCell ref="M3:N3"/>
    <mergeCell ref="O3:P3"/>
    <mergeCell ref="Q3:R3"/>
    <mergeCell ref="S3:T3"/>
  </mergeCells>
  <pageMargins left="0.70866141732283472" right="0.70866141732283472" top="0.74803149606299213" bottom="0.74803149606299213" header="0.31496062992125984" footer="0.31496062992125984"/>
  <pageSetup paperSize="41" scale="47" fitToHeight="100" orientation="landscape" r:id="rId1"/>
  <rowBreaks count="1" manualBreakCount="1">
    <brk id="54" max="24"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dimension ref="A1:F10"/>
  <sheetViews>
    <sheetView workbookViewId="0">
      <selection activeCell="C12" sqref="C12"/>
    </sheetView>
  </sheetViews>
  <sheetFormatPr baseColWidth="10" defaultRowHeight="14.4" x14ac:dyDescent="0.3"/>
  <cols>
    <col min="1" max="1" width="10" bestFit="1" customWidth="1"/>
    <col min="2" max="2" width="14.88671875" bestFit="1" customWidth="1"/>
    <col min="3" max="3" width="42.5546875" bestFit="1" customWidth="1"/>
    <col min="4" max="4" width="17.88671875" bestFit="1" customWidth="1"/>
    <col min="5" max="5" width="16.88671875" bestFit="1" customWidth="1"/>
    <col min="6" max="6" width="33.5546875" style="15" bestFit="1" customWidth="1"/>
  </cols>
  <sheetData>
    <row r="1" spans="1:6" x14ac:dyDescent="0.3">
      <c r="A1" s="28" t="s">
        <v>1177</v>
      </c>
      <c r="B1" s="28" t="s">
        <v>1178</v>
      </c>
      <c r="C1" t="s">
        <v>1182</v>
      </c>
      <c r="D1" t="s">
        <v>1183</v>
      </c>
      <c r="E1" t="s">
        <v>1179</v>
      </c>
      <c r="F1" s="15" t="s">
        <v>2691</v>
      </c>
    </row>
    <row r="2" spans="1:6" x14ac:dyDescent="0.3">
      <c r="A2" s="28" t="s">
        <v>577</v>
      </c>
      <c r="B2" s="28" t="s">
        <v>1180</v>
      </c>
      <c r="C2" s="28" t="s">
        <v>1396</v>
      </c>
      <c r="D2" s="28" t="s">
        <v>1184</v>
      </c>
      <c r="E2" t="s">
        <v>1181</v>
      </c>
      <c r="F2" s="15">
        <f>COUNTIF(MatrizIngreso[CODIGO],F1)</f>
        <v>1</v>
      </c>
    </row>
    <row r="3" spans="1:6" x14ac:dyDescent="0.3">
      <c r="A3" s="28" t="s">
        <v>496</v>
      </c>
      <c r="B3" s="28" t="s">
        <v>1525</v>
      </c>
      <c r="C3" s="28" t="s">
        <v>1526</v>
      </c>
      <c r="D3" s="28" t="s">
        <v>218</v>
      </c>
      <c r="F3" s="15" t="str">
        <f>IFERROR(VLOOKUP(F1,MatrizIngreso[],2,FALSE),23)</f>
        <v>9766</v>
      </c>
    </row>
    <row r="4" spans="1:6" x14ac:dyDescent="0.3">
      <c r="A4" s="28" t="s">
        <v>676</v>
      </c>
      <c r="B4" s="28" t="s">
        <v>1680</v>
      </c>
      <c r="C4" s="28" t="s">
        <v>1681</v>
      </c>
      <c r="D4" s="28" t="s">
        <v>218</v>
      </c>
      <c r="F4" s="15" t="str">
        <f>IFERROR(VLOOKUP(F1,MatrizIngreso[],3,FALSE)&amp;" - "&amp;VLOOKUP(F1,MatrizIngreso[],4,FALSE),"No encontrado")</f>
        <v>SGTO 2DO. CARLOS SANTIBAÑEZ SERRANO - OF. OPERACIONES</v>
      </c>
    </row>
    <row r="5" spans="1:6" x14ac:dyDescent="0.3">
      <c r="A5" s="28" t="s">
        <v>406</v>
      </c>
      <c r="B5" s="28" t="s">
        <v>1218</v>
      </c>
      <c r="C5" s="28" t="s">
        <v>1219</v>
      </c>
      <c r="D5" s="28" t="s">
        <v>1217</v>
      </c>
    </row>
    <row r="6" spans="1:6" x14ac:dyDescent="0.3">
      <c r="A6" s="28" t="s">
        <v>557</v>
      </c>
      <c r="B6" s="28" t="s">
        <v>1414</v>
      </c>
      <c r="C6" s="28" t="s">
        <v>1413</v>
      </c>
      <c r="D6" s="28" t="s">
        <v>218</v>
      </c>
    </row>
    <row r="7" spans="1:6" x14ac:dyDescent="0.3">
      <c r="A7" s="28" t="s">
        <v>597</v>
      </c>
      <c r="B7" s="28" t="s">
        <v>1216</v>
      </c>
      <c r="C7" s="28" t="s">
        <v>1215</v>
      </c>
      <c r="D7" s="28" t="s">
        <v>1217</v>
      </c>
    </row>
    <row r="8" spans="1:6" x14ac:dyDescent="0.3">
      <c r="A8" s="28" t="s">
        <v>1231</v>
      </c>
      <c r="B8" s="28" t="s">
        <v>1232</v>
      </c>
      <c r="C8" s="28" t="s">
        <v>1230</v>
      </c>
      <c r="D8" s="28" t="s">
        <v>1229</v>
      </c>
    </row>
    <row r="9" spans="1:6" x14ac:dyDescent="0.3">
      <c r="A9" s="28" t="s">
        <v>2027</v>
      </c>
      <c r="B9" s="28" t="s">
        <v>2351</v>
      </c>
      <c r="C9" s="28" t="s">
        <v>2350</v>
      </c>
      <c r="D9" s="28" t="s">
        <v>218</v>
      </c>
    </row>
    <row r="10" spans="1:6" x14ac:dyDescent="0.3">
      <c r="A10" s="28" t="s">
        <v>2691</v>
      </c>
      <c r="B10" s="28" t="s">
        <v>2903</v>
      </c>
      <c r="C10" s="28" t="s">
        <v>2902</v>
      </c>
      <c r="D10" s="28" t="s">
        <v>218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0"/>
  <dimension ref="A1"/>
  <sheetViews>
    <sheetView topLeftCell="A4" workbookViewId="0">
      <selection activeCell="AB2" sqref="AB2"/>
    </sheetView>
  </sheetViews>
  <sheetFormatPr baseColWidth="10" defaultRowHeight="14.4" x14ac:dyDescent="0.3"/>
  <sheetData/>
  <sheetProtection algorithmName="SHA-512" hashValue="kwpEClD2+xDvZQfVlXPSZ4fgVS2HzRXne86deZoJDw+WSCEaWzPMpkq1yxuAqF6Chd/uaX1nZ3rYn9lJfBLcvQ==" saltValue="/4Eh1B3fmYYVIUP82WjeKg==" spinCount="100000" sheet="1" objects="1" scenarios="1" selectLockedCells="1" selectUnlockedCells="1"/>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Ingresar">
                <anchor>
                  <from>
                    <xdr:col>2</xdr:col>
                    <xdr:colOff>76200</xdr:colOff>
                    <xdr:row>13</xdr:row>
                    <xdr:rowOff>137160</xdr:rowOff>
                  </from>
                  <to>
                    <xdr:col>7</xdr:col>
                    <xdr:colOff>784860</xdr:colOff>
                    <xdr:row>18</xdr:row>
                    <xdr:rowOff>137160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dimension ref="A1:AN721"/>
  <sheetViews>
    <sheetView topLeftCell="A28" zoomScaleNormal="100" workbookViewId="0">
      <selection activeCell="D120" sqref="D120"/>
    </sheetView>
  </sheetViews>
  <sheetFormatPr baseColWidth="10" defaultRowHeight="14.4" x14ac:dyDescent="0.3"/>
  <cols>
    <col min="1" max="1" width="10.33203125" bestFit="1" customWidth="1"/>
    <col min="2" max="2" width="8.6640625" bestFit="1" customWidth="1"/>
    <col min="3" max="3" width="12.5546875" bestFit="1" customWidth="1"/>
    <col min="4" max="4" width="12.5546875" customWidth="1"/>
    <col min="5" max="5" width="17.5546875" bestFit="1" customWidth="1"/>
    <col min="6" max="6" width="11" bestFit="1" customWidth="1"/>
    <col min="7" max="8" width="11.109375" bestFit="1" customWidth="1"/>
    <col min="9" max="9" width="11" bestFit="1" customWidth="1"/>
    <col min="10" max="10" width="48.5546875" bestFit="1" customWidth="1"/>
    <col min="11" max="11" width="9.33203125" bestFit="1" customWidth="1"/>
    <col min="12" max="12" width="7" bestFit="1" customWidth="1"/>
    <col min="13" max="13" width="12.33203125" bestFit="1" customWidth="1"/>
    <col min="14" max="14" width="13.6640625" bestFit="1" customWidth="1"/>
    <col min="15" max="15" width="12.6640625" bestFit="1" customWidth="1"/>
    <col min="16" max="18" width="8.33203125" bestFit="1" customWidth="1"/>
    <col min="19" max="19" width="8.33203125" customWidth="1"/>
    <col min="20" max="20" width="48.5546875" bestFit="1" customWidth="1"/>
    <col min="21" max="21" width="3" style="1" bestFit="1" customWidth="1"/>
    <col min="22" max="22" width="2" style="717" bestFit="1" customWidth="1"/>
    <col min="23" max="23" width="4" style="139" bestFit="1" customWidth="1"/>
    <col min="24" max="24" width="48.5546875" bestFit="1" customWidth="1"/>
    <col min="25" max="25" width="21.33203125" bestFit="1" customWidth="1"/>
    <col min="26" max="26" width="24.88671875" bestFit="1" customWidth="1"/>
    <col min="28" max="28" width="16.109375" bestFit="1" customWidth="1"/>
    <col min="29" max="31" width="18.33203125" bestFit="1" customWidth="1"/>
    <col min="39" max="39" width="16.5546875" bestFit="1" customWidth="1"/>
    <col min="40" max="40" width="18.5546875" bestFit="1" customWidth="1"/>
  </cols>
  <sheetData>
    <row r="1" spans="1:40" x14ac:dyDescent="0.3">
      <c r="A1" s="4" t="s">
        <v>877</v>
      </c>
      <c r="B1" t="s">
        <v>888</v>
      </c>
      <c r="C1" s="6" t="s">
        <v>835</v>
      </c>
      <c r="D1" s="6"/>
      <c r="E1" s="6" t="s">
        <v>1190</v>
      </c>
      <c r="F1" s="1265" t="s">
        <v>899</v>
      </c>
      <c r="G1" s="1265"/>
      <c r="H1" s="1266" t="s">
        <v>912</v>
      </c>
      <c r="I1" s="1266"/>
      <c r="J1" s="1267" t="s">
        <v>913</v>
      </c>
      <c r="K1" s="1267"/>
      <c r="L1" s="10" t="s">
        <v>839</v>
      </c>
      <c r="M1" s="1269" t="s">
        <v>852</v>
      </c>
      <c r="N1" s="1269"/>
      <c r="O1" s="1263" t="s">
        <v>867</v>
      </c>
      <c r="P1" s="1263"/>
      <c r="Q1" s="1268" t="s">
        <v>869</v>
      </c>
      <c r="R1" s="1268"/>
      <c r="S1" s="40"/>
      <c r="T1" s="1264" t="s">
        <v>875</v>
      </c>
      <c r="U1" s="1264"/>
      <c r="X1" s="16" t="s">
        <v>1412</v>
      </c>
      <c r="Z1" t="s">
        <v>1175</v>
      </c>
      <c r="AA1" t="s">
        <v>1194</v>
      </c>
      <c r="AB1" s="1262" t="s">
        <v>1546</v>
      </c>
      <c r="AC1" s="1262"/>
      <c r="AD1" s="1262"/>
      <c r="AE1" s="1262"/>
      <c r="AI1" t="s">
        <v>2322</v>
      </c>
      <c r="AM1" s="63" t="s">
        <v>870</v>
      </c>
      <c r="AN1" t="s">
        <v>1403</v>
      </c>
    </row>
    <row r="2" spans="1:40" x14ac:dyDescent="0.3">
      <c r="AM2" s="63" t="s">
        <v>837</v>
      </c>
      <c r="AN2" t="s">
        <v>1403</v>
      </c>
    </row>
    <row r="3" spans="1:40" x14ac:dyDescent="0.3">
      <c r="A3" s="5"/>
      <c r="B3" t="s">
        <v>891</v>
      </c>
      <c r="C3" s="7" t="s">
        <v>120</v>
      </c>
      <c r="D3" s="7">
        <v>1</v>
      </c>
      <c r="E3" s="7" t="s">
        <v>871</v>
      </c>
      <c r="F3" s="8" t="s">
        <v>819</v>
      </c>
      <c r="G3" s="8" t="s">
        <v>1990</v>
      </c>
      <c r="H3" s="3" t="s">
        <v>1990</v>
      </c>
      <c r="I3" s="3" t="s">
        <v>819</v>
      </c>
      <c r="J3" s="9" t="s">
        <v>1398</v>
      </c>
      <c r="K3" s="9" t="s">
        <v>962</v>
      </c>
      <c r="L3" s="11"/>
      <c r="M3" t="s">
        <v>944</v>
      </c>
      <c r="N3" t="s">
        <v>1084</v>
      </c>
      <c r="O3" s="14" t="s">
        <v>759</v>
      </c>
      <c r="P3" s="14" t="s">
        <v>67</v>
      </c>
      <c r="Q3" t="s">
        <v>918</v>
      </c>
      <c r="R3" t="s">
        <v>832</v>
      </c>
      <c r="S3">
        <v>1</v>
      </c>
      <c r="T3" t="s">
        <v>819</v>
      </c>
      <c r="U3" s="1">
        <v>0</v>
      </c>
      <c r="W3" s="140">
        <v>1</v>
      </c>
      <c r="X3" t="s">
        <v>697</v>
      </c>
      <c r="Z3" s="16" t="s">
        <v>2649</v>
      </c>
      <c r="AA3" t="s">
        <v>816</v>
      </c>
      <c r="AB3" t="s">
        <v>1542</v>
      </c>
      <c r="AC3" t="s">
        <v>714</v>
      </c>
      <c r="AD3" t="s">
        <v>726</v>
      </c>
      <c r="AE3" t="s">
        <v>713</v>
      </c>
      <c r="AF3" t="s">
        <v>194</v>
      </c>
      <c r="AI3" t="s">
        <v>1994</v>
      </c>
      <c r="AJ3" t="s">
        <v>781</v>
      </c>
    </row>
    <row r="4" spans="1:40" x14ac:dyDescent="0.3">
      <c r="A4" s="5"/>
      <c r="B4" t="s">
        <v>1003</v>
      </c>
      <c r="C4" s="7" t="s">
        <v>119</v>
      </c>
      <c r="D4" s="7">
        <v>2</v>
      </c>
      <c r="E4" s="7" t="s">
        <v>872</v>
      </c>
      <c r="F4" s="8" t="s">
        <v>694</v>
      </c>
      <c r="G4" s="8" t="s">
        <v>1991</v>
      </c>
      <c r="H4" s="3" t="s">
        <v>1991</v>
      </c>
      <c r="I4" s="3" t="s">
        <v>694</v>
      </c>
      <c r="J4" s="9" t="s">
        <v>13</v>
      </c>
      <c r="K4" s="9" t="s">
        <v>885</v>
      </c>
      <c r="L4" s="12">
        <v>0.25</v>
      </c>
      <c r="M4" t="s">
        <v>853</v>
      </c>
      <c r="N4" t="s">
        <v>1084</v>
      </c>
      <c r="O4" s="14" t="s">
        <v>760</v>
      </c>
      <c r="P4" s="14" t="s">
        <v>66</v>
      </c>
      <c r="Q4" t="s">
        <v>917</v>
      </c>
      <c r="R4" t="s">
        <v>832</v>
      </c>
      <c r="S4">
        <v>1</v>
      </c>
      <c r="T4" t="s">
        <v>1990</v>
      </c>
      <c r="U4" s="1">
        <v>0</v>
      </c>
      <c r="W4" s="140">
        <v>2</v>
      </c>
      <c r="X4" t="s">
        <v>901</v>
      </c>
      <c r="Z4" s="16" t="s">
        <v>1650</v>
      </c>
      <c r="AA4" t="s">
        <v>817</v>
      </c>
      <c r="AB4" t="s">
        <v>1543</v>
      </c>
      <c r="AC4" t="s">
        <v>740</v>
      </c>
      <c r="AD4" t="s">
        <v>702</v>
      </c>
      <c r="AE4" t="s">
        <v>742</v>
      </c>
      <c r="AF4" t="s">
        <v>113</v>
      </c>
      <c r="AI4" t="s">
        <v>1996</v>
      </c>
      <c r="AJ4" t="s">
        <v>710</v>
      </c>
      <c r="AM4" s="63" t="s">
        <v>914</v>
      </c>
      <c r="AN4" t="s">
        <v>1963</v>
      </c>
    </row>
    <row r="5" spans="1:40" x14ac:dyDescent="0.3">
      <c r="A5" s="5"/>
      <c r="B5" s="5" t="s">
        <v>1408</v>
      </c>
      <c r="C5" s="7" t="s">
        <v>1650</v>
      </c>
      <c r="D5" s="7">
        <v>3</v>
      </c>
      <c r="E5" t="s">
        <v>874</v>
      </c>
      <c r="F5" s="8" t="s">
        <v>695</v>
      </c>
      <c r="G5" s="8" t="s">
        <v>1992</v>
      </c>
      <c r="H5" s="3" t="s">
        <v>1992</v>
      </c>
      <c r="I5" s="3" t="s">
        <v>695</v>
      </c>
      <c r="J5" s="9" t="s">
        <v>936</v>
      </c>
      <c r="K5" s="9" t="s">
        <v>855</v>
      </c>
      <c r="L5" s="12">
        <v>0.26041666666666669</v>
      </c>
      <c r="M5" t="s">
        <v>2</v>
      </c>
      <c r="N5" t="s">
        <v>1084</v>
      </c>
      <c r="O5" s="14" t="s">
        <v>761</v>
      </c>
      <c r="P5" s="14" t="s">
        <v>194</v>
      </c>
      <c r="Q5" t="s">
        <v>833</v>
      </c>
      <c r="R5" t="s">
        <v>833</v>
      </c>
      <c r="S5">
        <v>2</v>
      </c>
      <c r="T5" t="s">
        <v>694</v>
      </c>
      <c r="U5" s="1">
        <v>1</v>
      </c>
      <c r="W5" s="140">
        <v>3</v>
      </c>
      <c r="X5" t="s">
        <v>902</v>
      </c>
      <c r="Z5" s="16" t="s">
        <v>1934</v>
      </c>
      <c r="AB5" t="s">
        <v>1544</v>
      </c>
      <c r="AC5" t="s">
        <v>712</v>
      </c>
      <c r="AD5" t="s">
        <v>701</v>
      </c>
      <c r="AE5" t="s">
        <v>704</v>
      </c>
      <c r="AF5" t="s">
        <v>195</v>
      </c>
      <c r="AI5" t="s">
        <v>1997</v>
      </c>
      <c r="AJ5" t="s">
        <v>698</v>
      </c>
      <c r="AM5" s="1" t="s">
        <v>1650</v>
      </c>
      <c r="AN5" s="1319">
        <v>2</v>
      </c>
    </row>
    <row r="6" spans="1:40" x14ac:dyDescent="0.3">
      <c r="A6" s="5"/>
      <c r="B6" t="s">
        <v>1004</v>
      </c>
      <c r="C6" s="7" t="s">
        <v>672</v>
      </c>
      <c r="D6" s="7">
        <v>4</v>
      </c>
      <c r="E6" t="s">
        <v>873</v>
      </c>
      <c r="F6" s="8" t="s">
        <v>696</v>
      </c>
      <c r="G6" s="8" t="s">
        <v>1993</v>
      </c>
      <c r="H6" s="3" t="s">
        <v>1993</v>
      </c>
      <c r="I6" s="3" t="s">
        <v>696</v>
      </c>
      <c r="J6" s="9" t="s">
        <v>259</v>
      </c>
      <c r="K6" s="9" t="s">
        <v>1074</v>
      </c>
      <c r="L6" s="12">
        <v>0.27083333333333331</v>
      </c>
      <c r="M6" t="s">
        <v>945</v>
      </c>
      <c r="N6" t="s">
        <v>1084</v>
      </c>
      <c r="O6" s="14" t="s">
        <v>762</v>
      </c>
      <c r="P6" s="14" t="s">
        <v>113</v>
      </c>
      <c r="Q6" t="s">
        <v>836</v>
      </c>
      <c r="R6" t="s">
        <v>836</v>
      </c>
      <c r="S6">
        <v>3</v>
      </c>
      <c r="T6" t="s">
        <v>1991</v>
      </c>
      <c r="U6" s="1">
        <v>1</v>
      </c>
      <c r="W6" s="140">
        <v>4</v>
      </c>
      <c r="X6" t="s">
        <v>1398</v>
      </c>
      <c r="AB6" t="s">
        <v>1452</v>
      </c>
      <c r="AC6" t="s">
        <v>750</v>
      </c>
      <c r="AD6" t="s">
        <v>715</v>
      </c>
      <c r="AE6" t="s">
        <v>711</v>
      </c>
      <c r="AF6" t="s">
        <v>196</v>
      </c>
      <c r="AI6" t="s">
        <v>1998</v>
      </c>
      <c r="AJ6" t="s">
        <v>699</v>
      </c>
      <c r="AM6" s="1" t="s">
        <v>672</v>
      </c>
      <c r="AN6" s="1319">
        <v>4</v>
      </c>
    </row>
    <row r="7" spans="1:40" x14ac:dyDescent="0.3">
      <c r="A7" s="5"/>
      <c r="B7" t="s">
        <v>1005</v>
      </c>
      <c r="C7" s="7" t="s">
        <v>10</v>
      </c>
      <c r="D7" s="7">
        <v>5</v>
      </c>
      <c r="F7" s="8" t="s">
        <v>781</v>
      </c>
      <c r="G7" s="8" t="s">
        <v>1994</v>
      </c>
      <c r="H7" s="3" t="s">
        <v>1994</v>
      </c>
      <c r="I7" s="3" t="s">
        <v>781</v>
      </c>
      <c r="J7" s="9" t="s">
        <v>807</v>
      </c>
      <c r="K7" s="9" t="s">
        <v>909</v>
      </c>
      <c r="L7" s="12">
        <v>0.28125</v>
      </c>
      <c r="M7" t="s">
        <v>854</v>
      </c>
      <c r="N7" t="s">
        <v>1084</v>
      </c>
      <c r="O7" s="14" t="s">
        <v>763</v>
      </c>
      <c r="P7" s="14" t="s">
        <v>195</v>
      </c>
      <c r="Q7" t="s">
        <v>834</v>
      </c>
      <c r="R7" t="s">
        <v>834</v>
      </c>
      <c r="S7">
        <v>4</v>
      </c>
      <c r="T7" t="s">
        <v>695</v>
      </c>
      <c r="U7" s="1">
        <v>2</v>
      </c>
      <c r="W7" s="140">
        <v>5</v>
      </c>
      <c r="X7" t="s">
        <v>718</v>
      </c>
      <c r="AB7" t="s">
        <v>1545</v>
      </c>
      <c r="AC7" t="s">
        <v>700</v>
      </c>
      <c r="AD7" t="s">
        <v>716</v>
      </c>
      <c r="AE7" t="s">
        <v>752</v>
      </c>
      <c r="AF7" t="s">
        <v>197</v>
      </c>
      <c r="AI7" t="s">
        <v>1990</v>
      </c>
      <c r="AJ7" t="s">
        <v>819</v>
      </c>
      <c r="AM7" s="1" t="s">
        <v>10</v>
      </c>
      <c r="AN7" s="1319">
        <v>13</v>
      </c>
    </row>
    <row r="8" spans="1:40" x14ac:dyDescent="0.3">
      <c r="A8" s="5"/>
      <c r="B8" t="s">
        <v>1006</v>
      </c>
      <c r="C8" s="7" t="s">
        <v>230</v>
      </c>
      <c r="D8" s="7">
        <v>6</v>
      </c>
      <c r="F8" s="8" t="s">
        <v>709</v>
      </c>
      <c r="G8" s="8" t="s">
        <v>1995</v>
      </c>
      <c r="H8" s="3" t="s">
        <v>1995</v>
      </c>
      <c r="I8" s="3" t="s">
        <v>709</v>
      </c>
      <c r="J8" s="9" t="s">
        <v>910</v>
      </c>
      <c r="K8" s="9" t="s">
        <v>909</v>
      </c>
      <c r="L8" s="12">
        <v>0.29166666666666702</v>
      </c>
      <c r="M8" t="s">
        <v>1</v>
      </c>
      <c r="N8" t="s">
        <v>1084</v>
      </c>
      <c r="O8" s="14" t="s">
        <v>764</v>
      </c>
      <c r="P8" s="14" t="s">
        <v>196</v>
      </c>
      <c r="Q8" t="s">
        <v>2164</v>
      </c>
      <c r="R8" t="s">
        <v>2164</v>
      </c>
      <c r="S8">
        <v>6</v>
      </c>
      <c r="T8" t="s">
        <v>1992</v>
      </c>
      <c r="U8" s="1">
        <v>2</v>
      </c>
      <c r="W8" s="140">
        <v>6</v>
      </c>
      <c r="X8" t="s">
        <v>639</v>
      </c>
      <c r="AB8" t="s">
        <v>2013</v>
      </c>
      <c r="AC8" t="s">
        <v>731</v>
      </c>
      <c r="AD8" t="s">
        <v>717</v>
      </c>
      <c r="AE8" t="s">
        <v>703</v>
      </c>
      <c r="AF8" t="s">
        <v>198</v>
      </c>
      <c r="AI8" t="s">
        <v>1991</v>
      </c>
      <c r="AJ8" t="s">
        <v>694</v>
      </c>
      <c r="AM8" s="1" t="s">
        <v>11</v>
      </c>
      <c r="AN8" s="1319">
        <v>9</v>
      </c>
    </row>
    <row r="9" spans="1:40" x14ac:dyDescent="0.3">
      <c r="A9" s="5"/>
      <c r="B9" t="s">
        <v>1007</v>
      </c>
      <c r="C9" s="7" t="s">
        <v>11</v>
      </c>
      <c r="D9" s="7">
        <v>7</v>
      </c>
      <c r="F9" s="8" t="s">
        <v>710</v>
      </c>
      <c r="G9" s="8" t="s">
        <v>1996</v>
      </c>
      <c r="H9" s="3" t="s">
        <v>1996</v>
      </c>
      <c r="I9" s="3" t="s">
        <v>710</v>
      </c>
      <c r="J9" s="9" t="s">
        <v>808</v>
      </c>
      <c r="K9" s="9" t="s">
        <v>909</v>
      </c>
      <c r="L9" s="12">
        <v>0.30208333333333298</v>
      </c>
      <c r="M9" t="s">
        <v>6</v>
      </c>
      <c r="N9" t="s">
        <v>1084</v>
      </c>
      <c r="O9" s="14" t="s">
        <v>862</v>
      </c>
      <c r="P9" s="14" t="s">
        <v>197</v>
      </c>
      <c r="Q9" t="s">
        <v>818</v>
      </c>
      <c r="R9" t="s">
        <v>818</v>
      </c>
      <c r="S9">
        <v>5</v>
      </c>
      <c r="T9" t="s">
        <v>696</v>
      </c>
      <c r="U9" s="1">
        <v>3</v>
      </c>
      <c r="W9" s="140">
        <v>7</v>
      </c>
      <c r="X9" t="s">
        <v>203</v>
      </c>
      <c r="AB9" t="s">
        <v>2014</v>
      </c>
      <c r="AC9" t="s">
        <v>730</v>
      </c>
      <c r="AD9" t="s">
        <v>757</v>
      </c>
      <c r="AE9" t="s">
        <v>1832</v>
      </c>
      <c r="AF9" t="s">
        <v>769</v>
      </c>
      <c r="AI9" t="s">
        <v>1992</v>
      </c>
      <c r="AJ9" t="s">
        <v>695</v>
      </c>
      <c r="AM9" s="1" t="s">
        <v>17</v>
      </c>
      <c r="AN9" s="1319">
        <v>28</v>
      </c>
    </row>
    <row r="10" spans="1:40" x14ac:dyDescent="0.3">
      <c r="A10" s="5"/>
      <c r="B10" t="s">
        <v>1008</v>
      </c>
      <c r="C10" s="7" t="s">
        <v>17</v>
      </c>
      <c r="D10" s="7">
        <v>8</v>
      </c>
      <c r="F10" s="8" t="s">
        <v>698</v>
      </c>
      <c r="G10" s="8" t="s">
        <v>1997</v>
      </c>
      <c r="H10" s="3" t="s">
        <v>1997</v>
      </c>
      <c r="I10" s="3" t="s">
        <v>698</v>
      </c>
      <c r="J10" s="9" t="s">
        <v>809</v>
      </c>
      <c r="K10" s="9" t="s">
        <v>909</v>
      </c>
      <c r="L10" s="12">
        <v>0.3125</v>
      </c>
      <c r="M10" t="s">
        <v>1075</v>
      </c>
      <c r="N10" t="s">
        <v>1084</v>
      </c>
      <c r="O10" s="14" t="s">
        <v>765</v>
      </c>
      <c r="P10" s="14" t="s">
        <v>198</v>
      </c>
      <c r="T10" t="s">
        <v>1993</v>
      </c>
      <c r="U10" s="1">
        <v>3</v>
      </c>
      <c r="W10" s="140">
        <v>8</v>
      </c>
      <c r="X10" t="s">
        <v>208</v>
      </c>
      <c r="AB10" t="s">
        <v>2046</v>
      </c>
      <c r="AC10" t="s">
        <v>767</v>
      </c>
      <c r="AD10" t="s">
        <v>680</v>
      </c>
      <c r="AE10" t="s">
        <v>754</v>
      </c>
      <c r="AF10" t="s">
        <v>2015</v>
      </c>
      <c r="AI10" t="s">
        <v>1993</v>
      </c>
      <c r="AJ10" t="s">
        <v>696</v>
      </c>
      <c r="AM10" s="1" t="s">
        <v>89</v>
      </c>
      <c r="AN10" s="1319">
        <v>49</v>
      </c>
    </row>
    <row r="11" spans="1:40" x14ac:dyDescent="0.3">
      <c r="A11" s="5"/>
      <c r="B11" t="s">
        <v>1009</v>
      </c>
      <c r="C11" s="7" t="s">
        <v>89</v>
      </c>
      <c r="D11" s="7">
        <v>9</v>
      </c>
      <c r="F11" s="8" t="s">
        <v>699</v>
      </c>
      <c r="G11" s="8" t="s">
        <v>1998</v>
      </c>
      <c r="H11" s="3" t="s">
        <v>1998</v>
      </c>
      <c r="I11" s="3" t="s">
        <v>699</v>
      </c>
      <c r="J11" s="9" t="s">
        <v>810</v>
      </c>
      <c r="K11" s="9" t="s">
        <v>909</v>
      </c>
      <c r="L11" s="12">
        <v>0.32291666666666602</v>
      </c>
      <c r="M11" t="s">
        <v>962</v>
      </c>
      <c r="N11" t="s">
        <v>1084</v>
      </c>
      <c r="O11" s="14" t="s">
        <v>768</v>
      </c>
      <c r="P11" s="14" t="s">
        <v>769</v>
      </c>
      <c r="T11" t="s">
        <v>697</v>
      </c>
      <c r="U11" s="1">
        <v>4</v>
      </c>
      <c r="W11" s="140">
        <v>9</v>
      </c>
      <c r="X11" t="s">
        <v>789</v>
      </c>
      <c r="AB11" t="s">
        <v>1624</v>
      </c>
      <c r="AC11" t="s">
        <v>793</v>
      </c>
      <c r="AD11" t="s">
        <v>794</v>
      </c>
      <c r="AE11" t="s">
        <v>795</v>
      </c>
      <c r="AF11" t="s">
        <v>820</v>
      </c>
      <c r="AI11" t="s">
        <v>719</v>
      </c>
      <c r="AJ11" t="s">
        <v>224</v>
      </c>
      <c r="AM11" s="1" t="s">
        <v>209</v>
      </c>
      <c r="AN11" s="1319">
        <v>92</v>
      </c>
    </row>
    <row r="12" spans="1:40" x14ac:dyDescent="0.3">
      <c r="A12" s="5"/>
      <c r="B12" t="s">
        <v>1010</v>
      </c>
      <c r="C12" s="7" t="s">
        <v>209</v>
      </c>
      <c r="D12" s="7">
        <v>10</v>
      </c>
      <c r="F12" s="8" t="s">
        <v>224</v>
      </c>
      <c r="G12" s="8" t="s">
        <v>719</v>
      </c>
      <c r="H12" s="3" t="s">
        <v>719</v>
      </c>
      <c r="I12" s="3" t="s">
        <v>224</v>
      </c>
      <c r="J12" s="9" t="s">
        <v>798</v>
      </c>
      <c r="K12" s="9" t="s">
        <v>909</v>
      </c>
      <c r="L12" s="12">
        <v>0.33333333333333298</v>
      </c>
      <c r="M12" t="s">
        <v>1234</v>
      </c>
      <c r="N12" t="s">
        <v>1085</v>
      </c>
      <c r="O12" s="14" t="s">
        <v>766</v>
      </c>
      <c r="P12" s="14" t="s">
        <v>767</v>
      </c>
      <c r="T12" t="s">
        <v>203</v>
      </c>
      <c r="U12" s="1">
        <v>1</v>
      </c>
      <c r="W12" s="140">
        <v>10</v>
      </c>
      <c r="X12" t="s">
        <v>781</v>
      </c>
      <c r="AB12" t="s">
        <v>1724</v>
      </c>
      <c r="AC12" t="s">
        <v>708</v>
      </c>
      <c r="AD12" t="s">
        <v>705</v>
      </c>
      <c r="AE12" t="s">
        <v>706</v>
      </c>
      <c r="AF12" t="s">
        <v>707</v>
      </c>
      <c r="AI12" t="s">
        <v>720</v>
      </c>
      <c r="AJ12" t="s">
        <v>241</v>
      </c>
      <c r="AM12" s="1" t="s">
        <v>3</v>
      </c>
      <c r="AN12" s="1319">
        <v>96</v>
      </c>
    </row>
    <row r="13" spans="1:40" x14ac:dyDescent="0.3">
      <c r="A13" s="5"/>
      <c r="B13" t="s">
        <v>1011</v>
      </c>
      <c r="C13" s="7" t="s">
        <v>3</v>
      </c>
      <c r="D13" s="7">
        <v>11</v>
      </c>
      <c r="F13" s="8" t="s">
        <v>241</v>
      </c>
      <c r="G13" s="8" t="s">
        <v>720</v>
      </c>
      <c r="H13" s="3" t="s">
        <v>720</v>
      </c>
      <c r="I13" s="3" t="s">
        <v>241</v>
      </c>
      <c r="J13" s="9" t="s">
        <v>797</v>
      </c>
      <c r="K13" s="9" t="s">
        <v>909</v>
      </c>
      <c r="L13" s="12">
        <v>0.34375</v>
      </c>
      <c r="M13" t="s">
        <v>883</v>
      </c>
      <c r="N13" t="s">
        <v>1084</v>
      </c>
      <c r="O13" s="14" t="s">
        <v>863</v>
      </c>
      <c r="P13" s="14" t="s">
        <v>680</v>
      </c>
      <c r="T13" t="s">
        <v>784</v>
      </c>
      <c r="U13" s="1">
        <v>2</v>
      </c>
      <c r="W13" s="140">
        <v>11</v>
      </c>
      <c r="X13" t="s">
        <v>710</v>
      </c>
      <c r="AB13" t="s">
        <v>1725</v>
      </c>
      <c r="AC13" t="s">
        <v>821</v>
      </c>
      <c r="AD13" t="s">
        <v>822</v>
      </c>
      <c r="AE13" t="s">
        <v>823</v>
      </c>
      <c r="AF13" t="s">
        <v>824</v>
      </c>
      <c r="AI13" t="s">
        <v>721</v>
      </c>
      <c r="AJ13" t="s">
        <v>251</v>
      </c>
      <c r="AM13" s="1" t="s">
        <v>4</v>
      </c>
      <c r="AN13" s="1319">
        <v>135</v>
      </c>
    </row>
    <row r="14" spans="1:40" x14ac:dyDescent="0.3">
      <c r="A14" s="5"/>
      <c r="B14" t="s">
        <v>1012</v>
      </c>
      <c r="C14" s="7" t="s">
        <v>4</v>
      </c>
      <c r="D14" s="7">
        <v>12</v>
      </c>
      <c r="F14" s="8" t="s">
        <v>251</v>
      </c>
      <c r="G14" s="8" t="s">
        <v>721</v>
      </c>
      <c r="H14" s="3" t="s">
        <v>721</v>
      </c>
      <c r="I14" s="3" t="s">
        <v>251</v>
      </c>
      <c r="J14" s="9" t="s">
        <v>799</v>
      </c>
      <c r="K14" s="9" t="s">
        <v>909</v>
      </c>
      <c r="L14" s="12">
        <v>0.35416666666666602</v>
      </c>
      <c r="M14" t="s">
        <v>855</v>
      </c>
      <c r="N14" t="s">
        <v>1084</v>
      </c>
      <c r="O14" s="14" t="s">
        <v>864</v>
      </c>
      <c r="P14" s="14" t="s">
        <v>754</v>
      </c>
      <c r="T14" t="s">
        <v>208</v>
      </c>
      <c r="U14" s="1">
        <v>3</v>
      </c>
      <c r="W14" s="140">
        <v>12</v>
      </c>
      <c r="X14" t="s">
        <v>698</v>
      </c>
      <c r="AI14" t="s">
        <v>722</v>
      </c>
      <c r="AJ14" t="s">
        <v>252</v>
      </c>
      <c r="AM14" s="1" t="s">
        <v>14</v>
      </c>
      <c r="AN14" s="1319">
        <v>13</v>
      </c>
    </row>
    <row r="15" spans="1:40" x14ac:dyDescent="0.3">
      <c r="A15" s="5"/>
      <c r="B15" t="s">
        <v>1013</v>
      </c>
      <c r="C15" s="7" t="s">
        <v>14</v>
      </c>
      <c r="D15" s="7">
        <v>13</v>
      </c>
      <c r="F15" s="8" t="s">
        <v>252</v>
      </c>
      <c r="G15" s="8" t="s">
        <v>722</v>
      </c>
      <c r="H15" s="3" t="s">
        <v>722</v>
      </c>
      <c r="I15" s="3" t="s">
        <v>252</v>
      </c>
      <c r="J15" s="9" t="s">
        <v>811</v>
      </c>
      <c r="K15" s="9" t="s">
        <v>909</v>
      </c>
      <c r="L15" s="12">
        <v>0.36458333333333298</v>
      </c>
      <c r="M15" t="s">
        <v>885</v>
      </c>
      <c r="N15" t="s">
        <v>1085</v>
      </c>
      <c r="O15" s="14" t="s">
        <v>2018</v>
      </c>
      <c r="P15" s="14" t="s">
        <v>2015</v>
      </c>
      <c r="T15" t="s">
        <v>781</v>
      </c>
      <c r="U15" s="1">
        <v>4</v>
      </c>
      <c r="W15" s="140">
        <v>13</v>
      </c>
      <c r="X15" t="s">
        <v>699</v>
      </c>
      <c r="AI15" t="s">
        <v>723</v>
      </c>
      <c r="AJ15" t="s">
        <v>242</v>
      </c>
      <c r="AM15" s="1" t="s">
        <v>915</v>
      </c>
      <c r="AN15" s="1319">
        <v>441</v>
      </c>
    </row>
    <row r="16" spans="1:40" x14ac:dyDescent="0.3">
      <c r="A16" s="5"/>
      <c r="B16" t="s">
        <v>1014</v>
      </c>
      <c r="C16" s="7" t="s">
        <v>2164</v>
      </c>
      <c r="D16" s="7">
        <v>14</v>
      </c>
      <c r="F16" s="8" t="s">
        <v>242</v>
      </c>
      <c r="G16" s="8" t="s">
        <v>723</v>
      </c>
      <c r="H16" s="3" t="s">
        <v>723</v>
      </c>
      <c r="I16" s="3" t="s">
        <v>242</v>
      </c>
      <c r="J16" s="9" t="s">
        <v>911</v>
      </c>
      <c r="K16" s="9" t="s">
        <v>909</v>
      </c>
      <c r="L16" s="12">
        <v>0.375</v>
      </c>
      <c r="M16" t="s">
        <v>1074</v>
      </c>
      <c r="N16" t="s">
        <v>1085</v>
      </c>
      <c r="O16" s="14" t="s">
        <v>865</v>
      </c>
      <c r="P16" s="14" t="s">
        <v>857</v>
      </c>
      <c r="T16" t="s">
        <v>1994</v>
      </c>
      <c r="U16" s="1">
        <v>4</v>
      </c>
      <c r="W16" s="140">
        <v>14</v>
      </c>
      <c r="X16" t="s">
        <v>776</v>
      </c>
      <c r="AI16" t="s">
        <v>724</v>
      </c>
      <c r="AJ16" t="s">
        <v>199</v>
      </c>
    </row>
    <row r="17" spans="1:36" x14ac:dyDescent="0.3">
      <c r="A17" s="5"/>
      <c r="B17" t="s">
        <v>1015</v>
      </c>
      <c r="C17" s="7" t="s">
        <v>818</v>
      </c>
      <c r="D17" s="7">
        <v>15</v>
      </c>
      <c r="F17" s="8" t="s">
        <v>199</v>
      </c>
      <c r="G17" s="8" t="s">
        <v>724</v>
      </c>
      <c r="H17" s="3" t="s">
        <v>724</v>
      </c>
      <c r="I17" s="3" t="s">
        <v>199</v>
      </c>
      <c r="J17" s="9" t="s">
        <v>812</v>
      </c>
      <c r="K17" s="9" t="s">
        <v>909</v>
      </c>
      <c r="L17" s="12">
        <v>0.38541666666666702</v>
      </c>
      <c r="M17" t="s">
        <v>909</v>
      </c>
      <c r="N17" t="s">
        <v>1085</v>
      </c>
      <c r="O17" s="14" t="s">
        <v>866</v>
      </c>
      <c r="P17" s="14" t="s">
        <v>858</v>
      </c>
      <c r="T17" t="s">
        <v>709</v>
      </c>
      <c r="U17" s="1">
        <v>0</v>
      </c>
      <c r="W17" s="140">
        <v>15</v>
      </c>
      <c r="X17" t="s">
        <v>1275</v>
      </c>
      <c r="Z17" t="s">
        <v>1529</v>
      </c>
      <c r="AA17" s="62">
        <f>COUNTIFS(BD_PRINCIPAL[REPARTICIÓN],"40° COMISARIA COP",BD_PRINCIPAL[ESC.],"PNS O/S")</f>
        <v>19</v>
      </c>
      <c r="AB17" s="62">
        <f>COUNTIFS(BD_PRINCIPAL[REPARTICIÓN],"40° COMISARIA COP",BD_PRINCIPAL[ESC.],"PNi O/S")</f>
        <v>399</v>
      </c>
      <c r="AI17" t="s">
        <v>729</v>
      </c>
      <c r="AJ17" t="s">
        <v>667</v>
      </c>
    </row>
    <row r="18" spans="1:36" x14ac:dyDescent="0.3">
      <c r="A18" s="5"/>
      <c r="B18" t="s">
        <v>1016</v>
      </c>
      <c r="F18" s="8" t="s">
        <v>667</v>
      </c>
      <c r="G18" s="8" t="s">
        <v>729</v>
      </c>
      <c r="H18" s="3" t="s">
        <v>729</v>
      </c>
      <c r="I18" s="3" t="s">
        <v>667</v>
      </c>
      <c r="J18" s="9" t="s">
        <v>216</v>
      </c>
      <c r="K18" s="9" t="s">
        <v>884</v>
      </c>
      <c r="L18" s="12">
        <v>0.39583333333333298</v>
      </c>
      <c r="M18" t="s">
        <v>884</v>
      </c>
      <c r="N18" t="s">
        <v>1085</v>
      </c>
      <c r="O18" s="14" t="s">
        <v>737</v>
      </c>
      <c r="P18" s="14" t="s">
        <v>714</v>
      </c>
      <c r="T18" t="s">
        <v>1995</v>
      </c>
      <c r="U18" s="1">
        <v>0</v>
      </c>
      <c r="W18" s="140">
        <v>16</v>
      </c>
      <c r="X18" t="s">
        <v>775</v>
      </c>
      <c r="Z18" t="s">
        <v>1531</v>
      </c>
      <c r="AA18" s="62">
        <f>COUNTIFS(BD_PRINCIPAL[REPARTICIÓN],"DENTRO ZONA",BD_PRINCIPAL[ESC.],"PNS O/S")</f>
        <v>0</v>
      </c>
      <c r="AB18" s="62">
        <f>COUNTIFS(BD_PRINCIPAL[REPARTICIÓN],"DENTRO ZONA",BD_PRINCIPAL[ESC.],"PNi O/S")</f>
        <v>21</v>
      </c>
      <c r="AI18" t="s">
        <v>727</v>
      </c>
      <c r="AJ18" t="s">
        <v>668</v>
      </c>
    </row>
    <row r="19" spans="1:36" x14ac:dyDescent="0.3">
      <c r="A19" s="5"/>
      <c r="B19" t="s">
        <v>1017</v>
      </c>
      <c r="F19" s="8" t="s">
        <v>668</v>
      </c>
      <c r="G19" s="8" t="s">
        <v>727</v>
      </c>
      <c r="H19" s="3" t="s">
        <v>727</v>
      </c>
      <c r="I19" s="3" t="s">
        <v>668</v>
      </c>
      <c r="J19" s="9" t="s">
        <v>806</v>
      </c>
      <c r="K19" s="9" t="s">
        <v>884</v>
      </c>
      <c r="L19" s="12">
        <v>0.40625</v>
      </c>
      <c r="M19" t="s">
        <v>1083</v>
      </c>
      <c r="N19" t="s">
        <v>1085</v>
      </c>
      <c r="O19" s="14" t="s">
        <v>1255</v>
      </c>
      <c r="P19" s="14" t="s">
        <v>1235</v>
      </c>
      <c r="T19" t="s">
        <v>710</v>
      </c>
      <c r="U19" s="1">
        <v>1</v>
      </c>
      <c r="W19" s="140">
        <v>17</v>
      </c>
      <c r="X19" t="s">
        <v>826</v>
      </c>
      <c r="Z19" t="s">
        <v>1530</v>
      </c>
      <c r="AA19" s="62">
        <f>COUNTIFS(BD_PRINCIPAL[REPARTICIÓN],"FUERA ZONA",BD_PRINCIPAL[ESC.],"PNS O/S")</f>
        <v>0</v>
      </c>
      <c r="AB19" s="62">
        <f>COUNTIFS(BD_PRINCIPAL[REPARTICIÓN],"FUERA ZONA",BD_PRINCIPAL[ESC.],"PNi O/S")</f>
        <v>2</v>
      </c>
      <c r="AI19" t="s">
        <v>736</v>
      </c>
      <c r="AJ19" t="s">
        <v>669</v>
      </c>
    </row>
    <row r="20" spans="1:36" x14ac:dyDescent="0.3">
      <c r="A20" s="5"/>
      <c r="B20" t="s">
        <v>1018</v>
      </c>
      <c r="F20" s="8" t="s">
        <v>669</v>
      </c>
      <c r="G20" s="8" t="s">
        <v>736</v>
      </c>
      <c r="H20" s="3" t="s">
        <v>736</v>
      </c>
      <c r="I20" s="3" t="s">
        <v>669</v>
      </c>
      <c r="J20" s="9" t="s">
        <v>1999</v>
      </c>
      <c r="K20" s="9" t="s">
        <v>884</v>
      </c>
      <c r="L20" s="12">
        <v>0.41666666666666602</v>
      </c>
      <c r="M20" t="s">
        <v>881</v>
      </c>
      <c r="N20" t="s">
        <v>1084</v>
      </c>
      <c r="O20" s="14" t="s">
        <v>728</v>
      </c>
      <c r="P20" s="14" t="s">
        <v>726</v>
      </c>
      <c r="T20" t="s">
        <v>1996</v>
      </c>
      <c r="U20" s="1">
        <v>1</v>
      </c>
      <c r="W20" s="140">
        <v>18</v>
      </c>
      <c r="X20" t="s">
        <v>999</v>
      </c>
      <c r="Z20" t="s">
        <v>1077</v>
      </c>
      <c r="AA20" s="62">
        <f>SUM(AA17:AA19)</f>
        <v>19</v>
      </c>
      <c r="AB20" s="62">
        <f>SUM(AB17:AB19)</f>
        <v>422</v>
      </c>
      <c r="AI20" t="s">
        <v>735</v>
      </c>
      <c r="AJ20" t="s">
        <v>670</v>
      </c>
    </row>
    <row r="21" spans="1:36" x14ac:dyDescent="0.3">
      <c r="A21" s="5"/>
      <c r="B21" t="s">
        <v>1019</v>
      </c>
      <c r="F21" s="8" t="s">
        <v>670</v>
      </c>
      <c r="G21" s="8" t="s">
        <v>735</v>
      </c>
      <c r="H21" s="3" t="s">
        <v>735</v>
      </c>
      <c r="I21" s="3" t="s">
        <v>670</v>
      </c>
      <c r="J21" s="9" t="s">
        <v>800</v>
      </c>
      <c r="K21" s="9" t="s">
        <v>884</v>
      </c>
      <c r="L21" s="12">
        <v>0.42708333333333298</v>
      </c>
      <c r="M21" t="s">
        <v>2125</v>
      </c>
      <c r="N21" t="s">
        <v>1084</v>
      </c>
      <c r="O21" s="14" t="s">
        <v>1256</v>
      </c>
      <c r="P21" s="14" t="s">
        <v>1236</v>
      </c>
      <c r="T21" t="s">
        <v>698</v>
      </c>
      <c r="U21" s="1">
        <v>2</v>
      </c>
      <c r="W21" s="140">
        <v>19</v>
      </c>
      <c r="X21" t="s">
        <v>83</v>
      </c>
      <c r="Z21" t="s">
        <v>973</v>
      </c>
      <c r="AA21" s="62">
        <f>SUM(AA20:AB20)</f>
        <v>441</v>
      </c>
      <c r="AB21" s="62"/>
      <c r="AI21" t="s">
        <v>828</v>
      </c>
      <c r="AJ21" t="s">
        <v>827</v>
      </c>
    </row>
    <row r="22" spans="1:36" x14ac:dyDescent="0.3">
      <c r="A22" s="5"/>
      <c r="B22" t="s">
        <v>1020</v>
      </c>
      <c r="F22" s="8" t="s">
        <v>827</v>
      </c>
      <c r="G22" s="8" t="s">
        <v>828</v>
      </c>
      <c r="H22" s="3" t="s">
        <v>828</v>
      </c>
      <c r="I22" s="3" t="s">
        <v>827</v>
      </c>
      <c r="J22" s="9" t="s">
        <v>804</v>
      </c>
      <c r="K22" s="9" t="s">
        <v>884</v>
      </c>
      <c r="L22" s="12">
        <v>0.4375</v>
      </c>
      <c r="O22" s="14" t="s">
        <v>738</v>
      </c>
      <c r="P22" s="14" t="s">
        <v>713</v>
      </c>
      <c r="T22" t="s">
        <v>1997</v>
      </c>
      <c r="U22" s="1">
        <v>2</v>
      </c>
      <c r="W22" s="140">
        <v>20</v>
      </c>
      <c r="X22" t="s">
        <v>790</v>
      </c>
      <c r="AI22" t="s">
        <v>830</v>
      </c>
      <c r="AJ22" t="s">
        <v>829</v>
      </c>
    </row>
    <row r="23" spans="1:36" x14ac:dyDescent="0.3">
      <c r="A23" s="5"/>
      <c r="B23" t="s">
        <v>1021</v>
      </c>
      <c r="F23" s="8" t="s">
        <v>829</v>
      </c>
      <c r="G23" s="8" t="s">
        <v>830</v>
      </c>
      <c r="H23" s="3" t="s">
        <v>830</v>
      </c>
      <c r="I23" s="3" t="s">
        <v>829</v>
      </c>
      <c r="J23" s="9" t="s">
        <v>805</v>
      </c>
      <c r="K23" s="9" t="s">
        <v>884</v>
      </c>
      <c r="L23" s="12">
        <v>0.44791666666666602</v>
      </c>
      <c r="O23" s="14" t="s">
        <v>1257</v>
      </c>
      <c r="P23" s="14" t="s">
        <v>1237</v>
      </c>
      <c r="T23" t="s">
        <v>699</v>
      </c>
      <c r="U23" s="1">
        <v>3</v>
      </c>
      <c r="W23" s="140">
        <v>21</v>
      </c>
      <c r="X23" t="s">
        <v>13</v>
      </c>
      <c r="AI23" t="s">
        <v>2377</v>
      </c>
      <c r="AJ23" t="s">
        <v>2051</v>
      </c>
    </row>
    <row r="24" spans="1:36" x14ac:dyDescent="0.3">
      <c r="A24" s="5"/>
      <c r="B24" t="s">
        <v>1022</v>
      </c>
      <c r="F24" s="8" t="s">
        <v>2051</v>
      </c>
      <c r="G24" s="8" t="s">
        <v>2377</v>
      </c>
      <c r="H24" s="3" t="s">
        <v>2377</v>
      </c>
      <c r="I24" s="3" t="s">
        <v>2051</v>
      </c>
      <c r="J24" s="9" t="s">
        <v>803</v>
      </c>
      <c r="K24" s="9" t="s">
        <v>884</v>
      </c>
      <c r="L24" s="12">
        <v>0.45833333333333298</v>
      </c>
      <c r="O24" s="14" t="s">
        <v>739</v>
      </c>
      <c r="P24" s="14" t="s">
        <v>740</v>
      </c>
      <c r="T24" t="s">
        <v>1998</v>
      </c>
      <c r="U24" s="1">
        <v>3</v>
      </c>
      <c r="W24" s="140">
        <v>22</v>
      </c>
      <c r="X24" t="s">
        <v>936</v>
      </c>
      <c r="AI24" t="s">
        <v>2606</v>
      </c>
      <c r="AJ24" t="s">
        <v>2052</v>
      </c>
    </row>
    <row r="25" spans="1:36" x14ac:dyDescent="0.3">
      <c r="A25" s="5"/>
      <c r="B25" t="s">
        <v>1023</v>
      </c>
      <c r="F25" s="8" t="s">
        <v>1510</v>
      </c>
      <c r="G25" s="8" t="s">
        <v>1516</v>
      </c>
      <c r="H25" s="3" t="s">
        <v>1516</v>
      </c>
      <c r="I25" s="3" t="s">
        <v>1510</v>
      </c>
      <c r="J25" s="9" t="s">
        <v>802</v>
      </c>
      <c r="K25" s="9" t="s">
        <v>884</v>
      </c>
      <c r="L25" s="12">
        <v>0.46875</v>
      </c>
      <c r="O25" s="14" t="s">
        <v>1258</v>
      </c>
      <c r="P25" s="14" t="s">
        <v>1238</v>
      </c>
      <c r="T25" t="s">
        <v>793</v>
      </c>
      <c r="U25" s="1">
        <v>4</v>
      </c>
      <c r="W25" s="140">
        <v>23</v>
      </c>
      <c r="X25" t="s">
        <v>819</v>
      </c>
      <c r="AI25" t="s">
        <v>2607</v>
      </c>
      <c r="AJ25" t="s">
        <v>2053</v>
      </c>
    </row>
    <row r="26" spans="1:36" x14ac:dyDescent="0.3">
      <c r="A26" s="5"/>
      <c r="B26" t="s">
        <v>1024</v>
      </c>
      <c r="F26" s="8" t="s">
        <v>1511</v>
      </c>
      <c r="G26" s="8" t="s">
        <v>1517</v>
      </c>
      <c r="H26" s="3" t="s">
        <v>1517</v>
      </c>
      <c r="I26" s="3" t="s">
        <v>1511</v>
      </c>
      <c r="J26" s="9" t="s">
        <v>801</v>
      </c>
      <c r="K26" s="9" t="s">
        <v>884</v>
      </c>
      <c r="L26" s="12">
        <v>0.47916666666666602</v>
      </c>
      <c r="O26" s="14" t="s">
        <v>734</v>
      </c>
      <c r="P26" s="14" t="s">
        <v>702</v>
      </c>
      <c r="T26" t="s">
        <v>794</v>
      </c>
      <c r="U26" s="1">
        <v>0</v>
      </c>
      <c r="W26" s="140">
        <v>24</v>
      </c>
      <c r="X26" t="s">
        <v>694</v>
      </c>
      <c r="AI26" t="s">
        <v>2608</v>
      </c>
      <c r="AJ26" t="s">
        <v>2054</v>
      </c>
    </row>
    <row r="27" spans="1:36" x14ac:dyDescent="0.3">
      <c r="A27" s="5"/>
      <c r="B27" t="s">
        <v>1025</v>
      </c>
      <c r="F27" s="8" t="s">
        <v>1512</v>
      </c>
      <c r="G27" s="8" t="s">
        <v>1518</v>
      </c>
      <c r="H27" s="3" t="s">
        <v>1518</v>
      </c>
      <c r="I27" s="3" t="s">
        <v>1512</v>
      </c>
      <c r="J27" s="9" t="s">
        <v>1079</v>
      </c>
      <c r="K27" s="9" t="s">
        <v>1083</v>
      </c>
      <c r="L27" s="12">
        <v>0.48958333333333298</v>
      </c>
      <c r="O27" s="14" t="s">
        <v>1259</v>
      </c>
      <c r="P27" s="14" t="s">
        <v>1239</v>
      </c>
      <c r="T27" t="s">
        <v>795</v>
      </c>
      <c r="U27" s="1">
        <v>1</v>
      </c>
      <c r="W27" s="140">
        <v>25</v>
      </c>
      <c r="X27" t="s">
        <v>695</v>
      </c>
      <c r="AI27" t="s">
        <v>2609</v>
      </c>
      <c r="AJ27" t="s">
        <v>2598</v>
      </c>
    </row>
    <row r="28" spans="1:36" x14ac:dyDescent="0.3">
      <c r="A28" s="5"/>
      <c r="B28" t="s">
        <v>1026</v>
      </c>
      <c r="F28" s="8" t="s">
        <v>1513</v>
      </c>
      <c r="G28" s="8" t="s">
        <v>1519</v>
      </c>
      <c r="H28" s="3" t="s">
        <v>1519</v>
      </c>
      <c r="I28" s="3" t="s">
        <v>1513</v>
      </c>
      <c r="J28" s="9" t="s">
        <v>984</v>
      </c>
      <c r="K28" s="9" t="s">
        <v>1234</v>
      </c>
      <c r="L28" s="12">
        <v>0.499999999999999</v>
      </c>
      <c r="O28" s="14" t="s">
        <v>743</v>
      </c>
      <c r="P28" s="14" t="s">
        <v>742</v>
      </c>
      <c r="T28" t="s">
        <v>820</v>
      </c>
      <c r="U28" s="1">
        <v>2</v>
      </c>
      <c r="W28" s="140">
        <v>26</v>
      </c>
      <c r="X28" t="s">
        <v>696</v>
      </c>
      <c r="AI28" t="s">
        <v>2610</v>
      </c>
      <c r="AJ28" t="s">
        <v>2599</v>
      </c>
    </row>
    <row r="29" spans="1:36" x14ac:dyDescent="0.3">
      <c r="A29" s="5"/>
      <c r="B29" t="s">
        <v>1027</v>
      </c>
      <c r="F29" s="8" t="s">
        <v>1514</v>
      </c>
      <c r="G29" s="8" t="s">
        <v>1520</v>
      </c>
      <c r="H29" s="3" t="s">
        <v>1520</v>
      </c>
      <c r="I29" s="3" t="s">
        <v>1514</v>
      </c>
      <c r="J29" s="9" t="s">
        <v>1636</v>
      </c>
      <c r="K29" s="9" t="s">
        <v>909</v>
      </c>
      <c r="L29" s="12">
        <v>0.51041666666666596</v>
      </c>
      <c r="O29" s="14" t="s">
        <v>1260</v>
      </c>
      <c r="P29" s="14" t="s">
        <v>1240</v>
      </c>
      <c r="T29" t="s">
        <v>708</v>
      </c>
      <c r="U29" s="1">
        <v>3</v>
      </c>
      <c r="W29" s="140">
        <v>27</v>
      </c>
      <c r="X29" t="s">
        <v>88</v>
      </c>
      <c r="AI29" t="s">
        <v>2611</v>
      </c>
      <c r="AJ29" t="s">
        <v>2600</v>
      </c>
    </row>
    <row r="30" spans="1:36" x14ac:dyDescent="0.3">
      <c r="A30" s="5"/>
      <c r="B30" t="s">
        <v>1028</v>
      </c>
      <c r="F30" s="8" t="s">
        <v>1515</v>
      </c>
      <c r="G30" s="8" t="s">
        <v>1521</v>
      </c>
      <c r="H30" s="3" t="s">
        <v>1521</v>
      </c>
      <c r="I30" s="3" t="s">
        <v>1515</v>
      </c>
      <c r="L30" s="12">
        <v>0.52083333333333304</v>
      </c>
      <c r="O30" s="14" t="s">
        <v>744</v>
      </c>
      <c r="P30" s="14" t="s">
        <v>712</v>
      </c>
      <c r="T30" t="s">
        <v>705</v>
      </c>
      <c r="U30" s="1">
        <v>4</v>
      </c>
      <c r="W30" s="140">
        <v>28</v>
      </c>
      <c r="X30" t="s">
        <v>868</v>
      </c>
      <c r="AI30" t="s">
        <v>2612</v>
      </c>
      <c r="AJ30" t="s">
        <v>2601</v>
      </c>
    </row>
    <row r="31" spans="1:36" x14ac:dyDescent="0.3">
      <c r="A31" s="5"/>
      <c r="B31" t="s">
        <v>1029</v>
      </c>
      <c r="F31" s="3" t="s">
        <v>1797</v>
      </c>
      <c r="G31" s="3" t="s">
        <v>1809</v>
      </c>
      <c r="H31" s="3" t="s">
        <v>1809</v>
      </c>
      <c r="I31" s="3" t="s">
        <v>1797</v>
      </c>
      <c r="L31" s="12">
        <v>0.531249999999999</v>
      </c>
      <c r="O31" s="14" t="s">
        <v>1261</v>
      </c>
      <c r="P31" s="14" t="s">
        <v>1241</v>
      </c>
      <c r="T31" t="s">
        <v>706</v>
      </c>
      <c r="U31" s="1">
        <v>0</v>
      </c>
      <c r="W31" s="140">
        <v>29</v>
      </c>
      <c r="X31" t="s">
        <v>224</v>
      </c>
      <c r="AI31" t="s">
        <v>1995</v>
      </c>
      <c r="AJ31" t="s">
        <v>709</v>
      </c>
    </row>
    <row r="32" spans="1:36" x14ac:dyDescent="0.3">
      <c r="A32" s="5"/>
      <c r="B32" t="s">
        <v>1030</v>
      </c>
      <c r="F32" s="3" t="s">
        <v>1798</v>
      </c>
      <c r="G32" s="3" t="s">
        <v>1810</v>
      </c>
      <c r="H32" s="3" t="s">
        <v>1810</v>
      </c>
      <c r="I32" s="3" t="s">
        <v>1798</v>
      </c>
      <c r="L32" s="12">
        <v>0.54166666666666596</v>
      </c>
      <c r="O32" s="14" t="s">
        <v>746</v>
      </c>
      <c r="P32" s="14" t="s">
        <v>701</v>
      </c>
      <c r="T32" t="s">
        <v>707</v>
      </c>
      <c r="U32" s="1">
        <v>1</v>
      </c>
      <c r="W32" s="140">
        <v>30</v>
      </c>
      <c r="X32" t="s">
        <v>241</v>
      </c>
      <c r="AI32" t="s">
        <v>759</v>
      </c>
      <c r="AJ32" t="s">
        <v>67</v>
      </c>
    </row>
    <row r="33" spans="1:36" x14ac:dyDescent="0.3">
      <c r="A33" s="5"/>
      <c r="B33" t="s">
        <v>1031</v>
      </c>
      <c r="F33" s="3" t="s">
        <v>1799</v>
      </c>
      <c r="G33" s="3" t="s">
        <v>1811</v>
      </c>
      <c r="H33" s="3" t="s">
        <v>1811</v>
      </c>
      <c r="I33" s="3" t="s">
        <v>1799</v>
      </c>
      <c r="L33" s="12">
        <v>0.55208333333333304</v>
      </c>
      <c r="O33" s="14" t="s">
        <v>1262</v>
      </c>
      <c r="P33" s="14" t="s">
        <v>1242</v>
      </c>
      <c r="T33" t="s">
        <v>821</v>
      </c>
      <c r="U33" s="1">
        <v>2</v>
      </c>
      <c r="W33" s="140">
        <v>31</v>
      </c>
      <c r="X33" t="s">
        <v>251</v>
      </c>
      <c r="AI33" t="s">
        <v>67</v>
      </c>
      <c r="AJ33" t="s">
        <v>67</v>
      </c>
    </row>
    <row r="34" spans="1:36" x14ac:dyDescent="0.3">
      <c r="A34" s="5"/>
      <c r="B34" t="s">
        <v>1032</v>
      </c>
      <c r="F34" s="3" t="s">
        <v>1800</v>
      </c>
      <c r="G34" s="3" t="s">
        <v>1812</v>
      </c>
      <c r="H34" s="3" t="s">
        <v>1812</v>
      </c>
      <c r="I34" s="3" t="s">
        <v>1800</v>
      </c>
      <c r="L34" s="12">
        <v>0.562499999999999</v>
      </c>
      <c r="O34" s="14" t="s">
        <v>748</v>
      </c>
      <c r="P34" s="14" t="s">
        <v>704</v>
      </c>
      <c r="T34" t="s">
        <v>822</v>
      </c>
      <c r="U34" s="1">
        <v>3</v>
      </c>
      <c r="W34" s="140">
        <v>32</v>
      </c>
      <c r="X34" t="s">
        <v>252</v>
      </c>
      <c r="AI34" t="s">
        <v>760</v>
      </c>
      <c r="AJ34" t="s">
        <v>66</v>
      </c>
    </row>
    <row r="35" spans="1:36" x14ac:dyDescent="0.3">
      <c r="A35" s="5"/>
      <c r="B35" t="s">
        <v>1033</v>
      </c>
      <c r="F35" s="3" t="s">
        <v>1801</v>
      </c>
      <c r="G35" s="3" t="s">
        <v>1813</v>
      </c>
      <c r="H35" s="3" t="s">
        <v>1813</v>
      </c>
      <c r="I35" s="3" t="s">
        <v>1801</v>
      </c>
      <c r="L35" s="12">
        <v>0.57291666666666596</v>
      </c>
      <c r="O35" s="14" t="s">
        <v>1263</v>
      </c>
      <c r="P35" s="14" t="s">
        <v>1243</v>
      </c>
      <c r="T35" t="s">
        <v>823</v>
      </c>
      <c r="U35" s="1">
        <v>4</v>
      </c>
      <c r="W35" s="140">
        <v>33</v>
      </c>
      <c r="X35" t="s">
        <v>242</v>
      </c>
      <c r="AI35" t="s">
        <v>66</v>
      </c>
      <c r="AJ35" t="s">
        <v>66</v>
      </c>
    </row>
    <row r="36" spans="1:36" x14ac:dyDescent="0.3">
      <c r="A36" s="5"/>
      <c r="B36" t="s">
        <v>1034</v>
      </c>
      <c r="F36" s="3" t="s">
        <v>1802</v>
      </c>
      <c r="G36" s="3" t="s">
        <v>1814</v>
      </c>
      <c r="H36" s="3" t="s">
        <v>1814</v>
      </c>
      <c r="I36" s="3" t="s">
        <v>1802</v>
      </c>
      <c r="L36" s="12">
        <v>0.58333333333333304</v>
      </c>
      <c r="O36" s="14" t="s">
        <v>749</v>
      </c>
      <c r="P36" s="14" t="s">
        <v>750</v>
      </c>
      <c r="T36" t="s">
        <v>824</v>
      </c>
      <c r="U36" s="1">
        <v>0</v>
      </c>
      <c r="W36" s="140">
        <v>34</v>
      </c>
      <c r="X36" t="s">
        <v>199</v>
      </c>
      <c r="AI36" t="s">
        <v>761</v>
      </c>
      <c r="AJ36" t="s">
        <v>194</v>
      </c>
    </row>
    <row r="37" spans="1:36" x14ac:dyDescent="0.3">
      <c r="A37" s="5"/>
      <c r="B37" t="s">
        <v>1035</v>
      </c>
      <c r="F37" s="3" t="s">
        <v>1803</v>
      </c>
      <c r="G37" s="3" t="s">
        <v>1815</v>
      </c>
      <c r="H37" s="3" t="s">
        <v>1815</v>
      </c>
      <c r="I37" s="3" t="s">
        <v>1803</v>
      </c>
      <c r="L37" s="12">
        <v>0.593749999999999</v>
      </c>
      <c r="O37" s="14" t="s">
        <v>1264</v>
      </c>
      <c r="P37" s="14" t="s">
        <v>1244</v>
      </c>
      <c r="T37" t="s">
        <v>825</v>
      </c>
      <c r="U37" s="1">
        <v>1</v>
      </c>
      <c r="W37" s="140">
        <v>35</v>
      </c>
      <c r="X37" t="s">
        <v>667</v>
      </c>
      <c r="AI37" t="s">
        <v>194</v>
      </c>
      <c r="AJ37" t="s">
        <v>194</v>
      </c>
    </row>
    <row r="38" spans="1:36" x14ac:dyDescent="0.3">
      <c r="A38" s="5"/>
      <c r="B38" t="s">
        <v>1036</v>
      </c>
      <c r="F38" s="3" t="s">
        <v>1804</v>
      </c>
      <c r="G38" s="3" t="s">
        <v>1816</v>
      </c>
      <c r="H38" s="3" t="s">
        <v>1816</v>
      </c>
      <c r="I38" s="3" t="s">
        <v>1804</v>
      </c>
      <c r="L38" s="12">
        <v>0.60416666666666596</v>
      </c>
      <c r="O38" s="14" t="s">
        <v>751</v>
      </c>
      <c r="P38" s="14" t="s">
        <v>715</v>
      </c>
      <c r="T38" t="s">
        <v>1275</v>
      </c>
      <c r="U38" s="1">
        <v>2</v>
      </c>
      <c r="W38" s="140">
        <v>36</v>
      </c>
      <c r="X38" t="s">
        <v>668</v>
      </c>
      <c r="AI38" t="s">
        <v>762</v>
      </c>
      <c r="AJ38" t="s">
        <v>113</v>
      </c>
    </row>
    <row r="39" spans="1:36" x14ac:dyDescent="0.3">
      <c r="A39" s="5"/>
      <c r="B39" t="s">
        <v>1037</v>
      </c>
      <c r="F39" s="3" t="s">
        <v>1805</v>
      </c>
      <c r="G39" s="3" t="s">
        <v>1817</v>
      </c>
      <c r="H39" s="3" t="s">
        <v>1817</v>
      </c>
      <c r="I39" s="3" t="s">
        <v>1805</v>
      </c>
      <c r="L39" s="12">
        <v>0.61458333333333204</v>
      </c>
      <c r="O39" s="14" t="s">
        <v>1265</v>
      </c>
      <c r="P39" s="14" t="s">
        <v>1245</v>
      </c>
      <c r="T39" t="s">
        <v>881</v>
      </c>
      <c r="U39" s="1">
        <v>3</v>
      </c>
      <c r="W39" s="140">
        <v>37</v>
      </c>
      <c r="X39" t="s">
        <v>669</v>
      </c>
      <c r="AI39" t="s">
        <v>113</v>
      </c>
      <c r="AJ39" t="s">
        <v>113</v>
      </c>
    </row>
    <row r="40" spans="1:36" x14ac:dyDescent="0.3">
      <c r="A40" s="5"/>
      <c r="B40" t="s">
        <v>1038</v>
      </c>
      <c r="F40" s="3" t="s">
        <v>1806</v>
      </c>
      <c r="G40" s="3" t="s">
        <v>1818</v>
      </c>
      <c r="H40" s="3" t="s">
        <v>1818</v>
      </c>
      <c r="I40" s="3" t="s">
        <v>1806</v>
      </c>
      <c r="L40" s="12">
        <v>0.624999999999999</v>
      </c>
      <c r="O40" s="14" t="s">
        <v>733</v>
      </c>
      <c r="P40" s="14" t="s">
        <v>711</v>
      </c>
      <c r="T40" t="s">
        <v>826</v>
      </c>
      <c r="U40" s="1">
        <v>4</v>
      </c>
      <c r="W40" s="140">
        <v>38</v>
      </c>
      <c r="X40" t="s">
        <v>670</v>
      </c>
      <c r="AI40" t="s">
        <v>763</v>
      </c>
      <c r="AJ40" t="s">
        <v>195</v>
      </c>
    </row>
    <row r="41" spans="1:36" x14ac:dyDescent="0.3">
      <c r="A41" s="5"/>
      <c r="B41" t="s">
        <v>1039</v>
      </c>
      <c r="F41" s="3" t="s">
        <v>1807</v>
      </c>
      <c r="G41" s="3" t="s">
        <v>1819</v>
      </c>
      <c r="H41" s="3" t="s">
        <v>1819</v>
      </c>
      <c r="I41" s="3" t="s">
        <v>1807</v>
      </c>
      <c r="L41" s="12">
        <v>0.63541666666666596</v>
      </c>
      <c r="O41" s="14" t="s">
        <v>1266</v>
      </c>
      <c r="P41" s="14" t="s">
        <v>1246</v>
      </c>
      <c r="Q41" s="8"/>
      <c r="R41" s="8"/>
      <c r="T41" t="s">
        <v>224</v>
      </c>
      <c r="U41" s="1">
        <v>0</v>
      </c>
      <c r="W41" s="140">
        <v>39</v>
      </c>
      <c r="X41" t="s">
        <v>827</v>
      </c>
      <c r="AI41" t="s">
        <v>195</v>
      </c>
      <c r="AJ41" t="s">
        <v>195</v>
      </c>
    </row>
    <row r="42" spans="1:36" x14ac:dyDescent="0.3">
      <c r="A42" s="5"/>
      <c r="B42" t="s">
        <v>1040</v>
      </c>
      <c r="F42" s="3" t="s">
        <v>1808</v>
      </c>
      <c r="G42" s="3" t="s">
        <v>1820</v>
      </c>
      <c r="H42" s="3" t="s">
        <v>1820</v>
      </c>
      <c r="I42" s="3" t="s">
        <v>1808</v>
      </c>
      <c r="L42" s="12">
        <v>0.64583333333333204</v>
      </c>
      <c r="O42" s="14" t="s">
        <v>725</v>
      </c>
      <c r="P42" s="14" t="s">
        <v>700</v>
      </c>
      <c r="Q42" s="8"/>
      <c r="R42" s="8"/>
      <c r="T42" t="s">
        <v>719</v>
      </c>
      <c r="U42" s="1">
        <v>0</v>
      </c>
      <c r="W42" s="140">
        <v>40</v>
      </c>
      <c r="X42" t="s">
        <v>829</v>
      </c>
      <c r="AI42" t="s">
        <v>764</v>
      </c>
      <c r="AJ42" t="s">
        <v>196</v>
      </c>
    </row>
    <row r="43" spans="1:36" x14ac:dyDescent="0.3">
      <c r="A43" s="5"/>
      <c r="B43" t="s">
        <v>1041</v>
      </c>
      <c r="L43" s="12">
        <v>0.656249999999999</v>
      </c>
      <c r="O43" s="14" t="s">
        <v>1267</v>
      </c>
      <c r="P43" s="14" t="s">
        <v>1247</v>
      </c>
      <c r="Q43" s="8"/>
      <c r="R43" s="8"/>
      <c r="T43" t="s">
        <v>241</v>
      </c>
      <c r="U43" s="1">
        <v>1</v>
      </c>
      <c r="W43" s="140">
        <v>41</v>
      </c>
      <c r="X43" t="s">
        <v>2051</v>
      </c>
      <c r="AI43" t="s">
        <v>196</v>
      </c>
      <c r="AJ43" t="s">
        <v>196</v>
      </c>
    </row>
    <row r="44" spans="1:36" x14ac:dyDescent="0.3">
      <c r="A44" s="5"/>
      <c r="B44" t="s">
        <v>1042</v>
      </c>
      <c r="L44" s="12">
        <v>0.66666666666666596</v>
      </c>
      <c r="O44" s="14" t="s">
        <v>745</v>
      </c>
      <c r="P44" s="14" t="s">
        <v>716</v>
      </c>
      <c r="Q44" s="8"/>
      <c r="R44" s="8"/>
      <c r="T44" t="s">
        <v>720</v>
      </c>
      <c r="U44" s="1">
        <v>1</v>
      </c>
      <c r="W44" s="140">
        <v>42</v>
      </c>
      <c r="X44" t="s">
        <v>793</v>
      </c>
      <c r="AI44" t="s">
        <v>862</v>
      </c>
      <c r="AJ44" t="s">
        <v>197</v>
      </c>
    </row>
    <row r="45" spans="1:36" x14ac:dyDescent="0.3">
      <c r="A45" s="5"/>
      <c r="B45" t="s">
        <v>1043</v>
      </c>
      <c r="L45" s="12">
        <v>0.67708333333333204</v>
      </c>
      <c r="O45" s="14" t="s">
        <v>1268</v>
      </c>
      <c r="P45" s="14" t="s">
        <v>1248</v>
      </c>
      <c r="Q45" s="8"/>
      <c r="R45" s="8"/>
      <c r="T45" t="s">
        <v>251</v>
      </c>
      <c r="U45" s="1">
        <v>2</v>
      </c>
      <c r="W45" s="140">
        <v>43</v>
      </c>
      <c r="X45" t="s">
        <v>794</v>
      </c>
      <c r="AI45" t="s">
        <v>197</v>
      </c>
      <c r="AJ45" t="s">
        <v>197</v>
      </c>
    </row>
    <row r="46" spans="1:36" x14ac:dyDescent="0.3">
      <c r="A46" s="5"/>
      <c r="B46" t="s">
        <v>1044</v>
      </c>
      <c r="L46" s="12">
        <v>0.687499999999999</v>
      </c>
      <c r="O46" s="14" t="s">
        <v>741</v>
      </c>
      <c r="P46" s="14" t="s">
        <v>752</v>
      </c>
      <c r="Q46" s="8"/>
      <c r="R46" s="8"/>
      <c r="T46" t="s">
        <v>721</v>
      </c>
      <c r="U46" s="1">
        <v>2</v>
      </c>
      <c r="W46" s="140">
        <v>44</v>
      </c>
      <c r="X46" t="s">
        <v>795</v>
      </c>
      <c r="AI46" t="s">
        <v>765</v>
      </c>
      <c r="AJ46" t="s">
        <v>198</v>
      </c>
    </row>
    <row r="47" spans="1:36" x14ac:dyDescent="0.3">
      <c r="A47" s="5"/>
      <c r="B47" t="s">
        <v>1045</v>
      </c>
      <c r="L47" s="12">
        <v>0.69791666666666496</v>
      </c>
      <c r="O47" s="14" t="s">
        <v>1269</v>
      </c>
      <c r="P47" s="14" t="s">
        <v>1249</v>
      </c>
      <c r="Q47" s="8"/>
      <c r="R47" s="8"/>
      <c r="T47" t="s">
        <v>252</v>
      </c>
      <c r="U47" s="1">
        <v>3</v>
      </c>
      <c r="W47" s="140">
        <v>45</v>
      </c>
      <c r="X47" t="s">
        <v>820</v>
      </c>
      <c r="AI47" t="s">
        <v>198</v>
      </c>
      <c r="AJ47" t="s">
        <v>198</v>
      </c>
    </row>
    <row r="48" spans="1:36" x14ac:dyDescent="0.3">
      <c r="A48" s="5"/>
      <c r="B48" t="s">
        <v>1046</v>
      </c>
      <c r="L48" s="12">
        <v>0.70833333333333204</v>
      </c>
      <c r="O48" s="14" t="s">
        <v>732</v>
      </c>
      <c r="P48" s="14" t="s">
        <v>731</v>
      </c>
      <c r="T48" t="s">
        <v>722</v>
      </c>
      <c r="U48" s="1">
        <v>3</v>
      </c>
      <c r="W48" s="140">
        <v>46</v>
      </c>
      <c r="X48" s="9" t="s">
        <v>1636</v>
      </c>
      <c r="AI48" t="s">
        <v>768</v>
      </c>
      <c r="AJ48" t="s">
        <v>769</v>
      </c>
    </row>
    <row r="49" spans="1:36" x14ac:dyDescent="0.3">
      <c r="A49" s="5"/>
      <c r="B49" t="s">
        <v>1047</v>
      </c>
      <c r="L49" s="12">
        <v>0.718749999999999</v>
      </c>
      <c r="O49" s="14" t="s">
        <v>1270</v>
      </c>
      <c r="P49" s="14" t="s">
        <v>1250</v>
      </c>
      <c r="T49" t="s">
        <v>242</v>
      </c>
      <c r="U49" s="1">
        <v>4</v>
      </c>
      <c r="W49" s="140">
        <v>47</v>
      </c>
      <c r="X49" t="s">
        <v>708</v>
      </c>
      <c r="AI49" t="s">
        <v>769</v>
      </c>
      <c r="AJ49" t="s">
        <v>769</v>
      </c>
    </row>
    <row r="50" spans="1:36" x14ac:dyDescent="0.3">
      <c r="A50" s="5"/>
      <c r="B50" t="s">
        <v>894</v>
      </c>
      <c r="L50" s="12">
        <v>0.72916666666666496</v>
      </c>
      <c r="O50" s="14" t="s">
        <v>753</v>
      </c>
      <c r="P50" s="14" t="s">
        <v>717</v>
      </c>
      <c r="T50" t="s">
        <v>723</v>
      </c>
      <c r="U50" s="1">
        <v>4</v>
      </c>
      <c r="W50" s="140">
        <v>48</v>
      </c>
      <c r="X50" t="s">
        <v>705</v>
      </c>
      <c r="AI50" t="s">
        <v>766</v>
      </c>
      <c r="AJ50" t="s">
        <v>767</v>
      </c>
    </row>
    <row r="51" spans="1:36" x14ac:dyDescent="0.3">
      <c r="A51" s="5"/>
      <c r="B51" t="s">
        <v>1048</v>
      </c>
      <c r="L51" s="12">
        <v>0.73958333333333204</v>
      </c>
      <c r="O51" s="14" t="s">
        <v>1271</v>
      </c>
      <c r="P51" s="14" t="s">
        <v>1251</v>
      </c>
      <c r="T51" t="s">
        <v>199</v>
      </c>
      <c r="U51" s="1">
        <v>0</v>
      </c>
      <c r="W51" s="140">
        <v>49</v>
      </c>
      <c r="X51" t="s">
        <v>706</v>
      </c>
      <c r="AI51" t="s">
        <v>767</v>
      </c>
      <c r="AJ51" t="s">
        <v>767</v>
      </c>
    </row>
    <row r="52" spans="1:36" x14ac:dyDescent="0.3">
      <c r="A52" s="5"/>
      <c r="B52" t="s">
        <v>1049</v>
      </c>
      <c r="L52" s="12">
        <v>0.749999999999999</v>
      </c>
      <c r="O52" s="14" t="s">
        <v>755</v>
      </c>
      <c r="P52" s="14" t="s">
        <v>703</v>
      </c>
      <c r="T52" t="s">
        <v>724</v>
      </c>
      <c r="U52" s="1">
        <v>0</v>
      </c>
      <c r="W52" s="140">
        <v>50</v>
      </c>
      <c r="X52" t="s">
        <v>707</v>
      </c>
      <c r="AI52" t="s">
        <v>863</v>
      </c>
      <c r="AJ52" t="s">
        <v>680</v>
      </c>
    </row>
    <row r="53" spans="1:36" x14ac:dyDescent="0.3">
      <c r="A53" s="5"/>
      <c r="B53" t="s">
        <v>1050</v>
      </c>
      <c r="L53" s="12">
        <v>0.76041666666666496</v>
      </c>
      <c r="O53" s="14" t="s">
        <v>1272</v>
      </c>
      <c r="P53" s="14" t="s">
        <v>1252</v>
      </c>
      <c r="T53" t="s">
        <v>667</v>
      </c>
      <c r="U53" s="1">
        <v>1</v>
      </c>
      <c r="W53" s="140">
        <v>51</v>
      </c>
      <c r="X53" t="s">
        <v>72</v>
      </c>
      <c r="AI53" t="s">
        <v>680</v>
      </c>
      <c r="AJ53" t="s">
        <v>680</v>
      </c>
    </row>
    <row r="54" spans="1:36" x14ac:dyDescent="0.3">
      <c r="A54" s="5"/>
      <c r="B54" t="s">
        <v>1051</v>
      </c>
      <c r="L54" s="12">
        <v>0.77083333333333204</v>
      </c>
      <c r="O54" s="14" t="s">
        <v>756</v>
      </c>
      <c r="P54" s="14" t="s">
        <v>730</v>
      </c>
      <c r="T54" t="s">
        <v>729</v>
      </c>
      <c r="U54" s="1">
        <v>1</v>
      </c>
      <c r="W54" s="140">
        <v>52</v>
      </c>
      <c r="X54" t="s">
        <v>759</v>
      </c>
      <c r="AI54" t="s">
        <v>864</v>
      </c>
      <c r="AJ54" t="s">
        <v>754</v>
      </c>
    </row>
    <row r="55" spans="1:36" x14ac:dyDescent="0.3">
      <c r="A55" s="5"/>
      <c r="B55" t="s">
        <v>1052</v>
      </c>
      <c r="L55" s="12">
        <v>0.781249999999998</v>
      </c>
      <c r="O55" s="14" t="s">
        <v>1273</v>
      </c>
      <c r="P55" s="14" t="s">
        <v>1253</v>
      </c>
      <c r="T55" t="s">
        <v>668</v>
      </c>
      <c r="U55" s="1">
        <v>2</v>
      </c>
      <c r="W55" s="140">
        <v>53</v>
      </c>
      <c r="X55" t="s">
        <v>760</v>
      </c>
      <c r="AI55" t="s">
        <v>754</v>
      </c>
      <c r="AJ55" t="s">
        <v>754</v>
      </c>
    </row>
    <row r="56" spans="1:36" x14ac:dyDescent="0.3">
      <c r="A56" s="5"/>
      <c r="B56" t="s">
        <v>1053</v>
      </c>
      <c r="L56" s="12">
        <v>0.79166666666666496</v>
      </c>
      <c r="O56" s="14" t="s">
        <v>758</v>
      </c>
      <c r="P56" s="14" t="s">
        <v>757</v>
      </c>
      <c r="R56" s="1"/>
      <c r="T56" t="s">
        <v>727</v>
      </c>
      <c r="U56" s="1">
        <v>2</v>
      </c>
      <c r="W56" s="140">
        <v>54</v>
      </c>
      <c r="X56" t="s">
        <v>761</v>
      </c>
      <c r="AI56" t="s">
        <v>2018</v>
      </c>
      <c r="AJ56" t="s">
        <v>2015</v>
      </c>
    </row>
    <row r="57" spans="1:36" x14ac:dyDescent="0.3">
      <c r="A57" s="5"/>
      <c r="B57" s="5" t="s">
        <v>1407</v>
      </c>
      <c r="L57" s="12">
        <v>0.80208333333333204</v>
      </c>
      <c r="O57" s="14" t="s">
        <v>1274</v>
      </c>
      <c r="P57" s="14" t="s">
        <v>1254</v>
      </c>
      <c r="Q57" s="8"/>
      <c r="R57" s="8"/>
      <c r="T57" t="s">
        <v>669</v>
      </c>
      <c r="U57" s="1">
        <v>4</v>
      </c>
      <c r="W57" s="140">
        <v>55</v>
      </c>
      <c r="X57" t="s">
        <v>762</v>
      </c>
      <c r="AI57" t="s">
        <v>865</v>
      </c>
      <c r="AJ57" t="s">
        <v>857</v>
      </c>
    </row>
    <row r="58" spans="1:36" x14ac:dyDescent="0.3">
      <c r="A58" s="5"/>
      <c r="B58" t="s">
        <v>892</v>
      </c>
      <c r="L58" s="12">
        <v>0.812499999999998</v>
      </c>
      <c r="O58" s="14" t="s">
        <v>1834</v>
      </c>
      <c r="P58" s="14" t="s">
        <v>1832</v>
      </c>
      <c r="Q58" s="8"/>
      <c r="R58" s="8"/>
      <c r="T58" t="s">
        <v>736</v>
      </c>
      <c r="U58" s="1">
        <v>4</v>
      </c>
      <c r="W58" s="140">
        <v>56</v>
      </c>
      <c r="X58" t="s">
        <v>763</v>
      </c>
      <c r="AI58" t="s">
        <v>857</v>
      </c>
      <c r="AJ58" t="s">
        <v>857</v>
      </c>
    </row>
    <row r="59" spans="1:36" x14ac:dyDescent="0.3">
      <c r="A59" s="5"/>
      <c r="B59" t="s">
        <v>1054</v>
      </c>
      <c r="L59" s="12">
        <v>0.82291666666666496</v>
      </c>
      <c r="O59" s="14" t="s">
        <v>1835</v>
      </c>
      <c r="P59" s="14" t="s">
        <v>1833</v>
      </c>
      <c r="Q59" s="8"/>
      <c r="R59" s="8"/>
      <c r="T59" t="s">
        <v>670</v>
      </c>
      <c r="U59" s="1">
        <v>0</v>
      </c>
      <c r="W59" s="140">
        <v>57</v>
      </c>
      <c r="X59" t="s">
        <v>764</v>
      </c>
      <c r="AI59" t="s">
        <v>2584</v>
      </c>
      <c r="AJ59" t="s">
        <v>2577</v>
      </c>
    </row>
    <row r="60" spans="1:36" x14ac:dyDescent="0.3">
      <c r="A60" s="5"/>
      <c r="B60" t="s">
        <v>1055</v>
      </c>
      <c r="L60" s="12">
        <v>0.83333333333333204</v>
      </c>
      <c r="O60" s="14" t="s">
        <v>1838</v>
      </c>
      <c r="P60" s="14" t="s">
        <v>1839</v>
      </c>
      <c r="Q60" s="8"/>
      <c r="R60" s="8"/>
      <c r="T60" t="s">
        <v>735</v>
      </c>
      <c r="U60" s="1">
        <v>0</v>
      </c>
      <c r="W60" s="140">
        <v>58</v>
      </c>
      <c r="X60" t="s">
        <v>862</v>
      </c>
      <c r="AI60" t="s">
        <v>2577</v>
      </c>
      <c r="AJ60" t="s">
        <v>2577</v>
      </c>
    </row>
    <row r="61" spans="1:36" x14ac:dyDescent="0.3">
      <c r="A61" s="5"/>
      <c r="B61" t="s">
        <v>1056</v>
      </c>
      <c r="L61" s="12">
        <v>0.843749999999998</v>
      </c>
      <c r="O61" s="14" t="s">
        <v>1836</v>
      </c>
      <c r="P61" s="14" t="s">
        <v>1837</v>
      </c>
      <c r="Q61" s="8" t="s">
        <v>1808</v>
      </c>
      <c r="R61" s="8" t="s">
        <v>1820</v>
      </c>
      <c r="T61" t="s">
        <v>827</v>
      </c>
      <c r="U61" s="1">
        <v>1</v>
      </c>
      <c r="W61" s="140">
        <v>59</v>
      </c>
      <c r="X61" t="s">
        <v>765</v>
      </c>
      <c r="AI61" t="s">
        <v>866</v>
      </c>
      <c r="AJ61" t="s">
        <v>858</v>
      </c>
    </row>
    <row r="62" spans="1:36" x14ac:dyDescent="0.3">
      <c r="A62" s="5"/>
      <c r="B62" t="s">
        <v>893</v>
      </c>
      <c r="L62" s="12">
        <v>0.85416666666666496</v>
      </c>
      <c r="O62" s="14" t="s">
        <v>860</v>
      </c>
      <c r="P62" s="14" t="s">
        <v>772</v>
      </c>
      <c r="T62" t="s">
        <v>828</v>
      </c>
      <c r="U62" s="1">
        <v>1</v>
      </c>
      <c r="W62" s="140">
        <v>60</v>
      </c>
      <c r="X62" t="s">
        <v>768</v>
      </c>
      <c r="AI62" t="s">
        <v>858</v>
      </c>
      <c r="AJ62" t="s">
        <v>858</v>
      </c>
    </row>
    <row r="63" spans="1:36" x14ac:dyDescent="0.3">
      <c r="A63" s="5"/>
      <c r="B63" t="s">
        <v>1057</v>
      </c>
      <c r="L63" s="12">
        <v>0.86458333333333204</v>
      </c>
      <c r="O63" s="14" t="s">
        <v>861</v>
      </c>
      <c r="P63" s="14" t="s">
        <v>856</v>
      </c>
      <c r="T63" t="s">
        <v>829</v>
      </c>
      <c r="U63" s="1">
        <v>2</v>
      </c>
      <c r="W63" s="140">
        <v>61</v>
      </c>
      <c r="X63" t="s">
        <v>766</v>
      </c>
      <c r="AI63" t="s">
        <v>2135</v>
      </c>
      <c r="AJ63" t="s">
        <v>1980</v>
      </c>
    </row>
    <row r="64" spans="1:36" x14ac:dyDescent="0.3">
      <c r="A64" s="5"/>
      <c r="B64" t="s">
        <v>1058</v>
      </c>
      <c r="L64" s="12">
        <v>0.874999999999998</v>
      </c>
      <c r="O64" s="14" t="s">
        <v>1677</v>
      </c>
      <c r="P64" s="14" t="s">
        <v>1675</v>
      </c>
      <c r="T64" t="s">
        <v>830</v>
      </c>
      <c r="U64" s="1">
        <v>2</v>
      </c>
      <c r="W64" s="140">
        <v>62</v>
      </c>
      <c r="X64" t="s">
        <v>863</v>
      </c>
      <c r="AI64" t="s">
        <v>1980</v>
      </c>
      <c r="AJ64" t="s">
        <v>1980</v>
      </c>
    </row>
    <row r="65" spans="1:36" x14ac:dyDescent="0.3">
      <c r="A65" s="5"/>
      <c r="B65" t="s">
        <v>1059</v>
      </c>
      <c r="L65" s="12">
        <v>0.88541666666666496</v>
      </c>
      <c r="O65" s="14" t="s">
        <v>1678</v>
      </c>
      <c r="P65" s="14" t="s">
        <v>1676</v>
      </c>
      <c r="T65" t="s">
        <v>2051</v>
      </c>
      <c r="U65" s="1">
        <v>0</v>
      </c>
      <c r="W65" s="140">
        <v>63</v>
      </c>
      <c r="X65" t="s">
        <v>864</v>
      </c>
      <c r="AI65" t="s">
        <v>2578</v>
      </c>
      <c r="AJ65" t="s">
        <v>1981</v>
      </c>
    </row>
    <row r="66" spans="1:36" x14ac:dyDescent="0.3">
      <c r="A66" s="5"/>
      <c r="B66" t="s">
        <v>903</v>
      </c>
      <c r="L66" s="12">
        <v>0.89583333333333104</v>
      </c>
      <c r="O66" s="14" t="s">
        <v>2585</v>
      </c>
      <c r="P66" s="14" t="s">
        <v>2561</v>
      </c>
      <c r="T66" t="s">
        <v>2377</v>
      </c>
      <c r="U66" s="1">
        <v>0</v>
      </c>
      <c r="W66" s="140">
        <v>64</v>
      </c>
      <c r="X66" t="s">
        <v>2018</v>
      </c>
      <c r="AI66" t="s">
        <v>1981</v>
      </c>
      <c r="AJ66" t="s">
        <v>1981</v>
      </c>
    </row>
    <row r="67" spans="1:36" x14ac:dyDescent="0.3">
      <c r="A67" s="5"/>
      <c r="B67" t="s">
        <v>904</v>
      </c>
      <c r="L67" s="12">
        <v>0.906249999999998</v>
      </c>
      <c r="O67" s="14" t="s">
        <v>2586</v>
      </c>
      <c r="P67" s="14" t="s">
        <v>2562</v>
      </c>
      <c r="T67" t="s">
        <v>2052</v>
      </c>
      <c r="U67" s="1">
        <v>3</v>
      </c>
      <c r="W67" s="140">
        <v>65</v>
      </c>
      <c r="X67" t="s">
        <v>865</v>
      </c>
      <c r="AI67" t="s">
        <v>2579</v>
      </c>
      <c r="AJ67" t="s">
        <v>2572</v>
      </c>
    </row>
    <row r="68" spans="1:36" x14ac:dyDescent="0.3">
      <c r="A68" s="5"/>
      <c r="B68" t="s">
        <v>905</v>
      </c>
      <c r="L68" s="12">
        <v>0.91666666666666496</v>
      </c>
      <c r="O68" s="14" t="s">
        <v>2587</v>
      </c>
      <c r="P68" s="14" t="s">
        <v>2563</v>
      </c>
      <c r="T68" t="s">
        <v>2606</v>
      </c>
      <c r="U68" s="1">
        <v>3</v>
      </c>
      <c r="W68" s="140">
        <v>66</v>
      </c>
      <c r="X68" t="s">
        <v>2584</v>
      </c>
      <c r="AI68" t="s">
        <v>2572</v>
      </c>
      <c r="AJ68" t="s">
        <v>2572</v>
      </c>
    </row>
    <row r="69" spans="1:36" x14ac:dyDescent="0.3">
      <c r="A69" s="5"/>
      <c r="B69" t="s">
        <v>906</v>
      </c>
      <c r="L69" s="12">
        <v>0.92708333333333104</v>
      </c>
      <c r="O69" s="14" t="s">
        <v>2588</v>
      </c>
      <c r="P69" s="14" t="s">
        <v>2564</v>
      </c>
      <c r="T69" t="s">
        <v>2053</v>
      </c>
      <c r="U69" s="1">
        <v>0</v>
      </c>
      <c r="W69" s="140">
        <v>67</v>
      </c>
      <c r="X69" t="s">
        <v>866</v>
      </c>
      <c r="AI69" t="s">
        <v>2580</v>
      </c>
      <c r="AJ69" t="s">
        <v>2573</v>
      </c>
    </row>
    <row r="70" spans="1:36" x14ac:dyDescent="0.3">
      <c r="A70" s="5"/>
      <c r="B70" t="s">
        <v>1060</v>
      </c>
      <c r="L70" s="12">
        <v>0.937499999999998</v>
      </c>
      <c r="O70" s="14" t="s">
        <v>2589</v>
      </c>
      <c r="P70" s="14" t="s">
        <v>2565</v>
      </c>
      <c r="T70" t="s">
        <v>2607</v>
      </c>
      <c r="U70" s="1">
        <v>0</v>
      </c>
      <c r="W70" s="140">
        <v>68</v>
      </c>
      <c r="X70" t="s">
        <v>2135</v>
      </c>
      <c r="AI70" t="s">
        <v>2573</v>
      </c>
      <c r="AJ70" t="s">
        <v>2573</v>
      </c>
    </row>
    <row r="71" spans="1:36" x14ac:dyDescent="0.3">
      <c r="A71" s="5"/>
      <c r="B71" t="s">
        <v>907</v>
      </c>
      <c r="L71" s="12">
        <v>0.94791666666666496</v>
      </c>
      <c r="O71" s="14" t="s">
        <v>2590</v>
      </c>
      <c r="P71" s="14" t="s">
        <v>2566</v>
      </c>
      <c r="T71" t="s">
        <v>2054</v>
      </c>
      <c r="U71" s="1">
        <v>4</v>
      </c>
      <c r="W71" s="140">
        <v>69</v>
      </c>
      <c r="X71" t="s">
        <v>2578</v>
      </c>
      <c r="AI71" t="s">
        <v>2581</v>
      </c>
      <c r="AJ71" t="s">
        <v>2574</v>
      </c>
    </row>
    <row r="72" spans="1:36" x14ac:dyDescent="0.3">
      <c r="A72" s="5"/>
      <c r="B72" t="s">
        <v>908</v>
      </c>
      <c r="L72" s="12">
        <v>0.95833333333333104</v>
      </c>
      <c r="O72" s="14" t="s">
        <v>2591</v>
      </c>
      <c r="P72" s="14" t="s">
        <v>2567</v>
      </c>
      <c r="T72" t="s">
        <v>2608</v>
      </c>
      <c r="U72" s="1">
        <v>4</v>
      </c>
      <c r="W72" s="140">
        <v>70</v>
      </c>
      <c r="X72" t="s">
        <v>2579</v>
      </c>
      <c r="AI72" t="s">
        <v>2574</v>
      </c>
      <c r="AJ72" t="s">
        <v>2574</v>
      </c>
    </row>
    <row r="73" spans="1:36" x14ac:dyDescent="0.3">
      <c r="A73" s="5"/>
      <c r="B73" t="s">
        <v>1061</v>
      </c>
      <c r="L73" s="12">
        <v>0.968749999999998</v>
      </c>
      <c r="O73" s="14" t="s">
        <v>2592</v>
      </c>
      <c r="P73" s="14" t="s">
        <v>2568</v>
      </c>
      <c r="T73" t="s">
        <v>2598</v>
      </c>
      <c r="U73" s="1">
        <v>0</v>
      </c>
      <c r="W73" s="140">
        <v>71</v>
      </c>
      <c r="X73" t="s">
        <v>2580</v>
      </c>
      <c r="AI73" t="s">
        <v>2582</v>
      </c>
      <c r="AJ73" t="s">
        <v>2575</v>
      </c>
    </row>
    <row r="74" spans="1:36" x14ac:dyDescent="0.3">
      <c r="A74" s="5"/>
      <c r="B74" t="s">
        <v>1062</v>
      </c>
      <c r="L74" s="12">
        <v>0.97916666666666397</v>
      </c>
      <c r="O74" s="14" t="s">
        <v>2593</v>
      </c>
      <c r="P74" s="14" t="s">
        <v>2569</v>
      </c>
      <c r="T74" t="s">
        <v>2609</v>
      </c>
      <c r="U74" s="1">
        <v>0</v>
      </c>
      <c r="W74" s="140">
        <v>72</v>
      </c>
      <c r="X74" t="s">
        <v>2581</v>
      </c>
      <c r="AI74" t="s">
        <v>2575</v>
      </c>
      <c r="AJ74" t="s">
        <v>2575</v>
      </c>
    </row>
    <row r="75" spans="1:36" x14ac:dyDescent="0.3">
      <c r="A75" s="5"/>
      <c r="B75" t="s">
        <v>895</v>
      </c>
      <c r="L75" s="12">
        <v>0.98958333333333104</v>
      </c>
      <c r="O75" s="14" t="s">
        <v>2594</v>
      </c>
      <c r="P75" s="14" t="s">
        <v>2570</v>
      </c>
      <c r="T75" t="s">
        <v>2599</v>
      </c>
      <c r="U75" s="1">
        <v>1</v>
      </c>
      <c r="W75" s="140">
        <v>73</v>
      </c>
      <c r="X75" t="s">
        <v>2582</v>
      </c>
      <c r="AI75" t="s">
        <v>2583</v>
      </c>
      <c r="AJ75" t="s">
        <v>2576</v>
      </c>
    </row>
    <row r="76" spans="1:36" x14ac:dyDescent="0.3">
      <c r="A76" s="5"/>
      <c r="B76" t="s">
        <v>1063</v>
      </c>
      <c r="L76" s="12">
        <v>0.999999999999998</v>
      </c>
      <c r="O76" s="14" t="s">
        <v>2595</v>
      </c>
      <c r="P76" s="14" t="s">
        <v>2571</v>
      </c>
      <c r="T76" t="s">
        <v>2610</v>
      </c>
      <c r="U76" s="1">
        <v>1</v>
      </c>
      <c r="W76" s="140">
        <v>74</v>
      </c>
      <c r="X76" t="s">
        <v>2583</v>
      </c>
      <c r="AI76" t="s">
        <v>2576</v>
      </c>
      <c r="AJ76" t="s">
        <v>2576</v>
      </c>
    </row>
    <row r="77" spans="1:36" x14ac:dyDescent="0.3">
      <c r="A77" s="5"/>
      <c r="B77" t="s">
        <v>1064</v>
      </c>
      <c r="L77" s="12">
        <v>1.0104166666666601</v>
      </c>
      <c r="O77" s="14" t="s">
        <v>67</v>
      </c>
      <c r="P77" s="14" t="s">
        <v>67</v>
      </c>
      <c r="T77" t="s">
        <v>2600</v>
      </c>
      <c r="U77" s="1">
        <v>2</v>
      </c>
      <c r="W77" s="140">
        <v>75</v>
      </c>
      <c r="X77" t="s">
        <v>737</v>
      </c>
      <c r="AI77" t="s">
        <v>737</v>
      </c>
      <c r="AJ77" t="s">
        <v>714</v>
      </c>
    </row>
    <row r="78" spans="1:36" x14ac:dyDescent="0.3">
      <c r="A78" s="5"/>
      <c r="B78" t="s">
        <v>1065</v>
      </c>
      <c r="L78" s="12">
        <v>1.0208333333333299</v>
      </c>
      <c r="O78" s="14" t="s">
        <v>66</v>
      </c>
      <c r="P78" s="14" t="s">
        <v>66</v>
      </c>
      <c r="T78" t="s">
        <v>2611</v>
      </c>
      <c r="U78" s="1">
        <v>2</v>
      </c>
      <c r="W78" s="140">
        <v>76</v>
      </c>
      <c r="X78" t="s">
        <v>1255</v>
      </c>
      <c r="AI78" t="s">
        <v>714</v>
      </c>
      <c r="AJ78" t="s">
        <v>714</v>
      </c>
    </row>
    <row r="79" spans="1:36" x14ac:dyDescent="0.3">
      <c r="A79" s="5"/>
      <c r="B79" t="s">
        <v>1066</v>
      </c>
      <c r="L79" s="12">
        <v>1.03125</v>
      </c>
      <c r="O79" s="14" t="s">
        <v>194</v>
      </c>
      <c r="P79" s="14" t="s">
        <v>194</v>
      </c>
      <c r="T79" t="s">
        <v>2601</v>
      </c>
      <c r="U79" s="1">
        <v>0</v>
      </c>
      <c r="W79" s="140">
        <v>77</v>
      </c>
      <c r="X79" t="s">
        <v>728</v>
      </c>
      <c r="AI79" t="s">
        <v>1255</v>
      </c>
      <c r="AJ79" t="s">
        <v>1235</v>
      </c>
    </row>
    <row r="80" spans="1:36" x14ac:dyDescent="0.3">
      <c r="A80" s="5"/>
      <c r="B80" t="s">
        <v>1067</v>
      </c>
      <c r="L80" s="12">
        <v>1.0416666666666601</v>
      </c>
      <c r="O80" s="14" t="s">
        <v>113</v>
      </c>
      <c r="P80" s="14" t="s">
        <v>113</v>
      </c>
      <c r="T80" t="s">
        <v>2612</v>
      </c>
      <c r="U80" s="1">
        <v>0</v>
      </c>
      <c r="W80" s="140">
        <v>78</v>
      </c>
      <c r="X80" t="s">
        <v>1256</v>
      </c>
      <c r="AI80" t="s">
        <v>1235</v>
      </c>
      <c r="AJ80" t="s">
        <v>1235</v>
      </c>
    </row>
    <row r="81" spans="1:36" x14ac:dyDescent="0.3">
      <c r="A81" s="5"/>
      <c r="B81" t="s">
        <v>1068</v>
      </c>
      <c r="L81" s="12">
        <v>1.0520833333333299</v>
      </c>
      <c r="O81" s="14" t="s">
        <v>195</v>
      </c>
      <c r="P81" s="14" t="s">
        <v>195</v>
      </c>
      <c r="T81" t="s">
        <v>1510</v>
      </c>
      <c r="U81" s="1">
        <v>1</v>
      </c>
      <c r="W81" s="140">
        <v>79</v>
      </c>
      <c r="X81" t="s">
        <v>738</v>
      </c>
      <c r="AI81" t="s">
        <v>728</v>
      </c>
      <c r="AJ81" t="s">
        <v>726</v>
      </c>
    </row>
    <row r="82" spans="1:36" x14ac:dyDescent="0.3">
      <c r="A82" s="5"/>
      <c r="B82" t="s">
        <v>1069</v>
      </c>
      <c r="L82" s="12">
        <v>1.0625</v>
      </c>
      <c r="O82" s="14" t="s">
        <v>196</v>
      </c>
      <c r="P82" s="14" t="s">
        <v>196</v>
      </c>
      <c r="T82" t="s">
        <v>1516</v>
      </c>
      <c r="U82" s="1">
        <v>1</v>
      </c>
      <c r="W82" s="140">
        <v>80</v>
      </c>
      <c r="X82" t="s">
        <v>1257</v>
      </c>
      <c r="AI82" t="s">
        <v>726</v>
      </c>
      <c r="AJ82" t="s">
        <v>726</v>
      </c>
    </row>
    <row r="83" spans="1:36" x14ac:dyDescent="0.3">
      <c r="A83" s="5"/>
      <c r="B83" t="s">
        <v>1070</v>
      </c>
      <c r="L83" s="12">
        <v>1.0729166666666601</v>
      </c>
      <c r="O83" s="14" t="s">
        <v>197</v>
      </c>
      <c r="P83" s="14" t="s">
        <v>197</v>
      </c>
      <c r="T83" t="s">
        <v>1511</v>
      </c>
      <c r="U83" s="1">
        <v>2</v>
      </c>
      <c r="W83" s="140">
        <v>81</v>
      </c>
      <c r="X83" t="s">
        <v>739</v>
      </c>
      <c r="AI83" t="s">
        <v>1256</v>
      </c>
      <c r="AJ83" t="s">
        <v>1236</v>
      </c>
    </row>
    <row r="84" spans="1:36" x14ac:dyDescent="0.3">
      <c r="A84" s="5"/>
      <c r="B84" t="s">
        <v>1071</v>
      </c>
      <c r="L84" s="12">
        <v>1.0833333333333299</v>
      </c>
      <c r="O84" s="14" t="s">
        <v>198</v>
      </c>
      <c r="P84" s="14" t="s">
        <v>198</v>
      </c>
      <c r="T84" t="s">
        <v>1517</v>
      </c>
      <c r="U84" s="1">
        <v>2</v>
      </c>
      <c r="W84" s="140">
        <v>82</v>
      </c>
      <c r="X84" t="s">
        <v>1258</v>
      </c>
      <c r="AI84" t="s">
        <v>1236</v>
      </c>
      <c r="AJ84" t="s">
        <v>1236</v>
      </c>
    </row>
    <row r="85" spans="1:36" x14ac:dyDescent="0.3">
      <c r="A85" s="5"/>
      <c r="B85" t="s">
        <v>1072</v>
      </c>
      <c r="L85" s="12">
        <v>1.09375</v>
      </c>
      <c r="O85" s="14" t="s">
        <v>769</v>
      </c>
      <c r="P85" s="14" t="s">
        <v>769</v>
      </c>
      <c r="T85" t="s">
        <v>1512</v>
      </c>
      <c r="U85" s="1">
        <v>3</v>
      </c>
      <c r="W85" s="140">
        <v>83</v>
      </c>
      <c r="X85" t="s">
        <v>734</v>
      </c>
      <c r="AI85" t="s">
        <v>738</v>
      </c>
      <c r="AJ85" t="s">
        <v>713</v>
      </c>
    </row>
    <row r="86" spans="1:36" x14ac:dyDescent="0.3">
      <c r="A86" s="5"/>
      <c r="B86" t="s">
        <v>1073</v>
      </c>
      <c r="L86" s="12">
        <v>1.1041666666666601</v>
      </c>
      <c r="O86" s="14" t="s">
        <v>767</v>
      </c>
      <c r="P86" s="14" t="s">
        <v>767</v>
      </c>
      <c r="T86" t="s">
        <v>1518</v>
      </c>
      <c r="U86" s="1">
        <v>3</v>
      </c>
      <c r="W86" s="140">
        <v>84</v>
      </c>
      <c r="X86" t="s">
        <v>1259</v>
      </c>
      <c r="AI86" t="s">
        <v>713</v>
      </c>
      <c r="AJ86" t="s">
        <v>713</v>
      </c>
    </row>
    <row r="87" spans="1:36" x14ac:dyDescent="0.3">
      <c r="A87" s="5"/>
      <c r="B87" s="5"/>
      <c r="L87" s="12">
        <v>1.1145833333333299</v>
      </c>
      <c r="O87" s="14" t="s">
        <v>680</v>
      </c>
      <c r="P87" s="14" t="s">
        <v>680</v>
      </c>
      <c r="T87" t="s">
        <v>1513</v>
      </c>
      <c r="U87" s="1">
        <v>4</v>
      </c>
      <c r="W87" s="140">
        <v>85</v>
      </c>
      <c r="X87" t="s">
        <v>743</v>
      </c>
      <c r="AI87" t="s">
        <v>1257</v>
      </c>
      <c r="AJ87" t="s">
        <v>1237</v>
      </c>
    </row>
    <row r="88" spans="1:36" x14ac:dyDescent="0.3">
      <c r="A88" s="5"/>
      <c r="B88" s="5"/>
      <c r="L88" s="12">
        <v>1.125</v>
      </c>
      <c r="O88" s="14" t="s">
        <v>754</v>
      </c>
      <c r="P88" s="14" t="s">
        <v>754</v>
      </c>
      <c r="T88" t="s">
        <v>1519</v>
      </c>
      <c r="U88" s="1">
        <v>4</v>
      </c>
      <c r="W88" s="140">
        <v>86</v>
      </c>
      <c r="X88" t="s">
        <v>1260</v>
      </c>
      <c r="AI88" t="s">
        <v>1237</v>
      </c>
      <c r="AJ88" t="s">
        <v>1237</v>
      </c>
    </row>
    <row r="89" spans="1:36" x14ac:dyDescent="0.3">
      <c r="A89" s="5"/>
      <c r="B89" s="5"/>
      <c r="L89" s="12">
        <v>1.1354166666666601</v>
      </c>
      <c r="O89" s="14" t="s">
        <v>857</v>
      </c>
      <c r="P89" s="14" t="s">
        <v>857</v>
      </c>
      <c r="T89" t="s">
        <v>1514</v>
      </c>
      <c r="U89" s="1">
        <v>0</v>
      </c>
      <c r="W89" s="140">
        <v>87</v>
      </c>
      <c r="X89" t="s">
        <v>744</v>
      </c>
      <c r="AI89" t="s">
        <v>739</v>
      </c>
      <c r="AJ89" t="s">
        <v>740</v>
      </c>
    </row>
    <row r="90" spans="1:36" x14ac:dyDescent="0.3">
      <c r="A90" s="5"/>
      <c r="B90" s="5"/>
      <c r="L90" s="12">
        <v>1.1458333333333299</v>
      </c>
      <c r="O90" s="14" t="s">
        <v>858</v>
      </c>
      <c r="P90" s="14" t="s">
        <v>858</v>
      </c>
      <c r="T90" t="s">
        <v>1520</v>
      </c>
      <c r="U90" s="1">
        <v>0</v>
      </c>
      <c r="W90" s="140">
        <v>88</v>
      </c>
      <c r="X90" t="s">
        <v>1261</v>
      </c>
      <c r="AI90" t="s">
        <v>740</v>
      </c>
      <c r="AJ90" t="s">
        <v>740</v>
      </c>
    </row>
    <row r="91" spans="1:36" x14ac:dyDescent="0.3">
      <c r="A91" s="5"/>
      <c r="B91" s="5"/>
      <c r="L91" s="12">
        <v>1.15625</v>
      </c>
      <c r="O91" s="14" t="s">
        <v>714</v>
      </c>
      <c r="P91" s="14" t="s">
        <v>714</v>
      </c>
      <c r="T91" t="s">
        <v>1515</v>
      </c>
      <c r="U91" s="1">
        <v>1</v>
      </c>
      <c r="W91" s="140">
        <v>89</v>
      </c>
      <c r="X91" t="s">
        <v>746</v>
      </c>
      <c r="AI91" t="s">
        <v>1258</v>
      </c>
      <c r="AJ91" t="s">
        <v>1238</v>
      </c>
    </row>
    <row r="92" spans="1:36" x14ac:dyDescent="0.3">
      <c r="A92" s="5"/>
      <c r="B92" s="5"/>
      <c r="L92" s="12">
        <v>1.1666666666666601</v>
      </c>
      <c r="O92" s="14" t="s">
        <v>1235</v>
      </c>
      <c r="P92" s="14" t="s">
        <v>1235</v>
      </c>
      <c r="T92" t="s">
        <v>1521</v>
      </c>
      <c r="U92" s="1">
        <v>1</v>
      </c>
      <c r="W92" s="140">
        <v>90</v>
      </c>
      <c r="X92" t="s">
        <v>1262</v>
      </c>
      <c r="AI92" t="s">
        <v>1238</v>
      </c>
      <c r="AJ92" t="s">
        <v>1238</v>
      </c>
    </row>
    <row r="93" spans="1:36" x14ac:dyDescent="0.3">
      <c r="A93" s="5"/>
      <c r="B93" s="5"/>
      <c r="L93" s="12">
        <v>1.1770833333333299</v>
      </c>
      <c r="O93" s="14" t="s">
        <v>726</v>
      </c>
      <c r="P93" s="14" t="s">
        <v>726</v>
      </c>
      <c r="T93" t="s">
        <v>2602</v>
      </c>
      <c r="U93" s="1">
        <v>0</v>
      </c>
      <c r="W93" s="140">
        <v>91</v>
      </c>
      <c r="X93" t="s">
        <v>748</v>
      </c>
      <c r="AI93" t="s">
        <v>734</v>
      </c>
      <c r="AJ93" t="s">
        <v>702</v>
      </c>
    </row>
    <row r="94" spans="1:36" x14ac:dyDescent="0.3">
      <c r="A94" s="5"/>
      <c r="B94" s="5"/>
      <c r="L94" s="12">
        <v>1.1875</v>
      </c>
      <c r="O94" s="14" t="s">
        <v>1236</v>
      </c>
      <c r="P94" s="14" t="s">
        <v>1236</v>
      </c>
      <c r="T94" t="s">
        <v>2613</v>
      </c>
      <c r="U94" s="1">
        <v>0</v>
      </c>
      <c r="W94" s="140">
        <v>92</v>
      </c>
      <c r="X94" t="s">
        <v>1263</v>
      </c>
      <c r="AI94" t="s">
        <v>702</v>
      </c>
      <c r="AJ94" t="s">
        <v>702</v>
      </c>
    </row>
    <row r="95" spans="1:36" x14ac:dyDescent="0.3">
      <c r="A95" s="5"/>
      <c r="B95" s="5"/>
      <c r="L95" s="12">
        <v>1.1979166666666601</v>
      </c>
      <c r="O95" s="14" t="s">
        <v>713</v>
      </c>
      <c r="P95" s="14" t="s">
        <v>713</v>
      </c>
      <c r="T95" t="s">
        <v>2603</v>
      </c>
      <c r="U95" s="1">
        <v>1</v>
      </c>
      <c r="W95" s="140">
        <v>93</v>
      </c>
      <c r="X95" t="s">
        <v>749</v>
      </c>
      <c r="AI95" t="s">
        <v>1259</v>
      </c>
      <c r="AJ95" t="s">
        <v>1239</v>
      </c>
    </row>
    <row r="96" spans="1:36" x14ac:dyDescent="0.3">
      <c r="A96" s="5"/>
      <c r="B96" s="5"/>
      <c r="L96" s="12">
        <v>1.2083333333333299</v>
      </c>
      <c r="O96" s="14" t="s">
        <v>1237</v>
      </c>
      <c r="P96" s="14" t="s">
        <v>1237</v>
      </c>
      <c r="T96" t="s">
        <v>2614</v>
      </c>
      <c r="U96" s="1">
        <v>1</v>
      </c>
      <c r="W96" s="140">
        <v>94</v>
      </c>
      <c r="X96" t="s">
        <v>1264</v>
      </c>
      <c r="AI96" t="s">
        <v>1239</v>
      </c>
      <c r="AJ96" t="s">
        <v>1239</v>
      </c>
    </row>
    <row r="97" spans="1:36" x14ac:dyDescent="0.3">
      <c r="A97" s="5"/>
      <c r="B97" s="5"/>
      <c r="L97" s="12">
        <v>1.21875</v>
      </c>
      <c r="O97" s="14" t="s">
        <v>740</v>
      </c>
      <c r="P97" s="14" t="s">
        <v>740</v>
      </c>
      <c r="T97" t="s">
        <v>2604</v>
      </c>
      <c r="U97" s="1">
        <v>2</v>
      </c>
      <c r="W97" s="140">
        <v>95</v>
      </c>
      <c r="X97" t="s">
        <v>751</v>
      </c>
      <c r="AI97" t="s">
        <v>743</v>
      </c>
      <c r="AJ97" t="s">
        <v>742</v>
      </c>
    </row>
    <row r="98" spans="1:36" x14ac:dyDescent="0.3">
      <c r="A98" s="5"/>
      <c r="B98" s="5"/>
      <c r="L98" s="12">
        <v>1.2291666666666601</v>
      </c>
      <c r="O98" s="14" t="s">
        <v>1238</v>
      </c>
      <c r="P98" s="14" t="s">
        <v>1238</v>
      </c>
      <c r="T98" t="s">
        <v>2615</v>
      </c>
      <c r="U98" s="1">
        <v>2</v>
      </c>
      <c r="W98" s="140">
        <v>96</v>
      </c>
      <c r="X98" t="s">
        <v>1265</v>
      </c>
      <c r="AI98" t="s">
        <v>742</v>
      </c>
      <c r="AJ98" t="s">
        <v>742</v>
      </c>
    </row>
    <row r="99" spans="1:36" x14ac:dyDescent="0.3">
      <c r="A99" s="5"/>
      <c r="B99" s="5"/>
      <c r="L99" s="12">
        <v>1.2395833333333299</v>
      </c>
      <c r="O99" s="14" t="s">
        <v>702</v>
      </c>
      <c r="P99" s="14" t="s">
        <v>702</v>
      </c>
      <c r="T99" t="s">
        <v>2605</v>
      </c>
      <c r="U99" s="1">
        <v>3</v>
      </c>
      <c r="W99" s="140">
        <v>97</v>
      </c>
      <c r="X99" t="s">
        <v>733</v>
      </c>
      <c r="AI99" t="s">
        <v>1260</v>
      </c>
      <c r="AJ99" t="s">
        <v>1240</v>
      </c>
    </row>
    <row r="100" spans="1:36" x14ac:dyDescent="0.3">
      <c r="A100" s="5"/>
      <c r="B100" s="5"/>
      <c r="L100" s="13" t="s">
        <v>840</v>
      </c>
      <c r="O100" s="14" t="s">
        <v>1239</v>
      </c>
      <c r="P100" s="14" t="s">
        <v>1239</v>
      </c>
      <c r="T100" t="s">
        <v>2616</v>
      </c>
      <c r="U100" s="1">
        <v>3</v>
      </c>
      <c r="W100" s="140">
        <v>98</v>
      </c>
      <c r="X100" t="s">
        <v>1266</v>
      </c>
      <c r="AI100" t="s">
        <v>1240</v>
      </c>
      <c r="AJ100" t="s">
        <v>1240</v>
      </c>
    </row>
    <row r="101" spans="1:36" x14ac:dyDescent="0.3">
      <c r="A101" s="5"/>
      <c r="B101" s="5"/>
      <c r="O101" s="14" t="s">
        <v>742</v>
      </c>
      <c r="P101" s="14" t="s">
        <v>742</v>
      </c>
      <c r="T101" t="s">
        <v>737</v>
      </c>
      <c r="U101" s="1">
        <v>0</v>
      </c>
      <c r="W101" s="140">
        <v>99</v>
      </c>
      <c r="X101" t="s">
        <v>725</v>
      </c>
      <c r="AI101" t="s">
        <v>744</v>
      </c>
      <c r="AJ101" t="s">
        <v>712</v>
      </c>
    </row>
    <row r="102" spans="1:36" x14ac:dyDescent="0.3">
      <c r="A102" s="5"/>
      <c r="B102" s="5"/>
      <c r="O102" s="14" t="s">
        <v>1240</v>
      </c>
      <c r="P102" s="14" t="s">
        <v>1240</v>
      </c>
      <c r="T102" t="s">
        <v>714</v>
      </c>
      <c r="U102" s="1">
        <v>0</v>
      </c>
      <c r="W102" s="140">
        <v>100</v>
      </c>
      <c r="X102" t="s">
        <v>1267</v>
      </c>
      <c r="AI102" t="s">
        <v>712</v>
      </c>
      <c r="AJ102" t="s">
        <v>712</v>
      </c>
    </row>
    <row r="103" spans="1:36" x14ac:dyDescent="0.3">
      <c r="A103" s="5"/>
      <c r="B103" s="5"/>
      <c r="O103" s="14" t="s">
        <v>712</v>
      </c>
      <c r="P103" s="14" t="s">
        <v>712</v>
      </c>
      <c r="T103" t="s">
        <v>1255</v>
      </c>
      <c r="U103" s="1">
        <v>1</v>
      </c>
      <c r="W103" s="140">
        <v>101</v>
      </c>
      <c r="X103" t="s">
        <v>745</v>
      </c>
      <c r="AI103" t="s">
        <v>1261</v>
      </c>
      <c r="AJ103" t="s">
        <v>1241</v>
      </c>
    </row>
    <row r="104" spans="1:36" x14ac:dyDescent="0.3">
      <c r="A104" s="5"/>
      <c r="B104" s="5"/>
      <c r="O104" s="14" t="s">
        <v>1241</v>
      </c>
      <c r="P104" s="14" t="s">
        <v>1241</v>
      </c>
      <c r="T104" t="s">
        <v>1235</v>
      </c>
      <c r="U104" s="1">
        <v>1</v>
      </c>
      <c r="W104" s="140">
        <v>102</v>
      </c>
      <c r="X104" t="s">
        <v>1268</v>
      </c>
      <c r="AI104" t="s">
        <v>1241</v>
      </c>
      <c r="AJ104" t="s">
        <v>1241</v>
      </c>
    </row>
    <row r="105" spans="1:36" x14ac:dyDescent="0.3">
      <c r="A105" s="5"/>
      <c r="B105" s="5"/>
      <c r="O105" s="14" t="s">
        <v>701</v>
      </c>
      <c r="P105" s="14" t="s">
        <v>701</v>
      </c>
      <c r="T105" t="s">
        <v>728</v>
      </c>
      <c r="U105" s="1">
        <v>2</v>
      </c>
      <c r="W105" s="140">
        <v>103</v>
      </c>
      <c r="X105" t="s">
        <v>741</v>
      </c>
      <c r="AI105" t="s">
        <v>746</v>
      </c>
      <c r="AJ105" t="s">
        <v>701</v>
      </c>
    </row>
    <row r="106" spans="1:36" x14ac:dyDescent="0.3">
      <c r="A106" s="5"/>
      <c r="B106" s="5"/>
      <c r="O106" s="14" t="s">
        <v>1242</v>
      </c>
      <c r="P106" s="14" t="s">
        <v>1242</v>
      </c>
      <c r="T106" t="s">
        <v>726</v>
      </c>
      <c r="U106" s="1">
        <v>2</v>
      </c>
      <c r="W106" s="140">
        <v>104</v>
      </c>
      <c r="X106" t="s">
        <v>1269</v>
      </c>
      <c r="AI106" t="s">
        <v>701</v>
      </c>
      <c r="AJ106" t="s">
        <v>701</v>
      </c>
    </row>
    <row r="107" spans="1:36" x14ac:dyDescent="0.3">
      <c r="A107" s="5"/>
      <c r="B107" s="5"/>
      <c r="O107" s="14" t="s">
        <v>704</v>
      </c>
      <c r="P107" s="14" t="s">
        <v>704</v>
      </c>
      <c r="T107" t="s">
        <v>1256</v>
      </c>
      <c r="U107" s="1">
        <v>3</v>
      </c>
      <c r="W107" s="140">
        <v>105</v>
      </c>
      <c r="X107" t="s">
        <v>732</v>
      </c>
      <c r="AI107" t="s">
        <v>1262</v>
      </c>
      <c r="AJ107" t="s">
        <v>1242</v>
      </c>
    </row>
    <row r="108" spans="1:36" x14ac:dyDescent="0.3">
      <c r="A108" s="5"/>
      <c r="B108" s="5"/>
      <c r="O108" s="14" t="s">
        <v>1243</v>
      </c>
      <c r="P108" s="14" t="s">
        <v>1243</v>
      </c>
      <c r="T108" t="s">
        <v>1236</v>
      </c>
      <c r="U108" s="1">
        <v>3</v>
      </c>
      <c r="W108" s="140">
        <v>106</v>
      </c>
      <c r="X108" t="s">
        <v>1270</v>
      </c>
      <c r="AI108" t="s">
        <v>1242</v>
      </c>
      <c r="AJ108" t="s">
        <v>1242</v>
      </c>
    </row>
    <row r="109" spans="1:36" x14ac:dyDescent="0.3">
      <c r="A109" s="5"/>
      <c r="B109" s="5"/>
      <c r="O109" s="14" t="s">
        <v>750</v>
      </c>
      <c r="P109" s="14" t="s">
        <v>750</v>
      </c>
      <c r="T109" t="s">
        <v>738</v>
      </c>
      <c r="U109" s="1">
        <v>4</v>
      </c>
      <c r="W109" s="140">
        <v>107</v>
      </c>
      <c r="X109" t="s">
        <v>753</v>
      </c>
      <c r="AI109" t="s">
        <v>748</v>
      </c>
      <c r="AJ109" t="s">
        <v>704</v>
      </c>
    </row>
    <row r="110" spans="1:36" x14ac:dyDescent="0.3">
      <c r="A110" s="5"/>
      <c r="B110" s="5"/>
      <c r="O110" s="14" t="s">
        <v>1244</v>
      </c>
      <c r="P110" s="14" t="s">
        <v>1244</v>
      </c>
      <c r="T110" t="s">
        <v>713</v>
      </c>
      <c r="U110" s="1">
        <v>4</v>
      </c>
      <c r="W110" s="140">
        <v>108</v>
      </c>
      <c r="X110" t="s">
        <v>1271</v>
      </c>
      <c r="AI110" t="s">
        <v>704</v>
      </c>
      <c r="AJ110" t="s">
        <v>704</v>
      </c>
    </row>
    <row r="111" spans="1:36" x14ac:dyDescent="0.3">
      <c r="A111" s="5"/>
      <c r="B111" s="5"/>
      <c r="O111" s="14" t="s">
        <v>715</v>
      </c>
      <c r="P111" s="14" t="s">
        <v>715</v>
      </c>
      <c r="T111" t="s">
        <v>1257</v>
      </c>
      <c r="U111" s="1">
        <v>0</v>
      </c>
      <c r="W111" s="140">
        <v>109</v>
      </c>
      <c r="X111" t="s">
        <v>755</v>
      </c>
      <c r="AI111" t="s">
        <v>1263</v>
      </c>
      <c r="AJ111" t="s">
        <v>1243</v>
      </c>
    </row>
    <row r="112" spans="1:36" x14ac:dyDescent="0.3">
      <c r="A112" s="5"/>
      <c r="B112" s="5"/>
      <c r="O112" s="14" t="s">
        <v>1245</v>
      </c>
      <c r="P112" s="14" t="s">
        <v>1245</v>
      </c>
      <c r="T112" t="s">
        <v>1237</v>
      </c>
      <c r="U112" s="1">
        <v>0</v>
      </c>
      <c r="W112" s="140">
        <v>110</v>
      </c>
      <c r="X112" t="s">
        <v>1272</v>
      </c>
      <c r="AI112" t="s">
        <v>1243</v>
      </c>
      <c r="AJ112" t="s">
        <v>1243</v>
      </c>
    </row>
    <row r="113" spans="1:36" x14ac:dyDescent="0.3">
      <c r="A113" s="5"/>
      <c r="B113" s="5"/>
      <c r="O113" s="14" t="s">
        <v>711</v>
      </c>
      <c r="P113" s="14" t="s">
        <v>711</v>
      </c>
      <c r="T113" t="s">
        <v>739</v>
      </c>
      <c r="U113" s="1">
        <v>1</v>
      </c>
      <c r="W113" s="140">
        <v>111</v>
      </c>
      <c r="X113" t="s">
        <v>756</v>
      </c>
      <c r="AI113" t="s">
        <v>749</v>
      </c>
      <c r="AJ113" t="s">
        <v>750</v>
      </c>
    </row>
    <row r="114" spans="1:36" x14ac:dyDescent="0.3">
      <c r="A114" s="5"/>
      <c r="B114" s="5"/>
      <c r="O114" s="14" t="s">
        <v>1246</v>
      </c>
      <c r="P114" s="14" t="s">
        <v>1246</v>
      </c>
      <c r="T114" t="s">
        <v>740</v>
      </c>
      <c r="U114" s="1">
        <v>1</v>
      </c>
      <c r="W114" s="140">
        <v>112</v>
      </c>
      <c r="X114" t="s">
        <v>1273</v>
      </c>
      <c r="AI114" t="s">
        <v>750</v>
      </c>
      <c r="AJ114" t="s">
        <v>750</v>
      </c>
    </row>
    <row r="115" spans="1:36" x14ac:dyDescent="0.3">
      <c r="A115" s="5"/>
      <c r="B115" s="5"/>
      <c r="O115" s="14" t="s">
        <v>700</v>
      </c>
      <c r="P115" s="14" t="s">
        <v>700</v>
      </c>
      <c r="T115" t="s">
        <v>1258</v>
      </c>
      <c r="U115" s="1">
        <v>2</v>
      </c>
      <c r="W115" s="140">
        <v>113</v>
      </c>
      <c r="X115" t="s">
        <v>758</v>
      </c>
      <c r="AI115" t="s">
        <v>1264</v>
      </c>
      <c r="AJ115" t="s">
        <v>1244</v>
      </c>
    </row>
    <row r="116" spans="1:36" x14ac:dyDescent="0.3">
      <c r="A116" s="5"/>
      <c r="B116" s="5"/>
      <c r="O116" s="14" t="s">
        <v>1247</v>
      </c>
      <c r="P116" s="14" t="s">
        <v>1247</v>
      </c>
      <c r="T116" t="s">
        <v>1238</v>
      </c>
      <c r="U116" s="1">
        <v>2</v>
      </c>
      <c r="W116" s="140">
        <v>114</v>
      </c>
      <c r="X116" t="s">
        <v>1274</v>
      </c>
      <c r="AI116" t="s">
        <v>1244</v>
      </c>
      <c r="AJ116" t="s">
        <v>1244</v>
      </c>
    </row>
    <row r="117" spans="1:36" x14ac:dyDescent="0.3">
      <c r="A117" s="5"/>
      <c r="B117" s="5"/>
      <c r="O117" s="14" t="s">
        <v>716</v>
      </c>
      <c r="P117" s="14" t="s">
        <v>716</v>
      </c>
      <c r="T117" t="s">
        <v>734</v>
      </c>
      <c r="U117" s="1">
        <v>3</v>
      </c>
      <c r="W117" s="140">
        <v>115</v>
      </c>
      <c r="X117" t="s">
        <v>1834</v>
      </c>
      <c r="AI117" t="s">
        <v>751</v>
      </c>
      <c r="AJ117" t="s">
        <v>715</v>
      </c>
    </row>
    <row r="118" spans="1:36" x14ac:dyDescent="0.3">
      <c r="A118" s="5"/>
      <c r="B118" s="5"/>
      <c r="O118" s="14" t="s">
        <v>1248</v>
      </c>
      <c r="P118" s="14" t="s">
        <v>1248</v>
      </c>
      <c r="T118" t="s">
        <v>702</v>
      </c>
      <c r="U118" s="1">
        <v>3</v>
      </c>
      <c r="W118" s="140">
        <v>116</v>
      </c>
      <c r="X118" t="s">
        <v>1835</v>
      </c>
      <c r="AI118" t="s">
        <v>715</v>
      </c>
      <c r="AJ118" t="s">
        <v>715</v>
      </c>
    </row>
    <row r="119" spans="1:36" x14ac:dyDescent="0.3">
      <c r="A119" s="5"/>
      <c r="B119" s="5"/>
      <c r="O119" s="14" t="s">
        <v>752</v>
      </c>
      <c r="P119" s="14" t="s">
        <v>752</v>
      </c>
      <c r="T119" t="s">
        <v>1259</v>
      </c>
      <c r="U119" s="1">
        <v>4</v>
      </c>
      <c r="W119" s="140">
        <v>117</v>
      </c>
      <c r="X119" t="s">
        <v>1838</v>
      </c>
      <c r="AI119" t="s">
        <v>1265</v>
      </c>
      <c r="AJ119" t="s">
        <v>1245</v>
      </c>
    </row>
    <row r="120" spans="1:36" x14ac:dyDescent="0.3">
      <c r="A120" s="5"/>
      <c r="B120" s="5"/>
      <c r="O120" s="14" t="s">
        <v>1249</v>
      </c>
      <c r="P120" s="14" t="s">
        <v>1249</v>
      </c>
      <c r="T120" t="s">
        <v>1239</v>
      </c>
      <c r="U120" s="1">
        <v>4</v>
      </c>
      <c r="W120" s="140">
        <v>118</v>
      </c>
      <c r="X120" t="s">
        <v>1836</v>
      </c>
      <c r="AI120" t="s">
        <v>1245</v>
      </c>
      <c r="AJ120" t="s">
        <v>1245</v>
      </c>
    </row>
    <row r="121" spans="1:36" x14ac:dyDescent="0.3">
      <c r="A121" s="5"/>
      <c r="B121" s="5"/>
      <c r="O121" s="14" t="s">
        <v>731</v>
      </c>
      <c r="P121" s="14" t="s">
        <v>731</v>
      </c>
      <c r="T121" t="s">
        <v>743</v>
      </c>
      <c r="U121" s="1">
        <v>0</v>
      </c>
      <c r="W121" s="140">
        <v>119</v>
      </c>
      <c r="X121" t="s">
        <v>860</v>
      </c>
      <c r="AI121" t="s">
        <v>733</v>
      </c>
      <c r="AJ121" t="s">
        <v>711</v>
      </c>
    </row>
    <row r="122" spans="1:36" x14ac:dyDescent="0.3">
      <c r="A122" s="5"/>
      <c r="B122" s="5"/>
      <c r="O122" s="14" t="s">
        <v>1250</v>
      </c>
      <c r="P122" s="14" t="s">
        <v>1250</v>
      </c>
      <c r="T122" t="s">
        <v>742</v>
      </c>
      <c r="U122" s="1">
        <v>0</v>
      </c>
      <c r="W122" s="140">
        <v>120</v>
      </c>
      <c r="X122" t="s">
        <v>2590</v>
      </c>
      <c r="AI122" t="s">
        <v>711</v>
      </c>
      <c r="AJ122" t="s">
        <v>711</v>
      </c>
    </row>
    <row r="123" spans="1:36" x14ac:dyDescent="0.3">
      <c r="A123" s="5"/>
      <c r="B123" s="5"/>
      <c r="O123" s="14" t="s">
        <v>717</v>
      </c>
      <c r="P123" s="14" t="s">
        <v>717</v>
      </c>
      <c r="T123" t="s">
        <v>1260</v>
      </c>
      <c r="U123" s="1">
        <v>1</v>
      </c>
      <c r="W123" s="140">
        <v>121</v>
      </c>
      <c r="X123" t="s">
        <v>2591</v>
      </c>
      <c r="AI123" t="s">
        <v>1266</v>
      </c>
      <c r="AJ123" t="s">
        <v>1246</v>
      </c>
    </row>
    <row r="124" spans="1:36" x14ac:dyDescent="0.3">
      <c r="A124" s="5"/>
      <c r="B124" s="5"/>
      <c r="O124" s="14" t="s">
        <v>1251</v>
      </c>
      <c r="P124" s="14" t="s">
        <v>1251</v>
      </c>
      <c r="T124" t="s">
        <v>1240</v>
      </c>
      <c r="U124" s="1">
        <v>1</v>
      </c>
      <c r="W124" s="140">
        <v>122</v>
      </c>
      <c r="X124" t="s">
        <v>2592</v>
      </c>
      <c r="AI124" t="s">
        <v>1246</v>
      </c>
      <c r="AJ124" t="s">
        <v>1246</v>
      </c>
    </row>
    <row r="125" spans="1:36" x14ac:dyDescent="0.3">
      <c r="A125" s="5"/>
      <c r="B125" s="5"/>
      <c r="O125" s="14" t="s">
        <v>703</v>
      </c>
      <c r="P125" s="14" t="s">
        <v>703</v>
      </c>
      <c r="T125" t="s">
        <v>744</v>
      </c>
      <c r="U125" s="1">
        <v>2</v>
      </c>
      <c r="W125" s="140">
        <v>123</v>
      </c>
      <c r="X125" t="s">
        <v>2593</v>
      </c>
      <c r="AI125" t="s">
        <v>725</v>
      </c>
      <c r="AJ125" t="s">
        <v>700</v>
      </c>
    </row>
    <row r="126" spans="1:36" x14ac:dyDescent="0.3">
      <c r="A126" s="5"/>
      <c r="B126" s="5"/>
      <c r="O126" s="14" t="s">
        <v>1252</v>
      </c>
      <c r="P126" s="14" t="s">
        <v>1252</v>
      </c>
      <c r="T126" t="s">
        <v>712</v>
      </c>
      <c r="U126" s="1">
        <v>2</v>
      </c>
      <c r="W126" s="140">
        <v>124</v>
      </c>
      <c r="X126" t="s">
        <v>2594</v>
      </c>
      <c r="AI126" t="s">
        <v>700</v>
      </c>
      <c r="AJ126" t="s">
        <v>700</v>
      </c>
    </row>
    <row r="127" spans="1:36" x14ac:dyDescent="0.3">
      <c r="A127" s="5"/>
      <c r="B127" s="5"/>
      <c r="O127" s="14" t="s">
        <v>730</v>
      </c>
      <c r="P127" s="14" t="s">
        <v>730</v>
      </c>
      <c r="T127" t="s">
        <v>1261</v>
      </c>
      <c r="U127" s="1">
        <v>3</v>
      </c>
      <c r="W127" s="140">
        <v>125</v>
      </c>
      <c r="X127" t="s">
        <v>2595</v>
      </c>
      <c r="AI127" t="s">
        <v>1267</v>
      </c>
      <c r="AJ127" t="s">
        <v>1247</v>
      </c>
    </row>
    <row r="128" spans="1:36" x14ac:dyDescent="0.3">
      <c r="A128" s="5"/>
      <c r="B128" s="5"/>
      <c r="O128" s="14" t="s">
        <v>1253</v>
      </c>
      <c r="P128" s="14" t="s">
        <v>1253</v>
      </c>
      <c r="T128" t="s">
        <v>1241</v>
      </c>
      <c r="U128" s="1">
        <v>3</v>
      </c>
      <c r="W128" s="140">
        <v>126</v>
      </c>
      <c r="X128" t="s">
        <v>861</v>
      </c>
      <c r="AI128" t="s">
        <v>1247</v>
      </c>
      <c r="AJ128" t="s">
        <v>1247</v>
      </c>
    </row>
    <row r="129" spans="1:36" x14ac:dyDescent="0.3">
      <c r="A129" s="5"/>
      <c r="B129" s="5"/>
      <c r="O129" s="14" t="s">
        <v>757</v>
      </c>
      <c r="P129" s="14" t="s">
        <v>757</v>
      </c>
      <c r="T129" t="s">
        <v>746</v>
      </c>
      <c r="U129" s="1">
        <v>4</v>
      </c>
      <c r="W129" s="140">
        <v>127</v>
      </c>
      <c r="X129" t="s">
        <v>1677</v>
      </c>
      <c r="AI129" t="s">
        <v>745</v>
      </c>
      <c r="AJ129" t="s">
        <v>716</v>
      </c>
    </row>
    <row r="130" spans="1:36" x14ac:dyDescent="0.3">
      <c r="A130" s="5"/>
      <c r="B130" s="5"/>
      <c r="O130" s="14" t="s">
        <v>1254</v>
      </c>
      <c r="P130" s="14" t="s">
        <v>1254</v>
      </c>
      <c r="T130" t="s">
        <v>701</v>
      </c>
      <c r="U130" s="1">
        <v>4</v>
      </c>
      <c r="W130" s="140">
        <v>128</v>
      </c>
      <c r="X130" t="s">
        <v>1678</v>
      </c>
      <c r="AI130" t="s">
        <v>716</v>
      </c>
      <c r="AJ130" t="s">
        <v>716</v>
      </c>
    </row>
    <row r="131" spans="1:36" x14ac:dyDescent="0.3">
      <c r="A131" s="5"/>
      <c r="B131" s="5"/>
      <c r="O131" s="14" t="s">
        <v>1832</v>
      </c>
      <c r="P131" s="14" t="s">
        <v>1832</v>
      </c>
      <c r="T131" t="s">
        <v>1262</v>
      </c>
      <c r="U131" s="1">
        <v>0</v>
      </c>
      <c r="W131" s="140">
        <v>129</v>
      </c>
      <c r="X131" t="s">
        <v>2585</v>
      </c>
      <c r="AI131" t="s">
        <v>1268</v>
      </c>
      <c r="AJ131" t="s">
        <v>1248</v>
      </c>
    </row>
    <row r="132" spans="1:36" x14ac:dyDescent="0.3">
      <c r="A132" s="5"/>
      <c r="B132" s="5"/>
      <c r="O132" s="14" t="s">
        <v>1833</v>
      </c>
      <c r="P132" s="14" t="s">
        <v>1833</v>
      </c>
      <c r="T132" t="s">
        <v>1242</v>
      </c>
      <c r="U132" s="1">
        <v>0</v>
      </c>
      <c r="W132" s="140">
        <v>130</v>
      </c>
      <c r="X132" t="s">
        <v>2586</v>
      </c>
      <c r="AI132" t="s">
        <v>1248</v>
      </c>
      <c r="AJ132" t="s">
        <v>1248</v>
      </c>
    </row>
    <row r="133" spans="1:36" x14ac:dyDescent="0.3">
      <c r="A133" s="5"/>
      <c r="B133" s="5"/>
      <c r="O133" s="14" t="s">
        <v>772</v>
      </c>
      <c r="P133" s="14" t="s">
        <v>772</v>
      </c>
      <c r="T133" t="s">
        <v>748</v>
      </c>
      <c r="U133" s="1">
        <v>1</v>
      </c>
      <c r="W133" s="140">
        <v>131</v>
      </c>
      <c r="X133" t="s">
        <v>2587</v>
      </c>
      <c r="AI133" t="s">
        <v>741</v>
      </c>
      <c r="AJ133" t="s">
        <v>752</v>
      </c>
    </row>
    <row r="134" spans="1:36" x14ac:dyDescent="0.3">
      <c r="A134" s="5"/>
      <c r="B134" s="5"/>
      <c r="O134" s="14" t="s">
        <v>856</v>
      </c>
      <c r="P134" s="14" t="s">
        <v>856</v>
      </c>
      <c r="T134" t="s">
        <v>704</v>
      </c>
      <c r="U134" s="1">
        <v>1</v>
      </c>
      <c r="W134" s="140">
        <v>132</v>
      </c>
      <c r="X134" t="s">
        <v>2588</v>
      </c>
      <c r="AI134" t="s">
        <v>752</v>
      </c>
      <c r="AJ134" t="s">
        <v>752</v>
      </c>
    </row>
    <row r="135" spans="1:36" x14ac:dyDescent="0.3">
      <c r="A135" s="5"/>
      <c r="B135" s="5"/>
      <c r="O135" s="14" t="s">
        <v>1675</v>
      </c>
      <c r="P135" s="14" t="s">
        <v>1675</v>
      </c>
      <c r="T135" t="s">
        <v>1263</v>
      </c>
      <c r="U135" s="1">
        <v>2</v>
      </c>
      <c r="W135" s="140">
        <v>133</v>
      </c>
      <c r="X135" t="s">
        <v>2589</v>
      </c>
      <c r="AI135" t="s">
        <v>1269</v>
      </c>
      <c r="AJ135" t="s">
        <v>1249</v>
      </c>
    </row>
    <row r="136" spans="1:36" x14ac:dyDescent="0.3">
      <c r="A136" s="5"/>
      <c r="B136" s="5"/>
      <c r="O136" s="14" t="s">
        <v>1676</v>
      </c>
      <c r="P136" s="14" t="s">
        <v>1676</v>
      </c>
      <c r="T136" t="s">
        <v>1243</v>
      </c>
      <c r="U136" s="1">
        <v>2</v>
      </c>
      <c r="W136" s="140">
        <v>134</v>
      </c>
      <c r="X136" t="s">
        <v>709</v>
      </c>
      <c r="AI136" t="s">
        <v>1249</v>
      </c>
      <c r="AJ136" t="s">
        <v>1249</v>
      </c>
    </row>
    <row r="137" spans="1:36" x14ac:dyDescent="0.3">
      <c r="A137" s="5"/>
      <c r="B137" s="5"/>
      <c r="T137" t="s">
        <v>749</v>
      </c>
      <c r="U137" s="1">
        <v>3</v>
      </c>
      <c r="W137" s="140">
        <v>135</v>
      </c>
      <c r="X137" t="s">
        <v>792</v>
      </c>
      <c r="AI137" t="s">
        <v>732</v>
      </c>
      <c r="AJ137" t="s">
        <v>731</v>
      </c>
    </row>
    <row r="138" spans="1:36" x14ac:dyDescent="0.3">
      <c r="A138" s="5"/>
      <c r="B138" s="5"/>
      <c r="T138" t="s">
        <v>750</v>
      </c>
      <c r="U138" s="1">
        <v>3</v>
      </c>
      <c r="W138" s="140">
        <v>136</v>
      </c>
      <c r="X138" t="s">
        <v>259</v>
      </c>
      <c r="AI138" t="s">
        <v>731</v>
      </c>
      <c r="AJ138" t="s">
        <v>731</v>
      </c>
    </row>
    <row r="139" spans="1:36" x14ac:dyDescent="0.3">
      <c r="A139" s="5"/>
      <c r="B139" s="5"/>
      <c r="T139" t="s">
        <v>1264</v>
      </c>
      <c r="U139" s="1">
        <v>4</v>
      </c>
      <c r="W139" s="140">
        <v>137</v>
      </c>
      <c r="X139" t="s">
        <v>807</v>
      </c>
      <c r="AI139" t="s">
        <v>1270</v>
      </c>
      <c r="AJ139" t="s">
        <v>1250</v>
      </c>
    </row>
    <row r="140" spans="1:36" x14ac:dyDescent="0.3">
      <c r="A140" s="5"/>
      <c r="B140" s="5"/>
      <c r="T140" t="s">
        <v>1244</v>
      </c>
      <c r="U140" s="1">
        <v>4</v>
      </c>
      <c r="W140" s="140">
        <v>138</v>
      </c>
      <c r="X140" s="9" t="s">
        <v>910</v>
      </c>
      <c r="AI140" t="s">
        <v>1250</v>
      </c>
      <c r="AJ140" t="s">
        <v>1250</v>
      </c>
    </row>
    <row r="141" spans="1:36" x14ac:dyDescent="0.3">
      <c r="A141" s="5"/>
      <c r="B141" s="5"/>
      <c r="T141" t="s">
        <v>751</v>
      </c>
      <c r="U141" s="1">
        <v>0</v>
      </c>
      <c r="W141" s="140">
        <v>139</v>
      </c>
      <c r="X141" t="s">
        <v>808</v>
      </c>
      <c r="AI141" t="s">
        <v>753</v>
      </c>
      <c r="AJ141" t="s">
        <v>717</v>
      </c>
    </row>
    <row r="142" spans="1:36" x14ac:dyDescent="0.3">
      <c r="A142" s="5"/>
      <c r="B142" s="5"/>
      <c r="T142" t="s">
        <v>715</v>
      </c>
      <c r="U142" s="1">
        <v>0</v>
      </c>
      <c r="W142" s="140">
        <v>140</v>
      </c>
      <c r="X142" t="s">
        <v>809</v>
      </c>
      <c r="AI142" t="s">
        <v>717</v>
      </c>
      <c r="AJ142" t="s">
        <v>717</v>
      </c>
    </row>
    <row r="143" spans="1:36" x14ac:dyDescent="0.3">
      <c r="A143" s="5"/>
      <c r="B143" s="5"/>
      <c r="T143" t="s">
        <v>1265</v>
      </c>
      <c r="U143" s="1">
        <v>1</v>
      </c>
      <c r="W143" s="140">
        <v>141</v>
      </c>
      <c r="X143" t="s">
        <v>810</v>
      </c>
      <c r="AI143" t="s">
        <v>1271</v>
      </c>
      <c r="AJ143" t="s">
        <v>1251</v>
      </c>
    </row>
    <row r="144" spans="1:36" x14ac:dyDescent="0.3">
      <c r="A144" s="5"/>
      <c r="B144" s="5"/>
      <c r="T144" t="s">
        <v>1245</v>
      </c>
      <c r="U144" s="1">
        <v>1</v>
      </c>
      <c r="W144" s="140">
        <v>142</v>
      </c>
      <c r="X144" t="s">
        <v>798</v>
      </c>
      <c r="AI144" t="s">
        <v>1251</v>
      </c>
      <c r="AJ144" t="s">
        <v>1251</v>
      </c>
    </row>
    <row r="145" spans="1:36" x14ac:dyDescent="0.3">
      <c r="A145" s="5"/>
      <c r="B145" s="5"/>
      <c r="T145" t="s">
        <v>733</v>
      </c>
      <c r="U145" s="1">
        <v>2</v>
      </c>
      <c r="W145" s="140">
        <v>143</v>
      </c>
      <c r="X145" t="s">
        <v>797</v>
      </c>
      <c r="AI145" t="s">
        <v>755</v>
      </c>
      <c r="AJ145" t="s">
        <v>703</v>
      </c>
    </row>
    <row r="146" spans="1:36" x14ac:dyDescent="0.3">
      <c r="A146" s="5"/>
      <c r="B146" s="5"/>
      <c r="T146" t="s">
        <v>711</v>
      </c>
      <c r="U146" s="1">
        <v>2</v>
      </c>
      <c r="W146" s="140">
        <v>144</v>
      </c>
      <c r="X146" t="s">
        <v>1527</v>
      </c>
      <c r="AI146" t="s">
        <v>703</v>
      </c>
      <c r="AJ146" t="s">
        <v>703</v>
      </c>
    </row>
    <row r="147" spans="1:36" x14ac:dyDescent="0.3">
      <c r="A147" s="5"/>
      <c r="B147" s="5"/>
      <c r="T147" t="s">
        <v>1266</v>
      </c>
      <c r="U147" s="1">
        <v>3</v>
      </c>
      <c r="W147" s="140">
        <v>145</v>
      </c>
      <c r="X147" t="s">
        <v>799</v>
      </c>
      <c r="AI147" t="s">
        <v>1272</v>
      </c>
      <c r="AJ147" t="s">
        <v>1252</v>
      </c>
    </row>
    <row r="148" spans="1:36" x14ac:dyDescent="0.3">
      <c r="A148" s="5"/>
      <c r="B148" s="5"/>
      <c r="T148" t="s">
        <v>1246</v>
      </c>
      <c r="U148" s="1">
        <v>3</v>
      </c>
      <c r="W148" s="140">
        <v>146</v>
      </c>
      <c r="X148" t="s">
        <v>811</v>
      </c>
      <c r="AI148" t="s">
        <v>1252</v>
      </c>
      <c r="AJ148" t="s">
        <v>1252</v>
      </c>
    </row>
    <row r="149" spans="1:36" x14ac:dyDescent="0.3">
      <c r="A149" s="5"/>
      <c r="B149" s="5"/>
      <c r="T149" t="s">
        <v>725</v>
      </c>
      <c r="U149" s="1">
        <v>4</v>
      </c>
      <c r="W149" s="140">
        <v>147</v>
      </c>
      <c r="X149" s="9" t="s">
        <v>911</v>
      </c>
      <c r="AI149" t="s">
        <v>756</v>
      </c>
      <c r="AJ149" t="s">
        <v>730</v>
      </c>
    </row>
    <row r="150" spans="1:36" x14ac:dyDescent="0.3">
      <c r="A150" s="5"/>
      <c r="B150" s="5"/>
      <c r="T150" t="s">
        <v>700</v>
      </c>
      <c r="U150" s="1">
        <v>4</v>
      </c>
      <c r="W150" s="140">
        <v>148</v>
      </c>
      <c r="X150" t="s">
        <v>812</v>
      </c>
      <c r="AI150" t="s">
        <v>730</v>
      </c>
      <c r="AJ150" t="s">
        <v>730</v>
      </c>
    </row>
    <row r="151" spans="1:36" x14ac:dyDescent="0.3">
      <c r="A151" s="5"/>
      <c r="B151" s="5"/>
      <c r="T151" t="s">
        <v>1267</v>
      </c>
      <c r="U151" s="1">
        <v>0</v>
      </c>
      <c r="W151" s="140">
        <v>149</v>
      </c>
      <c r="X151" t="s">
        <v>1081</v>
      </c>
      <c r="AI151" t="s">
        <v>1273</v>
      </c>
      <c r="AJ151" t="s">
        <v>1253</v>
      </c>
    </row>
    <row r="152" spans="1:36" x14ac:dyDescent="0.3">
      <c r="A152" s="5"/>
      <c r="B152" s="5"/>
      <c r="T152" t="s">
        <v>1247</v>
      </c>
      <c r="U152" s="1">
        <v>0</v>
      </c>
      <c r="W152" s="140">
        <v>150</v>
      </c>
      <c r="X152" t="s">
        <v>77</v>
      </c>
      <c r="AI152" t="s">
        <v>1253</v>
      </c>
      <c r="AJ152" t="s">
        <v>1253</v>
      </c>
    </row>
    <row r="153" spans="1:36" x14ac:dyDescent="0.3">
      <c r="A153" s="5"/>
      <c r="B153" s="5"/>
      <c r="T153" t="s">
        <v>745</v>
      </c>
      <c r="U153" s="1">
        <v>1</v>
      </c>
      <c r="W153" s="140">
        <v>151</v>
      </c>
      <c r="X153" t="s">
        <v>774</v>
      </c>
      <c r="AI153" t="s">
        <v>758</v>
      </c>
      <c r="AJ153" t="s">
        <v>757</v>
      </c>
    </row>
    <row r="154" spans="1:36" x14ac:dyDescent="0.3">
      <c r="A154" s="2"/>
      <c r="B154" s="2"/>
      <c r="T154" t="s">
        <v>716</v>
      </c>
      <c r="U154" s="1">
        <v>1</v>
      </c>
      <c r="W154" s="140">
        <v>152</v>
      </c>
      <c r="X154" t="s">
        <v>784</v>
      </c>
      <c r="AI154" t="s">
        <v>757</v>
      </c>
      <c r="AJ154" t="s">
        <v>757</v>
      </c>
    </row>
    <row r="155" spans="1:36" x14ac:dyDescent="0.3">
      <c r="A155" s="2">
        <v>44875</v>
      </c>
      <c r="B155" s="2"/>
      <c r="T155" t="s">
        <v>1268</v>
      </c>
      <c r="U155" s="1">
        <v>2</v>
      </c>
      <c r="W155" s="140">
        <v>153</v>
      </c>
      <c r="X155" t="s">
        <v>791</v>
      </c>
      <c r="AI155" t="s">
        <v>1274</v>
      </c>
      <c r="AJ155" t="s">
        <v>1254</v>
      </c>
    </row>
    <row r="156" spans="1:36" x14ac:dyDescent="0.3">
      <c r="A156" s="2">
        <v>44876</v>
      </c>
      <c r="B156" s="2"/>
      <c r="T156" t="s">
        <v>1248</v>
      </c>
      <c r="U156" s="1">
        <v>2</v>
      </c>
      <c r="W156" s="140">
        <v>154</v>
      </c>
      <c r="X156" t="s">
        <v>788</v>
      </c>
      <c r="AI156" t="s">
        <v>1254</v>
      </c>
      <c r="AJ156" t="s">
        <v>1254</v>
      </c>
    </row>
    <row r="157" spans="1:36" x14ac:dyDescent="0.3">
      <c r="A157" s="2">
        <v>44877</v>
      </c>
      <c r="B157" s="2"/>
      <c r="T157" t="s">
        <v>741</v>
      </c>
      <c r="U157" s="1">
        <v>3</v>
      </c>
      <c r="W157" s="140">
        <v>155</v>
      </c>
      <c r="X157" t="s">
        <v>796</v>
      </c>
      <c r="AI157" t="s">
        <v>1834</v>
      </c>
      <c r="AJ157" t="s">
        <v>1832</v>
      </c>
    </row>
    <row r="158" spans="1:36" x14ac:dyDescent="0.3">
      <c r="A158" s="2">
        <v>44878</v>
      </c>
      <c r="B158" s="2"/>
      <c r="T158" t="s">
        <v>752</v>
      </c>
      <c r="U158" s="1">
        <v>3</v>
      </c>
      <c r="W158" s="140">
        <v>156</v>
      </c>
      <c r="X158" t="s">
        <v>786</v>
      </c>
      <c r="AI158" t="s">
        <v>1832</v>
      </c>
      <c r="AJ158" t="s">
        <v>1832</v>
      </c>
    </row>
    <row r="159" spans="1:36" x14ac:dyDescent="0.3">
      <c r="A159" s="2">
        <v>44879</v>
      </c>
      <c r="B159" s="2"/>
      <c r="T159" t="s">
        <v>1269</v>
      </c>
      <c r="U159" s="1">
        <v>4</v>
      </c>
      <c r="W159" s="140">
        <v>157</v>
      </c>
      <c r="X159" t="s">
        <v>218</v>
      </c>
      <c r="AI159" t="s">
        <v>1835</v>
      </c>
      <c r="AJ159" t="s">
        <v>1833</v>
      </c>
    </row>
    <row r="160" spans="1:36" x14ac:dyDescent="0.3">
      <c r="A160" s="2">
        <v>44880</v>
      </c>
      <c r="B160" s="2"/>
      <c r="T160" t="s">
        <v>1249</v>
      </c>
      <c r="U160" s="1">
        <v>4</v>
      </c>
      <c r="W160" s="140">
        <v>158</v>
      </c>
      <c r="X160" t="s">
        <v>2136</v>
      </c>
      <c r="AI160" t="s">
        <v>1833</v>
      </c>
      <c r="AJ160" t="s">
        <v>1833</v>
      </c>
    </row>
    <row r="161" spans="1:36" x14ac:dyDescent="0.3">
      <c r="A161" s="2">
        <v>44881</v>
      </c>
      <c r="B161" s="2"/>
      <c r="T161" t="s">
        <v>732</v>
      </c>
      <c r="U161" s="1">
        <v>0</v>
      </c>
      <c r="W161" s="140">
        <v>159</v>
      </c>
      <c r="X161" t="s">
        <v>1532</v>
      </c>
      <c r="AI161" t="s">
        <v>1838</v>
      </c>
      <c r="AJ161" t="s">
        <v>1839</v>
      </c>
    </row>
    <row r="162" spans="1:36" x14ac:dyDescent="0.3">
      <c r="A162" s="2">
        <v>44882</v>
      </c>
      <c r="B162" s="2"/>
      <c r="T162" t="s">
        <v>731</v>
      </c>
      <c r="U162" s="1">
        <v>0</v>
      </c>
      <c r="W162" s="140">
        <v>160</v>
      </c>
      <c r="X162" t="s">
        <v>813</v>
      </c>
      <c r="AI162" t="s">
        <v>1836</v>
      </c>
      <c r="AJ162" t="s">
        <v>1837</v>
      </c>
    </row>
    <row r="163" spans="1:36" x14ac:dyDescent="0.3">
      <c r="A163" s="2">
        <v>44883</v>
      </c>
      <c r="B163" s="2"/>
      <c r="T163" t="s">
        <v>1270</v>
      </c>
      <c r="U163" s="1">
        <v>1</v>
      </c>
      <c r="W163" s="140">
        <v>161</v>
      </c>
      <c r="X163" t="s">
        <v>814</v>
      </c>
      <c r="AI163" t="s">
        <v>860</v>
      </c>
      <c r="AJ163" t="s">
        <v>772</v>
      </c>
    </row>
    <row r="164" spans="1:36" x14ac:dyDescent="0.3">
      <c r="A164" s="2">
        <v>44884</v>
      </c>
      <c r="B164" s="2"/>
      <c r="T164" t="s">
        <v>1250</v>
      </c>
      <c r="U164" s="1">
        <v>1</v>
      </c>
      <c r="W164" s="140">
        <v>162</v>
      </c>
      <c r="X164" t="s">
        <v>785</v>
      </c>
      <c r="AI164" t="s">
        <v>772</v>
      </c>
      <c r="AJ164" t="s">
        <v>772</v>
      </c>
    </row>
    <row r="165" spans="1:36" x14ac:dyDescent="0.3">
      <c r="A165" s="2">
        <v>44885</v>
      </c>
      <c r="B165" s="2"/>
      <c r="T165" t="s">
        <v>753</v>
      </c>
      <c r="U165" s="1">
        <v>2</v>
      </c>
      <c r="W165" s="140">
        <v>163</v>
      </c>
      <c r="X165" t="s">
        <v>686</v>
      </c>
      <c r="AI165" t="s">
        <v>2590</v>
      </c>
      <c r="AJ165" t="s">
        <v>2566</v>
      </c>
    </row>
    <row r="166" spans="1:36" x14ac:dyDescent="0.3">
      <c r="A166" s="2">
        <v>44886</v>
      </c>
      <c r="B166" s="2"/>
      <c r="T166" t="s">
        <v>717</v>
      </c>
      <c r="U166" s="1">
        <v>2</v>
      </c>
      <c r="W166" s="140">
        <v>164</v>
      </c>
      <c r="X166" t="s">
        <v>821</v>
      </c>
      <c r="AI166" t="s">
        <v>2566</v>
      </c>
      <c r="AJ166" t="s">
        <v>2566</v>
      </c>
    </row>
    <row r="167" spans="1:36" x14ac:dyDescent="0.3">
      <c r="A167" s="2">
        <v>44887</v>
      </c>
      <c r="B167" s="2"/>
      <c r="T167" t="s">
        <v>1271</v>
      </c>
      <c r="U167" s="1">
        <v>3</v>
      </c>
      <c r="W167" s="140">
        <v>165</v>
      </c>
      <c r="X167" t="s">
        <v>822</v>
      </c>
      <c r="AI167" t="s">
        <v>2591</v>
      </c>
      <c r="AJ167" t="s">
        <v>2567</v>
      </c>
    </row>
    <row r="168" spans="1:36" x14ac:dyDescent="0.3">
      <c r="A168" s="2">
        <v>44888</v>
      </c>
      <c r="B168" s="2"/>
      <c r="T168" t="s">
        <v>1251</v>
      </c>
      <c r="U168" s="1">
        <v>3</v>
      </c>
      <c r="W168" s="140">
        <v>166</v>
      </c>
      <c r="X168" t="s">
        <v>823</v>
      </c>
      <c r="AI168" t="s">
        <v>2567</v>
      </c>
      <c r="AJ168" t="s">
        <v>2567</v>
      </c>
    </row>
    <row r="169" spans="1:36" x14ac:dyDescent="0.3">
      <c r="A169" s="2">
        <v>44889</v>
      </c>
      <c r="B169" s="2"/>
      <c r="T169" t="s">
        <v>755</v>
      </c>
      <c r="U169" s="1">
        <v>4</v>
      </c>
      <c r="W169" s="140">
        <v>167</v>
      </c>
      <c r="X169" t="s">
        <v>824</v>
      </c>
      <c r="AI169" t="s">
        <v>2592</v>
      </c>
      <c r="AJ169" t="s">
        <v>2568</v>
      </c>
    </row>
    <row r="170" spans="1:36" x14ac:dyDescent="0.3">
      <c r="A170" s="2">
        <v>44890</v>
      </c>
      <c r="B170" s="2"/>
      <c r="T170" t="s">
        <v>703</v>
      </c>
      <c r="U170" s="1">
        <v>4</v>
      </c>
      <c r="W170" s="140">
        <v>168</v>
      </c>
      <c r="X170" t="s">
        <v>679</v>
      </c>
      <c r="AI170" t="s">
        <v>2568</v>
      </c>
      <c r="AJ170" t="s">
        <v>2568</v>
      </c>
    </row>
    <row r="171" spans="1:36" x14ac:dyDescent="0.3">
      <c r="A171" s="2">
        <v>44891</v>
      </c>
      <c r="B171" s="2"/>
      <c r="T171" t="s">
        <v>1272</v>
      </c>
      <c r="U171" s="1">
        <v>0</v>
      </c>
      <c r="W171" s="140">
        <v>169</v>
      </c>
      <c r="X171" t="s">
        <v>193</v>
      </c>
      <c r="AI171" t="s">
        <v>2593</v>
      </c>
      <c r="AJ171" t="s">
        <v>2569</v>
      </c>
    </row>
    <row r="172" spans="1:36" x14ac:dyDescent="0.3">
      <c r="A172" s="2">
        <v>44892</v>
      </c>
      <c r="B172" s="2"/>
      <c r="T172" t="s">
        <v>1252</v>
      </c>
      <c r="U172" s="1">
        <v>0</v>
      </c>
      <c r="W172" s="140">
        <v>170</v>
      </c>
      <c r="X172" t="s">
        <v>1416</v>
      </c>
      <c r="AI172" t="s">
        <v>2569</v>
      </c>
      <c r="AJ172" t="s">
        <v>2569</v>
      </c>
    </row>
    <row r="173" spans="1:36" x14ac:dyDescent="0.3">
      <c r="A173" s="2">
        <v>44893</v>
      </c>
      <c r="B173" s="2"/>
      <c r="T173" t="s">
        <v>756</v>
      </c>
      <c r="U173" s="1">
        <v>1</v>
      </c>
      <c r="W173" s="140">
        <v>171</v>
      </c>
      <c r="X173" t="s">
        <v>1417</v>
      </c>
      <c r="AI173" t="s">
        <v>2594</v>
      </c>
      <c r="AJ173" t="s">
        <v>2570</v>
      </c>
    </row>
    <row r="174" spans="1:36" x14ac:dyDescent="0.3">
      <c r="A174" s="2">
        <v>44894</v>
      </c>
      <c r="B174" s="2"/>
      <c r="T174" t="s">
        <v>730</v>
      </c>
      <c r="U174" s="1">
        <v>1</v>
      </c>
      <c r="W174" s="140">
        <v>172</v>
      </c>
      <c r="X174" t="s">
        <v>1418</v>
      </c>
      <c r="AI174" t="s">
        <v>2570</v>
      </c>
      <c r="AJ174" t="s">
        <v>2570</v>
      </c>
    </row>
    <row r="175" spans="1:36" x14ac:dyDescent="0.3">
      <c r="A175" s="2">
        <v>44895</v>
      </c>
      <c r="B175" s="2"/>
      <c r="T175" t="s">
        <v>1273</v>
      </c>
      <c r="U175" s="1">
        <v>2</v>
      </c>
      <c r="W175" s="140">
        <v>173</v>
      </c>
      <c r="X175" t="s">
        <v>1411</v>
      </c>
      <c r="AI175" t="s">
        <v>2595</v>
      </c>
      <c r="AJ175" t="s">
        <v>2571</v>
      </c>
    </row>
    <row r="176" spans="1:36" x14ac:dyDescent="0.3">
      <c r="A176" s="2">
        <v>44896</v>
      </c>
      <c r="B176" s="2"/>
      <c r="T176" t="s">
        <v>1253</v>
      </c>
      <c r="U176" s="1">
        <v>2</v>
      </c>
      <c r="W176" s="140">
        <v>174</v>
      </c>
      <c r="X176" t="s">
        <v>782</v>
      </c>
      <c r="AI176" t="s">
        <v>2571</v>
      </c>
      <c r="AJ176" t="s">
        <v>2571</v>
      </c>
    </row>
    <row r="177" spans="1:36" x14ac:dyDescent="0.3">
      <c r="A177" s="2">
        <v>44897</v>
      </c>
      <c r="B177" s="2"/>
      <c r="T177" t="s">
        <v>758</v>
      </c>
      <c r="U177" s="1">
        <v>3</v>
      </c>
      <c r="W177" s="140">
        <v>175</v>
      </c>
      <c r="X177" t="s">
        <v>216</v>
      </c>
      <c r="AI177" t="s">
        <v>861</v>
      </c>
      <c r="AJ177" t="s">
        <v>856</v>
      </c>
    </row>
    <row r="178" spans="1:36" x14ac:dyDescent="0.3">
      <c r="A178" s="2">
        <v>44898</v>
      </c>
      <c r="B178" s="2"/>
      <c r="T178" t="s">
        <v>757</v>
      </c>
      <c r="U178" s="1">
        <v>3</v>
      </c>
      <c r="W178" s="140">
        <v>176</v>
      </c>
      <c r="X178" t="s">
        <v>806</v>
      </c>
      <c r="AI178" t="s">
        <v>856</v>
      </c>
      <c r="AJ178" t="s">
        <v>856</v>
      </c>
    </row>
    <row r="179" spans="1:36" x14ac:dyDescent="0.3">
      <c r="A179" s="2">
        <v>44899</v>
      </c>
      <c r="B179" s="2"/>
      <c r="T179" t="s">
        <v>1274</v>
      </c>
      <c r="U179" s="1">
        <v>4</v>
      </c>
      <c r="W179" s="140">
        <v>177</v>
      </c>
      <c r="X179" t="s">
        <v>1999</v>
      </c>
      <c r="AI179" t="s">
        <v>1677</v>
      </c>
      <c r="AJ179" t="s">
        <v>1675</v>
      </c>
    </row>
    <row r="180" spans="1:36" x14ac:dyDescent="0.3">
      <c r="A180" s="2">
        <v>44900</v>
      </c>
      <c r="B180" s="2"/>
      <c r="T180" t="s">
        <v>1254</v>
      </c>
      <c r="U180" s="1">
        <v>4</v>
      </c>
      <c r="W180" s="140">
        <v>178</v>
      </c>
      <c r="X180" t="s">
        <v>800</v>
      </c>
      <c r="AI180" t="s">
        <v>1675</v>
      </c>
      <c r="AJ180" t="s">
        <v>1675</v>
      </c>
    </row>
    <row r="181" spans="1:36" x14ac:dyDescent="0.3">
      <c r="A181" s="2">
        <v>44901</v>
      </c>
      <c r="B181" s="2"/>
      <c r="T181" t="s">
        <v>1834</v>
      </c>
      <c r="U181" s="1">
        <v>0</v>
      </c>
      <c r="W181" s="140">
        <v>179</v>
      </c>
      <c r="X181" t="s">
        <v>804</v>
      </c>
      <c r="AI181" t="s">
        <v>1678</v>
      </c>
      <c r="AJ181" t="s">
        <v>1676</v>
      </c>
    </row>
    <row r="182" spans="1:36" x14ac:dyDescent="0.3">
      <c r="A182" s="2">
        <v>44902</v>
      </c>
      <c r="B182" s="2"/>
      <c r="T182" t="s">
        <v>1832</v>
      </c>
      <c r="U182" s="1">
        <v>0</v>
      </c>
      <c r="W182" s="140">
        <v>180</v>
      </c>
      <c r="X182" t="s">
        <v>805</v>
      </c>
      <c r="AI182" t="s">
        <v>1676</v>
      </c>
      <c r="AJ182" t="s">
        <v>1676</v>
      </c>
    </row>
    <row r="183" spans="1:36" x14ac:dyDescent="0.3">
      <c r="A183" s="2">
        <v>44903</v>
      </c>
      <c r="B183" s="2"/>
      <c r="T183" t="s">
        <v>1835</v>
      </c>
      <c r="U183" s="1">
        <v>1</v>
      </c>
      <c r="W183" s="140">
        <v>181</v>
      </c>
      <c r="X183" t="s">
        <v>803</v>
      </c>
      <c r="AI183" t="s">
        <v>2585</v>
      </c>
      <c r="AJ183" t="s">
        <v>2561</v>
      </c>
    </row>
    <row r="184" spans="1:36" x14ac:dyDescent="0.3">
      <c r="A184" s="2">
        <v>44904</v>
      </c>
      <c r="B184" s="2"/>
      <c r="T184" t="s">
        <v>1833</v>
      </c>
      <c r="U184" s="1">
        <v>1</v>
      </c>
      <c r="W184" s="140">
        <v>182</v>
      </c>
      <c r="X184" t="s">
        <v>802</v>
      </c>
      <c r="AI184" t="s">
        <v>2561</v>
      </c>
      <c r="AJ184" t="s">
        <v>2561</v>
      </c>
    </row>
    <row r="185" spans="1:36" x14ac:dyDescent="0.3">
      <c r="A185" s="2">
        <v>44905</v>
      </c>
      <c r="B185" s="2"/>
      <c r="T185" t="s">
        <v>1838</v>
      </c>
      <c r="U185" s="1">
        <v>3</v>
      </c>
      <c r="W185" s="140">
        <v>183</v>
      </c>
      <c r="X185" t="s">
        <v>801</v>
      </c>
      <c r="AI185" t="s">
        <v>2586</v>
      </c>
      <c r="AJ185" t="s">
        <v>2562</v>
      </c>
    </row>
    <row r="186" spans="1:36" x14ac:dyDescent="0.3">
      <c r="A186" s="2">
        <v>44906</v>
      </c>
      <c r="B186" s="2"/>
      <c r="T186" t="s">
        <v>1839</v>
      </c>
      <c r="U186" s="1">
        <v>3</v>
      </c>
      <c r="W186" s="140">
        <v>184</v>
      </c>
      <c r="X186" t="s">
        <v>1000</v>
      </c>
      <c r="AI186" t="s">
        <v>2562</v>
      </c>
      <c r="AJ186" t="s">
        <v>2562</v>
      </c>
    </row>
    <row r="187" spans="1:36" x14ac:dyDescent="0.3">
      <c r="A187" s="2">
        <v>44907</v>
      </c>
      <c r="B187" s="2"/>
      <c r="T187" t="s">
        <v>1836</v>
      </c>
      <c r="U187" s="1">
        <v>0</v>
      </c>
      <c r="W187" s="140">
        <v>185</v>
      </c>
      <c r="X187" t="s">
        <v>825</v>
      </c>
      <c r="AI187" t="s">
        <v>2587</v>
      </c>
      <c r="AJ187" t="s">
        <v>2563</v>
      </c>
    </row>
    <row r="188" spans="1:36" x14ac:dyDescent="0.3">
      <c r="A188" s="2">
        <v>44908</v>
      </c>
      <c r="B188" s="2"/>
      <c r="T188" t="s">
        <v>2001</v>
      </c>
      <c r="U188" s="1">
        <v>0</v>
      </c>
      <c r="W188" s="140">
        <v>186</v>
      </c>
      <c r="X188" t="s">
        <v>773</v>
      </c>
      <c r="AI188" t="s">
        <v>2563</v>
      </c>
      <c r="AJ188" t="s">
        <v>2563</v>
      </c>
    </row>
    <row r="189" spans="1:36" x14ac:dyDescent="0.3">
      <c r="A189" s="2">
        <v>44909</v>
      </c>
      <c r="B189" s="2"/>
      <c r="T189" t="s">
        <v>860</v>
      </c>
      <c r="U189" s="1">
        <v>1</v>
      </c>
      <c r="W189" s="140">
        <v>187</v>
      </c>
      <c r="X189" s="9" t="s">
        <v>1079</v>
      </c>
      <c r="AI189" t="s">
        <v>2588</v>
      </c>
      <c r="AJ189" t="s">
        <v>2564</v>
      </c>
    </row>
    <row r="190" spans="1:36" x14ac:dyDescent="0.3">
      <c r="A190" s="2">
        <v>44910</v>
      </c>
      <c r="B190" s="2"/>
      <c r="T190" t="s">
        <v>772</v>
      </c>
      <c r="U190" s="1">
        <v>1</v>
      </c>
      <c r="W190" s="140">
        <v>188</v>
      </c>
      <c r="X190" t="s">
        <v>783</v>
      </c>
      <c r="AI190" t="s">
        <v>2564</v>
      </c>
      <c r="AJ190" t="s">
        <v>2564</v>
      </c>
    </row>
    <row r="191" spans="1:36" x14ac:dyDescent="0.3">
      <c r="A191" s="2">
        <v>44911</v>
      </c>
      <c r="B191" s="2"/>
      <c r="T191" t="s">
        <v>861</v>
      </c>
      <c r="U191" s="1">
        <v>2</v>
      </c>
      <c r="W191" s="140">
        <v>189</v>
      </c>
      <c r="X191" t="s">
        <v>16</v>
      </c>
      <c r="AI191" t="s">
        <v>2589</v>
      </c>
      <c r="AJ191" t="s">
        <v>2565</v>
      </c>
    </row>
    <row r="192" spans="1:36" x14ac:dyDescent="0.3">
      <c r="A192" s="2">
        <v>44912</v>
      </c>
      <c r="B192" s="2"/>
      <c r="T192" t="s">
        <v>856</v>
      </c>
      <c r="U192" s="1">
        <v>2</v>
      </c>
      <c r="W192" s="140">
        <v>190</v>
      </c>
      <c r="X192" t="s">
        <v>770</v>
      </c>
      <c r="AI192" t="s">
        <v>2565</v>
      </c>
      <c r="AJ192" t="s">
        <v>2565</v>
      </c>
    </row>
    <row r="193" spans="1:36" x14ac:dyDescent="0.3">
      <c r="A193" s="2">
        <v>44913</v>
      </c>
      <c r="B193" s="2"/>
      <c r="T193" t="s">
        <v>1677</v>
      </c>
      <c r="U193" s="1">
        <v>3</v>
      </c>
      <c r="W193" s="140">
        <v>191</v>
      </c>
      <c r="X193" t="s">
        <v>771</v>
      </c>
      <c r="AI193" t="s">
        <v>1516</v>
      </c>
      <c r="AJ193" t="s">
        <v>1510</v>
      </c>
    </row>
    <row r="194" spans="1:36" x14ac:dyDescent="0.3">
      <c r="A194" s="2">
        <v>44914</v>
      </c>
      <c r="B194" s="2"/>
      <c r="T194" t="s">
        <v>1675</v>
      </c>
      <c r="U194" s="1">
        <v>3</v>
      </c>
      <c r="W194" s="140">
        <v>192</v>
      </c>
      <c r="X194" t="s">
        <v>1399</v>
      </c>
      <c r="AI194" t="s">
        <v>1517</v>
      </c>
      <c r="AJ194" t="s">
        <v>1511</v>
      </c>
    </row>
    <row r="195" spans="1:36" x14ac:dyDescent="0.3">
      <c r="A195" s="2">
        <v>44915</v>
      </c>
      <c r="B195" s="2"/>
      <c r="T195" t="s">
        <v>1678</v>
      </c>
      <c r="U195" s="1">
        <v>4</v>
      </c>
      <c r="W195" s="140">
        <v>193</v>
      </c>
      <c r="X195" t="s">
        <v>67</v>
      </c>
      <c r="AI195" t="s">
        <v>1518</v>
      </c>
      <c r="AJ195" t="s">
        <v>1512</v>
      </c>
    </row>
    <row r="196" spans="1:36" x14ac:dyDescent="0.3">
      <c r="A196" s="2">
        <v>44916</v>
      </c>
      <c r="B196" s="2"/>
      <c r="T196" t="s">
        <v>1676</v>
      </c>
      <c r="U196" s="1">
        <v>4</v>
      </c>
      <c r="W196" s="140">
        <v>194</v>
      </c>
      <c r="X196" t="s">
        <v>66</v>
      </c>
      <c r="AI196" t="s">
        <v>1519</v>
      </c>
      <c r="AJ196" t="s">
        <v>1513</v>
      </c>
    </row>
    <row r="197" spans="1:36" x14ac:dyDescent="0.3">
      <c r="A197" s="2">
        <v>44917</v>
      </c>
      <c r="B197" s="2"/>
      <c r="T197" t="s">
        <v>2585</v>
      </c>
      <c r="U197" s="1">
        <v>0</v>
      </c>
      <c r="W197" s="140">
        <v>195</v>
      </c>
      <c r="X197" t="s">
        <v>194</v>
      </c>
      <c r="AI197" t="s">
        <v>1520</v>
      </c>
      <c r="AJ197" t="s">
        <v>1514</v>
      </c>
    </row>
    <row r="198" spans="1:36" x14ac:dyDescent="0.3">
      <c r="A198" s="2">
        <v>44918</v>
      </c>
      <c r="B198" s="2"/>
      <c r="T198" t="s">
        <v>2561</v>
      </c>
      <c r="U198" s="1">
        <v>0</v>
      </c>
      <c r="W198" s="140">
        <v>196</v>
      </c>
      <c r="X198" t="s">
        <v>113</v>
      </c>
      <c r="AI198" t="s">
        <v>1521</v>
      </c>
      <c r="AJ198" t="s">
        <v>1515</v>
      </c>
    </row>
    <row r="199" spans="1:36" x14ac:dyDescent="0.3">
      <c r="A199" s="2">
        <v>44919</v>
      </c>
      <c r="B199" s="2"/>
      <c r="T199" t="s">
        <v>2586</v>
      </c>
      <c r="U199" s="1">
        <v>1</v>
      </c>
      <c r="W199" s="140">
        <v>197</v>
      </c>
      <c r="X199" t="s">
        <v>195</v>
      </c>
      <c r="AI199" t="s">
        <v>2613</v>
      </c>
      <c r="AJ199" t="s">
        <v>2602</v>
      </c>
    </row>
    <row r="200" spans="1:36" x14ac:dyDescent="0.3">
      <c r="A200" s="2">
        <v>44920</v>
      </c>
      <c r="B200" s="2"/>
      <c r="T200" t="s">
        <v>2562</v>
      </c>
      <c r="U200" s="1">
        <v>1</v>
      </c>
      <c r="W200" s="140">
        <v>198</v>
      </c>
      <c r="X200" t="s">
        <v>196</v>
      </c>
      <c r="AI200" t="s">
        <v>2614</v>
      </c>
      <c r="AJ200" t="s">
        <v>2603</v>
      </c>
    </row>
    <row r="201" spans="1:36" x14ac:dyDescent="0.3">
      <c r="A201" s="2">
        <v>44921</v>
      </c>
      <c r="B201" s="2"/>
      <c r="T201" t="s">
        <v>2587</v>
      </c>
      <c r="U201" s="1">
        <v>2</v>
      </c>
      <c r="W201" s="140">
        <v>199</v>
      </c>
      <c r="X201" t="s">
        <v>197</v>
      </c>
      <c r="AI201" t="s">
        <v>2615</v>
      </c>
      <c r="AJ201" t="s">
        <v>2604</v>
      </c>
    </row>
    <row r="202" spans="1:36" x14ac:dyDescent="0.3">
      <c r="A202" s="2">
        <v>44922</v>
      </c>
      <c r="B202" s="2"/>
      <c r="T202" t="s">
        <v>2563</v>
      </c>
      <c r="U202" s="1">
        <v>2</v>
      </c>
      <c r="W202" s="140">
        <v>200</v>
      </c>
      <c r="X202" t="s">
        <v>198</v>
      </c>
      <c r="AI202" t="s">
        <v>2616</v>
      </c>
      <c r="AJ202" t="s">
        <v>2605</v>
      </c>
    </row>
    <row r="203" spans="1:36" x14ac:dyDescent="0.3">
      <c r="A203" s="2">
        <v>44923</v>
      </c>
      <c r="B203" s="2"/>
      <c r="T203" t="s">
        <v>2588</v>
      </c>
      <c r="U203" s="1">
        <v>3</v>
      </c>
      <c r="W203" s="140">
        <v>201</v>
      </c>
      <c r="X203" t="s">
        <v>769</v>
      </c>
    </row>
    <row r="204" spans="1:36" x14ac:dyDescent="0.3">
      <c r="A204" s="2">
        <v>44924</v>
      </c>
      <c r="B204" s="2"/>
      <c r="T204" t="s">
        <v>2564</v>
      </c>
      <c r="U204" s="1">
        <v>3</v>
      </c>
      <c r="W204" s="140">
        <v>202</v>
      </c>
      <c r="X204" t="s">
        <v>767</v>
      </c>
    </row>
    <row r="205" spans="1:36" x14ac:dyDescent="0.3">
      <c r="A205" s="2">
        <v>44925</v>
      </c>
      <c r="B205" s="2"/>
      <c r="T205" t="s">
        <v>2589</v>
      </c>
      <c r="U205" s="1">
        <v>4</v>
      </c>
      <c r="W205" s="140">
        <v>203</v>
      </c>
      <c r="X205" t="s">
        <v>680</v>
      </c>
    </row>
    <row r="206" spans="1:36" x14ac:dyDescent="0.3">
      <c r="A206" s="2">
        <v>44926</v>
      </c>
      <c r="B206" s="2"/>
      <c r="T206" t="s">
        <v>2565</v>
      </c>
      <c r="U206" s="1">
        <v>4</v>
      </c>
      <c r="W206" s="140">
        <v>204</v>
      </c>
      <c r="X206" t="s">
        <v>754</v>
      </c>
    </row>
    <row r="207" spans="1:36" x14ac:dyDescent="0.3">
      <c r="T207" t="s">
        <v>2590</v>
      </c>
      <c r="U207" s="1">
        <v>0</v>
      </c>
      <c r="W207" s="140">
        <v>205</v>
      </c>
      <c r="X207" t="s">
        <v>2015</v>
      </c>
    </row>
    <row r="208" spans="1:36" x14ac:dyDescent="0.3">
      <c r="T208" t="s">
        <v>2566</v>
      </c>
      <c r="U208" s="1">
        <v>0</v>
      </c>
      <c r="W208" s="140">
        <v>206</v>
      </c>
      <c r="X208" t="s">
        <v>2937</v>
      </c>
    </row>
    <row r="209" spans="20:24" x14ac:dyDescent="0.3">
      <c r="T209" t="s">
        <v>2591</v>
      </c>
      <c r="U209" s="1">
        <v>1</v>
      </c>
      <c r="W209" s="140">
        <v>207</v>
      </c>
      <c r="X209" t="s">
        <v>2577</v>
      </c>
    </row>
    <row r="210" spans="20:24" x14ac:dyDescent="0.3">
      <c r="T210" t="s">
        <v>2567</v>
      </c>
      <c r="U210" s="1">
        <v>1</v>
      </c>
      <c r="W210" s="140">
        <v>208</v>
      </c>
      <c r="X210" t="s">
        <v>858</v>
      </c>
    </row>
    <row r="211" spans="20:24" x14ac:dyDescent="0.3">
      <c r="T211" t="s">
        <v>2592</v>
      </c>
      <c r="U211" s="1">
        <v>2</v>
      </c>
      <c r="W211" s="140">
        <v>209</v>
      </c>
      <c r="X211" t="s">
        <v>1980</v>
      </c>
    </row>
    <row r="212" spans="20:24" x14ac:dyDescent="0.3">
      <c r="T212" t="s">
        <v>2568</v>
      </c>
      <c r="U212" s="1">
        <v>2</v>
      </c>
      <c r="W212" s="140">
        <v>210</v>
      </c>
      <c r="X212" t="s">
        <v>1981</v>
      </c>
    </row>
    <row r="213" spans="20:24" x14ac:dyDescent="0.3">
      <c r="T213" t="s">
        <v>2593</v>
      </c>
      <c r="U213" s="1">
        <v>3</v>
      </c>
      <c r="W213" s="140">
        <v>211</v>
      </c>
      <c r="X213" t="s">
        <v>2572</v>
      </c>
    </row>
    <row r="214" spans="20:24" x14ac:dyDescent="0.3">
      <c r="T214" t="s">
        <v>2569</v>
      </c>
      <c r="U214" s="1">
        <v>3</v>
      </c>
      <c r="W214" s="140">
        <v>212</v>
      </c>
      <c r="X214" t="s">
        <v>2573</v>
      </c>
    </row>
    <row r="215" spans="20:24" x14ac:dyDescent="0.3">
      <c r="T215" t="s">
        <v>2594</v>
      </c>
      <c r="U215" s="1">
        <v>4</v>
      </c>
      <c r="W215" s="140">
        <v>213</v>
      </c>
      <c r="X215" t="s">
        <v>2574</v>
      </c>
    </row>
    <row r="216" spans="20:24" x14ac:dyDescent="0.3">
      <c r="T216" t="s">
        <v>2570</v>
      </c>
      <c r="U216" s="1">
        <v>4</v>
      </c>
      <c r="W216" s="140">
        <v>214</v>
      </c>
      <c r="X216" t="s">
        <v>2575</v>
      </c>
    </row>
    <row r="217" spans="20:24" x14ac:dyDescent="0.3">
      <c r="T217" t="s">
        <v>2595</v>
      </c>
      <c r="U217" s="1">
        <v>0</v>
      </c>
      <c r="W217" s="140">
        <v>215</v>
      </c>
      <c r="X217" t="s">
        <v>2576</v>
      </c>
    </row>
    <row r="218" spans="20:24" x14ac:dyDescent="0.3">
      <c r="T218" t="s">
        <v>2571</v>
      </c>
      <c r="U218" s="1">
        <v>0</v>
      </c>
      <c r="W218" s="140">
        <v>216</v>
      </c>
      <c r="X218" t="s">
        <v>1994</v>
      </c>
    </row>
    <row r="219" spans="20:24" x14ac:dyDescent="0.3">
      <c r="T219" t="s">
        <v>759</v>
      </c>
      <c r="U219" s="1">
        <v>1</v>
      </c>
      <c r="W219" s="140">
        <v>217</v>
      </c>
      <c r="X219" t="s">
        <v>1996</v>
      </c>
    </row>
    <row r="220" spans="20:24" x14ac:dyDescent="0.3">
      <c r="T220" t="s">
        <v>67</v>
      </c>
      <c r="U220" s="1">
        <v>1</v>
      </c>
      <c r="W220" s="140">
        <v>218</v>
      </c>
      <c r="X220" t="s">
        <v>1997</v>
      </c>
    </row>
    <row r="221" spans="20:24" x14ac:dyDescent="0.3">
      <c r="T221" t="s">
        <v>760</v>
      </c>
      <c r="U221" s="1">
        <v>2</v>
      </c>
      <c r="W221" s="140">
        <v>219</v>
      </c>
      <c r="X221" t="s">
        <v>1998</v>
      </c>
    </row>
    <row r="222" spans="20:24" x14ac:dyDescent="0.3">
      <c r="T222" t="s">
        <v>66</v>
      </c>
      <c r="U222" s="1">
        <v>2</v>
      </c>
      <c r="W222" s="140">
        <v>220</v>
      </c>
      <c r="X222" t="s">
        <v>1990</v>
      </c>
    </row>
    <row r="223" spans="20:24" x14ac:dyDescent="0.3">
      <c r="T223" t="s">
        <v>761</v>
      </c>
      <c r="U223" s="1">
        <v>3</v>
      </c>
      <c r="W223" s="140">
        <v>221</v>
      </c>
      <c r="X223" t="s">
        <v>719</v>
      </c>
    </row>
    <row r="224" spans="20:24" x14ac:dyDescent="0.3">
      <c r="T224" t="s">
        <v>194</v>
      </c>
      <c r="U224" s="1">
        <v>3</v>
      </c>
      <c r="W224" s="140">
        <v>222</v>
      </c>
      <c r="X224" t="s">
        <v>720</v>
      </c>
    </row>
    <row r="225" spans="20:24" x14ac:dyDescent="0.3">
      <c r="T225" t="s">
        <v>762</v>
      </c>
      <c r="U225" s="1">
        <v>4</v>
      </c>
      <c r="W225" s="140">
        <v>223</v>
      </c>
      <c r="X225" t="s">
        <v>721</v>
      </c>
    </row>
    <row r="226" spans="20:24" x14ac:dyDescent="0.3">
      <c r="T226" t="s">
        <v>113</v>
      </c>
      <c r="U226" s="1">
        <v>4</v>
      </c>
      <c r="W226" s="140">
        <v>224</v>
      </c>
      <c r="X226" t="s">
        <v>722</v>
      </c>
    </row>
    <row r="227" spans="20:24" x14ac:dyDescent="0.3">
      <c r="T227" t="s">
        <v>763</v>
      </c>
      <c r="U227" s="1">
        <v>0</v>
      </c>
      <c r="W227" s="140">
        <v>225</v>
      </c>
      <c r="X227" t="s">
        <v>723</v>
      </c>
    </row>
    <row r="228" spans="20:24" x14ac:dyDescent="0.3">
      <c r="T228" t="s">
        <v>195</v>
      </c>
      <c r="U228" s="1">
        <v>0</v>
      </c>
      <c r="W228" s="140">
        <v>226</v>
      </c>
      <c r="X228" t="s">
        <v>724</v>
      </c>
    </row>
    <row r="229" spans="20:24" x14ac:dyDescent="0.3">
      <c r="T229" t="s">
        <v>764</v>
      </c>
      <c r="U229" s="1">
        <v>1</v>
      </c>
      <c r="W229" s="140">
        <v>227</v>
      </c>
      <c r="X229" t="s">
        <v>729</v>
      </c>
    </row>
    <row r="230" spans="20:24" x14ac:dyDescent="0.3">
      <c r="T230" t="s">
        <v>196</v>
      </c>
      <c r="U230" s="1">
        <v>1</v>
      </c>
      <c r="W230" s="140">
        <v>228</v>
      </c>
      <c r="X230" t="s">
        <v>727</v>
      </c>
    </row>
    <row r="231" spans="20:24" x14ac:dyDescent="0.3">
      <c r="T231" t="s">
        <v>862</v>
      </c>
      <c r="U231" s="1">
        <v>2</v>
      </c>
      <c r="W231" s="140">
        <v>229</v>
      </c>
      <c r="X231" t="s">
        <v>736</v>
      </c>
    </row>
    <row r="232" spans="20:24" x14ac:dyDescent="0.3">
      <c r="T232" t="s">
        <v>197</v>
      </c>
      <c r="U232" s="1">
        <v>2</v>
      </c>
      <c r="W232" s="140">
        <v>230</v>
      </c>
      <c r="X232" t="s">
        <v>1991</v>
      </c>
    </row>
    <row r="233" spans="20:24" x14ac:dyDescent="0.3">
      <c r="T233" t="s">
        <v>765</v>
      </c>
      <c r="U233" s="1">
        <v>3</v>
      </c>
      <c r="W233" s="140">
        <v>231</v>
      </c>
      <c r="X233" t="s">
        <v>735</v>
      </c>
    </row>
    <row r="234" spans="20:24" x14ac:dyDescent="0.3">
      <c r="T234" t="s">
        <v>198</v>
      </c>
      <c r="U234" s="1">
        <v>3</v>
      </c>
      <c r="W234" s="140">
        <v>232</v>
      </c>
      <c r="X234" t="s">
        <v>828</v>
      </c>
    </row>
    <row r="235" spans="20:24" x14ac:dyDescent="0.3">
      <c r="T235" t="s">
        <v>768</v>
      </c>
      <c r="U235" s="1">
        <v>4</v>
      </c>
      <c r="W235" s="140">
        <v>233</v>
      </c>
      <c r="X235" t="s">
        <v>830</v>
      </c>
    </row>
    <row r="236" spans="20:24" x14ac:dyDescent="0.3">
      <c r="T236" t="s">
        <v>769</v>
      </c>
      <c r="U236" s="1">
        <v>4</v>
      </c>
      <c r="W236" s="140">
        <v>234</v>
      </c>
      <c r="X236" t="s">
        <v>2377</v>
      </c>
    </row>
    <row r="237" spans="20:24" x14ac:dyDescent="0.3">
      <c r="T237" t="s">
        <v>766</v>
      </c>
      <c r="U237" s="1">
        <v>1</v>
      </c>
      <c r="W237" s="140">
        <v>235</v>
      </c>
      <c r="X237" t="s">
        <v>1992</v>
      </c>
    </row>
    <row r="238" spans="20:24" x14ac:dyDescent="0.3">
      <c r="T238" t="s">
        <v>767</v>
      </c>
      <c r="U238" s="1">
        <v>1</v>
      </c>
      <c r="W238" s="140">
        <v>236</v>
      </c>
      <c r="X238" t="s">
        <v>1993</v>
      </c>
    </row>
    <row r="239" spans="20:24" x14ac:dyDescent="0.3">
      <c r="T239" t="s">
        <v>863</v>
      </c>
      <c r="U239" s="1">
        <v>3</v>
      </c>
      <c r="W239" s="140">
        <v>237</v>
      </c>
      <c r="X239" t="s">
        <v>1995</v>
      </c>
    </row>
    <row r="240" spans="20:24" x14ac:dyDescent="0.3">
      <c r="T240" t="s">
        <v>680</v>
      </c>
      <c r="U240" s="1">
        <v>3</v>
      </c>
      <c r="W240" s="140">
        <v>238</v>
      </c>
      <c r="X240" t="s">
        <v>1516</v>
      </c>
    </row>
    <row r="241" spans="20:24" x14ac:dyDescent="0.3">
      <c r="T241" t="s">
        <v>864</v>
      </c>
      <c r="U241" s="1">
        <v>0</v>
      </c>
      <c r="W241" s="140">
        <v>239</v>
      </c>
      <c r="X241" t="s">
        <v>1517</v>
      </c>
    </row>
    <row r="242" spans="20:24" x14ac:dyDescent="0.3">
      <c r="T242" t="s">
        <v>754</v>
      </c>
      <c r="U242" s="1">
        <v>0</v>
      </c>
      <c r="W242" s="140">
        <v>240</v>
      </c>
      <c r="X242" t="s">
        <v>1518</v>
      </c>
    </row>
    <row r="243" spans="20:24" x14ac:dyDescent="0.3">
      <c r="T243" t="s">
        <v>2018</v>
      </c>
      <c r="U243" s="1">
        <v>2</v>
      </c>
      <c r="W243" s="140">
        <v>241</v>
      </c>
      <c r="X243" t="s">
        <v>1519</v>
      </c>
    </row>
    <row r="244" spans="20:24" x14ac:dyDescent="0.3">
      <c r="T244" t="s">
        <v>2015</v>
      </c>
      <c r="U244" s="1">
        <v>2</v>
      </c>
      <c r="W244" s="140">
        <v>242</v>
      </c>
      <c r="X244" t="s">
        <v>1520</v>
      </c>
    </row>
    <row r="245" spans="20:24" x14ac:dyDescent="0.3">
      <c r="T245" t="s">
        <v>865</v>
      </c>
      <c r="U245" s="1">
        <v>4</v>
      </c>
      <c r="W245" s="140">
        <v>243</v>
      </c>
      <c r="X245" t="s">
        <v>1521</v>
      </c>
    </row>
    <row r="246" spans="20:24" x14ac:dyDescent="0.3">
      <c r="T246" t="s">
        <v>857</v>
      </c>
      <c r="U246" s="1">
        <v>4</v>
      </c>
      <c r="W246" s="140">
        <v>244</v>
      </c>
      <c r="X246" t="s">
        <v>1080</v>
      </c>
    </row>
    <row r="247" spans="20:24" x14ac:dyDescent="0.3">
      <c r="T247" t="s">
        <v>866</v>
      </c>
      <c r="U247" s="1">
        <v>1</v>
      </c>
      <c r="W247" s="140">
        <v>245</v>
      </c>
      <c r="X247" t="s">
        <v>206</v>
      </c>
    </row>
    <row r="248" spans="20:24" x14ac:dyDescent="0.3">
      <c r="T248" t="s">
        <v>858</v>
      </c>
      <c r="U248" s="1">
        <v>1</v>
      </c>
      <c r="W248" s="140">
        <v>246</v>
      </c>
      <c r="X248" t="s">
        <v>714</v>
      </c>
    </row>
    <row r="249" spans="20:24" x14ac:dyDescent="0.3">
      <c r="T249" t="s">
        <v>2135</v>
      </c>
      <c r="U249" s="1">
        <v>3</v>
      </c>
      <c r="W249" s="140">
        <v>247</v>
      </c>
      <c r="X249" t="s">
        <v>1235</v>
      </c>
    </row>
    <row r="250" spans="20:24" x14ac:dyDescent="0.3">
      <c r="T250" t="s">
        <v>1980</v>
      </c>
      <c r="U250" s="1">
        <v>3</v>
      </c>
      <c r="W250" s="140">
        <v>248</v>
      </c>
      <c r="X250" t="s">
        <v>726</v>
      </c>
    </row>
    <row r="251" spans="20:24" x14ac:dyDescent="0.3">
      <c r="T251" t="s">
        <v>2578</v>
      </c>
      <c r="U251" s="1">
        <v>0</v>
      </c>
      <c r="W251" s="140">
        <v>249</v>
      </c>
      <c r="X251" t="s">
        <v>1236</v>
      </c>
    </row>
    <row r="252" spans="20:24" x14ac:dyDescent="0.3">
      <c r="T252" t="s">
        <v>1981</v>
      </c>
      <c r="U252" s="1">
        <v>1</v>
      </c>
      <c r="W252" s="140">
        <v>250</v>
      </c>
      <c r="X252" t="s">
        <v>713</v>
      </c>
    </row>
    <row r="253" spans="20:24" x14ac:dyDescent="0.3">
      <c r="T253" t="s">
        <v>2579</v>
      </c>
      <c r="U253" s="1">
        <v>4</v>
      </c>
      <c r="W253" s="140">
        <v>251</v>
      </c>
      <c r="X253" t="s">
        <v>1237</v>
      </c>
    </row>
    <row r="254" spans="20:24" x14ac:dyDescent="0.3">
      <c r="T254" t="s">
        <v>2572</v>
      </c>
      <c r="U254" s="1">
        <v>4</v>
      </c>
      <c r="W254" s="140">
        <v>252</v>
      </c>
      <c r="X254" t="s">
        <v>740</v>
      </c>
    </row>
    <row r="255" spans="20:24" x14ac:dyDescent="0.3">
      <c r="T255" t="s">
        <v>2580</v>
      </c>
      <c r="U255" s="1">
        <v>0</v>
      </c>
      <c r="W255" s="140">
        <v>253</v>
      </c>
      <c r="X255" t="s">
        <v>1238</v>
      </c>
    </row>
    <row r="256" spans="20:24" x14ac:dyDescent="0.3">
      <c r="T256" t="s">
        <v>2573</v>
      </c>
      <c r="U256" s="1">
        <v>0</v>
      </c>
      <c r="W256" s="140">
        <v>254</v>
      </c>
      <c r="X256" t="s">
        <v>702</v>
      </c>
    </row>
    <row r="257" spans="20:24" x14ac:dyDescent="0.3">
      <c r="T257" t="s">
        <v>2581</v>
      </c>
      <c r="U257" s="1">
        <v>1</v>
      </c>
      <c r="W257" s="140">
        <v>255</v>
      </c>
      <c r="X257" t="s">
        <v>1239</v>
      </c>
    </row>
    <row r="258" spans="20:24" x14ac:dyDescent="0.3">
      <c r="T258" t="s">
        <v>2574</v>
      </c>
      <c r="U258" s="1">
        <v>1</v>
      </c>
      <c r="W258" s="140">
        <v>256</v>
      </c>
      <c r="X258" t="s">
        <v>742</v>
      </c>
    </row>
    <row r="259" spans="20:24" x14ac:dyDescent="0.3">
      <c r="T259" t="s">
        <v>2582</v>
      </c>
      <c r="U259" s="1">
        <v>2</v>
      </c>
      <c r="W259" s="140">
        <v>257</v>
      </c>
      <c r="X259" t="s">
        <v>1240</v>
      </c>
    </row>
    <row r="260" spans="20:24" x14ac:dyDescent="0.3">
      <c r="T260" t="s">
        <v>2575</v>
      </c>
      <c r="U260" s="1">
        <v>2</v>
      </c>
      <c r="W260" s="140">
        <v>258</v>
      </c>
      <c r="X260" t="s">
        <v>712</v>
      </c>
    </row>
    <row r="261" spans="20:24" x14ac:dyDescent="0.3">
      <c r="T261" t="s">
        <v>2583</v>
      </c>
      <c r="U261" s="1">
        <v>3</v>
      </c>
      <c r="W261" s="140">
        <v>259</v>
      </c>
      <c r="X261" t="s">
        <v>1241</v>
      </c>
    </row>
    <row r="262" spans="20:24" x14ac:dyDescent="0.3">
      <c r="T262" t="s">
        <v>2576</v>
      </c>
      <c r="U262" s="1">
        <v>3</v>
      </c>
      <c r="W262" s="140">
        <v>260</v>
      </c>
      <c r="X262" t="s">
        <v>701</v>
      </c>
    </row>
    <row r="263" spans="20:24" x14ac:dyDescent="0.3">
      <c r="T263" t="s">
        <v>2584</v>
      </c>
      <c r="U263" s="1">
        <v>4</v>
      </c>
      <c r="W263" s="140">
        <v>261</v>
      </c>
      <c r="X263" t="s">
        <v>1242</v>
      </c>
    </row>
    <row r="264" spans="20:24" x14ac:dyDescent="0.3">
      <c r="T264" t="s">
        <v>2577</v>
      </c>
      <c r="U264" s="1">
        <v>4</v>
      </c>
      <c r="W264" s="140">
        <v>262</v>
      </c>
      <c r="X264" t="s">
        <v>704</v>
      </c>
    </row>
    <row r="265" spans="20:24" x14ac:dyDescent="0.3">
      <c r="T265" t="s">
        <v>770</v>
      </c>
      <c r="U265" s="1">
        <v>0</v>
      </c>
      <c r="W265" s="140">
        <v>263</v>
      </c>
      <c r="X265" t="s">
        <v>1243</v>
      </c>
    </row>
    <row r="266" spans="20:24" x14ac:dyDescent="0.3">
      <c r="T266" t="s">
        <v>771</v>
      </c>
      <c r="U266" s="1">
        <v>0</v>
      </c>
      <c r="W266" s="140">
        <v>264</v>
      </c>
      <c r="X266" t="s">
        <v>750</v>
      </c>
    </row>
    <row r="267" spans="20:24" x14ac:dyDescent="0.3">
      <c r="T267" t="s">
        <v>1399</v>
      </c>
      <c r="U267" s="1">
        <v>1</v>
      </c>
      <c r="W267" s="140">
        <v>265</v>
      </c>
      <c r="X267" t="s">
        <v>1244</v>
      </c>
    </row>
    <row r="268" spans="20:24" x14ac:dyDescent="0.3">
      <c r="T268" t="s">
        <v>774</v>
      </c>
      <c r="U268" s="1">
        <v>1</v>
      </c>
      <c r="W268" s="140">
        <v>266</v>
      </c>
      <c r="X268" t="s">
        <v>715</v>
      </c>
    </row>
    <row r="269" spans="20:24" x14ac:dyDescent="0.3">
      <c r="T269" t="s">
        <v>193</v>
      </c>
      <c r="U269" s="1">
        <v>2</v>
      </c>
      <c r="W269" s="140">
        <v>267</v>
      </c>
      <c r="X269" t="s">
        <v>1245</v>
      </c>
    </row>
    <row r="270" spans="20:24" x14ac:dyDescent="0.3">
      <c r="T270" t="s">
        <v>1411</v>
      </c>
      <c r="U270" s="1">
        <v>3</v>
      </c>
      <c r="W270" s="140">
        <v>268</v>
      </c>
      <c r="X270" t="s">
        <v>711</v>
      </c>
    </row>
    <row r="271" spans="20:24" x14ac:dyDescent="0.3">
      <c r="T271" t="s">
        <v>1416</v>
      </c>
      <c r="U271" s="1">
        <v>4</v>
      </c>
      <c r="W271" s="140">
        <v>269</v>
      </c>
      <c r="X271" t="s">
        <v>1246</v>
      </c>
    </row>
    <row r="272" spans="20:24" x14ac:dyDescent="0.3">
      <c r="T272" t="s">
        <v>1417</v>
      </c>
      <c r="U272" s="1">
        <v>0</v>
      </c>
      <c r="W272" s="140">
        <v>270</v>
      </c>
      <c r="X272" t="s">
        <v>700</v>
      </c>
    </row>
    <row r="273" spans="20:24" x14ac:dyDescent="0.3">
      <c r="T273" t="s">
        <v>1418</v>
      </c>
      <c r="U273" s="1">
        <v>1</v>
      </c>
      <c r="W273" s="140">
        <v>271</v>
      </c>
      <c r="X273" t="s">
        <v>1247</v>
      </c>
    </row>
    <row r="274" spans="20:24" x14ac:dyDescent="0.3">
      <c r="T274" t="s">
        <v>901</v>
      </c>
      <c r="U274" s="1">
        <v>2</v>
      </c>
      <c r="W274" s="140">
        <v>272</v>
      </c>
      <c r="X274" t="s">
        <v>716</v>
      </c>
    </row>
    <row r="275" spans="20:24" x14ac:dyDescent="0.3">
      <c r="T275" t="s">
        <v>902</v>
      </c>
      <c r="U275" s="1">
        <v>3</v>
      </c>
      <c r="W275" s="140">
        <v>273</v>
      </c>
      <c r="X275" t="s">
        <v>1248</v>
      </c>
    </row>
    <row r="276" spans="20:24" x14ac:dyDescent="0.3">
      <c r="T276" t="s">
        <v>218</v>
      </c>
      <c r="U276" s="1">
        <v>4</v>
      </c>
      <c r="W276" s="140">
        <v>274</v>
      </c>
      <c r="X276" t="s">
        <v>752</v>
      </c>
    </row>
    <row r="277" spans="20:24" x14ac:dyDescent="0.3">
      <c r="T277" t="s">
        <v>16</v>
      </c>
      <c r="U277" s="1">
        <v>0</v>
      </c>
      <c r="W277" s="140">
        <v>275</v>
      </c>
      <c r="X277" t="s">
        <v>1249</v>
      </c>
    </row>
    <row r="278" spans="20:24" x14ac:dyDescent="0.3">
      <c r="T278" t="s">
        <v>206</v>
      </c>
      <c r="U278" s="1">
        <v>1</v>
      </c>
      <c r="W278" s="140">
        <v>276</v>
      </c>
      <c r="X278" t="s">
        <v>731</v>
      </c>
    </row>
    <row r="279" spans="20:24" x14ac:dyDescent="0.3">
      <c r="T279" t="s">
        <v>718</v>
      </c>
      <c r="U279" s="1">
        <v>2</v>
      </c>
      <c r="W279" s="140">
        <v>277</v>
      </c>
      <c r="X279" t="s">
        <v>1250</v>
      </c>
    </row>
    <row r="280" spans="20:24" x14ac:dyDescent="0.3">
      <c r="T280" t="s">
        <v>1000</v>
      </c>
      <c r="U280" s="1">
        <v>3</v>
      </c>
      <c r="W280" s="140">
        <v>278</v>
      </c>
      <c r="X280" t="s">
        <v>717</v>
      </c>
    </row>
    <row r="281" spans="20:24" x14ac:dyDescent="0.3">
      <c r="T281" t="s">
        <v>936</v>
      </c>
      <c r="U281" s="1">
        <v>4</v>
      </c>
      <c r="W281" s="140">
        <v>279</v>
      </c>
      <c r="X281" t="s">
        <v>1251</v>
      </c>
    </row>
    <row r="282" spans="20:24" x14ac:dyDescent="0.3">
      <c r="T282" t="s">
        <v>999</v>
      </c>
      <c r="U282" s="1">
        <v>0</v>
      </c>
      <c r="W282" s="140">
        <v>280</v>
      </c>
      <c r="X282" t="s">
        <v>703</v>
      </c>
    </row>
    <row r="283" spans="20:24" x14ac:dyDescent="0.3">
      <c r="T283" t="s">
        <v>1081</v>
      </c>
      <c r="U283" s="1">
        <v>1</v>
      </c>
      <c r="W283" s="140">
        <v>281</v>
      </c>
      <c r="X283" t="s">
        <v>1252</v>
      </c>
    </row>
    <row r="284" spans="20:24" x14ac:dyDescent="0.3">
      <c r="T284" t="s">
        <v>868</v>
      </c>
      <c r="U284" s="1">
        <v>2</v>
      </c>
      <c r="W284" s="140">
        <v>282</v>
      </c>
      <c r="X284" t="s">
        <v>730</v>
      </c>
    </row>
    <row r="285" spans="20:24" x14ac:dyDescent="0.3">
      <c r="T285" t="s">
        <v>1532</v>
      </c>
      <c r="U285" s="1">
        <v>3</v>
      </c>
      <c r="W285" s="140">
        <v>283</v>
      </c>
      <c r="X285" t="s">
        <v>1253</v>
      </c>
    </row>
    <row r="286" spans="20:24" x14ac:dyDescent="0.3">
      <c r="T286" t="s">
        <v>72</v>
      </c>
      <c r="U286" s="1">
        <v>4</v>
      </c>
      <c r="W286" s="140">
        <v>284</v>
      </c>
      <c r="X286" t="s">
        <v>757</v>
      </c>
    </row>
    <row r="287" spans="20:24" x14ac:dyDescent="0.3">
      <c r="T287" t="s">
        <v>791</v>
      </c>
      <c r="U287" s="1">
        <v>0</v>
      </c>
      <c r="W287" s="140">
        <v>285</v>
      </c>
      <c r="X287" t="s">
        <v>1254</v>
      </c>
    </row>
    <row r="288" spans="20:24" x14ac:dyDescent="0.3">
      <c r="T288" t="s">
        <v>1720</v>
      </c>
      <c r="U288" s="1">
        <v>1</v>
      </c>
      <c r="W288" s="140">
        <v>286</v>
      </c>
      <c r="X288" t="s">
        <v>1832</v>
      </c>
    </row>
    <row r="289" spans="20:24" x14ac:dyDescent="0.3">
      <c r="T289" t="s">
        <v>679</v>
      </c>
      <c r="U289" s="1">
        <v>2</v>
      </c>
      <c r="W289" s="140">
        <v>287</v>
      </c>
      <c r="X289" t="s">
        <v>1833</v>
      </c>
    </row>
    <row r="290" spans="20:24" x14ac:dyDescent="0.3">
      <c r="T290" t="s">
        <v>796</v>
      </c>
      <c r="U290" s="1">
        <v>3</v>
      </c>
      <c r="W290" s="140">
        <v>288</v>
      </c>
      <c r="X290" t="s">
        <v>1839</v>
      </c>
    </row>
    <row r="291" spans="20:24" x14ac:dyDescent="0.3">
      <c r="T291" t="s">
        <v>83</v>
      </c>
      <c r="U291" s="1">
        <v>4</v>
      </c>
      <c r="W291" s="140">
        <v>289</v>
      </c>
      <c r="X291" t="s">
        <v>2001</v>
      </c>
    </row>
    <row r="292" spans="20:24" x14ac:dyDescent="0.3">
      <c r="T292" t="s">
        <v>1080</v>
      </c>
      <c r="U292" s="1">
        <v>0</v>
      </c>
      <c r="W292" s="140">
        <v>290</v>
      </c>
      <c r="X292" t="s">
        <v>1720</v>
      </c>
    </row>
    <row r="293" spans="20:24" x14ac:dyDescent="0.3">
      <c r="T293" t="s">
        <v>88</v>
      </c>
      <c r="U293" s="1">
        <v>1</v>
      </c>
      <c r="W293" s="140">
        <v>291</v>
      </c>
      <c r="X293" t="s">
        <v>787</v>
      </c>
    </row>
    <row r="294" spans="20:24" x14ac:dyDescent="0.3">
      <c r="T294" t="s">
        <v>1985</v>
      </c>
      <c r="U294" s="1">
        <v>2</v>
      </c>
      <c r="W294" s="140">
        <v>292</v>
      </c>
      <c r="X294" t="s">
        <v>1985</v>
      </c>
    </row>
    <row r="295" spans="20:24" x14ac:dyDescent="0.3">
      <c r="T295" t="s">
        <v>1986</v>
      </c>
      <c r="U295" s="1">
        <v>3</v>
      </c>
      <c r="W295" s="140">
        <v>293</v>
      </c>
      <c r="X295" t="s">
        <v>1986</v>
      </c>
    </row>
    <row r="296" spans="20:24" x14ac:dyDescent="0.3">
      <c r="T296" t="s">
        <v>1987</v>
      </c>
      <c r="U296" s="1">
        <v>4</v>
      </c>
      <c r="W296" s="140">
        <v>294</v>
      </c>
      <c r="X296" t="s">
        <v>1987</v>
      </c>
    </row>
    <row r="297" spans="20:24" x14ac:dyDescent="0.3">
      <c r="T297" t="s">
        <v>77</v>
      </c>
      <c r="U297" s="1">
        <v>0</v>
      </c>
      <c r="W297" s="140">
        <v>295</v>
      </c>
      <c r="X297" t="s">
        <v>772</v>
      </c>
    </row>
    <row r="298" spans="20:24" x14ac:dyDescent="0.3">
      <c r="T298" t="s">
        <v>782</v>
      </c>
      <c r="U298" s="1">
        <v>1</v>
      </c>
      <c r="W298" s="140">
        <v>296</v>
      </c>
      <c r="X298" t="s">
        <v>2566</v>
      </c>
    </row>
    <row r="299" spans="20:24" x14ac:dyDescent="0.3">
      <c r="T299" t="s">
        <v>13</v>
      </c>
      <c r="U299" s="1">
        <v>2</v>
      </c>
      <c r="W299" s="140">
        <v>297</v>
      </c>
      <c r="X299" t="s">
        <v>2567</v>
      </c>
    </row>
    <row r="300" spans="20:24" x14ac:dyDescent="0.3">
      <c r="T300" t="s">
        <v>1527</v>
      </c>
      <c r="U300" s="1">
        <v>3</v>
      </c>
      <c r="W300" s="140">
        <v>298</v>
      </c>
      <c r="X300" t="s">
        <v>2568</v>
      </c>
    </row>
    <row r="301" spans="20:24" x14ac:dyDescent="0.3">
      <c r="T301" t="s">
        <v>807</v>
      </c>
      <c r="U301" s="1">
        <v>4</v>
      </c>
      <c r="W301" s="140">
        <v>299</v>
      </c>
      <c r="X301" t="s">
        <v>2569</v>
      </c>
    </row>
    <row r="302" spans="20:24" x14ac:dyDescent="0.3">
      <c r="T302" t="s">
        <v>809</v>
      </c>
      <c r="U302" s="1">
        <v>0</v>
      </c>
      <c r="W302" s="140">
        <v>300</v>
      </c>
      <c r="X302" t="s">
        <v>2570</v>
      </c>
    </row>
    <row r="303" spans="20:24" x14ac:dyDescent="0.3">
      <c r="T303" t="s">
        <v>810</v>
      </c>
      <c r="U303" s="1">
        <v>1</v>
      </c>
      <c r="W303" s="140">
        <v>301</v>
      </c>
      <c r="X303" t="s">
        <v>2571</v>
      </c>
    </row>
    <row r="304" spans="20:24" x14ac:dyDescent="0.3">
      <c r="T304" t="s">
        <v>797</v>
      </c>
      <c r="U304" s="1">
        <v>2</v>
      </c>
      <c r="W304" s="140">
        <v>302</v>
      </c>
      <c r="X304" t="s">
        <v>856</v>
      </c>
    </row>
    <row r="305" spans="20:24" x14ac:dyDescent="0.3">
      <c r="T305" t="s">
        <v>798</v>
      </c>
      <c r="U305" s="1">
        <v>3</v>
      </c>
      <c r="W305" s="140">
        <v>303</v>
      </c>
      <c r="X305" t="s">
        <v>1675</v>
      </c>
    </row>
    <row r="306" spans="20:24" x14ac:dyDescent="0.3">
      <c r="T306" t="s">
        <v>811</v>
      </c>
      <c r="U306" s="1">
        <v>4</v>
      </c>
      <c r="W306" s="140">
        <v>304</v>
      </c>
      <c r="X306" t="s">
        <v>1676</v>
      </c>
    </row>
    <row r="307" spans="20:24" x14ac:dyDescent="0.3">
      <c r="T307" t="s">
        <v>808</v>
      </c>
      <c r="U307" s="1">
        <v>0</v>
      </c>
      <c r="W307" s="140">
        <v>305</v>
      </c>
      <c r="X307" t="s">
        <v>2561</v>
      </c>
    </row>
    <row r="308" spans="20:24" x14ac:dyDescent="0.3">
      <c r="T308" t="s">
        <v>799</v>
      </c>
      <c r="U308" s="1">
        <v>1</v>
      </c>
      <c r="W308" s="140">
        <v>306</v>
      </c>
      <c r="X308" t="s">
        <v>2562</v>
      </c>
    </row>
    <row r="309" spans="20:24" x14ac:dyDescent="0.3">
      <c r="T309" t="s">
        <v>812</v>
      </c>
      <c r="U309" s="1">
        <v>2</v>
      </c>
      <c r="W309" s="140">
        <v>307</v>
      </c>
      <c r="X309" t="s">
        <v>2563</v>
      </c>
    </row>
    <row r="310" spans="20:24" x14ac:dyDescent="0.3">
      <c r="T310" s="9" t="s">
        <v>910</v>
      </c>
      <c r="U310" s="1">
        <v>3</v>
      </c>
      <c r="W310" s="140">
        <v>308</v>
      </c>
      <c r="X310" t="s">
        <v>2564</v>
      </c>
    </row>
    <row r="311" spans="20:24" x14ac:dyDescent="0.3">
      <c r="T311" s="9" t="s">
        <v>911</v>
      </c>
      <c r="U311" s="1">
        <v>4</v>
      </c>
      <c r="W311" s="140">
        <v>309</v>
      </c>
      <c r="X311" t="s">
        <v>2565</v>
      </c>
    </row>
    <row r="312" spans="20:24" x14ac:dyDescent="0.3">
      <c r="T312" s="9" t="s">
        <v>1636</v>
      </c>
      <c r="U312" s="1">
        <v>0</v>
      </c>
      <c r="W312" s="140">
        <v>310</v>
      </c>
      <c r="X312" t="s">
        <v>1510</v>
      </c>
    </row>
    <row r="313" spans="20:24" x14ac:dyDescent="0.3">
      <c r="T313" t="s">
        <v>216</v>
      </c>
      <c r="U313" s="1">
        <v>1</v>
      </c>
      <c r="W313" s="140">
        <v>311</v>
      </c>
      <c r="X313" t="s">
        <v>1511</v>
      </c>
    </row>
    <row r="314" spans="20:24" x14ac:dyDescent="0.3">
      <c r="T314" t="s">
        <v>806</v>
      </c>
      <c r="U314" s="1">
        <v>0</v>
      </c>
      <c r="W314" s="140">
        <v>312</v>
      </c>
      <c r="X314" t="s">
        <v>1512</v>
      </c>
    </row>
    <row r="315" spans="20:24" x14ac:dyDescent="0.3">
      <c r="T315" t="s">
        <v>1999</v>
      </c>
      <c r="U315" s="1">
        <v>3</v>
      </c>
      <c r="W315" s="140">
        <v>313</v>
      </c>
      <c r="X315" t="s">
        <v>1513</v>
      </c>
    </row>
    <row r="316" spans="20:24" x14ac:dyDescent="0.3">
      <c r="T316" t="s">
        <v>800</v>
      </c>
      <c r="U316" s="1">
        <v>4</v>
      </c>
      <c r="W316" s="140">
        <v>314</v>
      </c>
      <c r="X316" t="s">
        <v>1514</v>
      </c>
    </row>
    <row r="317" spans="20:24" x14ac:dyDescent="0.3">
      <c r="T317" t="s">
        <v>804</v>
      </c>
      <c r="U317" s="1">
        <v>0</v>
      </c>
      <c r="W317" s="140">
        <v>315</v>
      </c>
      <c r="X317" t="s">
        <v>1515</v>
      </c>
    </row>
    <row r="318" spans="20:24" x14ac:dyDescent="0.3">
      <c r="T318" t="s">
        <v>805</v>
      </c>
      <c r="U318" s="1">
        <v>1</v>
      </c>
      <c r="W318" s="140">
        <v>316</v>
      </c>
      <c r="X318" t="s">
        <v>22</v>
      </c>
    </row>
    <row r="319" spans="20:24" x14ac:dyDescent="0.3">
      <c r="T319" t="s">
        <v>803</v>
      </c>
      <c r="U319" s="1">
        <v>2</v>
      </c>
      <c r="W319" s="140">
        <v>317</v>
      </c>
      <c r="X319" t="s">
        <v>881</v>
      </c>
    </row>
    <row r="320" spans="20:24" x14ac:dyDescent="0.3">
      <c r="T320" t="s">
        <v>802</v>
      </c>
      <c r="U320" s="1">
        <v>3</v>
      </c>
      <c r="W320" s="140">
        <v>318</v>
      </c>
      <c r="X320" t="s">
        <v>23</v>
      </c>
    </row>
    <row r="321" spans="20:24" x14ac:dyDescent="0.3">
      <c r="T321" t="s">
        <v>801</v>
      </c>
      <c r="U321" s="1">
        <v>4</v>
      </c>
      <c r="W321" s="140">
        <v>319</v>
      </c>
      <c r="X321" t="s">
        <v>984</v>
      </c>
    </row>
    <row r="322" spans="20:24" x14ac:dyDescent="0.3">
      <c r="T322" t="s">
        <v>639</v>
      </c>
      <c r="U322" s="1">
        <v>0</v>
      </c>
      <c r="V322"/>
      <c r="W322" s="140">
        <v>320</v>
      </c>
      <c r="X322" t="s">
        <v>2937</v>
      </c>
    </row>
    <row r="323" spans="20:24" x14ac:dyDescent="0.3">
      <c r="T323" t="s">
        <v>789</v>
      </c>
      <c r="U323" s="1">
        <v>1</v>
      </c>
      <c r="V323"/>
      <c r="W323" s="140">
        <v>321</v>
      </c>
      <c r="X323" t="s">
        <v>2936</v>
      </c>
    </row>
    <row r="324" spans="20:24" x14ac:dyDescent="0.3">
      <c r="T324" t="s">
        <v>776</v>
      </c>
      <c r="U324" s="1">
        <v>2</v>
      </c>
      <c r="V324"/>
      <c r="W324" s="140">
        <v>322</v>
      </c>
    </row>
    <row r="325" spans="20:24" x14ac:dyDescent="0.3">
      <c r="T325" t="s">
        <v>775</v>
      </c>
      <c r="U325" s="1">
        <v>3</v>
      </c>
      <c r="V325"/>
      <c r="W325" s="140">
        <v>323</v>
      </c>
    </row>
    <row r="326" spans="20:24" x14ac:dyDescent="0.3">
      <c r="T326" t="s">
        <v>790</v>
      </c>
      <c r="U326" s="1">
        <v>4</v>
      </c>
      <c r="V326"/>
      <c r="W326" s="140">
        <v>324</v>
      </c>
    </row>
    <row r="327" spans="20:24" x14ac:dyDescent="0.3">
      <c r="T327" t="s">
        <v>785</v>
      </c>
      <c r="U327" s="1">
        <v>0</v>
      </c>
      <c r="V327"/>
      <c r="W327" s="140">
        <v>325</v>
      </c>
    </row>
    <row r="328" spans="20:24" x14ac:dyDescent="0.3">
      <c r="T328" t="s">
        <v>2136</v>
      </c>
      <c r="U328" s="1">
        <v>1</v>
      </c>
      <c r="V328"/>
      <c r="W328" s="140">
        <v>326</v>
      </c>
    </row>
    <row r="329" spans="20:24" x14ac:dyDescent="0.3">
      <c r="T329" t="s">
        <v>792</v>
      </c>
      <c r="U329" s="1">
        <v>2</v>
      </c>
      <c r="W329" s="140">
        <v>327</v>
      </c>
    </row>
    <row r="330" spans="20:24" x14ac:dyDescent="0.3">
      <c r="T330" t="s">
        <v>259</v>
      </c>
      <c r="U330" s="1">
        <v>3</v>
      </c>
      <c r="W330" s="140">
        <v>328</v>
      </c>
    </row>
    <row r="331" spans="20:24" x14ac:dyDescent="0.3">
      <c r="T331" t="s">
        <v>788</v>
      </c>
      <c r="U331" s="1">
        <v>4</v>
      </c>
      <c r="W331" s="140">
        <v>329</v>
      </c>
    </row>
    <row r="332" spans="20:24" x14ac:dyDescent="0.3">
      <c r="T332" t="s">
        <v>786</v>
      </c>
      <c r="U332" s="1">
        <v>0</v>
      </c>
      <c r="W332" s="140">
        <v>330</v>
      </c>
    </row>
    <row r="333" spans="20:24" x14ac:dyDescent="0.3">
      <c r="T333" t="s">
        <v>813</v>
      </c>
      <c r="U333" s="1">
        <v>1</v>
      </c>
      <c r="W333" s="140">
        <v>331</v>
      </c>
    </row>
    <row r="334" spans="20:24" x14ac:dyDescent="0.3">
      <c r="T334" t="s">
        <v>814</v>
      </c>
      <c r="U334" s="1">
        <v>2</v>
      </c>
      <c r="W334" s="140">
        <v>332</v>
      </c>
    </row>
    <row r="335" spans="20:24" x14ac:dyDescent="0.3">
      <c r="T335" t="s">
        <v>686</v>
      </c>
      <c r="U335" s="1">
        <v>3</v>
      </c>
      <c r="W335" s="140">
        <v>333</v>
      </c>
    </row>
    <row r="336" spans="20:24" x14ac:dyDescent="0.3">
      <c r="T336" t="s">
        <v>783</v>
      </c>
      <c r="U336" s="1">
        <v>4</v>
      </c>
      <c r="W336" s="140">
        <v>334</v>
      </c>
    </row>
    <row r="337" spans="20:23" x14ac:dyDescent="0.3">
      <c r="T337" t="s">
        <v>787</v>
      </c>
      <c r="U337" s="1">
        <v>0</v>
      </c>
      <c r="W337" s="140">
        <v>335</v>
      </c>
    </row>
    <row r="338" spans="20:23" x14ac:dyDescent="0.3">
      <c r="T338" t="s">
        <v>22</v>
      </c>
      <c r="U338" s="1">
        <v>1</v>
      </c>
      <c r="W338" s="140">
        <v>336</v>
      </c>
    </row>
    <row r="339" spans="20:23" x14ac:dyDescent="0.3">
      <c r="T339" t="s">
        <v>23</v>
      </c>
      <c r="U339" s="1">
        <v>2</v>
      </c>
      <c r="W339" s="140">
        <v>337</v>
      </c>
    </row>
    <row r="340" spans="20:23" x14ac:dyDescent="0.3">
      <c r="T340" t="s">
        <v>773</v>
      </c>
      <c r="U340" s="1">
        <v>3</v>
      </c>
      <c r="W340" s="140">
        <v>338</v>
      </c>
    </row>
    <row r="341" spans="20:23" x14ac:dyDescent="0.3">
      <c r="T341" s="9" t="s">
        <v>1079</v>
      </c>
      <c r="U341" s="1">
        <v>4</v>
      </c>
      <c r="W341" s="140">
        <v>339</v>
      </c>
    </row>
    <row r="342" spans="20:23" x14ac:dyDescent="0.3">
      <c r="T342" t="s">
        <v>984</v>
      </c>
      <c r="U342" s="1">
        <v>0</v>
      </c>
      <c r="W342" s="140">
        <v>340</v>
      </c>
    </row>
    <row r="343" spans="20:23" x14ac:dyDescent="0.3">
      <c r="T343" t="s">
        <v>1398</v>
      </c>
      <c r="U343" s="1">
        <v>1</v>
      </c>
      <c r="W343" s="140">
        <v>341</v>
      </c>
    </row>
    <row r="344" spans="20:23" x14ac:dyDescent="0.3">
      <c r="V344"/>
      <c r="W344"/>
    </row>
    <row r="345" spans="20:23" x14ac:dyDescent="0.3">
      <c r="V345"/>
      <c r="W345"/>
    </row>
    <row r="346" spans="20:23" x14ac:dyDescent="0.3">
      <c r="V346"/>
      <c r="W346"/>
    </row>
    <row r="347" spans="20:23" x14ac:dyDescent="0.3">
      <c r="U347"/>
      <c r="V347"/>
      <c r="W347"/>
    </row>
    <row r="348" spans="20:23" x14ac:dyDescent="0.3">
      <c r="U348"/>
      <c r="V348"/>
      <c r="W348"/>
    </row>
    <row r="349" spans="20:23" x14ac:dyDescent="0.3">
      <c r="U349"/>
      <c r="V349"/>
      <c r="W349"/>
    </row>
    <row r="350" spans="20:23" x14ac:dyDescent="0.3">
      <c r="U350"/>
      <c r="V350"/>
      <c r="W350"/>
    </row>
    <row r="351" spans="20:23" x14ac:dyDescent="0.3">
      <c r="U351"/>
      <c r="V351"/>
      <c r="W351"/>
    </row>
    <row r="352" spans="20:23" x14ac:dyDescent="0.3">
      <c r="U352"/>
      <c r="V352"/>
      <c r="W352"/>
    </row>
    <row r="353" spans="21:23" x14ac:dyDescent="0.3">
      <c r="U353"/>
      <c r="V353"/>
      <c r="W353"/>
    </row>
    <row r="354" spans="21:23" x14ac:dyDescent="0.3">
      <c r="U354"/>
      <c r="V354"/>
      <c r="W354"/>
    </row>
    <row r="355" spans="21:23" x14ac:dyDescent="0.3">
      <c r="U355"/>
      <c r="V355"/>
      <c r="W355"/>
    </row>
    <row r="356" spans="21:23" x14ac:dyDescent="0.3">
      <c r="U356"/>
      <c r="V356"/>
      <c r="W356"/>
    </row>
    <row r="357" spans="21:23" x14ac:dyDescent="0.3">
      <c r="U357"/>
      <c r="V357"/>
      <c r="W357"/>
    </row>
    <row r="358" spans="21:23" x14ac:dyDescent="0.3">
      <c r="U358"/>
      <c r="V358"/>
      <c r="W358"/>
    </row>
    <row r="359" spans="21:23" x14ac:dyDescent="0.3">
      <c r="U359"/>
      <c r="V359"/>
      <c r="W359"/>
    </row>
    <row r="360" spans="21:23" x14ac:dyDescent="0.3">
      <c r="U360"/>
      <c r="V360"/>
      <c r="W360"/>
    </row>
    <row r="361" spans="21:23" x14ac:dyDescent="0.3">
      <c r="U361"/>
      <c r="V361"/>
      <c r="W361"/>
    </row>
    <row r="362" spans="21:23" x14ac:dyDescent="0.3">
      <c r="U362"/>
      <c r="V362"/>
      <c r="W362"/>
    </row>
    <row r="363" spans="21:23" x14ac:dyDescent="0.3">
      <c r="U363"/>
      <c r="V363"/>
      <c r="W363"/>
    </row>
    <row r="364" spans="21:23" x14ac:dyDescent="0.3">
      <c r="U364"/>
      <c r="V364"/>
      <c r="W364"/>
    </row>
    <row r="365" spans="21:23" x14ac:dyDescent="0.3">
      <c r="U365"/>
      <c r="V365"/>
      <c r="W365"/>
    </row>
    <row r="366" spans="21:23" x14ac:dyDescent="0.3">
      <c r="U366"/>
      <c r="V366"/>
      <c r="W366"/>
    </row>
    <row r="367" spans="21:23" x14ac:dyDescent="0.3">
      <c r="V367"/>
      <c r="W367"/>
    </row>
    <row r="368" spans="21:23" x14ac:dyDescent="0.3">
      <c r="V368"/>
      <c r="W368"/>
    </row>
    <row r="369" spans="22:23" x14ac:dyDescent="0.3">
      <c r="V369"/>
      <c r="W369"/>
    </row>
    <row r="370" spans="22:23" x14ac:dyDescent="0.3">
      <c r="V370"/>
      <c r="W370"/>
    </row>
    <row r="371" spans="22:23" x14ac:dyDescent="0.3">
      <c r="V371"/>
      <c r="W371"/>
    </row>
    <row r="372" spans="22:23" x14ac:dyDescent="0.3">
      <c r="V372"/>
      <c r="W372"/>
    </row>
    <row r="373" spans="22:23" x14ac:dyDescent="0.3">
      <c r="V373"/>
      <c r="W373"/>
    </row>
    <row r="374" spans="22:23" x14ac:dyDescent="0.3">
      <c r="V374"/>
      <c r="W374"/>
    </row>
    <row r="375" spans="22:23" x14ac:dyDescent="0.3">
      <c r="V375"/>
      <c r="W375"/>
    </row>
    <row r="376" spans="22:23" x14ac:dyDescent="0.3">
      <c r="V376"/>
      <c r="W376"/>
    </row>
    <row r="377" spans="22:23" x14ac:dyDescent="0.3">
      <c r="V377"/>
      <c r="W377"/>
    </row>
    <row r="378" spans="22:23" x14ac:dyDescent="0.3">
      <c r="V378"/>
      <c r="W378"/>
    </row>
    <row r="379" spans="22:23" x14ac:dyDescent="0.3">
      <c r="V379"/>
      <c r="W379"/>
    </row>
    <row r="380" spans="22:23" x14ac:dyDescent="0.3">
      <c r="V380"/>
      <c r="W380"/>
    </row>
    <row r="381" spans="22:23" x14ac:dyDescent="0.3">
      <c r="V381"/>
      <c r="W381"/>
    </row>
    <row r="382" spans="22:23" x14ac:dyDescent="0.3">
      <c r="V382"/>
      <c r="W382"/>
    </row>
    <row r="383" spans="22:23" x14ac:dyDescent="0.3">
      <c r="V383"/>
      <c r="W383"/>
    </row>
    <row r="384" spans="22:23" x14ac:dyDescent="0.3">
      <c r="V384"/>
      <c r="W384"/>
    </row>
    <row r="385" spans="21:23" x14ac:dyDescent="0.3">
      <c r="V385"/>
      <c r="W385"/>
    </row>
    <row r="386" spans="21:23" x14ac:dyDescent="0.3">
      <c r="V386"/>
      <c r="W386"/>
    </row>
    <row r="387" spans="21:23" x14ac:dyDescent="0.3">
      <c r="V387"/>
      <c r="W387"/>
    </row>
    <row r="388" spans="21:23" x14ac:dyDescent="0.3">
      <c r="V388"/>
      <c r="W388"/>
    </row>
    <row r="389" spans="21:23" x14ac:dyDescent="0.3">
      <c r="V389"/>
      <c r="W389"/>
    </row>
    <row r="390" spans="21:23" x14ac:dyDescent="0.3">
      <c r="V390"/>
      <c r="W390"/>
    </row>
    <row r="391" spans="21:23" x14ac:dyDescent="0.3">
      <c r="V391"/>
      <c r="W391"/>
    </row>
    <row r="392" spans="21:23" x14ac:dyDescent="0.3">
      <c r="V392"/>
      <c r="W392"/>
    </row>
    <row r="393" spans="21:23" x14ac:dyDescent="0.3">
      <c r="U393"/>
      <c r="V393"/>
      <c r="W393"/>
    </row>
    <row r="394" spans="21:23" x14ac:dyDescent="0.3">
      <c r="U394"/>
      <c r="V394"/>
      <c r="W394"/>
    </row>
    <row r="395" spans="21:23" x14ac:dyDescent="0.3">
      <c r="U395"/>
      <c r="V395"/>
      <c r="W395"/>
    </row>
    <row r="396" spans="21:23" x14ac:dyDescent="0.3">
      <c r="U396"/>
      <c r="V396"/>
      <c r="W396"/>
    </row>
    <row r="397" spans="21:23" x14ac:dyDescent="0.3">
      <c r="U397"/>
      <c r="V397"/>
      <c r="W397"/>
    </row>
    <row r="398" spans="21:23" x14ac:dyDescent="0.3">
      <c r="U398"/>
      <c r="V398"/>
      <c r="W398"/>
    </row>
    <row r="399" spans="21:23" x14ac:dyDescent="0.3">
      <c r="U399"/>
      <c r="V399"/>
      <c r="W399"/>
    </row>
    <row r="400" spans="21:23" x14ac:dyDescent="0.3">
      <c r="U400"/>
      <c r="V400"/>
      <c r="W400"/>
    </row>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row r="551" customFormat="1" x14ac:dyDescent="0.3"/>
    <row r="552" customFormat="1" x14ac:dyDescent="0.3"/>
    <row r="553" customFormat="1" x14ac:dyDescent="0.3"/>
    <row r="554" customFormat="1" x14ac:dyDescent="0.3"/>
    <row r="555" customFormat="1" x14ac:dyDescent="0.3"/>
    <row r="556" customFormat="1" x14ac:dyDescent="0.3"/>
    <row r="557" customFormat="1" x14ac:dyDescent="0.3"/>
    <row r="558" customFormat="1" x14ac:dyDescent="0.3"/>
    <row r="559" customFormat="1" x14ac:dyDescent="0.3"/>
    <row r="560" customFormat="1" x14ac:dyDescent="0.3"/>
    <row r="561" customFormat="1" x14ac:dyDescent="0.3"/>
    <row r="562" customFormat="1" x14ac:dyDescent="0.3"/>
    <row r="563" customFormat="1" x14ac:dyDescent="0.3"/>
    <row r="564" customFormat="1" x14ac:dyDescent="0.3"/>
    <row r="565" customFormat="1" x14ac:dyDescent="0.3"/>
    <row r="566" customFormat="1" x14ac:dyDescent="0.3"/>
    <row r="567" customFormat="1" x14ac:dyDescent="0.3"/>
    <row r="568" customFormat="1" x14ac:dyDescent="0.3"/>
    <row r="569" customFormat="1" x14ac:dyDescent="0.3"/>
    <row r="570" customFormat="1" x14ac:dyDescent="0.3"/>
    <row r="571" customFormat="1" x14ac:dyDescent="0.3"/>
    <row r="572" customFormat="1" x14ac:dyDescent="0.3"/>
    <row r="573" customFormat="1" x14ac:dyDescent="0.3"/>
    <row r="574" customFormat="1" x14ac:dyDescent="0.3"/>
    <row r="575" customFormat="1" x14ac:dyDescent="0.3"/>
    <row r="576" customFormat="1" x14ac:dyDescent="0.3"/>
    <row r="577" customFormat="1" x14ac:dyDescent="0.3"/>
    <row r="578" customFormat="1" x14ac:dyDescent="0.3"/>
    <row r="579" customFormat="1" x14ac:dyDescent="0.3"/>
    <row r="580" customFormat="1" x14ac:dyDescent="0.3"/>
    <row r="581" customFormat="1" x14ac:dyDescent="0.3"/>
    <row r="582" customFormat="1" x14ac:dyDescent="0.3"/>
    <row r="583" customFormat="1" x14ac:dyDescent="0.3"/>
    <row r="584" customFormat="1" x14ac:dyDescent="0.3"/>
    <row r="585" customFormat="1" x14ac:dyDescent="0.3"/>
    <row r="586" customFormat="1" x14ac:dyDescent="0.3"/>
    <row r="587" customFormat="1" x14ac:dyDescent="0.3"/>
    <row r="588" customFormat="1" x14ac:dyDescent="0.3"/>
    <row r="589" customFormat="1" x14ac:dyDescent="0.3"/>
    <row r="590" customFormat="1" x14ac:dyDescent="0.3"/>
    <row r="591" customFormat="1" x14ac:dyDescent="0.3"/>
    <row r="592" customFormat="1" x14ac:dyDescent="0.3"/>
    <row r="593" customFormat="1" x14ac:dyDescent="0.3"/>
    <row r="594" customFormat="1" x14ac:dyDescent="0.3"/>
    <row r="595" customFormat="1" x14ac:dyDescent="0.3"/>
    <row r="596" customFormat="1" x14ac:dyDescent="0.3"/>
    <row r="597" customFormat="1" x14ac:dyDescent="0.3"/>
    <row r="598" customFormat="1" x14ac:dyDescent="0.3"/>
    <row r="599" customFormat="1" x14ac:dyDescent="0.3"/>
    <row r="600" customFormat="1" x14ac:dyDescent="0.3"/>
    <row r="601" customFormat="1" x14ac:dyDescent="0.3"/>
    <row r="602" customFormat="1" x14ac:dyDescent="0.3"/>
    <row r="603" customFormat="1" x14ac:dyDescent="0.3"/>
    <row r="604" customFormat="1" x14ac:dyDescent="0.3"/>
    <row r="605" customFormat="1" x14ac:dyDescent="0.3"/>
    <row r="606" customFormat="1" x14ac:dyDescent="0.3"/>
    <row r="607" customFormat="1" x14ac:dyDescent="0.3"/>
    <row r="608" customFormat="1" x14ac:dyDescent="0.3"/>
    <row r="609" customFormat="1" x14ac:dyDescent="0.3"/>
    <row r="610" customFormat="1" x14ac:dyDescent="0.3"/>
    <row r="611" customFormat="1" x14ac:dyDescent="0.3"/>
    <row r="612" customFormat="1" x14ac:dyDescent="0.3"/>
    <row r="613" customFormat="1" x14ac:dyDescent="0.3"/>
    <row r="614" customFormat="1" x14ac:dyDescent="0.3"/>
    <row r="615" customFormat="1" x14ac:dyDescent="0.3"/>
    <row r="616" customFormat="1" x14ac:dyDescent="0.3"/>
    <row r="617" customFormat="1" x14ac:dyDescent="0.3"/>
    <row r="618" customFormat="1" x14ac:dyDescent="0.3"/>
    <row r="619" customFormat="1" x14ac:dyDescent="0.3"/>
    <row r="620" customFormat="1" x14ac:dyDescent="0.3"/>
    <row r="621" customFormat="1" x14ac:dyDescent="0.3"/>
    <row r="622" customFormat="1" x14ac:dyDescent="0.3"/>
    <row r="623" customFormat="1" x14ac:dyDescent="0.3"/>
    <row r="624" customFormat="1" x14ac:dyDescent="0.3"/>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sheetData>
  <sortState xmlns:xlrd2="http://schemas.microsoft.com/office/spreadsheetml/2017/richdata2" ref="AI3:AJ191">
    <sortCondition ref="AJ3:AJ191"/>
  </sortState>
  <mergeCells count="8">
    <mergeCell ref="AB1:AE1"/>
    <mergeCell ref="O1:P1"/>
    <mergeCell ref="T1:U1"/>
    <mergeCell ref="F1:G1"/>
    <mergeCell ref="H1:I1"/>
    <mergeCell ref="J1:K1"/>
    <mergeCell ref="Q1:R1"/>
    <mergeCell ref="M1:N1"/>
  </mergeCells>
  <phoneticPr fontId="13" type="noConversion"/>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8">
    <tabColor rgb="FF0070C0"/>
    <pageSetUpPr fitToPage="1"/>
  </sheetPr>
  <dimension ref="A1:L966"/>
  <sheetViews>
    <sheetView topLeftCell="A4" zoomScale="70" zoomScaleNormal="70" zoomScaleSheetLayoutView="40" workbookViewId="0">
      <selection activeCell="B11" sqref="B11:L489"/>
    </sheetView>
  </sheetViews>
  <sheetFormatPr baseColWidth="10" defaultRowHeight="21" x14ac:dyDescent="0.4"/>
  <cols>
    <col min="1" max="1" width="3.88671875" style="179" bestFit="1" customWidth="1"/>
    <col min="2" max="3" width="12.77734375" style="194" customWidth="1"/>
    <col min="4" max="5" width="20.77734375" style="194" customWidth="1"/>
    <col min="6" max="6" width="14.77734375" style="194" customWidth="1"/>
    <col min="7" max="7" width="50.77734375" style="194" customWidth="1"/>
    <col min="8" max="8" width="14.77734375" style="194" customWidth="1"/>
    <col min="9" max="9" width="40.77734375" style="194" customWidth="1"/>
    <col min="10" max="10" width="30.77734375" style="194" customWidth="1"/>
    <col min="11" max="11" width="12.77734375" style="194" customWidth="1"/>
    <col min="12" max="12" width="12.77734375" style="279" customWidth="1"/>
  </cols>
  <sheetData>
    <row r="1" spans="1:12" x14ac:dyDescent="0.4">
      <c r="A1" s="179">
        <v>22</v>
      </c>
      <c r="K1" s="194" t="s">
        <v>876</v>
      </c>
      <c r="L1" s="278">
        <f>'DISTRIBUCION DIARIA'!B1</f>
        <v>45388</v>
      </c>
    </row>
    <row r="2" spans="1:12" x14ac:dyDescent="0.4">
      <c r="A2" s="179">
        <v>22</v>
      </c>
      <c r="K2" s="194" t="s">
        <v>1228</v>
      </c>
      <c r="L2" s="279" t="str">
        <f>TEXT(L1,"M")</f>
        <v>4</v>
      </c>
    </row>
    <row r="3" spans="1:12" x14ac:dyDescent="0.4">
      <c r="A3" s="179">
        <v>22</v>
      </c>
    </row>
    <row r="4" spans="1:12" x14ac:dyDescent="0.4">
      <c r="A4" s="179">
        <v>22</v>
      </c>
    </row>
    <row r="5" spans="1:12" x14ac:dyDescent="0.4">
      <c r="A5" s="179">
        <v>22</v>
      </c>
    </row>
    <row r="6" spans="1:12" x14ac:dyDescent="0.4">
      <c r="A6" s="179">
        <v>22</v>
      </c>
    </row>
    <row r="7" spans="1:12" x14ac:dyDescent="0.4">
      <c r="A7" s="179">
        <v>22</v>
      </c>
    </row>
    <row r="8" spans="1:12" x14ac:dyDescent="0.4">
      <c r="A8" s="179">
        <v>22</v>
      </c>
    </row>
    <row r="9" spans="1:12" ht="33.6" customHeight="1" x14ac:dyDescent="0.65">
      <c r="A9" s="179">
        <v>22</v>
      </c>
      <c r="B9" s="1270" t="str">
        <f>CONCATENATE("DISTRIBUCIÓN DIARIA NRO. ",L1-DATE(YEAR(L1),1,0)," CORRESPONDIENTE AL DÍA ",UPPER(TEXT(L1,"DDDD")),", ",TEXT(L1,"DD")," DE ",UPPER(TEXT(L1,"MMMM"))," DEL AÑO ",TEXT(L1,"YYYY"),".")</f>
        <v>DISTRIBUCIÓN DIARIA NRO. 97 CORRESPONDIENTE AL DÍA SÁBADO, 06 DE ABRIL DEL AÑO 2024.</v>
      </c>
      <c r="C9" s="1270"/>
      <c r="D9" s="1270"/>
      <c r="E9" s="1270"/>
      <c r="F9" s="1270"/>
      <c r="G9" s="1270"/>
      <c r="H9" s="1270"/>
      <c r="I9" s="1270"/>
      <c r="J9" s="1270"/>
    </row>
    <row r="10" spans="1:12" x14ac:dyDescent="0.4">
      <c r="A10" s="179">
        <v>22</v>
      </c>
    </row>
    <row r="11" spans="1:12" ht="31.2" x14ac:dyDescent="0.3">
      <c r="A11" s="179">
        <v>22</v>
      </c>
      <c r="B11" s="272" t="s">
        <v>815</v>
      </c>
      <c r="C11" s="272" t="s">
        <v>777</v>
      </c>
      <c r="D11" s="272" t="s">
        <v>685</v>
      </c>
      <c r="E11" s="273" t="s">
        <v>1174</v>
      </c>
      <c r="F11" s="273" t="s">
        <v>0</v>
      </c>
      <c r="G11" s="273" t="s">
        <v>1091</v>
      </c>
      <c r="H11" s="274" t="s">
        <v>831</v>
      </c>
      <c r="I11" s="273" t="s">
        <v>118</v>
      </c>
      <c r="J11" s="272" t="s">
        <v>747</v>
      </c>
      <c r="K11" s="272" t="s">
        <v>1171</v>
      </c>
      <c r="L11" s="272" t="s">
        <v>1172</v>
      </c>
    </row>
    <row r="12" spans="1:12" ht="14.4" x14ac:dyDescent="0.3">
      <c r="A12" s="179">
        <f>IF(G12&lt;&gt;"",22,0)</f>
        <v>22</v>
      </c>
      <c r="B12" s="639" t="s">
        <v>2461</v>
      </c>
      <c r="C12" s="639" t="s">
        <v>2410</v>
      </c>
      <c r="D12" s="309" t="s">
        <v>819</v>
      </c>
      <c r="E12" s="308" t="s">
        <v>819</v>
      </c>
      <c r="F12" s="928" t="s">
        <v>120</v>
      </c>
      <c r="G12" s="308" t="s">
        <v>2409</v>
      </c>
      <c r="H12" s="1353" t="s">
        <v>855</v>
      </c>
      <c r="I12" s="1363" t="s">
        <v>1163</v>
      </c>
      <c r="J12" s="263"/>
      <c r="K12" s="748"/>
      <c r="L12" s="748"/>
    </row>
    <row r="13" spans="1:12" ht="14.4" x14ac:dyDescent="0.3">
      <c r="A13" s="179">
        <f t="shared" ref="A13:A76" si="0">IF(G13&lt;&gt;"",22,0)</f>
        <v>22</v>
      </c>
      <c r="B13" s="639" t="s">
        <v>2430</v>
      </c>
      <c r="C13" s="639">
        <v>140710814</v>
      </c>
      <c r="D13" s="308" t="s">
        <v>1990</v>
      </c>
      <c r="E13" s="308" t="s">
        <v>1990</v>
      </c>
      <c r="F13" s="928" t="s">
        <v>209</v>
      </c>
      <c r="G13" s="308" t="s">
        <v>2505</v>
      </c>
      <c r="H13" s="1353" t="s">
        <v>855</v>
      </c>
      <c r="I13" s="1363" t="s">
        <v>1990</v>
      </c>
      <c r="J13" s="263"/>
      <c r="K13" s="748"/>
      <c r="L13" s="748"/>
    </row>
    <row r="14" spans="1:12" ht="14.4" x14ac:dyDescent="0.3">
      <c r="A14" s="179">
        <f t="shared" si="0"/>
        <v>22</v>
      </c>
      <c r="B14" s="639" t="s">
        <v>2433</v>
      </c>
      <c r="C14" s="639">
        <v>155983736</v>
      </c>
      <c r="D14" s="309" t="s">
        <v>1990</v>
      </c>
      <c r="E14" s="308" t="s">
        <v>1990</v>
      </c>
      <c r="F14" s="928" t="s">
        <v>209</v>
      </c>
      <c r="G14" s="308" t="s">
        <v>2434</v>
      </c>
      <c r="H14" s="1353" t="s">
        <v>855</v>
      </c>
      <c r="I14" s="1363" t="s">
        <v>1990</v>
      </c>
      <c r="J14" s="263"/>
      <c r="K14" s="748"/>
      <c r="L14" s="748"/>
    </row>
    <row r="15" spans="1:12" ht="14.4" x14ac:dyDescent="0.3">
      <c r="A15" s="179">
        <f t="shared" si="0"/>
        <v>22</v>
      </c>
      <c r="B15" s="639" t="s">
        <v>1697</v>
      </c>
      <c r="C15" s="639">
        <v>166051002</v>
      </c>
      <c r="D15" s="308" t="s">
        <v>1990</v>
      </c>
      <c r="E15" s="308" t="s">
        <v>1990</v>
      </c>
      <c r="F15" s="928" t="s">
        <v>209</v>
      </c>
      <c r="G15" s="308" t="s">
        <v>1698</v>
      </c>
      <c r="H15" s="1353" t="s">
        <v>855</v>
      </c>
      <c r="I15" s="1363" t="s">
        <v>1990</v>
      </c>
      <c r="J15" s="263"/>
      <c r="K15" s="269"/>
      <c r="L15" s="269"/>
    </row>
    <row r="16" spans="1:12" ht="14.4" x14ac:dyDescent="0.3">
      <c r="A16" s="179">
        <f t="shared" si="0"/>
        <v>22</v>
      </c>
      <c r="B16" s="640" t="s">
        <v>2546</v>
      </c>
      <c r="C16" s="640">
        <v>138416100</v>
      </c>
      <c r="D16" s="310" t="s">
        <v>694</v>
      </c>
      <c r="E16" s="310" t="s">
        <v>694</v>
      </c>
      <c r="F16" s="929" t="s">
        <v>119</v>
      </c>
      <c r="G16" s="317" t="s">
        <v>2547</v>
      </c>
      <c r="H16" s="1354" t="s">
        <v>855</v>
      </c>
      <c r="I16" s="1364" t="s">
        <v>2662</v>
      </c>
      <c r="J16" s="266"/>
      <c r="K16" s="795"/>
      <c r="L16" s="795"/>
    </row>
    <row r="17" spans="1:12" ht="14.4" x14ac:dyDescent="0.3">
      <c r="A17" s="179">
        <f t="shared" si="0"/>
        <v>22</v>
      </c>
      <c r="B17" s="640" t="s">
        <v>275</v>
      </c>
      <c r="C17" s="640">
        <v>153474931</v>
      </c>
      <c r="D17" s="1328" t="s">
        <v>1991</v>
      </c>
      <c r="E17" s="1328" t="s">
        <v>1991</v>
      </c>
      <c r="F17" s="266" t="s">
        <v>89</v>
      </c>
      <c r="G17" s="317" t="s">
        <v>2527</v>
      </c>
      <c r="H17" s="1354" t="s">
        <v>855</v>
      </c>
      <c r="I17" s="1364" t="s">
        <v>1991</v>
      </c>
      <c r="J17" s="266"/>
      <c r="K17" s="268"/>
      <c r="L17" s="268"/>
    </row>
    <row r="18" spans="1:12" ht="14.4" x14ac:dyDescent="0.3">
      <c r="A18" s="179">
        <f t="shared" si="0"/>
        <v>22</v>
      </c>
      <c r="B18" s="640" t="s">
        <v>581</v>
      </c>
      <c r="C18" s="640">
        <v>173290527</v>
      </c>
      <c r="D18" s="1328" t="s">
        <v>1991</v>
      </c>
      <c r="E18" s="317" t="s">
        <v>1991</v>
      </c>
      <c r="F18" s="929" t="s">
        <v>209</v>
      </c>
      <c r="G18" s="317" t="s">
        <v>58</v>
      </c>
      <c r="H18" s="1354" t="s">
        <v>855</v>
      </c>
      <c r="I18" s="1364" t="s">
        <v>1991</v>
      </c>
      <c r="J18" s="266"/>
      <c r="K18" s="268"/>
      <c r="L18" s="268"/>
    </row>
    <row r="19" spans="1:12" ht="14.4" x14ac:dyDescent="0.3">
      <c r="A19" s="179">
        <f t="shared" si="0"/>
        <v>22</v>
      </c>
      <c r="B19" s="640" t="s">
        <v>664</v>
      </c>
      <c r="C19" s="640" t="s">
        <v>462</v>
      </c>
      <c r="D19" s="716" t="s">
        <v>713</v>
      </c>
      <c r="E19" s="317" t="s">
        <v>1991</v>
      </c>
      <c r="F19" s="266" t="s">
        <v>3</v>
      </c>
      <c r="G19" s="317" t="s">
        <v>2532</v>
      </c>
      <c r="H19" s="1354" t="s">
        <v>855</v>
      </c>
      <c r="I19" s="1364" t="s">
        <v>1991</v>
      </c>
      <c r="J19" s="266"/>
      <c r="K19" s="268"/>
      <c r="L19" s="268"/>
    </row>
    <row r="20" spans="1:12" ht="14.4" x14ac:dyDescent="0.3">
      <c r="A20" s="179">
        <f t="shared" si="0"/>
        <v>22</v>
      </c>
      <c r="B20" s="641" t="s">
        <v>2657</v>
      </c>
      <c r="C20" s="641" t="s">
        <v>2658</v>
      </c>
      <c r="D20" s="311" t="s">
        <v>695</v>
      </c>
      <c r="E20" s="315" t="s">
        <v>695</v>
      </c>
      <c r="F20" s="930" t="s">
        <v>119</v>
      </c>
      <c r="G20" s="315" t="s">
        <v>2659</v>
      </c>
      <c r="H20" s="1355" t="s">
        <v>855</v>
      </c>
      <c r="I20" s="1365" t="s">
        <v>2661</v>
      </c>
      <c r="J20" s="264"/>
      <c r="K20" s="741"/>
      <c r="L20" s="741"/>
    </row>
    <row r="21" spans="1:12" ht="14.4" x14ac:dyDescent="0.3">
      <c r="A21" s="179">
        <f t="shared" si="0"/>
        <v>22</v>
      </c>
      <c r="B21" s="641" t="s">
        <v>339</v>
      </c>
      <c r="C21" s="641">
        <v>136988352</v>
      </c>
      <c r="D21" s="1329" t="s">
        <v>1992</v>
      </c>
      <c r="E21" s="315" t="s">
        <v>1992</v>
      </c>
      <c r="F21" s="930" t="s">
        <v>89</v>
      </c>
      <c r="G21" s="315" t="s">
        <v>2543</v>
      </c>
      <c r="H21" s="1355" t="s">
        <v>855</v>
      </c>
      <c r="I21" s="1365" t="s">
        <v>1992</v>
      </c>
      <c r="J21" s="264"/>
      <c r="K21" s="271"/>
      <c r="L21" s="271"/>
    </row>
    <row r="22" spans="1:12" ht="14.4" x14ac:dyDescent="0.3">
      <c r="A22" s="179">
        <f t="shared" si="0"/>
        <v>22</v>
      </c>
      <c r="B22" s="641" t="s">
        <v>400</v>
      </c>
      <c r="C22" s="641" t="s">
        <v>401</v>
      </c>
      <c r="D22" s="1329" t="s">
        <v>1992</v>
      </c>
      <c r="E22" s="1329" t="s">
        <v>1992</v>
      </c>
      <c r="F22" s="264" t="s">
        <v>3</v>
      </c>
      <c r="G22" s="315" t="s">
        <v>2376</v>
      </c>
      <c r="H22" s="1355" t="s">
        <v>855</v>
      </c>
      <c r="I22" s="1365" t="s">
        <v>1992</v>
      </c>
      <c r="J22" s="264"/>
      <c r="K22" s="271"/>
      <c r="L22" s="271"/>
    </row>
    <row r="23" spans="1:12" ht="14.4" x14ac:dyDescent="0.3">
      <c r="A23" s="179">
        <f t="shared" si="0"/>
        <v>22</v>
      </c>
      <c r="B23" s="641" t="s">
        <v>336</v>
      </c>
      <c r="C23" s="641">
        <v>200774515</v>
      </c>
      <c r="D23" s="1329" t="s">
        <v>1992</v>
      </c>
      <c r="E23" s="311" t="s">
        <v>1992</v>
      </c>
      <c r="F23" s="264" t="s">
        <v>4</v>
      </c>
      <c r="G23" s="315" t="s">
        <v>2277</v>
      </c>
      <c r="H23" s="1355" t="s">
        <v>855</v>
      </c>
      <c r="I23" s="1365" t="s">
        <v>1992</v>
      </c>
      <c r="J23" s="264"/>
      <c r="K23" s="271"/>
      <c r="L23" s="271"/>
    </row>
    <row r="24" spans="1:12" ht="14.4" x14ac:dyDescent="0.3">
      <c r="A24" s="179">
        <f t="shared" si="0"/>
        <v>22</v>
      </c>
      <c r="B24" s="643" t="s">
        <v>1671</v>
      </c>
      <c r="C24" s="643">
        <v>136703277</v>
      </c>
      <c r="D24" s="312" t="s">
        <v>696</v>
      </c>
      <c r="E24" s="316" t="s">
        <v>696</v>
      </c>
      <c r="F24" s="931" t="s">
        <v>119</v>
      </c>
      <c r="G24" s="316" t="s">
        <v>1670</v>
      </c>
      <c r="H24" s="1356" t="s">
        <v>853</v>
      </c>
      <c r="I24" s="1366" t="s">
        <v>1406</v>
      </c>
      <c r="J24" s="265"/>
      <c r="K24" s="270"/>
      <c r="L24" s="270"/>
    </row>
    <row r="25" spans="1:12" ht="14.4" x14ac:dyDescent="0.3">
      <c r="A25" s="179">
        <f t="shared" si="0"/>
        <v>22</v>
      </c>
      <c r="B25" s="643" t="s">
        <v>272</v>
      </c>
      <c r="C25" s="643">
        <v>145820472</v>
      </c>
      <c r="D25" s="1330" t="s">
        <v>1993</v>
      </c>
      <c r="E25" s="1330" t="s">
        <v>1993</v>
      </c>
      <c r="F25" s="265" t="s">
        <v>17</v>
      </c>
      <c r="G25" s="316" t="s">
        <v>2259</v>
      </c>
      <c r="H25" s="1356" t="s">
        <v>853</v>
      </c>
      <c r="I25" s="1366" t="s">
        <v>1993</v>
      </c>
      <c r="J25" s="265"/>
      <c r="K25" s="270"/>
      <c r="L25" s="270"/>
    </row>
    <row r="26" spans="1:12" ht="14.4" x14ac:dyDescent="0.3">
      <c r="A26" s="179">
        <f t="shared" si="0"/>
        <v>22</v>
      </c>
      <c r="B26" s="643" t="s">
        <v>1706</v>
      </c>
      <c r="C26" s="643">
        <v>187269822</v>
      </c>
      <c r="D26" s="1330" t="s">
        <v>1993</v>
      </c>
      <c r="E26" s="1330" t="s">
        <v>1993</v>
      </c>
      <c r="F26" s="931" t="s">
        <v>3</v>
      </c>
      <c r="G26" s="316" t="s">
        <v>2260</v>
      </c>
      <c r="H26" s="1356" t="s">
        <v>853</v>
      </c>
      <c r="I26" s="1366" t="s">
        <v>1993</v>
      </c>
      <c r="J26" s="265"/>
      <c r="K26" s="270"/>
      <c r="L26" s="270"/>
    </row>
    <row r="27" spans="1:12" ht="14.4" x14ac:dyDescent="0.3">
      <c r="A27" s="179">
        <f t="shared" si="0"/>
        <v>22</v>
      </c>
      <c r="B27" s="642" t="s">
        <v>2664</v>
      </c>
      <c r="C27" s="642" t="s">
        <v>2665</v>
      </c>
      <c r="D27" s="313" t="s">
        <v>781</v>
      </c>
      <c r="E27" s="314" t="s">
        <v>781</v>
      </c>
      <c r="F27" s="932" t="s">
        <v>1650</v>
      </c>
      <c r="G27" s="314" t="s">
        <v>2666</v>
      </c>
      <c r="H27" s="1357" t="s">
        <v>853</v>
      </c>
      <c r="I27" s="1367" t="s">
        <v>2668</v>
      </c>
      <c r="J27" s="193"/>
      <c r="K27" s="889"/>
      <c r="L27" s="889"/>
    </row>
    <row r="28" spans="1:12" ht="14.4" x14ac:dyDescent="0.3">
      <c r="A28" s="179">
        <f t="shared" si="0"/>
        <v>22</v>
      </c>
      <c r="B28" s="642" t="s">
        <v>392</v>
      </c>
      <c r="C28" s="642">
        <v>127357498</v>
      </c>
      <c r="D28" s="1331" t="s">
        <v>1994</v>
      </c>
      <c r="E28" s="314" t="s">
        <v>1994</v>
      </c>
      <c r="F28" s="193" t="s">
        <v>17</v>
      </c>
      <c r="G28" s="314" t="s">
        <v>61</v>
      </c>
      <c r="H28" s="1357" t="s">
        <v>853</v>
      </c>
      <c r="I28" s="1367" t="s">
        <v>1994</v>
      </c>
      <c r="J28" s="193"/>
      <c r="K28" s="211"/>
      <c r="L28" s="211"/>
    </row>
    <row r="29" spans="1:12" ht="14.4" x14ac:dyDescent="0.3">
      <c r="A29" s="179">
        <f t="shared" si="0"/>
        <v>22</v>
      </c>
      <c r="B29" s="642" t="s">
        <v>473</v>
      </c>
      <c r="C29" s="642">
        <v>139081935</v>
      </c>
      <c r="D29" s="1331" t="s">
        <v>1994</v>
      </c>
      <c r="E29" s="1331" t="s">
        <v>1994</v>
      </c>
      <c r="F29" s="932" t="s">
        <v>209</v>
      </c>
      <c r="G29" s="314" t="s">
        <v>2263</v>
      </c>
      <c r="H29" s="1357" t="s">
        <v>853</v>
      </c>
      <c r="I29" s="1367" t="s">
        <v>1994</v>
      </c>
      <c r="J29" s="193"/>
      <c r="K29" s="211"/>
      <c r="L29" s="211"/>
    </row>
    <row r="30" spans="1:12" ht="14.4" x14ac:dyDescent="0.3">
      <c r="A30" s="179">
        <f t="shared" si="0"/>
        <v>22</v>
      </c>
      <c r="B30" s="642" t="s">
        <v>370</v>
      </c>
      <c r="C30" s="642">
        <v>202259502</v>
      </c>
      <c r="D30" s="314" t="s">
        <v>1994</v>
      </c>
      <c r="E30" s="314" t="s">
        <v>1994</v>
      </c>
      <c r="F30" s="193" t="s">
        <v>4</v>
      </c>
      <c r="G30" s="314" t="s">
        <v>2269</v>
      </c>
      <c r="H30" s="1357" t="s">
        <v>853</v>
      </c>
      <c r="I30" s="1367" t="s">
        <v>1994</v>
      </c>
      <c r="J30" s="193"/>
      <c r="K30" s="211"/>
      <c r="L30" s="211"/>
    </row>
    <row r="31" spans="1:12" ht="14.4" x14ac:dyDescent="0.3">
      <c r="A31" s="179">
        <f t="shared" si="0"/>
        <v>22</v>
      </c>
      <c r="B31" s="640" t="s">
        <v>673</v>
      </c>
      <c r="C31" s="640">
        <v>152509936</v>
      </c>
      <c r="D31" s="317" t="s">
        <v>710</v>
      </c>
      <c r="E31" s="317" t="s">
        <v>710</v>
      </c>
      <c r="F31" s="266" t="s">
        <v>672</v>
      </c>
      <c r="G31" s="317" t="s">
        <v>688</v>
      </c>
      <c r="H31" s="1354" t="s">
        <v>855</v>
      </c>
      <c r="I31" s="1364" t="s">
        <v>2890</v>
      </c>
      <c r="J31" s="266"/>
      <c r="K31" s="268"/>
      <c r="L31" s="268"/>
    </row>
    <row r="32" spans="1:12" ht="14.4" x14ac:dyDescent="0.3">
      <c r="A32" s="179">
        <f t="shared" si="0"/>
        <v>22</v>
      </c>
      <c r="B32" s="640" t="s">
        <v>647</v>
      </c>
      <c r="C32" s="640" t="s">
        <v>648</v>
      </c>
      <c r="D32" s="310" t="s">
        <v>1996</v>
      </c>
      <c r="E32" s="317" t="s">
        <v>1996</v>
      </c>
      <c r="F32" s="266" t="s">
        <v>209</v>
      </c>
      <c r="G32" s="317" t="s">
        <v>1910</v>
      </c>
      <c r="H32" s="1354" t="s">
        <v>855</v>
      </c>
      <c r="I32" s="1364" t="s">
        <v>1996</v>
      </c>
      <c r="J32" s="266"/>
      <c r="K32" s="268"/>
      <c r="L32" s="268"/>
    </row>
    <row r="33" spans="1:12" ht="14.4" x14ac:dyDescent="0.3">
      <c r="A33" s="179">
        <f t="shared" si="0"/>
        <v>22</v>
      </c>
      <c r="B33" s="640" t="s">
        <v>276</v>
      </c>
      <c r="C33" s="640">
        <v>178972790</v>
      </c>
      <c r="D33" s="310" t="s">
        <v>1996</v>
      </c>
      <c r="E33" s="310" t="s">
        <v>1996</v>
      </c>
      <c r="F33" s="266" t="s">
        <v>3</v>
      </c>
      <c r="G33" s="317" t="s">
        <v>42</v>
      </c>
      <c r="H33" s="1354" t="s">
        <v>855</v>
      </c>
      <c r="I33" s="1364" t="s">
        <v>1996</v>
      </c>
      <c r="J33" s="266"/>
      <c r="K33" s="268"/>
      <c r="L33" s="268"/>
    </row>
    <row r="34" spans="1:12" ht="14.4" x14ac:dyDescent="0.3">
      <c r="A34" s="179">
        <f t="shared" si="0"/>
        <v>22</v>
      </c>
      <c r="B34" s="641" t="s">
        <v>2620</v>
      </c>
      <c r="C34" s="641" t="s">
        <v>2621</v>
      </c>
      <c r="D34" s="315" t="s">
        <v>698</v>
      </c>
      <c r="E34" s="315" t="s">
        <v>698</v>
      </c>
      <c r="F34" s="930" t="s">
        <v>672</v>
      </c>
      <c r="G34" s="315" t="s">
        <v>2622</v>
      </c>
      <c r="H34" s="1355" t="s">
        <v>855</v>
      </c>
      <c r="I34" s="1365" t="s">
        <v>2055</v>
      </c>
      <c r="J34" s="264"/>
      <c r="K34" s="741"/>
      <c r="L34" s="741"/>
    </row>
    <row r="35" spans="1:12" ht="14.4" x14ac:dyDescent="0.3">
      <c r="A35" s="179">
        <f t="shared" si="0"/>
        <v>22</v>
      </c>
      <c r="B35" s="641" t="s">
        <v>689</v>
      </c>
      <c r="C35" s="641">
        <v>170657586</v>
      </c>
      <c r="D35" s="315" t="s">
        <v>1997</v>
      </c>
      <c r="E35" s="315" t="s">
        <v>1997</v>
      </c>
      <c r="F35" s="264" t="s">
        <v>209</v>
      </c>
      <c r="G35" s="315" t="s">
        <v>3036</v>
      </c>
      <c r="H35" s="1355" t="s">
        <v>855</v>
      </c>
      <c r="I35" s="1365" t="s">
        <v>1997</v>
      </c>
      <c r="J35" s="264"/>
      <c r="K35" s="271"/>
      <c r="L35" s="271"/>
    </row>
    <row r="36" spans="1:12" ht="14.4" x14ac:dyDescent="0.3">
      <c r="A36" s="179">
        <f t="shared" si="0"/>
        <v>22</v>
      </c>
      <c r="B36" s="641" t="s">
        <v>2897</v>
      </c>
      <c r="C36" s="641">
        <v>185225544</v>
      </c>
      <c r="D36" s="311" t="s">
        <v>1997</v>
      </c>
      <c r="E36" s="315" t="s">
        <v>1997</v>
      </c>
      <c r="F36" s="930" t="s">
        <v>3</v>
      </c>
      <c r="G36" s="315" t="s">
        <v>2898</v>
      </c>
      <c r="H36" s="1355" t="s">
        <v>855</v>
      </c>
      <c r="I36" s="1365" t="s">
        <v>1997</v>
      </c>
      <c r="J36" s="264"/>
      <c r="K36" s="741"/>
      <c r="L36" s="741"/>
    </row>
    <row r="37" spans="1:12" ht="14.4" x14ac:dyDescent="0.3">
      <c r="A37" s="179">
        <f t="shared" si="0"/>
        <v>22</v>
      </c>
      <c r="B37" s="642" t="s">
        <v>303</v>
      </c>
      <c r="C37" s="642">
        <v>118932137</v>
      </c>
      <c r="D37" s="313" t="s">
        <v>793</v>
      </c>
      <c r="E37" s="314" t="s">
        <v>793</v>
      </c>
      <c r="F37" s="193" t="s">
        <v>89</v>
      </c>
      <c r="G37" s="314" t="s">
        <v>1842</v>
      </c>
      <c r="H37" s="1357" t="s">
        <v>855</v>
      </c>
      <c r="I37" s="1367" t="s">
        <v>2762</v>
      </c>
      <c r="J37" s="193"/>
      <c r="K37" s="211"/>
      <c r="L37" s="211"/>
    </row>
    <row r="38" spans="1:12" ht="14.4" x14ac:dyDescent="0.3">
      <c r="A38" s="179">
        <f t="shared" si="0"/>
        <v>22</v>
      </c>
      <c r="B38" s="642" t="s">
        <v>340</v>
      </c>
      <c r="C38" s="642">
        <v>186912942</v>
      </c>
      <c r="D38" s="715" t="s">
        <v>2001</v>
      </c>
      <c r="E38" s="314" t="s">
        <v>793</v>
      </c>
      <c r="F38" s="193" t="s">
        <v>4</v>
      </c>
      <c r="G38" s="314" t="s">
        <v>137</v>
      </c>
      <c r="H38" s="1357" t="s">
        <v>855</v>
      </c>
      <c r="I38" s="1367" t="s">
        <v>2762</v>
      </c>
      <c r="J38" s="193"/>
      <c r="K38" s="211"/>
      <c r="L38" s="211"/>
    </row>
    <row r="39" spans="1:12" ht="14.4" x14ac:dyDescent="0.3">
      <c r="A39" s="179">
        <f t="shared" si="0"/>
        <v>22</v>
      </c>
      <c r="B39" s="642" t="s">
        <v>281</v>
      </c>
      <c r="C39" s="642">
        <v>174820937</v>
      </c>
      <c r="D39" s="313" t="s">
        <v>793</v>
      </c>
      <c r="E39" s="313" t="s">
        <v>793</v>
      </c>
      <c r="F39" s="193" t="s">
        <v>4</v>
      </c>
      <c r="G39" s="314" t="s">
        <v>33</v>
      </c>
      <c r="H39" s="1357" t="s">
        <v>855</v>
      </c>
      <c r="I39" s="1367" t="s">
        <v>2762</v>
      </c>
      <c r="J39" s="193"/>
      <c r="K39" s="211"/>
      <c r="L39" s="211"/>
    </row>
    <row r="40" spans="1:12" ht="14.4" x14ac:dyDescent="0.3">
      <c r="A40" s="179">
        <f t="shared" si="0"/>
        <v>22</v>
      </c>
      <c r="B40" s="642" t="s">
        <v>347</v>
      </c>
      <c r="C40" s="642">
        <v>159277585</v>
      </c>
      <c r="D40" s="313" t="s">
        <v>793</v>
      </c>
      <c r="E40" s="313" t="s">
        <v>793</v>
      </c>
      <c r="F40" s="193" t="s">
        <v>14</v>
      </c>
      <c r="G40" s="314" t="s">
        <v>50</v>
      </c>
      <c r="H40" s="1357" t="s">
        <v>855</v>
      </c>
      <c r="I40" s="1367" t="s">
        <v>2762</v>
      </c>
      <c r="J40" s="193"/>
      <c r="K40" s="211"/>
      <c r="L40" s="211"/>
    </row>
    <row r="41" spans="1:12" ht="14.4" x14ac:dyDescent="0.3">
      <c r="A41" s="179">
        <f t="shared" si="0"/>
        <v>22</v>
      </c>
      <c r="B41" s="639" t="s">
        <v>427</v>
      </c>
      <c r="C41" s="639">
        <v>152547706</v>
      </c>
      <c r="D41" s="715" t="s">
        <v>704</v>
      </c>
      <c r="E41" s="309" t="s">
        <v>794</v>
      </c>
      <c r="F41" s="928" t="s">
        <v>89</v>
      </c>
      <c r="G41" s="308" t="s">
        <v>60</v>
      </c>
      <c r="H41" s="1353" t="s">
        <v>2125</v>
      </c>
      <c r="I41" s="1363" t="s">
        <v>2762</v>
      </c>
      <c r="J41" s="263"/>
      <c r="K41" s="269"/>
      <c r="L41" s="269"/>
    </row>
    <row r="42" spans="1:12" ht="14.4" x14ac:dyDescent="0.3">
      <c r="A42" s="179">
        <f t="shared" si="0"/>
        <v>22</v>
      </c>
      <c r="B42" s="639" t="s">
        <v>467</v>
      </c>
      <c r="C42" s="639">
        <v>193187080</v>
      </c>
      <c r="D42" s="309" t="s">
        <v>794</v>
      </c>
      <c r="E42" s="309" t="s">
        <v>794</v>
      </c>
      <c r="F42" s="263" t="s">
        <v>4</v>
      </c>
      <c r="G42" s="308" t="s">
        <v>163</v>
      </c>
      <c r="H42" s="1353" t="s">
        <v>2125</v>
      </c>
      <c r="I42" s="1363" t="s">
        <v>2762</v>
      </c>
      <c r="J42" s="263"/>
      <c r="K42" s="269"/>
      <c r="L42" s="269"/>
    </row>
    <row r="43" spans="1:12" ht="14.4" x14ac:dyDescent="0.3">
      <c r="A43" s="179">
        <f t="shared" si="0"/>
        <v>22</v>
      </c>
      <c r="B43" s="639" t="s">
        <v>302</v>
      </c>
      <c r="C43" s="639">
        <v>190728064</v>
      </c>
      <c r="D43" s="309" t="s">
        <v>794</v>
      </c>
      <c r="E43" s="309" t="s">
        <v>794</v>
      </c>
      <c r="F43" s="263" t="s">
        <v>4</v>
      </c>
      <c r="G43" s="308" t="s">
        <v>141</v>
      </c>
      <c r="H43" s="1353" t="s">
        <v>2125</v>
      </c>
      <c r="I43" s="1363" t="s">
        <v>2762</v>
      </c>
      <c r="J43" s="263"/>
      <c r="K43" s="269"/>
      <c r="L43" s="269"/>
    </row>
    <row r="44" spans="1:12" ht="14.4" x14ac:dyDescent="0.3">
      <c r="A44" s="179">
        <f t="shared" si="0"/>
        <v>22</v>
      </c>
      <c r="B44" s="639" t="s">
        <v>587</v>
      </c>
      <c r="C44" s="639">
        <v>201400953</v>
      </c>
      <c r="D44" s="715" t="s">
        <v>714</v>
      </c>
      <c r="E44" s="309" t="s">
        <v>794</v>
      </c>
      <c r="F44" s="263" t="s">
        <v>14</v>
      </c>
      <c r="G44" s="308" t="s">
        <v>108</v>
      </c>
      <c r="H44" s="1353" t="s">
        <v>2125</v>
      </c>
      <c r="I44" s="1363" t="s">
        <v>2762</v>
      </c>
      <c r="J44" s="263" t="s">
        <v>1483</v>
      </c>
      <c r="K44" s="269"/>
      <c r="L44" s="269"/>
    </row>
    <row r="45" spans="1:12" ht="14.4" x14ac:dyDescent="0.3">
      <c r="A45" s="179">
        <f t="shared" si="0"/>
        <v>22</v>
      </c>
      <c r="B45" s="640" t="s">
        <v>284</v>
      </c>
      <c r="C45" s="640">
        <v>133932798</v>
      </c>
      <c r="D45" s="310" t="s">
        <v>795</v>
      </c>
      <c r="E45" s="317" t="s">
        <v>795</v>
      </c>
      <c r="F45" s="929" t="s">
        <v>89</v>
      </c>
      <c r="G45" s="317" t="s">
        <v>232</v>
      </c>
      <c r="H45" s="1354" t="s">
        <v>944</v>
      </c>
      <c r="I45" s="1364" t="s">
        <v>2762</v>
      </c>
      <c r="J45" s="266"/>
      <c r="K45" s="268"/>
      <c r="L45" s="268"/>
    </row>
    <row r="46" spans="1:12" ht="14.4" x14ac:dyDescent="0.3">
      <c r="A46" s="179">
        <f t="shared" si="0"/>
        <v>22</v>
      </c>
      <c r="B46" s="640" t="s">
        <v>2019</v>
      </c>
      <c r="C46" s="640" t="s">
        <v>2020</v>
      </c>
      <c r="D46" s="317" t="s">
        <v>795</v>
      </c>
      <c r="E46" s="317" t="s">
        <v>795</v>
      </c>
      <c r="F46" s="929" t="s">
        <v>4</v>
      </c>
      <c r="G46" s="317" t="s">
        <v>2021</v>
      </c>
      <c r="H46" s="1354" t="s">
        <v>944</v>
      </c>
      <c r="I46" s="1364" t="s">
        <v>2762</v>
      </c>
      <c r="J46" s="266"/>
      <c r="K46" s="268"/>
      <c r="L46" s="268"/>
    </row>
    <row r="47" spans="1:12" ht="14.4" x14ac:dyDescent="0.3">
      <c r="A47" s="179">
        <f t="shared" si="0"/>
        <v>22</v>
      </c>
      <c r="B47" s="640" t="s">
        <v>537</v>
      </c>
      <c r="C47" s="640">
        <v>203549784</v>
      </c>
      <c r="D47" s="310" t="s">
        <v>795</v>
      </c>
      <c r="E47" s="317" t="s">
        <v>795</v>
      </c>
      <c r="F47" s="266" t="s">
        <v>4</v>
      </c>
      <c r="G47" s="317" t="s">
        <v>176</v>
      </c>
      <c r="H47" s="1354" t="s">
        <v>944</v>
      </c>
      <c r="I47" s="1364" t="s">
        <v>2762</v>
      </c>
      <c r="J47" s="266"/>
      <c r="K47" s="268"/>
      <c r="L47" s="268"/>
    </row>
    <row r="48" spans="1:12" ht="14.4" x14ac:dyDescent="0.3">
      <c r="A48" s="179">
        <f t="shared" si="0"/>
        <v>22</v>
      </c>
      <c r="B48" s="640" t="s">
        <v>394</v>
      </c>
      <c r="C48" s="640">
        <v>192379261</v>
      </c>
      <c r="D48" s="310" t="s">
        <v>795</v>
      </c>
      <c r="E48" s="310" t="s">
        <v>795</v>
      </c>
      <c r="F48" s="266" t="s">
        <v>4</v>
      </c>
      <c r="G48" s="317" t="s">
        <v>244</v>
      </c>
      <c r="H48" s="1354" t="s">
        <v>944</v>
      </c>
      <c r="I48" s="1364" t="s">
        <v>2762</v>
      </c>
      <c r="J48" s="266"/>
      <c r="K48" s="268"/>
      <c r="L48" s="268"/>
    </row>
    <row r="49" spans="1:12" ht="14.4" x14ac:dyDescent="0.3">
      <c r="A49" s="179">
        <f t="shared" si="0"/>
        <v>22</v>
      </c>
      <c r="B49" s="1376" t="s">
        <v>571</v>
      </c>
      <c r="C49" s="641">
        <v>153015651</v>
      </c>
      <c r="D49" s="715" t="s">
        <v>793</v>
      </c>
      <c r="E49" s="311" t="s">
        <v>820</v>
      </c>
      <c r="F49" s="930" t="s">
        <v>209</v>
      </c>
      <c r="G49" s="315" t="s">
        <v>217</v>
      </c>
      <c r="H49" s="1355" t="s">
        <v>945</v>
      </c>
      <c r="I49" s="1365" t="s">
        <v>2290</v>
      </c>
      <c r="J49" s="264"/>
      <c r="K49" s="271">
        <v>45385</v>
      </c>
      <c r="L49" s="271">
        <v>45387</v>
      </c>
    </row>
    <row r="50" spans="1:12" ht="14.4" x14ac:dyDescent="0.3">
      <c r="A50" s="179">
        <f t="shared" si="0"/>
        <v>22</v>
      </c>
      <c r="B50" s="643" t="s">
        <v>297</v>
      </c>
      <c r="C50" s="643">
        <v>117799999</v>
      </c>
      <c r="D50" s="312" t="s">
        <v>708</v>
      </c>
      <c r="E50" s="316" t="s">
        <v>708</v>
      </c>
      <c r="F50" s="265" t="s">
        <v>89</v>
      </c>
      <c r="G50" s="316" t="s">
        <v>1843</v>
      </c>
      <c r="H50" s="1356" t="s">
        <v>855</v>
      </c>
      <c r="I50" s="1366" t="s">
        <v>2807</v>
      </c>
      <c r="J50" s="265"/>
      <c r="K50" s="270"/>
      <c r="L50" s="270"/>
    </row>
    <row r="51" spans="1:12" ht="14.4" x14ac:dyDescent="0.3">
      <c r="A51" s="179">
        <f t="shared" si="0"/>
        <v>22</v>
      </c>
      <c r="B51" s="643" t="s">
        <v>452</v>
      </c>
      <c r="C51" s="643">
        <v>151333508</v>
      </c>
      <c r="D51" s="312" t="s">
        <v>708</v>
      </c>
      <c r="E51" s="312" t="s">
        <v>708</v>
      </c>
      <c r="F51" s="265" t="s">
        <v>4</v>
      </c>
      <c r="G51" s="316" t="s">
        <v>228</v>
      </c>
      <c r="H51" s="1356" t="s">
        <v>855</v>
      </c>
      <c r="I51" s="1366" t="s">
        <v>2807</v>
      </c>
      <c r="J51" s="265"/>
      <c r="K51" s="270"/>
      <c r="L51" s="270"/>
    </row>
    <row r="52" spans="1:12" ht="14.4" x14ac:dyDescent="0.3">
      <c r="A52" s="179">
        <f t="shared" si="0"/>
        <v>22</v>
      </c>
      <c r="B52" s="642" t="s">
        <v>295</v>
      </c>
      <c r="C52" s="642">
        <v>135236128</v>
      </c>
      <c r="D52" s="313" t="s">
        <v>705</v>
      </c>
      <c r="E52" s="314" t="s">
        <v>705</v>
      </c>
      <c r="F52" s="193" t="s">
        <v>17</v>
      </c>
      <c r="G52" s="314" t="s">
        <v>21</v>
      </c>
      <c r="H52" s="1357" t="s">
        <v>944</v>
      </c>
      <c r="I52" s="1367" t="s">
        <v>2807</v>
      </c>
      <c r="J52" s="193"/>
      <c r="K52" s="211"/>
      <c r="L52" s="211"/>
    </row>
    <row r="53" spans="1:12" ht="14.4" x14ac:dyDescent="0.3">
      <c r="A53" s="179">
        <f t="shared" si="0"/>
        <v>22</v>
      </c>
      <c r="B53" s="642" t="s">
        <v>294</v>
      </c>
      <c r="C53" s="642">
        <v>173330219</v>
      </c>
      <c r="D53" s="314" t="s">
        <v>705</v>
      </c>
      <c r="E53" s="314" t="s">
        <v>705</v>
      </c>
      <c r="F53" s="193" t="s">
        <v>3</v>
      </c>
      <c r="G53" s="314" t="s">
        <v>1859</v>
      </c>
      <c r="H53" s="1357" t="s">
        <v>944</v>
      </c>
      <c r="I53" s="1367" t="s">
        <v>2807</v>
      </c>
      <c r="J53" s="193"/>
      <c r="K53" s="211"/>
      <c r="L53" s="211"/>
    </row>
    <row r="54" spans="1:12" ht="14.4" x14ac:dyDescent="0.3">
      <c r="A54" s="179">
        <f t="shared" si="0"/>
        <v>22</v>
      </c>
      <c r="B54" s="639" t="s">
        <v>296</v>
      </c>
      <c r="C54" s="639">
        <v>171662435</v>
      </c>
      <c r="D54" s="308" t="s">
        <v>706</v>
      </c>
      <c r="E54" s="308" t="s">
        <v>706</v>
      </c>
      <c r="F54" s="263" t="s">
        <v>209</v>
      </c>
      <c r="G54" s="308" t="s">
        <v>30</v>
      </c>
      <c r="H54" s="1353" t="s">
        <v>945</v>
      </c>
      <c r="I54" s="1363" t="s">
        <v>2807</v>
      </c>
      <c r="J54" s="263"/>
      <c r="K54" s="269"/>
      <c r="L54" s="269"/>
    </row>
    <row r="55" spans="1:12" ht="14.4" x14ac:dyDescent="0.3">
      <c r="A55" s="179">
        <f t="shared" si="0"/>
        <v>22</v>
      </c>
      <c r="B55" s="639" t="s">
        <v>298</v>
      </c>
      <c r="C55" s="639">
        <v>169758999</v>
      </c>
      <c r="D55" s="309" t="s">
        <v>706</v>
      </c>
      <c r="E55" s="308" t="s">
        <v>706</v>
      </c>
      <c r="F55" s="263" t="s">
        <v>3</v>
      </c>
      <c r="G55" s="308" t="s">
        <v>31</v>
      </c>
      <c r="H55" s="1353" t="s">
        <v>945</v>
      </c>
      <c r="I55" s="1363" t="s">
        <v>2807</v>
      </c>
      <c r="J55" s="263"/>
      <c r="K55" s="269"/>
      <c r="L55" s="269"/>
    </row>
    <row r="56" spans="1:12" ht="14.4" x14ac:dyDescent="0.3">
      <c r="A56" s="179">
        <f t="shared" si="0"/>
        <v>22</v>
      </c>
      <c r="B56" s="640" t="s">
        <v>293</v>
      </c>
      <c r="C56" s="640">
        <v>161870625</v>
      </c>
      <c r="D56" s="310" t="s">
        <v>707</v>
      </c>
      <c r="E56" s="310" t="s">
        <v>707</v>
      </c>
      <c r="F56" s="929" t="s">
        <v>209</v>
      </c>
      <c r="G56" s="317" t="s">
        <v>20</v>
      </c>
      <c r="H56" s="1354" t="s">
        <v>2125</v>
      </c>
      <c r="I56" s="1364" t="s">
        <v>2807</v>
      </c>
      <c r="J56" s="266"/>
      <c r="K56" s="268"/>
      <c r="L56" s="268"/>
    </row>
    <row r="57" spans="1:12" ht="14.4" x14ac:dyDescent="0.3">
      <c r="A57" s="179">
        <f t="shared" si="0"/>
        <v>22</v>
      </c>
      <c r="B57" s="640" t="s">
        <v>475</v>
      </c>
      <c r="C57" s="640">
        <v>197236264</v>
      </c>
      <c r="D57" s="310" t="s">
        <v>707</v>
      </c>
      <c r="E57" s="310" t="s">
        <v>707</v>
      </c>
      <c r="F57" s="266" t="s">
        <v>4</v>
      </c>
      <c r="G57" s="317" t="s">
        <v>2268</v>
      </c>
      <c r="H57" s="1354" t="s">
        <v>2125</v>
      </c>
      <c r="I57" s="1364" t="s">
        <v>2807</v>
      </c>
      <c r="J57" s="266"/>
      <c r="K57" s="268"/>
      <c r="L57" s="268"/>
    </row>
    <row r="58" spans="1:12" ht="26.4" x14ac:dyDescent="0.3">
      <c r="A58" s="179">
        <f t="shared" si="0"/>
        <v>22</v>
      </c>
      <c r="B58" s="641" t="s">
        <v>301</v>
      </c>
      <c r="C58" s="641">
        <v>155131810</v>
      </c>
      <c r="D58" s="315" t="s">
        <v>821</v>
      </c>
      <c r="E58" s="315" t="s">
        <v>821</v>
      </c>
      <c r="F58" s="264" t="s">
        <v>3</v>
      </c>
      <c r="G58" s="315" t="s">
        <v>1844</v>
      </c>
      <c r="H58" s="1355" t="s">
        <v>853</v>
      </c>
      <c r="I58" s="1365" t="s">
        <v>2701</v>
      </c>
      <c r="J58" s="264"/>
      <c r="K58" s="271"/>
      <c r="L58" s="271"/>
    </row>
    <row r="59" spans="1:12" ht="26.4" x14ac:dyDescent="0.3">
      <c r="A59" s="179">
        <f t="shared" si="0"/>
        <v>22</v>
      </c>
      <c r="B59" s="641" t="s">
        <v>300</v>
      </c>
      <c r="C59" s="641">
        <v>197687878</v>
      </c>
      <c r="D59" s="315" t="s">
        <v>821</v>
      </c>
      <c r="E59" s="315" t="s">
        <v>821</v>
      </c>
      <c r="F59" s="264" t="s">
        <v>4</v>
      </c>
      <c r="G59" s="315" t="s">
        <v>109</v>
      </c>
      <c r="H59" s="1355" t="s">
        <v>853</v>
      </c>
      <c r="I59" s="1365" t="s">
        <v>2701</v>
      </c>
      <c r="J59" s="264"/>
      <c r="K59" s="271"/>
      <c r="L59" s="271"/>
    </row>
    <row r="60" spans="1:12" ht="26.4" x14ac:dyDescent="0.3">
      <c r="A60" s="179">
        <f t="shared" si="0"/>
        <v>22</v>
      </c>
      <c r="B60" s="643" t="s">
        <v>321</v>
      </c>
      <c r="C60" s="643" t="s">
        <v>322</v>
      </c>
      <c r="D60" s="715" t="s">
        <v>824</v>
      </c>
      <c r="E60" s="312" t="s">
        <v>822</v>
      </c>
      <c r="F60" s="265" t="s">
        <v>209</v>
      </c>
      <c r="G60" s="316" t="s">
        <v>151</v>
      </c>
      <c r="H60" s="1356" t="s">
        <v>854</v>
      </c>
      <c r="I60" s="1366" t="s">
        <v>2701</v>
      </c>
      <c r="J60" s="265"/>
      <c r="K60" s="270"/>
      <c r="L60" s="270"/>
    </row>
    <row r="61" spans="1:12" ht="26.4" x14ac:dyDescent="0.3">
      <c r="A61" s="179">
        <f t="shared" si="0"/>
        <v>22</v>
      </c>
      <c r="B61" s="643" t="s">
        <v>391</v>
      </c>
      <c r="C61" s="643">
        <v>202305873</v>
      </c>
      <c r="D61" s="715" t="s">
        <v>824</v>
      </c>
      <c r="E61" s="312" t="s">
        <v>822</v>
      </c>
      <c r="F61" s="265" t="s">
        <v>4</v>
      </c>
      <c r="G61" s="316" t="s">
        <v>1854</v>
      </c>
      <c r="H61" s="1356" t="s">
        <v>854</v>
      </c>
      <c r="I61" s="1366" t="s">
        <v>2701</v>
      </c>
      <c r="J61" s="265"/>
      <c r="K61" s="270"/>
      <c r="L61" s="270"/>
    </row>
    <row r="62" spans="1:12" ht="26.4" x14ac:dyDescent="0.3">
      <c r="A62" s="179">
        <f t="shared" si="0"/>
        <v>22</v>
      </c>
      <c r="B62" s="642" t="s">
        <v>403</v>
      </c>
      <c r="C62" s="642">
        <v>158085941</v>
      </c>
      <c r="D62" s="313" t="s">
        <v>823</v>
      </c>
      <c r="E62" s="313" t="s">
        <v>823</v>
      </c>
      <c r="F62" s="932" t="s">
        <v>209</v>
      </c>
      <c r="G62" s="314" t="s">
        <v>234</v>
      </c>
      <c r="H62" s="1357" t="s">
        <v>2125</v>
      </c>
      <c r="I62" s="1367" t="s">
        <v>2701</v>
      </c>
      <c r="J62" s="193"/>
      <c r="K62" s="211"/>
      <c r="L62" s="211"/>
    </row>
    <row r="63" spans="1:12" ht="26.4" x14ac:dyDescent="0.3">
      <c r="A63" s="179">
        <f t="shared" si="0"/>
        <v>22</v>
      </c>
      <c r="B63" s="642" t="s">
        <v>463</v>
      </c>
      <c r="C63" s="642">
        <v>203640811</v>
      </c>
      <c r="D63" s="314" t="s">
        <v>823</v>
      </c>
      <c r="E63" s="314" t="s">
        <v>823</v>
      </c>
      <c r="F63" s="193" t="s">
        <v>4</v>
      </c>
      <c r="G63" s="314" t="s">
        <v>1887</v>
      </c>
      <c r="H63" s="1357" t="s">
        <v>2125</v>
      </c>
      <c r="I63" s="1367" t="s">
        <v>2701</v>
      </c>
      <c r="J63" s="193"/>
      <c r="K63" s="211"/>
      <c r="L63" s="211"/>
    </row>
    <row r="64" spans="1:12" ht="26.4" x14ac:dyDescent="0.3">
      <c r="A64" s="179">
        <f t="shared" si="0"/>
        <v>22</v>
      </c>
      <c r="B64" s="639" t="s">
        <v>2687</v>
      </c>
      <c r="C64" s="639" t="s">
        <v>2688</v>
      </c>
      <c r="D64" s="716" t="s">
        <v>822</v>
      </c>
      <c r="E64" s="308" t="s">
        <v>824</v>
      </c>
      <c r="F64" s="928" t="s">
        <v>3</v>
      </c>
      <c r="G64" s="308" t="s">
        <v>2689</v>
      </c>
      <c r="H64" s="1353" t="s">
        <v>855</v>
      </c>
      <c r="I64" s="1363" t="s">
        <v>2701</v>
      </c>
      <c r="J64" s="263"/>
      <c r="K64" s="748"/>
      <c r="L64" s="748"/>
    </row>
    <row r="65" spans="1:12" ht="26.4" x14ac:dyDescent="0.3">
      <c r="A65" s="179">
        <f t="shared" si="0"/>
        <v>22</v>
      </c>
      <c r="B65" s="639" t="s">
        <v>306</v>
      </c>
      <c r="C65" s="639">
        <v>167082599</v>
      </c>
      <c r="D65" s="715" t="s">
        <v>822</v>
      </c>
      <c r="E65" s="309" t="s">
        <v>824</v>
      </c>
      <c r="F65" s="263" t="s">
        <v>4</v>
      </c>
      <c r="G65" s="308" t="s">
        <v>37</v>
      </c>
      <c r="H65" s="1353" t="s">
        <v>855</v>
      </c>
      <c r="I65" s="1363" t="s">
        <v>2701</v>
      </c>
      <c r="J65" s="263"/>
      <c r="K65" s="269"/>
      <c r="L65" s="269"/>
    </row>
    <row r="66" spans="1:12" ht="26.4" x14ac:dyDescent="0.3">
      <c r="A66" s="179">
        <f t="shared" si="0"/>
        <v>22</v>
      </c>
      <c r="B66" s="640" t="s">
        <v>561</v>
      </c>
      <c r="C66" s="640">
        <v>116952726</v>
      </c>
      <c r="D66" s="716" t="s">
        <v>1081</v>
      </c>
      <c r="E66" s="317" t="s">
        <v>825</v>
      </c>
      <c r="F66" s="266" t="s">
        <v>89</v>
      </c>
      <c r="G66" s="317" t="s">
        <v>69</v>
      </c>
      <c r="H66" s="1354" t="s">
        <v>1075</v>
      </c>
      <c r="I66" s="1364" t="s">
        <v>825</v>
      </c>
      <c r="J66" s="266" t="s">
        <v>3409</v>
      </c>
      <c r="K66" s="268"/>
      <c r="L66" s="268"/>
    </row>
    <row r="67" spans="1:12" ht="39.6" x14ac:dyDescent="0.3">
      <c r="A67" s="179">
        <f t="shared" si="0"/>
        <v>22</v>
      </c>
      <c r="B67" s="640" t="s">
        <v>501</v>
      </c>
      <c r="C67" s="640">
        <v>197179724</v>
      </c>
      <c r="D67" s="715" t="s">
        <v>785</v>
      </c>
      <c r="E67" s="1345" t="s">
        <v>825</v>
      </c>
      <c r="F67" s="266" t="s">
        <v>4</v>
      </c>
      <c r="G67" s="317" t="s">
        <v>1894</v>
      </c>
      <c r="H67" s="1354" t="s">
        <v>1075</v>
      </c>
      <c r="I67" s="1364" t="s">
        <v>825</v>
      </c>
      <c r="J67" s="266" t="s">
        <v>3407</v>
      </c>
      <c r="K67" s="268"/>
      <c r="L67" s="268"/>
    </row>
    <row r="68" spans="1:12" ht="39.6" x14ac:dyDescent="0.3">
      <c r="A68" s="179">
        <f t="shared" si="0"/>
        <v>22</v>
      </c>
      <c r="B68" s="640" t="s">
        <v>504</v>
      </c>
      <c r="C68" s="640">
        <v>188120318</v>
      </c>
      <c r="D68" s="715" t="s">
        <v>785</v>
      </c>
      <c r="E68" s="310" t="s">
        <v>825</v>
      </c>
      <c r="F68" s="266" t="s">
        <v>4</v>
      </c>
      <c r="G68" s="317" t="s">
        <v>1851</v>
      </c>
      <c r="H68" s="1354" t="s">
        <v>1075</v>
      </c>
      <c r="I68" s="1364" t="s">
        <v>825</v>
      </c>
      <c r="J68" s="266" t="s">
        <v>3408</v>
      </c>
      <c r="K68" s="268"/>
      <c r="L68" s="268"/>
    </row>
    <row r="69" spans="1:12" ht="26.4" x14ac:dyDescent="0.3">
      <c r="A69" s="179">
        <f t="shared" si="0"/>
        <v>22</v>
      </c>
      <c r="B69" s="642" t="s">
        <v>671</v>
      </c>
      <c r="C69" s="642">
        <v>165633237</v>
      </c>
      <c r="D69" s="715" t="s">
        <v>740</v>
      </c>
      <c r="E69" s="314" t="s">
        <v>826</v>
      </c>
      <c r="F69" s="932" t="s">
        <v>209</v>
      </c>
      <c r="G69" s="314" t="s">
        <v>2286</v>
      </c>
      <c r="H69" s="1357" t="s">
        <v>853</v>
      </c>
      <c r="I69" s="1367" t="s">
        <v>826</v>
      </c>
      <c r="J69" s="193" t="s">
        <v>3560</v>
      </c>
      <c r="K69" s="211"/>
      <c r="L69" s="211"/>
    </row>
    <row r="70" spans="1:12" ht="26.4" x14ac:dyDescent="0.3">
      <c r="A70" s="179">
        <f t="shared" si="0"/>
        <v>22</v>
      </c>
      <c r="B70" s="642" t="s">
        <v>311</v>
      </c>
      <c r="C70" s="642">
        <v>127355010</v>
      </c>
      <c r="D70" s="1332" t="s">
        <v>2001</v>
      </c>
      <c r="E70" s="1331" t="s">
        <v>826</v>
      </c>
      <c r="F70" s="932" t="s">
        <v>209</v>
      </c>
      <c r="G70" s="314" t="s">
        <v>1989</v>
      </c>
      <c r="H70" s="1357" t="s">
        <v>853</v>
      </c>
      <c r="I70" s="1367" t="s">
        <v>826</v>
      </c>
      <c r="J70" s="193" t="s">
        <v>3460</v>
      </c>
      <c r="K70" s="211"/>
      <c r="L70" s="211"/>
    </row>
    <row r="71" spans="1:12" ht="26.4" x14ac:dyDescent="0.3">
      <c r="A71" s="179">
        <f t="shared" si="0"/>
        <v>22</v>
      </c>
      <c r="B71" s="642" t="s">
        <v>2832</v>
      </c>
      <c r="C71" s="642">
        <v>183356852</v>
      </c>
      <c r="D71" s="715" t="s">
        <v>726</v>
      </c>
      <c r="E71" s="314" t="s">
        <v>826</v>
      </c>
      <c r="F71" s="932" t="s">
        <v>3</v>
      </c>
      <c r="G71" s="314" t="s">
        <v>2977</v>
      </c>
      <c r="H71" s="1357" t="s">
        <v>2</v>
      </c>
      <c r="I71" s="1367" t="s">
        <v>826</v>
      </c>
      <c r="J71" s="193" t="s">
        <v>3589</v>
      </c>
      <c r="K71" s="889"/>
      <c r="L71" s="889"/>
    </row>
    <row r="72" spans="1:12" ht="14.4" x14ac:dyDescent="0.3">
      <c r="A72" s="179">
        <f t="shared" si="0"/>
        <v>22</v>
      </c>
      <c r="B72" s="639" t="s">
        <v>2778</v>
      </c>
      <c r="C72" s="639" t="s">
        <v>2776</v>
      </c>
      <c r="D72" s="309" t="s">
        <v>224</v>
      </c>
      <c r="E72" s="308" t="s">
        <v>224</v>
      </c>
      <c r="F72" s="928" t="s">
        <v>672</v>
      </c>
      <c r="G72" s="308" t="s">
        <v>2777</v>
      </c>
      <c r="H72" s="1353" t="s">
        <v>853</v>
      </c>
      <c r="I72" s="1363" t="s">
        <v>2984</v>
      </c>
      <c r="J72" s="263"/>
      <c r="K72" s="748"/>
      <c r="L72" s="748"/>
    </row>
    <row r="73" spans="1:12" ht="14.4" x14ac:dyDescent="0.3">
      <c r="A73" s="179">
        <f t="shared" si="0"/>
        <v>22</v>
      </c>
      <c r="B73" s="639" t="s">
        <v>330</v>
      </c>
      <c r="C73" s="639">
        <v>181110511</v>
      </c>
      <c r="D73" s="309" t="s">
        <v>719</v>
      </c>
      <c r="E73" s="309" t="s">
        <v>719</v>
      </c>
      <c r="F73" s="263" t="s">
        <v>3</v>
      </c>
      <c r="G73" s="308" t="s">
        <v>2275</v>
      </c>
      <c r="H73" s="1353" t="s">
        <v>853</v>
      </c>
      <c r="I73" s="1363" t="s">
        <v>719</v>
      </c>
      <c r="J73" s="263"/>
      <c r="K73" s="269"/>
      <c r="L73" s="269"/>
    </row>
    <row r="74" spans="1:12" ht="14.4" x14ac:dyDescent="0.3">
      <c r="A74" s="179">
        <f t="shared" si="0"/>
        <v>22</v>
      </c>
      <c r="B74" s="639" t="s">
        <v>277</v>
      </c>
      <c r="C74" s="639" t="s">
        <v>1971</v>
      </c>
      <c r="D74" s="715" t="s">
        <v>1995</v>
      </c>
      <c r="E74" s="308" t="s">
        <v>719</v>
      </c>
      <c r="F74" s="263" t="s">
        <v>3</v>
      </c>
      <c r="G74" s="308" t="s">
        <v>3034</v>
      </c>
      <c r="H74" s="1353" t="s">
        <v>853</v>
      </c>
      <c r="I74" s="1363" t="s">
        <v>719</v>
      </c>
      <c r="J74" s="263"/>
      <c r="K74" s="269"/>
      <c r="L74" s="269"/>
    </row>
    <row r="75" spans="1:12" ht="14.4" x14ac:dyDescent="0.3">
      <c r="A75" s="179">
        <f t="shared" si="0"/>
        <v>22</v>
      </c>
      <c r="B75" s="640" t="s">
        <v>2374</v>
      </c>
      <c r="C75" s="640" t="s">
        <v>2373</v>
      </c>
      <c r="D75" s="310" t="s">
        <v>241</v>
      </c>
      <c r="E75" s="317" t="s">
        <v>241</v>
      </c>
      <c r="F75" s="929" t="s">
        <v>672</v>
      </c>
      <c r="G75" s="317" t="s">
        <v>2378</v>
      </c>
      <c r="H75" s="1354" t="s">
        <v>855</v>
      </c>
      <c r="I75" s="1364" t="s">
        <v>1220</v>
      </c>
      <c r="J75" s="266"/>
      <c r="K75" s="795"/>
      <c r="L75" s="795"/>
    </row>
    <row r="76" spans="1:12" ht="14.4" x14ac:dyDescent="0.3">
      <c r="A76" s="179">
        <f t="shared" si="0"/>
        <v>22</v>
      </c>
      <c r="B76" s="640" t="s">
        <v>425</v>
      </c>
      <c r="C76" s="640" t="s">
        <v>426</v>
      </c>
      <c r="D76" s="310" t="s">
        <v>720</v>
      </c>
      <c r="E76" s="317" t="s">
        <v>720</v>
      </c>
      <c r="F76" s="266" t="s">
        <v>209</v>
      </c>
      <c r="G76" s="317" t="s">
        <v>2262</v>
      </c>
      <c r="H76" s="1354" t="s">
        <v>855</v>
      </c>
      <c r="I76" s="1364" t="s">
        <v>720</v>
      </c>
      <c r="J76" s="266"/>
      <c r="K76" s="268"/>
      <c r="L76" s="268"/>
    </row>
    <row r="77" spans="1:12" ht="14.4" x14ac:dyDescent="0.3">
      <c r="A77" s="179">
        <f t="shared" ref="A77:A140" si="1">IF(G77&lt;&gt;"",22,0)</f>
        <v>22</v>
      </c>
      <c r="B77" s="640" t="s">
        <v>359</v>
      </c>
      <c r="C77" s="640">
        <v>157419250</v>
      </c>
      <c r="D77" s="310" t="s">
        <v>720</v>
      </c>
      <c r="E77" s="317" t="s">
        <v>720</v>
      </c>
      <c r="F77" s="929" t="s">
        <v>209</v>
      </c>
      <c r="G77" s="317" t="s">
        <v>235</v>
      </c>
      <c r="H77" s="1354" t="s">
        <v>855</v>
      </c>
      <c r="I77" s="1364" t="s">
        <v>720</v>
      </c>
      <c r="J77" s="266"/>
      <c r="K77" s="268"/>
      <c r="L77" s="268"/>
    </row>
    <row r="78" spans="1:12" ht="14.4" x14ac:dyDescent="0.3">
      <c r="A78" s="179">
        <f t="shared" si="1"/>
        <v>22</v>
      </c>
      <c r="B78" s="641" t="s">
        <v>356</v>
      </c>
      <c r="C78" s="641">
        <v>164491331</v>
      </c>
      <c r="D78" s="315" t="s">
        <v>251</v>
      </c>
      <c r="E78" s="315" t="s">
        <v>251</v>
      </c>
      <c r="F78" s="264" t="s">
        <v>10</v>
      </c>
      <c r="G78" s="315" t="s">
        <v>223</v>
      </c>
      <c r="H78" s="1355" t="s">
        <v>853</v>
      </c>
      <c r="I78" s="1365" t="s">
        <v>1472</v>
      </c>
      <c r="J78" s="264"/>
      <c r="K78" s="271"/>
      <c r="L78" s="271"/>
    </row>
    <row r="79" spans="1:12" ht="14.4" x14ac:dyDescent="0.3">
      <c r="A79" s="179">
        <f t="shared" si="1"/>
        <v>22</v>
      </c>
      <c r="B79" s="641" t="s">
        <v>373</v>
      </c>
      <c r="C79" s="641">
        <v>132821194</v>
      </c>
      <c r="D79" s="311" t="s">
        <v>721</v>
      </c>
      <c r="E79" s="315" t="s">
        <v>721</v>
      </c>
      <c r="F79" s="930" t="s">
        <v>209</v>
      </c>
      <c r="G79" s="315" t="s">
        <v>3037</v>
      </c>
      <c r="H79" s="1355" t="s">
        <v>853</v>
      </c>
      <c r="I79" s="1365" t="s">
        <v>721</v>
      </c>
      <c r="J79" s="264"/>
      <c r="K79" s="271"/>
      <c r="L79" s="271"/>
    </row>
    <row r="80" spans="1:12" ht="14.4" x14ac:dyDescent="0.3">
      <c r="A80" s="179">
        <f t="shared" si="1"/>
        <v>22</v>
      </c>
      <c r="B80" s="641" t="s">
        <v>596</v>
      </c>
      <c r="C80" s="641">
        <v>188184200</v>
      </c>
      <c r="D80" s="264" t="s">
        <v>721</v>
      </c>
      <c r="E80" s="315" t="s">
        <v>721</v>
      </c>
      <c r="F80" s="264" t="s">
        <v>4</v>
      </c>
      <c r="G80" s="315" t="s">
        <v>96</v>
      </c>
      <c r="H80" s="1355" t="s">
        <v>853</v>
      </c>
      <c r="I80" s="1365" t="s">
        <v>721</v>
      </c>
      <c r="J80" s="264"/>
      <c r="K80" s="271"/>
      <c r="L80" s="271"/>
    </row>
    <row r="81" spans="1:12" ht="14.4" x14ac:dyDescent="0.3">
      <c r="A81" s="179">
        <f t="shared" si="1"/>
        <v>22</v>
      </c>
      <c r="B81" s="643" t="s">
        <v>2824</v>
      </c>
      <c r="C81" s="643">
        <v>181085274</v>
      </c>
      <c r="D81" s="312" t="s">
        <v>252</v>
      </c>
      <c r="E81" s="316" t="s">
        <v>252</v>
      </c>
      <c r="F81" s="931" t="s">
        <v>10</v>
      </c>
      <c r="G81" s="316" t="s">
        <v>2825</v>
      </c>
      <c r="H81" s="1356" t="s">
        <v>854</v>
      </c>
      <c r="I81" s="1366" t="s">
        <v>882</v>
      </c>
      <c r="J81" s="265"/>
      <c r="K81" s="871"/>
      <c r="L81" s="871"/>
    </row>
    <row r="82" spans="1:12" ht="14.4" x14ac:dyDescent="0.3">
      <c r="A82" s="179">
        <f t="shared" si="1"/>
        <v>22</v>
      </c>
      <c r="B82" s="643" t="s">
        <v>437</v>
      </c>
      <c r="C82" s="643" t="s">
        <v>438</v>
      </c>
      <c r="D82" s="312" t="s">
        <v>722</v>
      </c>
      <c r="E82" s="312" t="s">
        <v>722</v>
      </c>
      <c r="F82" s="265" t="s">
        <v>3</v>
      </c>
      <c r="G82" s="316" t="s">
        <v>184</v>
      </c>
      <c r="H82" s="1356" t="s">
        <v>854</v>
      </c>
      <c r="I82" s="1366" t="s">
        <v>722</v>
      </c>
      <c r="J82" s="265"/>
      <c r="K82" s="270"/>
      <c r="L82" s="270"/>
    </row>
    <row r="83" spans="1:12" ht="26.4" x14ac:dyDescent="0.3">
      <c r="A83" s="179">
        <f t="shared" si="1"/>
        <v>22</v>
      </c>
      <c r="B83" s="643" t="s">
        <v>681</v>
      </c>
      <c r="C83" s="643">
        <v>181103523</v>
      </c>
      <c r="D83" s="715" t="s">
        <v>716</v>
      </c>
      <c r="E83" s="316" t="s">
        <v>722</v>
      </c>
      <c r="F83" s="265" t="s">
        <v>4</v>
      </c>
      <c r="G83" s="316" t="s">
        <v>2783</v>
      </c>
      <c r="H83" s="1356" t="s">
        <v>854</v>
      </c>
      <c r="I83" s="1366" t="s">
        <v>722</v>
      </c>
      <c r="J83" s="265"/>
      <c r="K83" s="270"/>
      <c r="L83" s="270"/>
    </row>
    <row r="84" spans="1:12" ht="14.4" x14ac:dyDescent="0.3">
      <c r="A84" s="179">
        <f t="shared" si="1"/>
        <v>22</v>
      </c>
      <c r="B84" s="642" t="s">
        <v>493</v>
      </c>
      <c r="C84" s="642">
        <v>167843905</v>
      </c>
      <c r="D84" s="1331" t="s">
        <v>242</v>
      </c>
      <c r="E84" s="1331" t="s">
        <v>242</v>
      </c>
      <c r="F84" s="193" t="s">
        <v>10</v>
      </c>
      <c r="G84" s="314" t="s">
        <v>1845</v>
      </c>
      <c r="H84" s="1357" t="s">
        <v>2125</v>
      </c>
      <c r="I84" s="1367" t="s">
        <v>2760</v>
      </c>
      <c r="J84" s="193"/>
      <c r="K84" s="211"/>
      <c r="L84" s="211"/>
    </row>
    <row r="85" spans="1:12" ht="14.4" x14ac:dyDescent="0.3">
      <c r="A85" s="179">
        <f t="shared" si="1"/>
        <v>22</v>
      </c>
      <c r="B85" s="642" t="s">
        <v>448</v>
      </c>
      <c r="C85" s="642" t="s">
        <v>449</v>
      </c>
      <c r="D85" s="313" t="s">
        <v>723</v>
      </c>
      <c r="E85" s="313" t="s">
        <v>723</v>
      </c>
      <c r="F85" s="193" t="s">
        <v>89</v>
      </c>
      <c r="G85" s="314" t="s">
        <v>2901</v>
      </c>
      <c r="H85" s="1357" t="s">
        <v>2125</v>
      </c>
      <c r="I85" s="1367" t="s">
        <v>723</v>
      </c>
      <c r="J85" s="193"/>
      <c r="K85" s="211"/>
      <c r="L85" s="211"/>
    </row>
    <row r="86" spans="1:12" ht="14.4" x14ac:dyDescent="0.3">
      <c r="A86" s="179">
        <f t="shared" si="1"/>
        <v>22</v>
      </c>
      <c r="B86" s="642" t="s">
        <v>529</v>
      </c>
      <c r="C86" s="642">
        <v>182123269</v>
      </c>
      <c r="D86" s="313" t="s">
        <v>723</v>
      </c>
      <c r="E86" s="313" t="s">
        <v>723</v>
      </c>
      <c r="F86" s="193" t="s">
        <v>3</v>
      </c>
      <c r="G86" s="314" t="s">
        <v>2343</v>
      </c>
      <c r="H86" s="1357" t="s">
        <v>2125</v>
      </c>
      <c r="I86" s="1367" t="s">
        <v>723</v>
      </c>
      <c r="J86" s="193"/>
      <c r="K86" s="211"/>
      <c r="L86" s="211"/>
    </row>
    <row r="87" spans="1:12" ht="14.4" x14ac:dyDescent="0.3">
      <c r="A87" s="179">
        <f t="shared" si="1"/>
        <v>22</v>
      </c>
      <c r="B87" s="640" t="s">
        <v>588</v>
      </c>
      <c r="C87" s="640">
        <v>181639210</v>
      </c>
      <c r="D87" s="317" t="s">
        <v>667</v>
      </c>
      <c r="E87" s="317" t="s">
        <v>667</v>
      </c>
      <c r="F87" s="266" t="s">
        <v>10</v>
      </c>
      <c r="G87" s="317" t="s">
        <v>115</v>
      </c>
      <c r="H87" s="1354" t="s">
        <v>2</v>
      </c>
      <c r="I87" s="1364" t="s">
        <v>880</v>
      </c>
      <c r="J87" s="266"/>
      <c r="K87" s="268"/>
      <c r="L87" s="268"/>
    </row>
    <row r="88" spans="1:12" ht="14.4" x14ac:dyDescent="0.3">
      <c r="A88" s="179">
        <f t="shared" si="1"/>
        <v>22</v>
      </c>
      <c r="B88" s="640" t="s">
        <v>665</v>
      </c>
      <c r="C88" s="640">
        <v>184298007</v>
      </c>
      <c r="D88" s="310" t="s">
        <v>729</v>
      </c>
      <c r="E88" s="310" t="s">
        <v>729</v>
      </c>
      <c r="F88" s="266" t="s">
        <v>3</v>
      </c>
      <c r="G88" s="317" t="s">
        <v>2522</v>
      </c>
      <c r="H88" s="1354" t="s">
        <v>2</v>
      </c>
      <c r="I88" s="1364" t="s">
        <v>729</v>
      </c>
      <c r="J88" s="266"/>
      <c r="K88" s="268"/>
      <c r="L88" s="268"/>
    </row>
    <row r="89" spans="1:12" ht="14.4" x14ac:dyDescent="0.3">
      <c r="A89" s="179">
        <f t="shared" si="1"/>
        <v>22</v>
      </c>
      <c r="B89" s="640" t="s">
        <v>319</v>
      </c>
      <c r="C89" s="640" t="s">
        <v>320</v>
      </c>
      <c r="D89" s="310" t="s">
        <v>729</v>
      </c>
      <c r="E89" s="317" t="s">
        <v>729</v>
      </c>
      <c r="F89" s="266" t="s">
        <v>4</v>
      </c>
      <c r="G89" s="317" t="s">
        <v>186</v>
      </c>
      <c r="H89" s="1354" t="s">
        <v>2</v>
      </c>
      <c r="I89" s="1364" t="s">
        <v>729</v>
      </c>
      <c r="J89" s="266"/>
      <c r="K89" s="268"/>
      <c r="L89" s="268"/>
    </row>
    <row r="90" spans="1:12" ht="14.4" x14ac:dyDescent="0.3">
      <c r="A90" s="179">
        <f t="shared" si="1"/>
        <v>22</v>
      </c>
      <c r="B90" s="641" t="s">
        <v>1973</v>
      </c>
      <c r="C90" s="641">
        <v>178589660</v>
      </c>
      <c r="D90" s="311" t="s">
        <v>668</v>
      </c>
      <c r="E90" s="315" t="s">
        <v>668</v>
      </c>
      <c r="F90" s="930" t="s">
        <v>10</v>
      </c>
      <c r="G90" s="315" t="s">
        <v>1974</v>
      </c>
      <c r="H90" s="1355" t="s">
        <v>855</v>
      </c>
      <c r="I90" s="1365" t="s">
        <v>1220</v>
      </c>
      <c r="J90" s="264"/>
      <c r="K90" s="271"/>
      <c r="L90" s="271"/>
    </row>
    <row r="91" spans="1:12" ht="14.4" x14ac:dyDescent="0.3">
      <c r="A91" s="179">
        <f t="shared" si="1"/>
        <v>22</v>
      </c>
      <c r="B91" s="641" t="s">
        <v>399</v>
      </c>
      <c r="C91" s="641">
        <v>160045868</v>
      </c>
      <c r="D91" s="311" t="s">
        <v>727</v>
      </c>
      <c r="E91" s="311" t="s">
        <v>727</v>
      </c>
      <c r="F91" s="930" t="s">
        <v>89</v>
      </c>
      <c r="G91" s="315" t="s">
        <v>1970</v>
      </c>
      <c r="H91" s="1355" t="s">
        <v>855</v>
      </c>
      <c r="I91" s="1365" t="s">
        <v>727</v>
      </c>
      <c r="J91" s="264"/>
      <c r="K91" s="271"/>
      <c r="L91" s="271"/>
    </row>
    <row r="92" spans="1:12" ht="14.4" x14ac:dyDescent="0.3">
      <c r="A92" s="179">
        <f t="shared" si="1"/>
        <v>22</v>
      </c>
      <c r="B92" s="641" t="s">
        <v>318</v>
      </c>
      <c r="C92" s="641">
        <v>182392049</v>
      </c>
      <c r="D92" s="311" t="s">
        <v>727</v>
      </c>
      <c r="E92" s="315" t="s">
        <v>727</v>
      </c>
      <c r="F92" s="264" t="s">
        <v>4</v>
      </c>
      <c r="G92" s="315" t="s">
        <v>49</v>
      </c>
      <c r="H92" s="1355" t="s">
        <v>855</v>
      </c>
      <c r="I92" s="1365" t="s">
        <v>727</v>
      </c>
      <c r="J92" s="264"/>
      <c r="K92" s="271"/>
      <c r="L92" s="271"/>
    </row>
    <row r="93" spans="1:12" ht="14.4" x14ac:dyDescent="0.3">
      <c r="A93" s="179">
        <f t="shared" si="1"/>
        <v>22</v>
      </c>
      <c r="B93" s="639" t="s">
        <v>1822</v>
      </c>
      <c r="C93" s="639" t="s">
        <v>1823</v>
      </c>
      <c r="D93" s="715" t="s">
        <v>734</v>
      </c>
      <c r="E93" s="308" t="s">
        <v>670</v>
      </c>
      <c r="F93" s="928" t="s">
        <v>10</v>
      </c>
      <c r="G93" s="308" t="s">
        <v>1824</v>
      </c>
      <c r="H93" s="1353" t="s">
        <v>6</v>
      </c>
      <c r="I93" s="1363" t="s">
        <v>2289</v>
      </c>
      <c r="J93" s="263"/>
      <c r="K93" s="269"/>
      <c r="L93" s="269"/>
    </row>
    <row r="94" spans="1:12" ht="14.4" x14ac:dyDescent="0.3">
      <c r="A94" s="179">
        <f t="shared" si="1"/>
        <v>22</v>
      </c>
      <c r="B94" s="639" t="s">
        <v>468</v>
      </c>
      <c r="C94" s="639">
        <v>203579306</v>
      </c>
      <c r="D94" s="715" t="s">
        <v>731</v>
      </c>
      <c r="E94" s="309" t="s">
        <v>735</v>
      </c>
      <c r="F94" s="263" t="s">
        <v>4</v>
      </c>
      <c r="G94" s="308" t="s">
        <v>3097</v>
      </c>
      <c r="H94" s="1353" t="s">
        <v>6</v>
      </c>
      <c r="I94" s="1363" t="s">
        <v>735</v>
      </c>
      <c r="J94" s="263"/>
      <c r="K94" s="269"/>
      <c r="L94" s="269"/>
    </row>
    <row r="95" spans="1:12" ht="14.4" x14ac:dyDescent="0.3">
      <c r="A95" s="179">
        <f t="shared" si="1"/>
        <v>22</v>
      </c>
      <c r="B95" s="640" t="s">
        <v>2800</v>
      </c>
      <c r="C95" s="640" t="s">
        <v>2801</v>
      </c>
      <c r="D95" s="715" t="s">
        <v>744</v>
      </c>
      <c r="E95" s="317" t="s">
        <v>827</v>
      </c>
      <c r="F95" s="929" t="s">
        <v>10</v>
      </c>
      <c r="G95" s="317" t="s">
        <v>2802</v>
      </c>
      <c r="H95" s="1354" t="s">
        <v>855</v>
      </c>
      <c r="I95" s="1364" t="s">
        <v>1220</v>
      </c>
      <c r="J95" s="266"/>
      <c r="K95" s="795"/>
      <c r="L95" s="795"/>
    </row>
    <row r="96" spans="1:12" ht="14.4" x14ac:dyDescent="0.3">
      <c r="A96" s="179">
        <f t="shared" si="1"/>
        <v>22</v>
      </c>
      <c r="B96" s="640" t="s">
        <v>447</v>
      </c>
      <c r="C96" s="640">
        <v>170475356</v>
      </c>
      <c r="D96" s="715" t="s">
        <v>722</v>
      </c>
      <c r="E96" s="310" t="s">
        <v>828</v>
      </c>
      <c r="F96" s="266" t="s">
        <v>3</v>
      </c>
      <c r="G96" s="317" t="s">
        <v>2287</v>
      </c>
      <c r="H96" s="1354" t="s">
        <v>855</v>
      </c>
      <c r="I96" s="1364" t="s">
        <v>828</v>
      </c>
      <c r="J96" s="266"/>
      <c r="K96" s="268"/>
      <c r="L96" s="268"/>
    </row>
    <row r="97" spans="1:12" ht="14.4" x14ac:dyDescent="0.3">
      <c r="A97" s="179">
        <f t="shared" si="1"/>
        <v>22</v>
      </c>
      <c r="B97" s="641" t="s">
        <v>304</v>
      </c>
      <c r="C97" s="641">
        <v>177890774</v>
      </c>
      <c r="D97" s="716" t="s">
        <v>733</v>
      </c>
      <c r="E97" s="315" t="s">
        <v>829</v>
      </c>
      <c r="F97" s="264" t="s">
        <v>10</v>
      </c>
      <c r="G97" s="315" t="s">
        <v>117</v>
      </c>
      <c r="H97" s="1355" t="s">
        <v>853</v>
      </c>
      <c r="I97" s="1365" t="s">
        <v>3590</v>
      </c>
      <c r="J97" s="264"/>
      <c r="K97" s="271"/>
      <c r="L97" s="271"/>
    </row>
    <row r="98" spans="1:12" ht="26.4" x14ac:dyDescent="0.3">
      <c r="A98" s="179">
        <f t="shared" si="1"/>
        <v>22</v>
      </c>
      <c r="B98" s="641" t="s">
        <v>404</v>
      </c>
      <c r="C98" s="641" t="s">
        <v>1224</v>
      </c>
      <c r="D98" s="715" t="s">
        <v>724</v>
      </c>
      <c r="E98" s="315" t="s">
        <v>830</v>
      </c>
      <c r="F98" s="930" t="s">
        <v>209</v>
      </c>
      <c r="G98" s="315" t="s">
        <v>2512</v>
      </c>
      <c r="H98" s="1355" t="s">
        <v>853</v>
      </c>
      <c r="I98" s="1365" t="s">
        <v>830</v>
      </c>
      <c r="J98" s="264"/>
      <c r="K98" s="271"/>
      <c r="L98" s="271"/>
    </row>
    <row r="99" spans="1:12" ht="14.4" x14ac:dyDescent="0.3">
      <c r="A99" s="179">
        <f t="shared" si="1"/>
        <v>22</v>
      </c>
      <c r="B99" s="641" t="s">
        <v>594</v>
      </c>
      <c r="C99" s="641">
        <v>192516021</v>
      </c>
      <c r="D99" s="715" t="s">
        <v>724</v>
      </c>
      <c r="E99" s="1329" t="s">
        <v>830</v>
      </c>
      <c r="F99" s="264" t="s">
        <v>4</v>
      </c>
      <c r="G99" s="315" t="s">
        <v>2272</v>
      </c>
      <c r="H99" s="1355" t="s">
        <v>853</v>
      </c>
      <c r="I99" s="1365" t="s">
        <v>830</v>
      </c>
      <c r="J99" s="264"/>
      <c r="K99" s="271"/>
      <c r="L99" s="271"/>
    </row>
    <row r="100" spans="1:12" ht="14.4" x14ac:dyDescent="0.3">
      <c r="A100" s="179">
        <f t="shared" si="1"/>
        <v>22</v>
      </c>
      <c r="B100" s="639" t="s">
        <v>659</v>
      </c>
      <c r="C100" s="639">
        <v>189489633</v>
      </c>
      <c r="D100" s="716" t="s">
        <v>741</v>
      </c>
      <c r="E100" s="308" t="s">
        <v>2051</v>
      </c>
      <c r="F100" s="263" t="s">
        <v>10</v>
      </c>
      <c r="G100" s="308" t="s">
        <v>1861</v>
      </c>
      <c r="H100" s="1353" t="s">
        <v>853</v>
      </c>
      <c r="I100" s="1363" t="s">
        <v>3591</v>
      </c>
      <c r="J100" s="1032"/>
      <c r="K100" s="269"/>
      <c r="L100" s="269"/>
    </row>
    <row r="101" spans="1:12" ht="14.4" x14ac:dyDescent="0.3">
      <c r="A101" s="179">
        <f t="shared" si="1"/>
        <v>22</v>
      </c>
      <c r="B101" s="639" t="s">
        <v>335</v>
      </c>
      <c r="C101" s="639">
        <v>199849573</v>
      </c>
      <c r="D101" s="715" t="s">
        <v>714</v>
      </c>
      <c r="E101" s="309" t="s">
        <v>2377</v>
      </c>
      <c r="F101" s="263" t="s">
        <v>4</v>
      </c>
      <c r="G101" s="308" t="s">
        <v>3085</v>
      </c>
      <c r="H101" s="1353" t="s">
        <v>853</v>
      </c>
      <c r="I101" s="1363" t="s">
        <v>2377</v>
      </c>
      <c r="J101" s="263" t="s">
        <v>1483</v>
      </c>
      <c r="K101" s="269"/>
      <c r="L101" s="269"/>
    </row>
    <row r="102" spans="1:12" ht="14.4" x14ac:dyDescent="0.3">
      <c r="A102" s="179">
        <f t="shared" si="1"/>
        <v>22</v>
      </c>
      <c r="B102" s="643" t="s">
        <v>675</v>
      </c>
      <c r="C102" s="643">
        <v>195200130</v>
      </c>
      <c r="D102" s="716" t="s">
        <v>756</v>
      </c>
      <c r="E102" s="316" t="s">
        <v>2052</v>
      </c>
      <c r="F102" s="265" t="s">
        <v>10</v>
      </c>
      <c r="G102" s="316" t="s">
        <v>778</v>
      </c>
      <c r="H102" s="1356" t="s">
        <v>855</v>
      </c>
      <c r="I102" s="1366" t="s">
        <v>1220</v>
      </c>
      <c r="J102" s="265" t="s">
        <v>1483</v>
      </c>
      <c r="K102" s="270"/>
      <c r="L102" s="270"/>
    </row>
    <row r="103" spans="1:12" ht="14.4" x14ac:dyDescent="0.3">
      <c r="A103" s="179">
        <f t="shared" si="1"/>
        <v>22</v>
      </c>
      <c r="B103" s="643" t="s">
        <v>2551</v>
      </c>
      <c r="C103" s="643" t="s">
        <v>2552</v>
      </c>
      <c r="D103" s="716" t="s">
        <v>2015</v>
      </c>
      <c r="E103" s="316" t="s">
        <v>2606</v>
      </c>
      <c r="F103" s="931" t="s">
        <v>3</v>
      </c>
      <c r="G103" s="316" t="s">
        <v>2910</v>
      </c>
      <c r="H103" s="1356" t="s">
        <v>855</v>
      </c>
      <c r="I103" s="1366" t="s">
        <v>2606</v>
      </c>
      <c r="J103" s="265" t="s">
        <v>1483</v>
      </c>
      <c r="K103" s="871"/>
      <c r="L103" s="871"/>
    </row>
    <row r="104" spans="1:12" ht="14.4" x14ac:dyDescent="0.3">
      <c r="A104" s="179">
        <f t="shared" si="1"/>
        <v>22</v>
      </c>
      <c r="B104" s="639" t="s">
        <v>309</v>
      </c>
      <c r="C104" s="639">
        <v>117484343</v>
      </c>
      <c r="D104" s="716" t="s">
        <v>1778</v>
      </c>
      <c r="E104" s="308" t="s">
        <v>1514</v>
      </c>
      <c r="F104" s="928" t="s">
        <v>11</v>
      </c>
      <c r="G104" s="308" t="s">
        <v>18</v>
      </c>
      <c r="H104" s="1353" t="s">
        <v>855</v>
      </c>
      <c r="I104" s="1363" t="s">
        <v>1220</v>
      </c>
      <c r="J104" s="263"/>
      <c r="K104" s="269"/>
      <c r="L104" s="269"/>
    </row>
    <row r="105" spans="1:12" ht="14.4" x14ac:dyDescent="0.3">
      <c r="A105" s="179">
        <f t="shared" si="1"/>
        <v>22</v>
      </c>
      <c r="B105" s="639" t="s">
        <v>2780</v>
      </c>
      <c r="C105" s="639">
        <v>182900354</v>
      </c>
      <c r="D105" s="309" t="s">
        <v>737</v>
      </c>
      <c r="E105" s="308" t="s">
        <v>737</v>
      </c>
      <c r="F105" s="928" t="s">
        <v>10</v>
      </c>
      <c r="G105" s="308" t="s">
        <v>2781</v>
      </c>
      <c r="H105" s="1353" t="s">
        <v>853</v>
      </c>
      <c r="I105" s="1363" t="s">
        <v>3592</v>
      </c>
      <c r="J105" s="263"/>
      <c r="K105" s="748"/>
      <c r="L105" s="748"/>
    </row>
    <row r="106" spans="1:12" ht="14.4" x14ac:dyDescent="0.3">
      <c r="A106" s="179">
        <f t="shared" si="1"/>
        <v>22</v>
      </c>
      <c r="B106" s="639" t="s">
        <v>518</v>
      </c>
      <c r="C106" s="639">
        <v>114859850</v>
      </c>
      <c r="D106" s="308" t="s">
        <v>714</v>
      </c>
      <c r="E106" s="308" t="s">
        <v>714</v>
      </c>
      <c r="F106" s="263" t="s">
        <v>17</v>
      </c>
      <c r="G106" s="308" t="s">
        <v>3332</v>
      </c>
      <c r="H106" s="1353" t="s">
        <v>853</v>
      </c>
      <c r="I106" s="1363" t="s">
        <v>3592</v>
      </c>
      <c r="J106" s="263" t="s">
        <v>1483</v>
      </c>
      <c r="K106" s="269"/>
      <c r="L106" s="269"/>
    </row>
    <row r="107" spans="1:12" ht="14.4" x14ac:dyDescent="0.3">
      <c r="A107" s="179">
        <f t="shared" si="1"/>
        <v>22</v>
      </c>
      <c r="B107" s="639" t="s">
        <v>422</v>
      </c>
      <c r="C107" s="639">
        <v>141829599</v>
      </c>
      <c r="D107" s="309" t="s">
        <v>714</v>
      </c>
      <c r="E107" s="308" t="s">
        <v>714</v>
      </c>
      <c r="F107" s="928" t="s">
        <v>89</v>
      </c>
      <c r="G107" s="308" t="s">
        <v>2429</v>
      </c>
      <c r="H107" s="1353" t="s">
        <v>853</v>
      </c>
      <c r="I107" s="1363" t="s">
        <v>3592</v>
      </c>
      <c r="J107" s="263"/>
      <c r="K107" s="269"/>
      <c r="L107" s="269"/>
    </row>
    <row r="108" spans="1:12" ht="14.4" x14ac:dyDescent="0.3">
      <c r="A108" s="179">
        <f t="shared" si="1"/>
        <v>22</v>
      </c>
      <c r="B108" s="639" t="s">
        <v>440</v>
      </c>
      <c r="C108" s="639" t="s">
        <v>441</v>
      </c>
      <c r="D108" s="309" t="s">
        <v>714</v>
      </c>
      <c r="E108" s="308" t="s">
        <v>714</v>
      </c>
      <c r="F108" s="928" t="s">
        <v>209</v>
      </c>
      <c r="G108" s="308" t="s">
        <v>2143</v>
      </c>
      <c r="H108" s="1353" t="s">
        <v>853</v>
      </c>
      <c r="I108" s="1363" t="s">
        <v>3592</v>
      </c>
      <c r="J108" s="263"/>
      <c r="K108" s="269"/>
      <c r="L108" s="269"/>
    </row>
    <row r="109" spans="1:12" ht="14.4" x14ac:dyDescent="0.3">
      <c r="A109" s="179">
        <f t="shared" si="1"/>
        <v>22</v>
      </c>
      <c r="B109" s="639" t="s">
        <v>513</v>
      </c>
      <c r="C109" s="639">
        <v>177448958</v>
      </c>
      <c r="D109" s="309" t="s">
        <v>714</v>
      </c>
      <c r="E109" s="309" t="s">
        <v>714</v>
      </c>
      <c r="F109" s="263" t="s">
        <v>3</v>
      </c>
      <c r="G109" s="308" t="s">
        <v>27</v>
      </c>
      <c r="H109" s="1353" t="s">
        <v>853</v>
      </c>
      <c r="I109" s="1363" t="s">
        <v>3592</v>
      </c>
      <c r="J109" s="263"/>
      <c r="K109" s="269"/>
      <c r="L109" s="269"/>
    </row>
    <row r="110" spans="1:12" ht="14.4" x14ac:dyDescent="0.3">
      <c r="A110" s="179">
        <f t="shared" si="1"/>
        <v>22</v>
      </c>
      <c r="B110" s="639" t="s">
        <v>289</v>
      </c>
      <c r="C110" s="639">
        <v>160076453</v>
      </c>
      <c r="D110" s="1333" t="s">
        <v>714</v>
      </c>
      <c r="E110" s="1333" t="s">
        <v>714</v>
      </c>
      <c r="F110" s="263" t="s">
        <v>3</v>
      </c>
      <c r="G110" s="308" t="s">
        <v>64</v>
      </c>
      <c r="H110" s="1353" t="s">
        <v>853</v>
      </c>
      <c r="I110" s="1363" t="s">
        <v>3592</v>
      </c>
      <c r="J110" s="263" t="s">
        <v>1483</v>
      </c>
      <c r="K110" s="269"/>
      <c r="L110" s="269"/>
    </row>
    <row r="111" spans="1:12" ht="14.4" x14ac:dyDescent="0.3">
      <c r="A111" s="179">
        <f t="shared" si="1"/>
        <v>22</v>
      </c>
      <c r="B111" s="639" t="s">
        <v>409</v>
      </c>
      <c r="C111" s="639">
        <v>200779290</v>
      </c>
      <c r="D111" s="309" t="s">
        <v>714</v>
      </c>
      <c r="E111" s="309" t="s">
        <v>714</v>
      </c>
      <c r="F111" s="263" t="s">
        <v>4</v>
      </c>
      <c r="G111" s="308" t="s">
        <v>2077</v>
      </c>
      <c r="H111" s="1353" t="s">
        <v>853</v>
      </c>
      <c r="I111" s="1363" t="s">
        <v>3592</v>
      </c>
      <c r="J111" s="263"/>
      <c r="K111" s="269"/>
      <c r="L111" s="269"/>
    </row>
    <row r="112" spans="1:12" ht="14.4" x14ac:dyDescent="0.3">
      <c r="A112" s="179">
        <f t="shared" si="1"/>
        <v>22</v>
      </c>
      <c r="B112" s="641" t="s">
        <v>2348</v>
      </c>
      <c r="C112" s="641">
        <v>130777279</v>
      </c>
      <c r="D112" s="715" t="s">
        <v>726</v>
      </c>
      <c r="E112" s="315" t="s">
        <v>728</v>
      </c>
      <c r="F112" s="930" t="s">
        <v>89</v>
      </c>
      <c r="G112" s="315" t="s">
        <v>2909</v>
      </c>
      <c r="H112" s="1355" t="s">
        <v>2</v>
      </c>
      <c r="I112" s="1365" t="s">
        <v>3593</v>
      </c>
      <c r="J112" s="264"/>
      <c r="K112" s="741"/>
      <c r="L112" s="741"/>
    </row>
    <row r="113" spans="1:12" ht="14.4" x14ac:dyDescent="0.3">
      <c r="A113" s="179">
        <f t="shared" si="1"/>
        <v>22</v>
      </c>
      <c r="B113" s="641" t="s">
        <v>641</v>
      </c>
      <c r="C113" s="641">
        <v>156016446</v>
      </c>
      <c r="D113" s="311" t="s">
        <v>726</v>
      </c>
      <c r="E113" s="311" t="s">
        <v>726</v>
      </c>
      <c r="F113" s="930" t="s">
        <v>209</v>
      </c>
      <c r="G113" s="315" t="s">
        <v>640</v>
      </c>
      <c r="H113" s="1355" t="s">
        <v>2</v>
      </c>
      <c r="I113" s="1365" t="s">
        <v>3593</v>
      </c>
      <c r="J113" s="264"/>
      <c r="K113" s="271"/>
      <c r="L113" s="271"/>
    </row>
    <row r="114" spans="1:12" ht="14.4" x14ac:dyDescent="0.3">
      <c r="A114" s="179">
        <f t="shared" si="1"/>
        <v>22</v>
      </c>
      <c r="B114" s="641" t="s">
        <v>589</v>
      </c>
      <c r="C114" s="641">
        <v>182885819</v>
      </c>
      <c r="D114" s="311" t="s">
        <v>726</v>
      </c>
      <c r="E114" s="315" t="s">
        <v>726</v>
      </c>
      <c r="F114" s="264" t="s">
        <v>3</v>
      </c>
      <c r="G114" s="315" t="s">
        <v>38</v>
      </c>
      <c r="H114" s="1355" t="s">
        <v>2</v>
      </c>
      <c r="I114" s="1365" t="s">
        <v>3593</v>
      </c>
      <c r="J114" s="264"/>
      <c r="K114" s="271"/>
      <c r="L114" s="271"/>
    </row>
    <row r="115" spans="1:12" ht="14.4" x14ac:dyDescent="0.3">
      <c r="A115" s="179">
        <f t="shared" si="1"/>
        <v>22</v>
      </c>
      <c r="B115" s="641" t="s">
        <v>360</v>
      </c>
      <c r="C115" s="641">
        <v>182144835</v>
      </c>
      <c r="D115" s="311" t="s">
        <v>726</v>
      </c>
      <c r="E115" s="311" t="s">
        <v>726</v>
      </c>
      <c r="F115" s="264" t="s">
        <v>3</v>
      </c>
      <c r="G115" s="315" t="s">
        <v>56</v>
      </c>
      <c r="H115" s="1355" t="s">
        <v>2</v>
      </c>
      <c r="I115" s="1365" t="s">
        <v>3593</v>
      </c>
      <c r="J115" s="264"/>
      <c r="K115" s="271"/>
      <c r="L115" s="271"/>
    </row>
    <row r="116" spans="1:12" ht="26.4" x14ac:dyDescent="0.3">
      <c r="A116" s="179">
        <f t="shared" si="1"/>
        <v>22</v>
      </c>
      <c r="B116" s="641" t="s">
        <v>461</v>
      </c>
      <c r="C116" s="641">
        <v>191986423</v>
      </c>
      <c r="D116" s="311" t="s">
        <v>726</v>
      </c>
      <c r="E116" s="1346" t="s">
        <v>726</v>
      </c>
      <c r="F116" s="264" t="s">
        <v>4</v>
      </c>
      <c r="G116" s="315" t="s">
        <v>2796</v>
      </c>
      <c r="H116" s="1355" t="s">
        <v>2</v>
      </c>
      <c r="I116" s="1365" t="s">
        <v>3593</v>
      </c>
      <c r="J116" s="264"/>
      <c r="K116" s="271"/>
      <c r="L116" s="271"/>
    </row>
    <row r="117" spans="1:12" ht="14.4" x14ac:dyDescent="0.3">
      <c r="A117" s="179">
        <f t="shared" si="1"/>
        <v>22</v>
      </c>
      <c r="B117" s="641" t="s">
        <v>539</v>
      </c>
      <c r="C117" s="641">
        <v>200549546</v>
      </c>
      <c r="D117" s="715" t="s">
        <v>713</v>
      </c>
      <c r="E117" s="315" t="s">
        <v>726</v>
      </c>
      <c r="F117" s="264" t="s">
        <v>4</v>
      </c>
      <c r="G117" s="315" t="s">
        <v>212</v>
      </c>
      <c r="H117" s="1355" t="s">
        <v>2</v>
      </c>
      <c r="I117" s="1365" t="s">
        <v>3593</v>
      </c>
      <c r="J117" s="264" t="s">
        <v>1483</v>
      </c>
      <c r="K117" s="271"/>
      <c r="L117" s="271"/>
    </row>
    <row r="118" spans="1:12" ht="14.4" x14ac:dyDescent="0.3">
      <c r="A118" s="179">
        <f t="shared" si="1"/>
        <v>22</v>
      </c>
      <c r="B118" s="641" t="s">
        <v>435</v>
      </c>
      <c r="C118" s="641">
        <v>197228865</v>
      </c>
      <c r="D118" s="311" t="s">
        <v>726</v>
      </c>
      <c r="E118" s="311" t="s">
        <v>726</v>
      </c>
      <c r="F118" s="264" t="s">
        <v>4</v>
      </c>
      <c r="G118" s="315" t="s">
        <v>2078</v>
      </c>
      <c r="H118" s="1355" t="s">
        <v>2</v>
      </c>
      <c r="I118" s="1365" t="s">
        <v>3593</v>
      </c>
      <c r="J118" s="264"/>
      <c r="K118" s="271"/>
      <c r="L118" s="271"/>
    </row>
    <row r="119" spans="1:12" ht="14.4" x14ac:dyDescent="0.3">
      <c r="A119" s="179">
        <f t="shared" si="1"/>
        <v>22</v>
      </c>
      <c r="B119" s="641" t="s">
        <v>357</v>
      </c>
      <c r="C119" s="641">
        <v>202278167</v>
      </c>
      <c r="D119" s="311" t="s">
        <v>726</v>
      </c>
      <c r="E119" s="311" t="s">
        <v>726</v>
      </c>
      <c r="F119" s="264" t="s">
        <v>4</v>
      </c>
      <c r="G119" s="315" t="s">
        <v>174</v>
      </c>
      <c r="H119" s="1355" t="s">
        <v>2</v>
      </c>
      <c r="I119" s="1365" t="s">
        <v>3593</v>
      </c>
      <c r="J119" s="264"/>
      <c r="K119" s="271"/>
      <c r="L119" s="271"/>
    </row>
    <row r="120" spans="1:12" ht="14.4" x14ac:dyDescent="0.3">
      <c r="A120" s="179">
        <f t="shared" si="1"/>
        <v>22</v>
      </c>
      <c r="B120" s="642" t="s">
        <v>388</v>
      </c>
      <c r="C120" s="642">
        <v>159681750</v>
      </c>
      <c r="D120" s="1332" t="s">
        <v>713</v>
      </c>
      <c r="E120" s="1334" t="s">
        <v>738</v>
      </c>
      <c r="F120" s="932" t="s">
        <v>209</v>
      </c>
      <c r="G120" s="314" t="s">
        <v>2491</v>
      </c>
      <c r="H120" s="1357" t="s">
        <v>853</v>
      </c>
      <c r="I120" s="1367" t="s">
        <v>3549</v>
      </c>
      <c r="J120" s="193"/>
      <c r="K120" s="211"/>
      <c r="L120" s="211"/>
    </row>
    <row r="121" spans="1:12" ht="14.4" x14ac:dyDescent="0.3">
      <c r="A121" s="179">
        <f t="shared" si="1"/>
        <v>22</v>
      </c>
      <c r="B121" s="642" t="s">
        <v>544</v>
      </c>
      <c r="C121" s="642">
        <v>189778619</v>
      </c>
      <c r="D121" s="314" t="s">
        <v>713</v>
      </c>
      <c r="E121" s="313" t="s">
        <v>713</v>
      </c>
      <c r="F121" s="193" t="s">
        <v>3</v>
      </c>
      <c r="G121" s="314" t="s">
        <v>2501</v>
      </c>
      <c r="H121" s="1357" t="s">
        <v>853</v>
      </c>
      <c r="I121" s="1367" t="s">
        <v>3549</v>
      </c>
      <c r="J121" s="193"/>
      <c r="K121" s="211"/>
      <c r="L121" s="211"/>
    </row>
    <row r="122" spans="1:12" ht="14.4" x14ac:dyDescent="0.3">
      <c r="A122" s="179">
        <f t="shared" si="1"/>
        <v>22</v>
      </c>
      <c r="B122" s="642" t="s">
        <v>431</v>
      </c>
      <c r="C122" s="642">
        <v>174510873</v>
      </c>
      <c r="D122" s="313" t="s">
        <v>713</v>
      </c>
      <c r="E122" s="313" t="s">
        <v>713</v>
      </c>
      <c r="F122" s="193" t="s">
        <v>3</v>
      </c>
      <c r="G122" s="314" t="s">
        <v>2264</v>
      </c>
      <c r="H122" s="1357" t="s">
        <v>853</v>
      </c>
      <c r="I122" s="1367" t="s">
        <v>3549</v>
      </c>
      <c r="J122" s="193"/>
      <c r="K122" s="211"/>
      <c r="L122" s="211"/>
    </row>
    <row r="123" spans="1:12" ht="14.4" x14ac:dyDescent="0.3">
      <c r="A123" s="179">
        <f t="shared" si="1"/>
        <v>22</v>
      </c>
      <c r="B123" s="642" t="s">
        <v>485</v>
      </c>
      <c r="C123" s="642">
        <v>197117508</v>
      </c>
      <c r="D123" s="313" t="s">
        <v>713</v>
      </c>
      <c r="E123" s="314" t="s">
        <v>713</v>
      </c>
      <c r="F123" s="193" t="s">
        <v>4</v>
      </c>
      <c r="G123" s="314" t="s">
        <v>262</v>
      </c>
      <c r="H123" s="1357" t="s">
        <v>853</v>
      </c>
      <c r="I123" s="1367" t="s">
        <v>3549</v>
      </c>
      <c r="J123" s="193"/>
      <c r="K123" s="211"/>
      <c r="L123" s="211"/>
    </row>
    <row r="124" spans="1:12" ht="26.4" x14ac:dyDescent="0.3">
      <c r="A124" s="179">
        <f t="shared" si="1"/>
        <v>22</v>
      </c>
      <c r="B124" s="642" t="s">
        <v>410</v>
      </c>
      <c r="C124" s="642">
        <v>201588707</v>
      </c>
      <c r="D124" s="1334" t="s">
        <v>713</v>
      </c>
      <c r="E124" s="1334" t="s">
        <v>713</v>
      </c>
      <c r="F124" s="193" t="s">
        <v>4</v>
      </c>
      <c r="G124" s="314" t="s">
        <v>2266</v>
      </c>
      <c r="H124" s="1357" t="s">
        <v>853</v>
      </c>
      <c r="I124" s="1367" t="s">
        <v>3549</v>
      </c>
      <c r="J124" s="193"/>
      <c r="K124" s="211"/>
      <c r="L124" s="211"/>
    </row>
    <row r="125" spans="1:12" ht="14.4" x14ac:dyDescent="0.3">
      <c r="A125" s="179">
        <f t="shared" si="1"/>
        <v>22</v>
      </c>
      <c r="B125" s="642" t="s">
        <v>548</v>
      </c>
      <c r="C125" s="642">
        <v>199649027</v>
      </c>
      <c r="D125" s="313" t="s">
        <v>713</v>
      </c>
      <c r="E125" s="1334" t="s">
        <v>713</v>
      </c>
      <c r="F125" s="193" t="s">
        <v>4</v>
      </c>
      <c r="G125" s="314" t="s">
        <v>136</v>
      </c>
      <c r="H125" s="1357" t="s">
        <v>853</v>
      </c>
      <c r="I125" s="1367" t="s">
        <v>3549</v>
      </c>
      <c r="J125" s="193"/>
      <c r="K125" s="211"/>
      <c r="L125" s="211"/>
    </row>
    <row r="126" spans="1:12" ht="14.4" x14ac:dyDescent="0.3">
      <c r="A126" s="179">
        <f t="shared" si="1"/>
        <v>22</v>
      </c>
      <c r="B126" s="640" t="s">
        <v>2178</v>
      </c>
      <c r="C126" s="640" t="s">
        <v>2179</v>
      </c>
      <c r="D126" s="310" t="s">
        <v>739</v>
      </c>
      <c r="E126" s="310" t="s">
        <v>739</v>
      </c>
      <c r="F126" s="929" t="s">
        <v>17</v>
      </c>
      <c r="G126" s="317" t="s">
        <v>2542</v>
      </c>
      <c r="H126" s="1354" t="s">
        <v>6</v>
      </c>
      <c r="I126" s="1364" t="s">
        <v>2289</v>
      </c>
      <c r="J126" s="266"/>
      <c r="K126" s="268"/>
      <c r="L126" s="268"/>
    </row>
    <row r="127" spans="1:12" ht="14.4" x14ac:dyDescent="0.3">
      <c r="A127" s="179">
        <f t="shared" si="1"/>
        <v>22</v>
      </c>
      <c r="B127" s="640" t="s">
        <v>459</v>
      </c>
      <c r="C127" s="640">
        <v>145077583</v>
      </c>
      <c r="D127" s="310" t="s">
        <v>740</v>
      </c>
      <c r="E127" s="1328" t="s">
        <v>740</v>
      </c>
      <c r="F127" s="266" t="s">
        <v>89</v>
      </c>
      <c r="G127" s="317" t="s">
        <v>227</v>
      </c>
      <c r="H127" s="1354" t="s">
        <v>6</v>
      </c>
      <c r="I127" s="1364" t="s">
        <v>2289</v>
      </c>
      <c r="J127" s="266"/>
      <c r="K127" s="268"/>
      <c r="L127" s="268"/>
    </row>
    <row r="128" spans="1:12" ht="14.4" x14ac:dyDescent="0.3">
      <c r="A128" s="179">
        <f t="shared" si="1"/>
        <v>22</v>
      </c>
      <c r="B128" s="640" t="s">
        <v>1550</v>
      </c>
      <c r="C128" s="640" t="s">
        <v>666</v>
      </c>
      <c r="D128" s="310" t="s">
        <v>740</v>
      </c>
      <c r="E128" s="310" t="s">
        <v>740</v>
      </c>
      <c r="F128" s="266" t="s">
        <v>209</v>
      </c>
      <c r="G128" s="317" t="s">
        <v>1604</v>
      </c>
      <c r="H128" s="1354" t="s">
        <v>6</v>
      </c>
      <c r="I128" s="1364" t="s">
        <v>2289</v>
      </c>
      <c r="J128" s="266"/>
      <c r="K128" s="268">
        <v>45381</v>
      </c>
      <c r="L128" s="268">
        <v>45387</v>
      </c>
    </row>
    <row r="129" spans="1:12" ht="14.4" x14ac:dyDescent="0.3">
      <c r="A129" s="179">
        <f t="shared" si="1"/>
        <v>22</v>
      </c>
      <c r="B129" s="640" t="s">
        <v>2200</v>
      </c>
      <c r="C129" s="640" t="s">
        <v>2201</v>
      </c>
      <c r="D129" s="310" t="s">
        <v>740</v>
      </c>
      <c r="E129" s="317" t="s">
        <v>740</v>
      </c>
      <c r="F129" s="929" t="s">
        <v>3</v>
      </c>
      <c r="G129" s="317" t="s">
        <v>3057</v>
      </c>
      <c r="H129" s="1354" t="s">
        <v>6</v>
      </c>
      <c r="I129" s="1364" t="s">
        <v>2289</v>
      </c>
      <c r="J129" s="266"/>
      <c r="K129" s="268"/>
      <c r="L129" s="268"/>
    </row>
    <row r="130" spans="1:12" ht="14.4" x14ac:dyDescent="0.3">
      <c r="A130" s="179">
        <f t="shared" si="1"/>
        <v>22</v>
      </c>
      <c r="B130" s="640" t="s">
        <v>368</v>
      </c>
      <c r="C130" s="640" t="s">
        <v>369</v>
      </c>
      <c r="D130" s="310" t="s">
        <v>740</v>
      </c>
      <c r="E130" s="310" t="s">
        <v>740</v>
      </c>
      <c r="F130" s="929" t="s">
        <v>4</v>
      </c>
      <c r="G130" s="317" t="s">
        <v>99</v>
      </c>
      <c r="H130" s="1354" t="s">
        <v>6</v>
      </c>
      <c r="I130" s="1364" t="s">
        <v>2289</v>
      </c>
      <c r="J130" s="266"/>
      <c r="K130" s="268"/>
      <c r="L130" s="268"/>
    </row>
    <row r="131" spans="1:12" ht="14.4" x14ac:dyDescent="0.3">
      <c r="A131" s="179">
        <f t="shared" si="1"/>
        <v>22</v>
      </c>
      <c r="B131" s="640" t="s">
        <v>471</v>
      </c>
      <c r="C131" s="640">
        <v>206279702</v>
      </c>
      <c r="D131" s="310" t="s">
        <v>740</v>
      </c>
      <c r="E131" s="310" t="s">
        <v>740</v>
      </c>
      <c r="F131" s="266" t="s">
        <v>4</v>
      </c>
      <c r="G131" s="317" t="s">
        <v>1888</v>
      </c>
      <c r="H131" s="1354" t="s">
        <v>6</v>
      </c>
      <c r="I131" s="1364" t="s">
        <v>2289</v>
      </c>
      <c r="J131" s="266"/>
      <c r="K131" s="268"/>
      <c r="L131" s="268"/>
    </row>
    <row r="132" spans="1:12" ht="14.4" x14ac:dyDescent="0.3">
      <c r="A132" s="179">
        <f t="shared" si="1"/>
        <v>22</v>
      </c>
      <c r="B132" s="640" t="s">
        <v>433</v>
      </c>
      <c r="C132" s="640">
        <v>203846444</v>
      </c>
      <c r="D132" s="1335" t="s">
        <v>740</v>
      </c>
      <c r="E132" s="1335" t="s">
        <v>740</v>
      </c>
      <c r="F132" s="266" t="s">
        <v>4</v>
      </c>
      <c r="G132" s="317" t="s">
        <v>190</v>
      </c>
      <c r="H132" s="1354" t="s">
        <v>6</v>
      </c>
      <c r="I132" s="1364" t="s">
        <v>2289</v>
      </c>
      <c r="J132" s="266"/>
      <c r="K132" s="268"/>
      <c r="L132" s="268"/>
    </row>
    <row r="133" spans="1:12" ht="26.4" x14ac:dyDescent="0.3">
      <c r="A133" s="179">
        <f t="shared" si="1"/>
        <v>22</v>
      </c>
      <c r="B133" s="643" t="s">
        <v>351</v>
      </c>
      <c r="C133" s="643">
        <v>140860530</v>
      </c>
      <c r="D133" s="715" t="s">
        <v>702</v>
      </c>
      <c r="E133" s="312" t="s">
        <v>734</v>
      </c>
      <c r="F133" s="931" t="s">
        <v>209</v>
      </c>
      <c r="G133" s="316" t="s">
        <v>2530</v>
      </c>
      <c r="H133" s="1356" t="s">
        <v>854</v>
      </c>
      <c r="I133" s="1366" t="s">
        <v>3592</v>
      </c>
      <c r="J133" s="265"/>
      <c r="K133" s="270"/>
      <c r="L133" s="270"/>
    </row>
    <row r="134" spans="1:12" ht="14.4" x14ac:dyDescent="0.3">
      <c r="A134" s="179">
        <f t="shared" si="1"/>
        <v>22</v>
      </c>
      <c r="B134" s="643" t="s">
        <v>428</v>
      </c>
      <c r="C134" s="643">
        <v>153342288</v>
      </c>
      <c r="D134" s="1336" t="s">
        <v>702</v>
      </c>
      <c r="E134" s="1336" t="s">
        <v>702</v>
      </c>
      <c r="F134" s="931" t="s">
        <v>89</v>
      </c>
      <c r="G134" s="316" t="s">
        <v>1598</v>
      </c>
      <c r="H134" s="1356" t="s">
        <v>854</v>
      </c>
      <c r="I134" s="1366" t="s">
        <v>3592</v>
      </c>
      <c r="J134" s="265"/>
      <c r="K134" s="270">
        <v>45377</v>
      </c>
      <c r="L134" s="270">
        <v>45387</v>
      </c>
    </row>
    <row r="135" spans="1:12" ht="14.4" x14ac:dyDescent="0.3">
      <c r="A135" s="179">
        <f t="shared" si="1"/>
        <v>22</v>
      </c>
      <c r="B135" s="643" t="s">
        <v>649</v>
      </c>
      <c r="C135" s="643">
        <v>164733440</v>
      </c>
      <c r="D135" s="312" t="s">
        <v>702</v>
      </c>
      <c r="E135" s="312" t="s">
        <v>702</v>
      </c>
      <c r="F135" s="265" t="s">
        <v>3</v>
      </c>
      <c r="G135" s="316" t="s">
        <v>650</v>
      </c>
      <c r="H135" s="1356" t="s">
        <v>854</v>
      </c>
      <c r="I135" s="1366" t="s">
        <v>3592</v>
      </c>
      <c r="J135" s="265"/>
      <c r="K135" s="270"/>
      <c r="L135" s="270"/>
    </row>
    <row r="136" spans="1:12" ht="14.4" x14ac:dyDescent="0.3">
      <c r="A136" s="179">
        <f t="shared" si="1"/>
        <v>22</v>
      </c>
      <c r="B136" s="643" t="s">
        <v>456</v>
      </c>
      <c r="C136" s="643">
        <v>190369900</v>
      </c>
      <c r="D136" s="312" t="s">
        <v>702</v>
      </c>
      <c r="E136" s="312" t="s">
        <v>702</v>
      </c>
      <c r="F136" s="265" t="s">
        <v>4</v>
      </c>
      <c r="G136" s="316" t="s">
        <v>2809</v>
      </c>
      <c r="H136" s="1356" t="s">
        <v>854</v>
      </c>
      <c r="I136" s="1366" t="s">
        <v>3592</v>
      </c>
      <c r="J136" s="265"/>
      <c r="K136" s="270"/>
      <c r="L136" s="270"/>
    </row>
    <row r="137" spans="1:12" ht="14.4" x14ac:dyDescent="0.3">
      <c r="A137" s="179">
        <f t="shared" si="1"/>
        <v>22</v>
      </c>
      <c r="B137" s="643" t="s">
        <v>386</v>
      </c>
      <c r="C137" s="643">
        <v>193462626</v>
      </c>
      <c r="D137" s="312" t="s">
        <v>702</v>
      </c>
      <c r="E137" s="312" t="s">
        <v>702</v>
      </c>
      <c r="F137" s="265" t="s">
        <v>4</v>
      </c>
      <c r="G137" s="316" t="s">
        <v>173</v>
      </c>
      <c r="H137" s="1356" t="s">
        <v>854</v>
      </c>
      <c r="I137" s="1366" t="s">
        <v>3592</v>
      </c>
      <c r="J137" s="265"/>
      <c r="K137" s="270"/>
      <c r="L137" s="270"/>
    </row>
    <row r="138" spans="1:12" ht="14.4" x14ac:dyDescent="0.3">
      <c r="A138" s="179">
        <f t="shared" si="1"/>
        <v>22</v>
      </c>
      <c r="B138" s="639" t="s">
        <v>299</v>
      </c>
      <c r="C138" s="639">
        <v>133505385</v>
      </c>
      <c r="D138" s="308" t="s">
        <v>743</v>
      </c>
      <c r="E138" s="308" t="s">
        <v>743</v>
      </c>
      <c r="F138" s="263" t="s">
        <v>17</v>
      </c>
      <c r="G138" s="308" t="s">
        <v>19</v>
      </c>
      <c r="H138" s="1353" t="s">
        <v>6</v>
      </c>
      <c r="I138" s="1363" t="s">
        <v>2289</v>
      </c>
      <c r="J138" s="263"/>
      <c r="K138" s="269"/>
      <c r="L138" s="269"/>
    </row>
    <row r="139" spans="1:12" ht="14.4" x14ac:dyDescent="0.3">
      <c r="A139" s="179">
        <f t="shared" si="1"/>
        <v>22</v>
      </c>
      <c r="B139" s="639" t="s">
        <v>288</v>
      </c>
      <c r="C139" s="639">
        <v>135799432</v>
      </c>
      <c r="D139" s="308" t="s">
        <v>742</v>
      </c>
      <c r="E139" s="308" t="s">
        <v>742</v>
      </c>
      <c r="F139" s="263" t="s">
        <v>89</v>
      </c>
      <c r="G139" s="308" t="s">
        <v>35</v>
      </c>
      <c r="H139" s="1353" t="s">
        <v>6</v>
      </c>
      <c r="I139" s="1363" t="s">
        <v>2289</v>
      </c>
      <c r="J139" s="263"/>
      <c r="K139" s="269">
        <v>45363</v>
      </c>
      <c r="L139" s="269"/>
    </row>
    <row r="140" spans="1:12" ht="14.4" x14ac:dyDescent="0.3">
      <c r="A140" s="179">
        <f t="shared" si="1"/>
        <v>22</v>
      </c>
      <c r="B140" s="639" t="s">
        <v>2171</v>
      </c>
      <c r="C140" s="639" t="s">
        <v>2172</v>
      </c>
      <c r="D140" s="309" t="s">
        <v>742</v>
      </c>
      <c r="E140" s="308" t="s">
        <v>742</v>
      </c>
      <c r="F140" s="928" t="s">
        <v>209</v>
      </c>
      <c r="G140" s="308" t="s">
        <v>3038</v>
      </c>
      <c r="H140" s="1353" t="s">
        <v>6</v>
      </c>
      <c r="I140" s="1363" t="s">
        <v>2289</v>
      </c>
      <c r="J140" s="263"/>
      <c r="K140" s="269"/>
      <c r="L140" s="269">
        <v>45398</v>
      </c>
    </row>
    <row r="141" spans="1:12" ht="14.4" x14ac:dyDescent="0.3">
      <c r="A141" s="179">
        <f t="shared" ref="A141:A204" si="2">IF(G141&lt;&gt;"",22,0)</f>
        <v>22</v>
      </c>
      <c r="B141" s="639" t="s">
        <v>383</v>
      </c>
      <c r="C141" s="639">
        <v>168719310</v>
      </c>
      <c r="D141" s="309" t="s">
        <v>742</v>
      </c>
      <c r="E141" s="309" t="s">
        <v>742</v>
      </c>
      <c r="F141" s="263" t="s">
        <v>209</v>
      </c>
      <c r="G141" s="308" t="s">
        <v>1858</v>
      </c>
      <c r="H141" s="1353" t="s">
        <v>6</v>
      </c>
      <c r="I141" s="1363" t="s">
        <v>2289</v>
      </c>
      <c r="J141" s="263"/>
      <c r="K141" s="269"/>
      <c r="L141" s="269"/>
    </row>
    <row r="142" spans="1:12" ht="14.4" x14ac:dyDescent="0.3">
      <c r="A142" s="179">
        <f t="shared" si="2"/>
        <v>22</v>
      </c>
      <c r="B142" s="639" t="s">
        <v>474</v>
      </c>
      <c r="C142" s="639">
        <v>162950126</v>
      </c>
      <c r="D142" s="309" t="s">
        <v>742</v>
      </c>
      <c r="E142" s="309" t="s">
        <v>742</v>
      </c>
      <c r="F142" s="263" t="s">
        <v>3</v>
      </c>
      <c r="G142" s="308" t="s">
        <v>48</v>
      </c>
      <c r="H142" s="1353" t="s">
        <v>6</v>
      </c>
      <c r="I142" s="1363" t="s">
        <v>2289</v>
      </c>
      <c r="J142" s="263"/>
      <c r="K142" s="269"/>
      <c r="L142" s="269"/>
    </row>
    <row r="143" spans="1:12" ht="14.4" x14ac:dyDescent="0.3">
      <c r="A143" s="179">
        <f t="shared" si="2"/>
        <v>22</v>
      </c>
      <c r="B143" s="639" t="s">
        <v>2175</v>
      </c>
      <c r="C143" s="639" t="s">
        <v>2176</v>
      </c>
      <c r="D143" s="309" t="s">
        <v>742</v>
      </c>
      <c r="E143" s="308" t="s">
        <v>742</v>
      </c>
      <c r="F143" s="928" t="s">
        <v>3</v>
      </c>
      <c r="G143" s="308" t="s">
        <v>2524</v>
      </c>
      <c r="H143" s="1353" t="s">
        <v>6</v>
      </c>
      <c r="I143" s="1363" t="s">
        <v>2289</v>
      </c>
      <c r="J143" s="263"/>
      <c r="K143" s="269"/>
      <c r="L143" s="269"/>
    </row>
    <row r="144" spans="1:12" ht="14.4" x14ac:dyDescent="0.3">
      <c r="A144" s="179">
        <f t="shared" si="2"/>
        <v>22</v>
      </c>
      <c r="B144" s="639" t="s">
        <v>476</v>
      </c>
      <c r="C144" s="639">
        <v>198075655</v>
      </c>
      <c r="D144" s="309" t="s">
        <v>742</v>
      </c>
      <c r="E144" s="309" t="s">
        <v>742</v>
      </c>
      <c r="F144" s="263" t="s">
        <v>4</v>
      </c>
      <c r="G144" s="308" t="s">
        <v>169</v>
      </c>
      <c r="H144" s="1353" t="s">
        <v>6</v>
      </c>
      <c r="I144" s="1363" t="s">
        <v>2289</v>
      </c>
      <c r="J144" s="263"/>
      <c r="K144" s="269"/>
      <c r="L144" s="269"/>
    </row>
    <row r="145" spans="1:12" ht="14.4" x14ac:dyDescent="0.3">
      <c r="A145" s="179">
        <f t="shared" si="2"/>
        <v>22</v>
      </c>
      <c r="B145" s="639" t="s">
        <v>2466</v>
      </c>
      <c r="C145" s="639">
        <v>201113806</v>
      </c>
      <c r="D145" s="308" t="s">
        <v>742</v>
      </c>
      <c r="E145" s="308" t="s">
        <v>742</v>
      </c>
      <c r="F145" s="928" t="s">
        <v>14</v>
      </c>
      <c r="G145" s="308" t="s">
        <v>2467</v>
      </c>
      <c r="H145" s="1353" t="s">
        <v>6</v>
      </c>
      <c r="I145" s="1363" t="s">
        <v>2289</v>
      </c>
      <c r="J145" s="263"/>
      <c r="K145" s="748"/>
      <c r="L145" s="748"/>
    </row>
    <row r="146" spans="1:12" ht="14.4" x14ac:dyDescent="0.3">
      <c r="A146" s="179">
        <f t="shared" si="2"/>
        <v>22</v>
      </c>
      <c r="B146" s="641" t="s">
        <v>358</v>
      </c>
      <c r="C146" s="641">
        <v>133290923</v>
      </c>
      <c r="D146" s="315" t="s">
        <v>744</v>
      </c>
      <c r="E146" s="315" t="s">
        <v>744</v>
      </c>
      <c r="F146" s="264" t="s">
        <v>89</v>
      </c>
      <c r="G146" s="315" t="s">
        <v>8</v>
      </c>
      <c r="H146" s="1355" t="s">
        <v>2125</v>
      </c>
      <c r="I146" s="1365" t="s">
        <v>2838</v>
      </c>
      <c r="J146" s="264"/>
      <c r="K146" s="271">
        <v>45385</v>
      </c>
      <c r="L146" s="271"/>
    </row>
    <row r="147" spans="1:12" ht="14.4" x14ac:dyDescent="0.3">
      <c r="A147" s="179">
        <f t="shared" si="2"/>
        <v>22</v>
      </c>
      <c r="B147" s="641" t="s">
        <v>363</v>
      </c>
      <c r="C147" s="641">
        <v>164551520</v>
      </c>
      <c r="D147" s="311" t="s">
        <v>712</v>
      </c>
      <c r="E147" s="1329" t="s">
        <v>712</v>
      </c>
      <c r="F147" s="264" t="s">
        <v>209</v>
      </c>
      <c r="G147" s="315" t="s">
        <v>2794</v>
      </c>
      <c r="H147" s="1355" t="s">
        <v>2125</v>
      </c>
      <c r="I147" s="1365" t="s">
        <v>2838</v>
      </c>
      <c r="J147" s="264"/>
      <c r="K147" s="271"/>
      <c r="L147" s="271"/>
    </row>
    <row r="148" spans="1:12" ht="14.4" x14ac:dyDescent="0.3">
      <c r="A148" s="179">
        <f t="shared" si="2"/>
        <v>22</v>
      </c>
      <c r="B148" s="641" t="s">
        <v>2192</v>
      </c>
      <c r="C148" s="641" t="s">
        <v>2193</v>
      </c>
      <c r="D148" s="311" t="s">
        <v>712</v>
      </c>
      <c r="E148" s="311" t="s">
        <v>712</v>
      </c>
      <c r="F148" s="930" t="s">
        <v>209</v>
      </c>
      <c r="G148" s="315" t="s">
        <v>2507</v>
      </c>
      <c r="H148" s="1355" t="s">
        <v>2125</v>
      </c>
      <c r="I148" s="1365" t="s">
        <v>2838</v>
      </c>
      <c r="J148" s="264"/>
      <c r="K148" s="271"/>
      <c r="L148" s="271"/>
    </row>
    <row r="149" spans="1:12" ht="14.4" x14ac:dyDescent="0.3">
      <c r="A149" s="179">
        <f t="shared" si="2"/>
        <v>22</v>
      </c>
      <c r="B149" s="641" t="s">
        <v>2165</v>
      </c>
      <c r="C149" s="641">
        <v>188752470</v>
      </c>
      <c r="D149" s="311" t="s">
        <v>712</v>
      </c>
      <c r="E149" s="315" t="s">
        <v>712</v>
      </c>
      <c r="F149" s="930" t="s">
        <v>3</v>
      </c>
      <c r="G149" s="315" t="s">
        <v>2166</v>
      </c>
      <c r="H149" s="1355" t="s">
        <v>2125</v>
      </c>
      <c r="I149" s="1365" t="s">
        <v>2838</v>
      </c>
      <c r="J149" s="264"/>
      <c r="K149" s="271"/>
      <c r="L149" s="271"/>
    </row>
    <row r="150" spans="1:12" ht="14.4" x14ac:dyDescent="0.3">
      <c r="A150" s="179">
        <f t="shared" si="2"/>
        <v>22</v>
      </c>
      <c r="B150" s="641" t="s">
        <v>535</v>
      </c>
      <c r="C150" s="641">
        <v>203864248</v>
      </c>
      <c r="D150" s="311" t="s">
        <v>712</v>
      </c>
      <c r="E150" s="315" t="s">
        <v>712</v>
      </c>
      <c r="F150" s="264" t="s">
        <v>4</v>
      </c>
      <c r="G150" s="315" t="s">
        <v>143</v>
      </c>
      <c r="H150" s="1355" t="s">
        <v>2125</v>
      </c>
      <c r="I150" s="1365" t="s">
        <v>2838</v>
      </c>
      <c r="J150" s="264" t="s">
        <v>1483</v>
      </c>
      <c r="K150" s="271"/>
      <c r="L150" s="271"/>
    </row>
    <row r="151" spans="1:12" ht="14.4" x14ac:dyDescent="0.3">
      <c r="A151" s="179">
        <f t="shared" si="2"/>
        <v>22</v>
      </c>
      <c r="B151" s="641" t="s">
        <v>469</v>
      </c>
      <c r="C151" s="641">
        <v>200281276</v>
      </c>
      <c r="D151" s="311" t="s">
        <v>712</v>
      </c>
      <c r="E151" s="315" t="s">
        <v>712</v>
      </c>
      <c r="F151" s="264" t="s">
        <v>4</v>
      </c>
      <c r="G151" s="315" t="s">
        <v>187</v>
      </c>
      <c r="H151" s="1355" t="s">
        <v>2125</v>
      </c>
      <c r="I151" s="1365" t="s">
        <v>2838</v>
      </c>
      <c r="J151" s="264"/>
      <c r="K151" s="271"/>
      <c r="L151" s="271"/>
    </row>
    <row r="152" spans="1:12" ht="14.4" x14ac:dyDescent="0.3">
      <c r="A152" s="179">
        <f t="shared" si="2"/>
        <v>22</v>
      </c>
      <c r="B152" s="641" t="s">
        <v>407</v>
      </c>
      <c r="C152" s="641">
        <v>205092404</v>
      </c>
      <c r="D152" s="311" t="s">
        <v>712</v>
      </c>
      <c r="E152" s="315" t="s">
        <v>712</v>
      </c>
      <c r="F152" s="264" t="s">
        <v>4</v>
      </c>
      <c r="G152" s="315" t="s">
        <v>138</v>
      </c>
      <c r="H152" s="1355" t="s">
        <v>2125</v>
      </c>
      <c r="I152" s="1365" t="s">
        <v>2838</v>
      </c>
      <c r="J152" s="264"/>
      <c r="K152" s="271"/>
      <c r="L152" s="271"/>
    </row>
    <row r="153" spans="1:12" ht="14.4" x14ac:dyDescent="0.3">
      <c r="A153" s="179">
        <f t="shared" si="2"/>
        <v>22</v>
      </c>
      <c r="B153" s="641" t="s">
        <v>411</v>
      </c>
      <c r="C153" s="641">
        <v>198188263</v>
      </c>
      <c r="D153" s="311" t="s">
        <v>712</v>
      </c>
      <c r="E153" s="311" t="s">
        <v>712</v>
      </c>
      <c r="F153" s="264" t="s">
        <v>4</v>
      </c>
      <c r="G153" s="315" t="s">
        <v>265</v>
      </c>
      <c r="H153" s="1355" t="s">
        <v>2125</v>
      </c>
      <c r="I153" s="1365" t="s">
        <v>2838</v>
      </c>
      <c r="J153" s="264"/>
      <c r="K153" s="271"/>
      <c r="L153" s="271"/>
    </row>
    <row r="154" spans="1:12" ht="14.4" x14ac:dyDescent="0.3">
      <c r="A154" s="179">
        <f t="shared" si="2"/>
        <v>22</v>
      </c>
      <c r="B154" s="642" t="s">
        <v>349</v>
      </c>
      <c r="C154" s="642">
        <v>145763495</v>
      </c>
      <c r="D154" s="715" t="s">
        <v>701</v>
      </c>
      <c r="E154" s="313" t="s">
        <v>746</v>
      </c>
      <c r="F154" s="932" t="s">
        <v>89</v>
      </c>
      <c r="G154" s="314" t="s">
        <v>258</v>
      </c>
      <c r="H154" s="1357" t="s">
        <v>2125</v>
      </c>
      <c r="I154" s="1368" t="s">
        <v>2838</v>
      </c>
      <c r="J154" s="193"/>
      <c r="K154" s="211"/>
      <c r="L154" s="211"/>
    </row>
    <row r="155" spans="1:12" ht="26.4" x14ac:dyDescent="0.3">
      <c r="A155" s="179">
        <f t="shared" si="2"/>
        <v>22</v>
      </c>
      <c r="B155" s="642" t="s">
        <v>2535</v>
      </c>
      <c r="C155" s="642" t="s">
        <v>2536</v>
      </c>
      <c r="D155" s="314" t="s">
        <v>701</v>
      </c>
      <c r="E155" s="314" t="s">
        <v>701</v>
      </c>
      <c r="F155" s="932" t="s">
        <v>3</v>
      </c>
      <c r="G155" s="314" t="s">
        <v>2537</v>
      </c>
      <c r="H155" s="1357" t="s">
        <v>2125</v>
      </c>
      <c r="I155" s="1367" t="s">
        <v>2838</v>
      </c>
      <c r="J155" s="193" t="s">
        <v>3361</v>
      </c>
      <c r="K155" s="889"/>
      <c r="L155" s="889"/>
    </row>
    <row r="156" spans="1:12" ht="14.4" x14ac:dyDescent="0.3">
      <c r="A156" s="179">
        <f t="shared" si="2"/>
        <v>22</v>
      </c>
      <c r="B156" s="642" t="s">
        <v>2695</v>
      </c>
      <c r="C156" s="642" t="s">
        <v>2696</v>
      </c>
      <c r="D156" s="314" t="s">
        <v>701</v>
      </c>
      <c r="E156" s="314" t="s">
        <v>701</v>
      </c>
      <c r="F156" s="932" t="s">
        <v>3</v>
      </c>
      <c r="G156" s="314" t="s">
        <v>2697</v>
      </c>
      <c r="H156" s="1357" t="s">
        <v>2125</v>
      </c>
      <c r="I156" s="1367" t="s">
        <v>2838</v>
      </c>
      <c r="J156" s="193"/>
      <c r="K156" s="889"/>
      <c r="L156" s="889"/>
    </row>
    <row r="157" spans="1:12" ht="14.4" x14ac:dyDescent="0.3">
      <c r="A157" s="179">
        <f t="shared" si="2"/>
        <v>22</v>
      </c>
      <c r="B157" s="642" t="s">
        <v>2683</v>
      </c>
      <c r="C157" s="642" t="s">
        <v>2684</v>
      </c>
      <c r="D157" s="313" t="s">
        <v>701</v>
      </c>
      <c r="E157" s="314" t="s">
        <v>701</v>
      </c>
      <c r="F157" s="932" t="s">
        <v>3</v>
      </c>
      <c r="G157" s="314" t="s">
        <v>2685</v>
      </c>
      <c r="H157" s="1357" t="s">
        <v>2125</v>
      </c>
      <c r="I157" s="1367" t="s">
        <v>2838</v>
      </c>
      <c r="J157" s="193"/>
      <c r="K157" s="889"/>
      <c r="L157" s="889"/>
    </row>
    <row r="158" spans="1:12" ht="14.4" x14ac:dyDescent="0.3">
      <c r="A158" s="179">
        <f t="shared" si="2"/>
        <v>22</v>
      </c>
      <c r="B158" s="642" t="s">
        <v>352</v>
      </c>
      <c r="C158" s="642">
        <v>195811784</v>
      </c>
      <c r="D158" s="314" t="s">
        <v>701</v>
      </c>
      <c r="E158" s="314" t="s">
        <v>701</v>
      </c>
      <c r="F158" s="193" t="s">
        <v>4</v>
      </c>
      <c r="G158" s="314" t="s">
        <v>179</v>
      </c>
      <c r="H158" s="1357" t="s">
        <v>2125</v>
      </c>
      <c r="I158" s="1367" t="s">
        <v>2838</v>
      </c>
      <c r="J158" s="193"/>
      <c r="K158" s="211"/>
      <c r="L158" s="211"/>
    </row>
    <row r="159" spans="1:12" ht="52.8" x14ac:dyDescent="0.3">
      <c r="A159" s="179">
        <f t="shared" si="2"/>
        <v>22</v>
      </c>
      <c r="B159" s="642" t="s">
        <v>419</v>
      </c>
      <c r="C159" s="642">
        <v>193178367</v>
      </c>
      <c r="D159" s="313" t="s">
        <v>701</v>
      </c>
      <c r="E159" s="313" t="s">
        <v>701</v>
      </c>
      <c r="F159" s="193" t="s">
        <v>4</v>
      </c>
      <c r="G159" s="314" t="s">
        <v>2270</v>
      </c>
      <c r="H159" s="1357" t="s">
        <v>2125</v>
      </c>
      <c r="I159" s="1367" t="s">
        <v>2838</v>
      </c>
      <c r="J159" s="193" t="s">
        <v>3571</v>
      </c>
      <c r="K159" s="211"/>
      <c r="L159" s="211"/>
    </row>
    <row r="160" spans="1:12" ht="14.4" x14ac:dyDescent="0.3">
      <c r="A160" s="179">
        <f t="shared" si="2"/>
        <v>22</v>
      </c>
      <c r="B160" s="642" t="s">
        <v>418</v>
      </c>
      <c r="C160" s="642">
        <v>205381724</v>
      </c>
      <c r="D160" s="313" t="s">
        <v>701</v>
      </c>
      <c r="E160" s="313" t="s">
        <v>701</v>
      </c>
      <c r="F160" s="193" t="s">
        <v>4</v>
      </c>
      <c r="G160" s="314" t="s">
        <v>171</v>
      </c>
      <c r="H160" s="1357" t="s">
        <v>2125</v>
      </c>
      <c r="I160" s="1367" t="s">
        <v>2838</v>
      </c>
      <c r="J160" s="193"/>
      <c r="K160" s="211"/>
      <c r="L160" s="211"/>
    </row>
    <row r="161" spans="1:12" ht="14.4" x14ac:dyDescent="0.3">
      <c r="A161" s="179">
        <f t="shared" si="2"/>
        <v>22</v>
      </c>
      <c r="B161" s="642" t="s">
        <v>353</v>
      </c>
      <c r="C161" s="642">
        <v>182004448</v>
      </c>
      <c r="D161" s="313" t="s">
        <v>701</v>
      </c>
      <c r="E161" s="314" t="s">
        <v>701</v>
      </c>
      <c r="F161" s="193" t="s">
        <v>4</v>
      </c>
      <c r="G161" s="314" t="s">
        <v>2896</v>
      </c>
      <c r="H161" s="1357" t="s">
        <v>2125</v>
      </c>
      <c r="I161" s="1367" t="s">
        <v>2838</v>
      </c>
      <c r="J161" s="193"/>
      <c r="K161" s="211"/>
      <c r="L161" s="211"/>
    </row>
    <row r="162" spans="1:12" ht="14.4" x14ac:dyDescent="0.3">
      <c r="A162" s="179">
        <f t="shared" si="2"/>
        <v>22</v>
      </c>
      <c r="B162" s="640" t="s">
        <v>570</v>
      </c>
      <c r="C162" s="640">
        <v>128881220</v>
      </c>
      <c r="D162" s="317" t="s">
        <v>748</v>
      </c>
      <c r="E162" s="317" t="s">
        <v>748</v>
      </c>
      <c r="F162" s="266" t="s">
        <v>17</v>
      </c>
      <c r="G162" s="317" t="s">
        <v>177</v>
      </c>
      <c r="H162" s="1354" t="s">
        <v>2125</v>
      </c>
      <c r="I162" s="1364" t="s">
        <v>2838</v>
      </c>
      <c r="J162" s="266"/>
      <c r="K162" s="268"/>
      <c r="L162" s="268"/>
    </row>
    <row r="163" spans="1:12" ht="14.4" x14ac:dyDescent="0.3">
      <c r="A163" s="179">
        <f t="shared" si="2"/>
        <v>22</v>
      </c>
      <c r="B163" s="640" t="s">
        <v>483</v>
      </c>
      <c r="C163" s="640">
        <v>174591768</v>
      </c>
      <c r="D163" s="310" t="s">
        <v>704</v>
      </c>
      <c r="E163" s="310" t="s">
        <v>704</v>
      </c>
      <c r="F163" s="266" t="s">
        <v>209</v>
      </c>
      <c r="G163" s="317" t="s">
        <v>3096</v>
      </c>
      <c r="H163" s="1354" t="s">
        <v>2125</v>
      </c>
      <c r="I163" s="1364" t="s">
        <v>2838</v>
      </c>
      <c r="J163" s="266"/>
      <c r="K163" s="268"/>
      <c r="L163" s="268"/>
    </row>
    <row r="164" spans="1:12" ht="14.4" x14ac:dyDescent="0.3">
      <c r="A164" s="179">
        <f t="shared" si="2"/>
        <v>22</v>
      </c>
      <c r="B164" s="640" t="s">
        <v>1700</v>
      </c>
      <c r="C164" s="640">
        <v>170725743</v>
      </c>
      <c r="D164" s="310" t="s">
        <v>704</v>
      </c>
      <c r="E164" s="317" t="s">
        <v>704</v>
      </c>
      <c r="F164" s="929" t="s">
        <v>3</v>
      </c>
      <c r="G164" s="317" t="s">
        <v>1701</v>
      </c>
      <c r="H164" s="1354" t="s">
        <v>2125</v>
      </c>
      <c r="I164" s="1364" t="s">
        <v>2838</v>
      </c>
      <c r="J164" s="266"/>
      <c r="K164" s="268"/>
      <c r="L164" s="268"/>
    </row>
    <row r="165" spans="1:12" ht="14.4" x14ac:dyDescent="0.3">
      <c r="A165" s="179">
        <f t="shared" si="2"/>
        <v>22</v>
      </c>
      <c r="B165" s="640" t="s">
        <v>1608</v>
      </c>
      <c r="C165" s="640" t="s">
        <v>1609</v>
      </c>
      <c r="D165" s="310" t="s">
        <v>704</v>
      </c>
      <c r="E165" s="317" t="s">
        <v>704</v>
      </c>
      <c r="F165" s="929" t="s">
        <v>4</v>
      </c>
      <c r="G165" s="317" t="s">
        <v>1976</v>
      </c>
      <c r="H165" s="1354" t="s">
        <v>2125</v>
      </c>
      <c r="I165" s="1364" t="s">
        <v>2838</v>
      </c>
      <c r="J165" s="266"/>
      <c r="K165" s="268"/>
      <c r="L165" s="268"/>
    </row>
    <row r="166" spans="1:12" ht="14.4" x14ac:dyDescent="0.3">
      <c r="A166" s="179">
        <f t="shared" si="2"/>
        <v>22</v>
      </c>
      <c r="B166" s="640" t="s">
        <v>455</v>
      </c>
      <c r="C166" s="640">
        <v>199873849</v>
      </c>
      <c r="D166" s="310" t="s">
        <v>704</v>
      </c>
      <c r="E166" s="310" t="s">
        <v>704</v>
      </c>
      <c r="F166" s="266" t="s">
        <v>4</v>
      </c>
      <c r="G166" s="317" t="s">
        <v>2267</v>
      </c>
      <c r="H166" s="1354" t="s">
        <v>2125</v>
      </c>
      <c r="I166" s="1364" t="s">
        <v>2838</v>
      </c>
      <c r="J166" s="266"/>
      <c r="K166" s="268"/>
      <c r="L166" s="268"/>
    </row>
    <row r="167" spans="1:12" ht="14.4" x14ac:dyDescent="0.3">
      <c r="A167" s="179">
        <f t="shared" si="2"/>
        <v>22</v>
      </c>
      <c r="B167" s="640" t="s">
        <v>592</v>
      </c>
      <c r="C167" s="640" t="s">
        <v>494</v>
      </c>
      <c r="D167" s="310" t="s">
        <v>704</v>
      </c>
      <c r="E167" s="310" t="s">
        <v>704</v>
      </c>
      <c r="F167" s="266" t="s">
        <v>4</v>
      </c>
      <c r="G167" s="317" t="s">
        <v>105</v>
      </c>
      <c r="H167" s="1354" t="s">
        <v>2125</v>
      </c>
      <c r="I167" s="1364" t="s">
        <v>2838</v>
      </c>
      <c r="J167" s="266"/>
      <c r="K167" s="268"/>
      <c r="L167" s="268"/>
    </row>
    <row r="168" spans="1:12" ht="14.4" x14ac:dyDescent="0.3">
      <c r="A168" s="179">
        <f t="shared" si="2"/>
        <v>22</v>
      </c>
      <c r="B168" s="640" t="s">
        <v>439</v>
      </c>
      <c r="C168" s="640">
        <v>189202997</v>
      </c>
      <c r="D168" s="310" t="s">
        <v>704</v>
      </c>
      <c r="E168" s="317" t="s">
        <v>704</v>
      </c>
      <c r="F168" s="266" t="s">
        <v>4</v>
      </c>
      <c r="G168" s="317" t="s">
        <v>2271</v>
      </c>
      <c r="H168" s="1354" t="s">
        <v>2125</v>
      </c>
      <c r="I168" s="1364" t="s">
        <v>2838</v>
      </c>
      <c r="J168" s="266"/>
      <c r="K168" s="268"/>
      <c r="L168" s="268"/>
    </row>
    <row r="169" spans="1:12" ht="14.4" x14ac:dyDescent="0.3">
      <c r="A169" s="179">
        <f t="shared" si="2"/>
        <v>22</v>
      </c>
      <c r="B169" s="643" t="s">
        <v>555</v>
      </c>
      <c r="C169" s="643" t="s">
        <v>556</v>
      </c>
      <c r="D169" s="312" t="s">
        <v>749</v>
      </c>
      <c r="E169" s="312" t="s">
        <v>749</v>
      </c>
      <c r="F169" s="265" t="s">
        <v>89</v>
      </c>
      <c r="G169" s="316" t="s">
        <v>1871</v>
      </c>
      <c r="H169" s="1356" t="s">
        <v>853</v>
      </c>
      <c r="I169" s="1366" t="s">
        <v>3590</v>
      </c>
      <c r="J169" s="265"/>
      <c r="K169" s="270"/>
      <c r="L169" s="270"/>
    </row>
    <row r="170" spans="1:12" ht="14.4" x14ac:dyDescent="0.3">
      <c r="A170" s="179">
        <f t="shared" si="2"/>
        <v>22</v>
      </c>
      <c r="B170" s="643" t="s">
        <v>557</v>
      </c>
      <c r="C170" s="643">
        <v>140211702</v>
      </c>
      <c r="D170" s="312" t="s">
        <v>750</v>
      </c>
      <c r="E170" s="312" t="s">
        <v>750</v>
      </c>
      <c r="F170" s="265" t="s">
        <v>89</v>
      </c>
      <c r="G170" s="316" t="s">
        <v>47</v>
      </c>
      <c r="H170" s="1356" t="s">
        <v>853</v>
      </c>
      <c r="I170" s="1366" t="s">
        <v>3590</v>
      </c>
      <c r="J170" s="265"/>
      <c r="K170" s="270"/>
      <c r="L170" s="270"/>
    </row>
    <row r="171" spans="1:12" ht="14.4" x14ac:dyDescent="0.3">
      <c r="A171" s="179">
        <f t="shared" si="2"/>
        <v>22</v>
      </c>
      <c r="B171" s="643" t="s">
        <v>341</v>
      </c>
      <c r="C171" s="643">
        <v>138365506</v>
      </c>
      <c r="D171" s="312" t="s">
        <v>750</v>
      </c>
      <c r="E171" s="312" t="s">
        <v>750</v>
      </c>
      <c r="F171" s="931" t="s">
        <v>209</v>
      </c>
      <c r="G171" s="316" t="s">
        <v>41</v>
      </c>
      <c r="H171" s="1356" t="s">
        <v>853</v>
      </c>
      <c r="I171" s="1366" t="s">
        <v>3590</v>
      </c>
      <c r="J171" s="265"/>
      <c r="K171" s="270"/>
      <c r="L171" s="270"/>
    </row>
    <row r="172" spans="1:12" ht="26.4" x14ac:dyDescent="0.3">
      <c r="A172" s="179">
        <f t="shared" si="2"/>
        <v>22</v>
      </c>
      <c r="B172" s="643" t="s">
        <v>1703</v>
      </c>
      <c r="C172" s="643">
        <v>168110529</v>
      </c>
      <c r="D172" s="312" t="s">
        <v>750</v>
      </c>
      <c r="E172" s="316" t="s">
        <v>750</v>
      </c>
      <c r="F172" s="931" t="s">
        <v>3</v>
      </c>
      <c r="G172" s="316" t="s">
        <v>2893</v>
      </c>
      <c r="H172" s="1356" t="s">
        <v>853</v>
      </c>
      <c r="I172" s="1366" t="s">
        <v>3590</v>
      </c>
      <c r="J172" s="265" t="s">
        <v>3542</v>
      </c>
      <c r="K172" s="270"/>
      <c r="L172" s="270"/>
    </row>
    <row r="173" spans="1:12" ht="39.6" x14ac:dyDescent="0.3">
      <c r="A173" s="179">
        <f t="shared" si="2"/>
        <v>22</v>
      </c>
      <c r="B173" s="643" t="s">
        <v>2679</v>
      </c>
      <c r="C173" s="643" t="s">
        <v>2680</v>
      </c>
      <c r="D173" s="312" t="s">
        <v>750</v>
      </c>
      <c r="E173" s="316" t="s">
        <v>750</v>
      </c>
      <c r="F173" s="931" t="s">
        <v>3</v>
      </c>
      <c r="G173" s="316" t="s">
        <v>2681</v>
      </c>
      <c r="H173" s="1356" t="s">
        <v>853</v>
      </c>
      <c r="I173" s="1366" t="s">
        <v>3590</v>
      </c>
      <c r="J173" s="265" t="s">
        <v>3558</v>
      </c>
      <c r="K173" s="871"/>
      <c r="L173" s="871"/>
    </row>
    <row r="174" spans="1:12" ht="14.4" x14ac:dyDescent="0.3">
      <c r="A174" s="179">
        <f t="shared" si="2"/>
        <v>22</v>
      </c>
      <c r="B174" s="643" t="s">
        <v>2338</v>
      </c>
      <c r="C174" s="643">
        <v>167368840</v>
      </c>
      <c r="D174" s="312" t="s">
        <v>750</v>
      </c>
      <c r="E174" s="316" t="s">
        <v>750</v>
      </c>
      <c r="F174" s="931" t="s">
        <v>3</v>
      </c>
      <c r="G174" s="316" t="s">
        <v>2558</v>
      </c>
      <c r="H174" s="1356" t="s">
        <v>853</v>
      </c>
      <c r="I174" s="1366" t="s">
        <v>3590</v>
      </c>
      <c r="J174" s="265"/>
      <c r="K174" s="871"/>
      <c r="L174" s="871"/>
    </row>
    <row r="175" spans="1:12" ht="14.4" x14ac:dyDescent="0.3">
      <c r="A175" s="179">
        <f t="shared" si="2"/>
        <v>22</v>
      </c>
      <c r="B175" s="643" t="s">
        <v>326</v>
      </c>
      <c r="C175" s="643">
        <v>205697225</v>
      </c>
      <c r="D175" s="312" t="s">
        <v>750</v>
      </c>
      <c r="E175" s="312" t="s">
        <v>750</v>
      </c>
      <c r="F175" s="265" t="s">
        <v>4</v>
      </c>
      <c r="G175" s="316" t="s">
        <v>1864</v>
      </c>
      <c r="H175" s="1356" t="s">
        <v>853</v>
      </c>
      <c r="I175" s="1366" t="s">
        <v>3590</v>
      </c>
      <c r="J175" s="265"/>
      <c r="K175" s="270"/>
      <c r="L175" s="270"/>
    </row>
    <row r="176" spans="1:12" ht="14.4" x14ac:dyDescent="0.3">
      <c r="A176" s="179">
        <f t="shared" si="2"/>
        <v>22</v>
      </c>
      <c r="B176" s="643" t="s">
        <v>345</v>
      </c>
      <c r="C176" s="643">
        <v>203735928</v>
      </c>
      <c r="D176" s="312" t="s">
        <v>750</v>
      </c>
      <c r="E176" s="312" t="s">
        <v>750</v>
      </c>
      <c r="F176" s="265" t="s">
        <v>4</v>
      </c>
      <c r="G176" s="316" t="s">
        <v>170</v>
      </c>
      <c r="H176" s="1356" t="s">
        <v>853</v>
      </c>
      <c r="I176" s="1366" t="s">
        <v>3590</v>
      </c>
      <c r="J176" s="265"/>
      <c r="K176" s="270"/>
      <c r="L176" s="270"/>
    </row>
    <row r="177" spans="1:12" ht="14.4" x14ac:dyDescent="0.3">
      <c r="A177" s="179">
        <f t="shared" si="2"/>
        <v>22</v>
      </c>
      <c r="B177" s="643" t="s">
        <v>390</v>
      </c>
      <c r="C177" s="643">
        <v>185575721</v>
      </c>
      <c r="D177" s="312" t="s">
        <v>750</v>
      </c>
      <c r="E177" s="312" t="s">
        <v>750</v>
      </c>
      <c r="F177" s="265" t="s">
        <v>4</v>
      </c>
      <c r="G177" s="316" t="s">
        <v>2274</v>
      </c>
      <c r="H177" s="1356" t="s">
        <v>853</v>
      </c>
      <c r="I177" s="1366" t="s">
        <v>3590</v>
      </c>
      <c r="J177" s="265"/>
      <c r="K177" s="270"/>
      <c r="L177" s="270"/>
    </row>
    <row r="178" spans="1:12" ht="14.4" x14ac:dyDescent="0.3">
      <c r="A178" s="179">
        <f t="shared" si="2"/>
        <v>22</v>
      </c>
      <c r="B178" s="643" t="s">
        <v>389</v>
      </c>
      <c r="C178" s="643">
        <v>194365527</v>
      </c>
      <c r="D178" s="312" t="s">
        <v>750</v>
      </c>
      <c r="E178" s="312" t="s">
        <v>750</v>
      </c>
      <c r="F178" s="265" t="s">
        <v>4</v>
      </c>
      <c r="G178" s="316" t="s">
        <v>2549</v>
      </c>
      <c r="H178" s="1356" t="s">
        <v>853</v>
      </c>
      <c r="I178" s="1366" t="s">
        <v>3590</v>
      </c>
      <c r="J178" s="265" t="s">
        <v>1483</v>
      </c>
      <c r="K178" s="270"/>
      <c r="L178" s="270"/>
    </row>
    <row r="179" spans="1:12" ht="14.4" x14ac:dyDescent="0.3">
      <c r="A179" s="179">
        <f t="shared" si="2"/>
        <v>22</v>
      </c>
      <c r="B179" s="643" t="s">
        <v>2196</v>
      </c>
      <c r="C179" s="643" t="s">
        <v>2197</v>
      </c>
      <c r="D179" s="312" t="s">
        <v>750</v>
      </c>
      <c r="E179" s="316" t="s">
        <v>750</v>
      </c>
      <c r="F179" s="931" t="s">
        <v>14</v>
      </c>
      <c r="G179" s="316" t="s">
        <v>2198</v>
      </c>
      <c r="H179" s="1356" t="s">
        <v>853</v>
      </c>
      <c r="I179" s="1366" t="s">
        <v>3590</v>
      </c>
      <c r="J179" s="265" t="s">
        <v>1483</v>
      </c>
      <c r="K179" s="270"/>
      <c r="L179" s="270"/>
    </row>
    <row r="180" spans="1:12" ht="14.4" x14ac:dyDescent="0.3">
      <c r="A180" s="179">
        <f t="shared" si="2"/>
        <v>22</v>
      </c>
      <c r="B180" s="639" t="s">
        <v>402</v>
      </c>
      <c r="C180" s="639">
        <v>125054404</v>
      </c>
      <c r="D180" s="308" t="s">
        <v>751</v>
      </c>
      <c r="E180" s="308" t="s">
        <v>751</v>
      </c>
      <c r="F180" s="263" t="s">
        <v>17</v>
      </c>
      <c r="G180" s="308" t="s">
        <v>3064</v>
      </c>
      <c r="H180" s="1353" t="s">
        <v>853</v>
      </c>
      <c r="I180" s="1363" t="s">
        <v>3590</v>
      </c>
      <c r="J180" s="263"/>
      <c r="K180" s="269"/>
      <c r="L180" s="269"/>
    </row>
    <row r="181" spans="1:12" ht="14.4" x14ac:dyDescent="0.3">
      <c r="A181" s="179">
        <f t="shared" si="2"/>
        <v>22</v>
      </c>
      <c r="B181" s="639" t="s">
        <v>327</v>
      </c>
      <c r="C181" s="639">
        <v>125957269</v>
      </c>
      <c r="D181" s="309" t="s">
        <v>715</v>
      </c>
      <c r="E181" s="308" t="s">
        <v>715</v>
      </c>
      <c r="F181" s="263" t="s">
        <v>89</v>
      </c>
      <c r="G181" s="308" t="s">
        <v>9</v>
      </c>
      <c r="H181" s="1353" t="s">
        <v>853</v>
      </c>
      <c r="I181" s="1363" t="s">
        <v>3590</v>
      </c>
      <c r="J181" s="263"/>
      <c r="K181" s="269"/>
      <c r="L181" s="269"/>
    </row>
    <row r="182" spans="1:12" ht="14.4" x14ac:dyDescent="0.3">
      <c r="A182" s="179">
        <f t="shared" si="2"/>
        <v>22</v>
      </c>
      <c r="B182" s="639" t="s">
        <v>2027</v>
      </c>
      <c r="C182" s="639" t="s">
        <v>2028</v>
      </c>
      <c r="D182" s="309" t="s">
        <v>715</v>
      </c>
      <c r="E182" s="308" t="s">
        <v>715</v>
      </c>
      <c r="F182" s="928" t="s">
        <v>209</v>
      </c>
      <c r="G182" s="308" t="s">
        <v>2140</v>
      </c>
      <c r="H182" s="1353" t="s">
        <v>853</v>
      </c>
      <c r="I182" s="1363" t="s">
        <v>3590</v>
      </c>
      <c r="J182" s="263"/>
      <c r="K182" s="269"/>
      <c r="L182" s="269"/>
    </row>
    <row r="183" spans="1:12" ht="14.4" x14ac:dyDescent="0.3">
      <c r="A183" s="179">
        <f t="shared" si="2"/>
        <v>22</v>
      </c>
      <c r="B183" s="639" t="s">
        <v>2769</v>
      </c>
      <c r="C183" s="639">
        <v>135788767</v>
      </c>
      <c r="D183" s="309" t="s">
        <v>715</v>
      </c>
      <c r="E183" s="308" t="s">
        <v>715</v>
      </c>
      <c r="F183" s="928" t="s">
        <v>209</v>
      </c>
      <c r="G183" s="308" t="s">
        <v>3071</v>
      </c>
      <c r="H183" s="1353" t="s">
        <v>853</v>
      </c>
      <c r="I183" s="1363" t="s">
        <v>3590</v>
      </c>
      <c r="J183" s="263" t="s">
        <v>1483</v>
      </c>
      <c r="K183" s="748"/>
      <c r="L183" s="748"/>
    </row>
    <row r="184" spans="1:12" ht="14.4" x14ac:dyDescent="0.3">
      <c r="A184" s="179">
        <f t="shared" si="2"/>
        <v>22</v>
      </c>
      <c r="B184" s="639" t="s">
        <v>2206</v>
      </c>
      <c r="C184" s="639" t="s">
        <v>2207</v>
      </c>
      <c r="D184" s="309" t="s">
        <v>715</v>
      </c>
      <c r="E184" s="308" t="s">
        <v>715</v>
      </c>
      <c r="F184" s="928" t="s">
        <v>4</v>
      </c>
      <c r="G184" s="308" t="s">
        <v>2208</v>
      </c>
      <c r="H184" s="1353" t="s">
        <v>853</v>
      </c>
      <c r="I184" s="1363" t="s">
        <v>3590</v>
      </c>
      <c r="J184" s="263"/>
      <c r="K184" s="269"/>
      <c r="L184" s="269"/>
    </row>
    <row r="185" spans="1:12" ht="14.4" x14ac:dyDescent="0.3">
      <c r="A185" s="179">
        <f t="shared" si="2"/>
        <v>22</v>
      </c>
      <c r="B185" s="639" t="s">
        <v>331</v>
      </c>
      <c r="C185" s="639">
        <v>202199976</v>
      </c>
      <c r="D185" s="309" t="s">
        <v>715</v>
      </c>
      <c r="E185" s="309" t="s">
        <v>715</v>
      </c>
      <c r="F185" s="263" t="s">
        <v>4</v>
      </c>
      <c r="G185" s="308" t="s">
        <v>2856</v>
      </c>
      <c r="H185" s="1353" t="s">
        <v>853</v>
      </c>
      <c r="I185" s="1363" t="s">
        <v>3590</v>
      </c>
      <c r="J185" s="263"/>
      <c r="K185" s="269"/>
      <c r="L185" s="269"/>
    </row>
    <row r="186" spans="1:12" ht="14.4" x14ac:dyDescent="0.3">
      <c r="A186" s="179">
        <f t="shared" si="2"/>
        <v>22</v>
      </c>
      <c r="B186" s="639" t="s">
        <v>286</v>
      </c>
      <c r="C186" s="639">
        <v>205170529</v>
      </c>
      <c r="D186" s="309" t="s">
        <v>715</v>
      </c>
      <c r="E186" s="309" t="s">
        <v>715</v>
      </c>
      <c r="F186" s="263" t="s">
        <v>4</v>
      </c>
      <c r="G186" s="308" t="s">
        <v>135</v>
      </c>
      <c r="H186" s="1353" t="s">
        <v>853</v>
      </c>
      <c r="I186" s="1363" t="s">
        <v>3590</v>
      </c>
      <c r="J186" s="263"/>
      <c r="K186" s="269"/>
      <c r="L186" s="269"/>
    </row>
    <row r="187" spans="1:12" ht="14.4" x14ac:dyDescent="0.3">
      <c r="A187" s="179">
        <f t="shared" si="2"/>
        <v>22</v>
      </c>
      <c r="B187" s="639" t="s">
        <v>328</v>
      </c>
      <c r="C187" s="639">
        <v>201904641</v>
      </c>
      <c r="D187" s="309" t="s">
        <v>715</v>
      </c>
      <c r="E187" s="309" t="s">
        <v>715</v>
      </c>
      <c r="F187" s="263" t="s">
        <v>4</v>
      </c>
      <c r="G187" s="308" t="s">
        <v>2276</v>
      </c>
      <c r="H187" s="1353" t="s">
        <v>853</v>
      </c>
      <c r="I187" s="1363" t="s">
        <v>3590</v>
      </c>
      <c r="J187" s="263"/>
      <c r="K187" s="269"/>
      <c r="L187" s="269"/>
    </row>
    <row r="188" spans="1:12" ht="14.4" x14ac:dyDescent="0.3">
      <c r="A188" s="179">
        <f t="shared" si="2"/>
        <v>22</v>
      </c>
      <c r="B188" s="641" t="s">
        <v>381</v>
      </c>
      <c r="C188" s="641">
        <v>145606039</v>
      </c>
      <c r="D188" s="1337" t="s">
        <v>733</v>
      </c>
      <c r="E188" s="1337" t="s">
        <v>733</v>
      </c>
      <c r="F188" s="264" t="s">
        <v>17</v>
      </c>
      <c r="G188" s="315" t="s">
        <v>1849</v>
      </c>
      <c r="H188" s="1355" t="s">
        <v>853</v>
      </c>
      <c r="I188" s="1346" t="s">
        <v>3591</v>
      </c>
      <c r="J188" s="264"/>
      <c r="K188" s="271"/>
      <c r="L188" s="271"/>
    </row>
    <row r="189" spans="1:12" ht="14.4" x14ac:dyDescent="0.3">
      <c r="A189" s="179">
        <f t="shared" si="2"/>
        <v>22</v>
      </c>
      <c r="B189" s="641" t="s">
        <v>545</v>
      </c>
      <c r="C189" s="641">
        <v>159832120</v>
      </c>
      <c r="D189" s="311" t="s">
        <v>711</v>
      </c>
      <c r="E189" s="311" t="s">
        <v>711</v>
      </c>
      <c r="F189" s="264" t="s">
        <v>209</v>
      </c>
      <c r="G189" s="315" t="s">
        <v>2503</v>
      </c>
      <c r="H189" s="1355" t="s">
        <v>853</v>
      </c>
      <c r="I189" s="1365" t="s">
        <v>3591</v>
      </c>
      <c r="J189" s="264"/>
      <c r="K189" s="271"/>
      <c r="L189" s="271"/>
    </row>
    <row r="190" spans="1:12" ht="14.4" x14ac:dyDescent="0.3">
      <c r="A190" s="179">
        <f t="shared" si="2"/>
        <v>22</v>
      </c>
      <c r="B190" s="641" t="s">
        <v>313</v>
      </c>
      <c r="C190" s="641">
        <v>175140468</v>
      </c>
      <c r="D190" s="311" t="s">
        <v>711</v>
      </c>
      <c r="E190" s="311" t="s">
        <v>711</v>
      </c>
      <c r="F190" s="264" t="s">
        <v>3</v>
      </c>
      <c r="G190" s="315" t="s">
        <v>1982</v>
      </c>
      <c r="H190" s="1355" t="s">
        <v>853</v>
      </c>
      <c r="I190" s="1365" t="s">
        <v>3591</v>
      </c>
      <c r="J190" s="264"/>
      <c r="K190" s="271"/>
      <c r="L190" s="271"/>
    </row>
    <row r="191" spans="1:12" ht="14.4" x14ac:dyDescent="0.3">
      <c r="A191" s="179">
        <f t="shared" si="2"/>
        <v>22</v>
      </c>
      <c r="B191" s="641" t="s">
        <v>454</v>
      </c>
      <c r="C191" s="641">
        <v>192840449</v>
      </c>
      <c r="D191" s="311" t="s">
        <v>711</v>
      </c>
      <c r="E191" s="311" t="s">
        <v>711</v>
      </c>
      <c r="F191" s="264" t="s">
        <v>4</v>
      </c>
      <c r="G191" s="315" t="s">
        <v>226</v>
      </c>
      <c r="H191" s="1355" t="s">
        <v>853</v>
      </c>
      <c r="I191" s="1365" t="s">
        <v>3591</v>
      </c>
      <c r="J191" s="264"/>
      <c r="K191" s="271"/>
      <c r="L191" s="271"/>
    </row>
    <row r="192" spans="1:12" ht="14.4" x14ac:dyDescent="0.3">
      <c r="A192" s="179">
        <f t="shared" si="2"/>
        <v>22</v>
      </c>
      <c r="B192" s="641" t="s">
        <v>337</v>
      </c>
      <c r="C192" s="641">
        <v>197250631</v>
      </c>
      <c r="D192" s="311" t="s">
        <v>711</v>
      </c>
      <c r="E192" s="311" t="s">
        <v>711</v>
      </c>
      <c r="F192" s="264" t="s">
        <v>4</v>
      </c>
      <c r="G192" s="315" t="s">
        <v>111</v>
      </c>
      <c r="H192" s="1355" t="s">
        <v>853</v>
      </c>
      <c r="I192" s="1365" t="s">
        <v>3591</v>
      </c>
      <c r="J192" s="264"/>
      <c r="K192" s="271"/>
      <c r="L192" s="271"/>
    </row>
    <row r="193" spans="1:12" ht="14.4" x14ac:dyDescent="0.3">
      <c r="A193" s="179">
        <f t="shared" si="2"/>
        <v>22</v>
      </c>
      <c r="B193" s="641" t="s">
        <v>285</v>
      </c>
      <c r="C193" s="641">
        <v>197633824</v>
      </c>
      <c r="D193" s="311" t="s">
        <v>711</v>
      </c>
      <c r="E193" s="311" t="s">
        <v>711</v>
      </c>
      <c r="F193" s="264" t="s">
        <v>4</v>
      </c>
      <c r="G193" s="315" t="s">
        <v>225</v>
      </c>
      <c r="H193" s="1355" t="s">
        <v>853</v>
      </c>
      <c r="I193" s="1365" t="s">
        <v>3591</v>
      </c>
      <c r="J193" s="264" t="s">
        <v>1483</v>
      </c>
      <c r="K193" s="271"/>
      <c r="L193" s="271"/>
    </row>
    <row r="194" spans="1:12" ht="14.4" x14ac:dyDescent="0.3">
      <c r="A194" s="179">
        <f t="shared" si="2"/>
        <v>22</v>
      </c>
      <c r="B194" s="641" t="s">
        <v>420</v>
      </c>
      <c r="C194" s="641">
        <v>198448788</v>
      </c>
      <c r="D194" s="311" t="s">
        <v>711</v>
      </c>
      <c r="E194" s="311" t="s">
        <v>711</v>
      </c>
      <c r="F194" s="264" t="s">
        <v>4</v>
      </c>
      <c r="G194" s="315" t="s">
        <v>107</v>
      </c>
      <c r="H194" s="1355" t="s">
        <v>853</v>
      </c>
      <c r="I194" s="1365" t="s">
        <v>3591</v>
      </c>
      <c r="J194" s="264" t="s">
        <v>1483</v>
      </c>
      <c r="K194" s="271"/>
      <c r="L194" s="271"/>
    </row>
    <row r="195" spans="1:12" ht="14.4" x14ac:dyDescent="0.3">
      <c r="A195" s="179">
        <f t="shared" si="2"/>
        <v>22</v>
      </c>
      <c r="B195" s="642" t="s">
        <v>323</v>
      </c>
      <c r="C195" s="642">
        <v>134920173</v>
      </c>
      <c r="D195" s="313" t="s">
        <v>725</v>
      </c>
      <c r="E195" s="313" t="s">
        <v>725</v>
      </c>
      <c r="F195" s="193" t="s">
        <v>17</v>
      </c>
      <c r="G195" s="314" t="s">
        <v>2652</v>
      </c>
      <c r="H195" s="1357" t="s">
        <v>2</v>
      </c>
      <c r="I195" s="1367" t="s">
        <v>2456</v>
      </c>
      <c r="J195" s="193"/>
      <c r="K195" s="211"/>
      <c r="L195" s="211"/>
    </row>
    <row r="196" spans="1:12" ht="14.4" x14ac:dyDescent="0.3">
      <c r="A196" s="179">
        <f t="shared" si="2"/>
        <v>22</v>
      </c>
      <c r="B196" s="642" t="s">
        <v>562</v>
      </c>
      <c r="C196" s="642">
        <v>126412053</v>
      </c>
      <c r="D196" s="313" t="s">
        <v>700</v>
      </c>
      <c r="E196" s="313" t="s">
        <v>700</v>
      </c>
      <c r="F196" s="193" t="s">
        <v>89</v>
      </c>
      <c r="G196" s="314" t="s">
        <v>114</v>
      </c>
      <c r="H196" s="1357" t="s">
        <v>2</v>
      </c>
      <c r="I196" s="1367" t="s">
        <v>2456</v>
      </c>
      <c r="J196" s="193"/>
      <c r="K196" s="211"/>
      <c r="L196" s="211"/>
    </row>
    <row r="197" spans="1:12" ht="14.4" x14ac:dyDescent="0.3">
      <c r="A197" s="179">
        <f t="shared" si="2"/>
        <v>22</v>
      </c>
      <c r="B197" s="642" t="s">
        <v>307</v>
      </c>
      <c r="C197" s="642">
        <v>160459107</v>
      </c>
      <c r="D197" s="313" t="s">
        <v>700</v>
      </c>
      <c r="E197" s="313" t="s">
        <v>700</v>
      </c>
      <c r="F197" s="193" t="s">
        <v>209</v>
      </c>
      <c r="G197" s="314" t="s">
        <v>62</v>
      </c>
      <c r="H197" s="1357" t="s">
        <v>2</v>
      </c>
      <c r="I197" s="1367" t="s">
        <v>2456</v>
      </c>
      <c r="J197" s="193"/>
      <c r="K197" s="211"/>
      <c r="L197" s="211"/>
    </row>
    <row r="198" spans="1:12" ht="14.4" x14ac:dyDescent="0.3">
      <c r="A198" s="179">
        <f t="shared" si="2"/>
        <v>22</v>
      </c>
      <c r="B198" s="642" t="s">
        <v>451</v>
      </c>
      <c r="C198" s="642">
        <v>171773245</v>
      </c>
      <c r="D198" s="313" t="s">
        <v>700</v>
      </c>
      <c r="E198" s="313" t="s">
        <v>700</v>
      </c>
      <c r="F198" s="193" t="s">
        <v>209</v>
      </c>
      <c r="G198" s="314" t="s">
        <v>238</v>
      </c>
      <c r="H198" s="1357" t="s">
        <v>2</v>
      </c>
      <c r="I198" s="1367" t="s">
        <v>2456</v>
      </c>
      <c r="J198" s="193"/>
      <c r="K198" s="211"/>
      <c r="L198" s="211"/>
    </row>
    <row r="199" spans="1:12" ht="14.4" x14ac:dyDescent="0.3">
      <c r="A199" s="179">
        <f t="shared" si="2"/>
        <v>22</v>
      </c>
      <c r="B199" s="642" t="s">
        <v>453</v>
      </c>
      <c r="C199" s="642">
        <v>176954485</v>
      </c>
      <c r="D199" s="313" t="s">
        <v>700</v>
      </c>
      <c r="E199" s="314" t="s">
        <v>700</v>
      </c>
      <c r="F199" s="193" t="s">
        <v>4</v>
      </c>
      <c r="G199" s="314" t="s">
        <v>2281</v>
      </c>
      <c r="H199" s="1357" t="s">
        <v>2</v>
      </c>
      <c r="I199" s="1367" t="s">
        <v>2456</v>
      </c>
      <c r="J199" s="193" t="s">
        <v>1483</v>
      </c>
      <c r="K199" s="211"/>
      <c r="L199" s="211"/>
    </row>
    <row r="200" spans="1:12" ht="14.4" x14ac:dyDescent="0.3">
      <c r="A200" s="179">
        <f t="shared" si="2"/>
        <v>22</v>
      </c>
      <c r="B200" s="642" t="s">
        <v>362</v>
      </c>
      <c r="C200" s="642">
        <v>205414703</v>
      </c>
      <c r="D200" s="313" t="s">
        <v>700</v>
      </c>
      <c r="E200" s="313" t="s">
        <v>700</v>
      </c>
      <c r="F200" s="193" t="s">
        <v>4</v>
      </c>
      <c r="G200" s="314" t="s">
        <v>2895</v>
      </c>
      <c r="H200" s="1357" t="s">
        <v>2</v>
      </c>
      <c r="I200" s="1367" t="s">
        <v>2456</v>
      </c>
      <c r="J200" s="193"/>
      <c r="K200" s="211"/>
      <c r="L200" s="211"/>
    </row>
    <row r="201" spans="1:12" ht="14.4" x14ac:dyDescent="0.3">
      <c r="A201" s="179">
        <f t="shared" si="2"/>
        <v>22</v>
      </c>
      <c r="B201" s="642" t="s">
        <v>329</v>
      </c>
      <c r="C201" s="642">
        <v>190248534</v>
      </c>
      <c r="D201" s="313" t="s">
        <v>700</v>
      </c>
      <c r="E201" s="313" t="s">
        <v>700</v>
      </c>
      <c r="F201" s="193" t="s">
        <v>4</v>
      </c>
      <c r="G201" s="314" t="s">
        <v>215</v>
      </c>
      <c r="H201" s="1357" t="s">
        <v>2</v>
      </c>
      <c r="I201" s="1367" t="s">
        <v>2456</v>
      </c>
      <c r="J201" s="193"/>
      <c r="K201" s="211"/>
      <c r="L201" s="211"/>
    </row>
    <row r="202" spans="1:12" ht="14.4" x14ac:dyDescent="0.3">
      <c r="A202" s="179">
        <f t="shared" si="2"/>
        <v>22</v>
      </c>
      <c r="B202" s="642" t="s">
        <v>424</v>
      </c>
      <c r="C202" s="642">
        <v>205702962</v>
      </c>
      <c r="D202" s="313" t="s">
        <v>700</v>
      </c>
      <c r="E202" s="313" t="s">
        <v>700</v>
      </c>
      <c r="F202" s="193" t="s">
        <v>4</v>
      </c>
      <c r="G202" s="314" t="s">
        <v>192</v>
      </c>
      <c r="H202" s="1357" t="s">
        <v>2</v>
      </c>
      <c r="I202" s="1367" t="s">
        <v>2456</v>
      </c>
      <c r="J202" s="193"/>
      <c r="K202" s="211"/>
      <c r="L202" s="211"/>
    </row>
    <row r="203" spans="1:12" ht="14.4" x14ac:dyDescent="0.3">
      <c r="A203" s="179">
        <f t="shared" si="2"/>
        <v>22</v>
      </c>
      <c r="B203" s="642" t="s">
        <v>396</v>
      </c>
      <c r="C203" s="642">
        <v>202696503</v>
      </c>
      <c r="D203" s="313" t="s">
        <v>700</v>
      </c>
      <c r="E203" s="313" t="s">
        <v>700</v>
      </c>
      <c r="F203" s="932" t="s">
        <v>4</v>
      </c>
      <c r="G203" s="314" t="s">
        <v>256</v>
      </c>
      <c r="H203" s="1357" t="s">
        <v>2</v>
      </c>
      <c r="I203" s="1367" t="s">
        <v>2456</v>
      </c>
      <c r="J203" s="193"/>
      <c r="K203" s="211"/>
      <c r="L203" s="211"/>
    </row>
    <row r="204" spans="1:12" ht="26.4" x14ac:dyDescent="0.3">
      <c r="A204" s="179">
        <f t="shared" si="2"/>
        <v>22</v>
      </c>
      <c r="B204" s="640" t="s">
        <v>683</v>
      </c>
      <c r="C204" s="640" t="s">
        <v>533</v>
      </c>
      <c r="D204" s="715" t="s">
        <v>716</v>
      </c>
      <c r="E204" s="317" t="s">
        <v>745</v>
      </c>
      <c r="F204" s="266" t="s">
        <v>89</v>
      </c>
      <c r="G204" s="317" t="s">
        <v>1600</v>
      </c>
      <c r="H204" s="1354" t="s">
        <v>2</v>
      </c>
      <c r="I204" s="1364" t="s">
        <v>2049</v>
      </c>
      <c r="J204" s="266" t="s">
        <v>3360</v>
      </c>
      <c r="K204" s="268"/>
      <c r="L204" s="268"/>
    </row>
    <row r="205" spans="1:12" ht="14.4" x14ac:dyDescent="0.3">
      <c r="A205" s="179">
        <f t="shared" ref="A205:A268" si="3">IF(G205&lt;&gt;"",22,0)</f>
        <v>22</v>
      </c>
      <c r="B205" s="640" t="s">
        <v>387</v>
      </c>
      <c r="C205" s="640">
        <v>153746427</v>
      </c>
      <c r="D205" s="310" t="s">
        <v>716</v>
      </c>
      <c r="E205" s="310" t="s">
        <v>716</v>
      </c>
      <c r="F205" s="266" t="s">
        <v>209</v>
      </c>
      <c r="G205" s="317" t="s">
        <v>2278</v>
      </c>
      <c r="H205" s="1354" t="s">
        <v>2</v>
      </c>
      <c r="I205" s="1364" t="s">
        <v>2049</v>
      </c>
      <c r="J205" s="266"/>
      <c r="K205" s="268"/>
      <c r="L205" s="268"/>
    </row>
    <row r="206" spans="1:12" ht="14.4" x14ac:dyDescent="0.3">
      <c r="A206" s="179">
        <f t="shared" si="3"/>
        <v>22</v>
      </c>
      <c r="B206" s="640" t="s">
        <v>1709</v>
      </c>
      <c r="C206" s="640">
        <v>159882322</v>
      </c>
      <c r="D206" s="310" t="s">
        <v>716</v>
      </c>
      <c r="E206" s="310" t="s">
        <v>716</v>
      </c>
      <c r="F206" s="929" t="s">
        <v>209</v>
      </c>
      <c r="G206" s="317" t="s">
        <v>2541</v>
      </c>
      <c r="H206" s="1354" t="s">
        <v>2</v>
      </c>
      <c r="I206" s="1364" t="s">
        <v>2049</v>
      </c>
      <c r="J206" s="266"/>
      <c r="K206" s="268"/>
      <c r="L206" s="268"/>
    </row>
    <row r="207" spans="1:12" ht="14.4" x14ac:dyDescent="0.3">
      <c r="A207" s="179">
        <f t="shared" si="3"/>
        <v>22</v>
      </c>
      <c r="B207" s="640" t="s">
        <v>1711</v>
      </c>
      <c r="C207" s="640">
        <v>182303119</v>
      </c>
      <c r="D207" s="310" t="s">
        <v>716</v>
      </c>
      <c r="E207" s="317" t="s">
        <v>716</v>
      </c>
      <c r="F207" s="929" t="s">
        <v>3</v>
      </c>
      <c r="G207" s="317" t="s">
        <v>1712</v>
      </c>
      <c r="H207" s="1354" t="s">
        <v>2</v>
      </c>
      <c r="I207" s="1364" t="s">
        <v>2049</v>
      </c>
      <c r="J207" s="266"/>
      <c r="K207" s="268"/>
      <c r="L207" s="268"/>
    </row>
    <row r="208" spans="1:12" ht="14.4" x14ac:dyDescent="0.3">
      <c r="A208" s="179">
        <f t="shared" si="3"/>
        <v>22</v>
      </c>
      <c r="B208" s="640" t="s">
        <v>487</v>
      </c>
      <c r="C208" s="640">
        <v>198240702</v>
      </c>
      <c r="D208" s="310" t="s">
        <v>716</v>
      </c>
      <c r="E208" s="317" t="s">
        <v>716</v>
      </c>
      <c r="F208" s="266" t="s">
        <v>4</v>
      </c>
      <c r="G208" s="317" t="s">
        <v>2279</v>
      </c>
      <c r="H208" s="1354" t="s">
        <v>2</v>
      </c>
      <c r="I208" s="1364" t="s">
        <v>2049</v>
      </c>
      <c r="J208" s="266"/>
      <c r="K208" s="268"/>
      <c r="L208" s="268"/>
    </row>
    <row r="209" spans="1:12" ht="14.4" x14ac:dyDescent="0.3">
      <c r="A209" s="179">
        <f t="shared" si="3"/>
        <v>22</v>
      </c>
      <c r="B209" s="640" t="s">
        <v>292</v>
      </c>
      <c r="C209" s="640">
        <v>193923305</v>
      </c>
      <c r="D209" s="310" t="s">
        <v>716</v>
      </c>
      <c r="E209" s="317" t="s">
        <v>716</v>
      </c>
      <c r="F209" s="266" t="s">
        <v>4</v>
      </c>
      <c r="G209" s="317" t="s">
        <v>165</v>
      </c>
      <c r="H209" s="1354" t="s">
        <v>2</v>
      </c>
      <c r="I209" s="1364" t="s">
        <v>2049</v>
      </c>
      <c r="J209" s="266"/>
      <c r="K209" s="268"/>
      <c r="L209" s="268"/>
    </row>
    <row r="210" spans="1:12" ht="14.4" x14ac:dyDescent="0.3">
      <c r="A210" s="179">
        <f t="shared" si="3"/>
        <v>22</v>
      </c>
      <c r="B210" s="640" t="s">
        <v>376</v>
      </c>
      <c r="C210" s="640">
        <v>196654917</v>
      </c>
      <c r="D210" s="310" t="s">
        <v>716</v>
      </c>
      <c r="E210" s="310" t="s">
        <v>716</v>
      </c>
      <c r="F210" s="266" t="s">
        <v>4</v>
      </c>
      <c r="G210" s="317" t="s">
        <v>161</v>
      </c>
      <c r="H210" s="1354" t="s">
        <v>2</v>
      </c>
      <c r="I210" s="1364" t="s">
        <v>2049</v>
      </c>
      <c r="J210" s="266"/>
      <c r="K210" s="268"/>
      <c r="L210" s="268"/>
    </row>
    <row r="211" spans="1:12" ht="14.4" x14ac:dyDescent="0.3">
      <c r="A211" s="179">
        <f t="shared" si="3"/>
        <v>22</v>
      </c>
      <c r="B211" s="640" t="s">
        <v>325</v>
      </c>
      <c r="C211" s="640">
        <v>186540859</v>
      </c>
      <c r="D211" s="310" t="s">
        <v>716</v>
      </c>
      <c r="E211" s="310" t="s">
        <v>716</v>
      </c>
      <c r="F211" s="266" t="s">
        <v>4</v>
      </c>
      <c r="G211" s="317" t="s">
        <v>156</v>
      </c>
      <c r="H211" s="1354" t="s">
        <v>2</v>
      </c>
      <c r="I211" s="1364" t="s">
        <v>2049</v>
      </c>
      <c r="J211" s="266"/>
      <c r="K211" s="268"/>
      <c r="L211" s="268"/>
    </row>
    <row r="212" spans="1:12" ht="14.4" x14ac:dyDescent="0.3">
      <c r="A212" s="179">
        <f t="shared" si="3"/>
        <v>22</v>
      </c>
      <c r="B212" s="643" t="s">
        <v>442</v>
      </c>
      <c r="C212" s="643">
        <v>142559439</v>
      </c>
      <c r="D212" s="316" t="s">
        <v>741</v>
      </c>
      <c r="E212" s="316" t="s">
        <v>741</v>
      </c>
      <c r="F212" s="265" t="s">
        <v>17</v>
      </c>
      <c r="G212" s="316" t="s">
        <v>59</v>
      </c>
      <c r="H212" s="1356" t="s">
        <v>2</v>
      </c>
      <c r="I212" s="1366" t="s">
        <v>2372</v>
      </c>
      <c r="J212" s="265"/>
      <c r="K212" s="270"/>
      <c r="L212" s="270"/>
    </row>
    <row r="213" spans="1:12" ht="14.4" x14ac:dyDescent="0.3">
      <c r="A213" s="179">
        <f t="shared" si="3"/>
        <v>22</v>
      </c>
      <c r="B213" s="643" t="s">
        <v>2251</v>
      </c>
      <c r="C213" s="643" t="s">
        <v>2252</v>
      </c>
      <c r="D213" s="312" t="s">
        <v>752</v>
      </c>
      <c r="E213" s="316" t="s">
        <v>752</v>
      </c>
      <c r="F213" s="931" t="s">
        <v>209</v>
      </c>
      <c r="G213" s="316" t="s">
        <v>2627</v>
      </c>
      <c r="H213" s="1356" t="s">
        <v>2</v>
      </c>
      <c r="I213" s="1366" t="s">
        <v>2372</v>
      </c>
      <c r="J213" s="265"/>
      <c r="K213" s="270"/>
      <c r="L213" s="270"/>
    </row>
    <row r="214" spans="1:12" ht="14.4" x14ac:dyDescent="0.3">
      <c r="A214" s="179">
        <f t="shared" si="3"/>
        <v>22</v>
      </c>
      <c r="B214" s="643" t="s">
        <v>653</v>
      </c>
      <c r="C214" s="643">
        <v>185901262</v>
      </c>
      <c r="D214" s="312" t="s">
        <v>752</v>
      </c>
      <c r="E214" s="312" t="s">
        <v>752</v>
      </c>
      <c r="F214" s="265" t="s">
        <v>3</v>
      </c>
      <c r="G214" s="316" t="s">
        <v>2280</v>
      </c>
      <c r="H214" s="1356" t="s">
        <v>2</v>
      </c>
      <c r="I214" s="1366" t="s">
        <v>2372</v>
      </c>
      <c r="J214" s="265" t="s">
        <v>1483</v>
      </c>
      <c r="K214" s="270"/>
      <c r="L214" s="270"/>
    </row>
    <row r="215" spans="1:12" ht="14.4" x14ac:dyDescent="0.3">
      <c r="A215" s="179">
        <f t="shared" si="3"/>
        <v>22</v>
      </c>
      <c r="B215" s="643" t="s">
        <v>273</v>
      </c>
      <c r="C215" s="643" t="s">
        <v>274</v>
      </c>
      <c r="D215" s="312" t="s">
        <v>752</v>
      </c>
      <c r="E215" s="316" t="s">
        <v>752</v>
      </c>
      <c r="F215" s="265" t="s">
        <v>4</v>
      </c>
      <c r="G215" s="316" t="s">
        <v>164</v>
      </c>
      <c r="H215" s="1356" t="s">
        <v>2</v>
      </c>
      <c r="I215" s="1366" t="s">
        <v>2372</v>
      </c>
      <c r="J215" s="265"/>
      <c r="K215" s="270">
        <v>45373</v>
      </c>
      <c r="L215" s="270">
        <v>45432</v>
      </c>
    </row>
    <row r="216" spans="1:12" ht="14.4" x14ac:dyDescent="0.3">
      <c r="A216" s="179">
        <f t="shared" si="3"/>
        <v>22</v>
      </c>
      <c r="B216" s="643" t="s">
        <v>464</v>
      </c>
      <c r="C216" s="643">
        <v>187186498</v>
      </c>
      <c r="D216" s="312" t="s">
        <v>752</v>
      </c>
      <c r="E216" s="312" t="s">
        <v>752</v>
      </c>
      <c r="F216" s="265" t="s">
        <v>4</v>
      </c>
      <c r="G216" s="316" t="s">
        <v>266</v>
      </c>
      <c r="H216" s="1356" t="s">
        <v>2</v>
      </c>
      <c r="I216" s="1366" t="s">
        <v>2372</v>
      </c>
      <c r="J216" s="265"/>
      <c r="K216" s="270"/>
      <c r="L216" s="270"/>
    </row>
    <row r="217" spans="1:12" ht="14.4" x14ac:dyDescent="0.3">
      <c r="A217" s="179">
        <f t="shared" si="3"/>
        <v>22</v>
      </c>
      <c r="B217" s="643" t="s">
        <v>282</v>
      </c>
      <c r="C217" s="643" t="s">
        <v>283</v>
      </c>
      <c r="D217" s="312" t="s">
        <v>752</v>
      </c>
      <c r="E217" s="312" t="s">
        <v>752</v>
      </c>
      <c r="F217" s="265" t="s">
        <v>4</v>
      </c>
      <c r="G217" s="316" t="s">
        <v>204</v>
      </c>
      <c r="H217" s="1356" t="s">
        <v>2</v>
      </c>
      <c r="I217" s="1366" t="s">
        <v>2372</v>
      </c>
      <c r="J217" s="265"/>
      <c r="K217" s="270"/>
      <c r="L217" s="270"/>
    </row>
    <row r="218" spans="1:12" ht="14.4" x14ac:dyDescent="0.3">
      <c r="A218" s="179">
        <f t="shared" si="3"/>
        <v>22</v>
      </c>
      <c r="B218" s="643" t="s">
        <v>379</v>
      </c>
      <c r="C218" s="643">
        <v>186201353</v>
      </c>
      <c r="D218" s="312" t="s">
        <v>752</v>
      </c>
      <c r="E218" s="316" t="s">
        <v>752</v>
      </c>
      <c r="F218" s="265" t="s">
        <v>4</v>
      </c>
      <c r="G218" s="316" t="s">
        <v>201</v>
      </c>
      <c r="H218" s="1356" t="s">
        <v>2</v>
      </c>
      <c r="I218" s="1366" t="s">
        <v>2372</v>
      </c>
      <c r="J218" s="265"/>
      <c r="K218" s="270"/>
      <c r="L218" s="270"/>
    </row>
    <row r="219" spans="1:12" ht="14.4" x14ac:dyDescent="0.3">
      <c r="A219" s="179">
        <f t="shared" si="3"/>
        <v>22</v>
      </c>
      <c r="B219" s="639" t="s">
        <v>457</v>
      </c>
      <c r="C219" s="639" t="s">
        <v>458</v>
      </c>
      <c r="D219" s="715" t="s">
        <v>731</v>
      </c>
      <c r="E219" s="309" t="s">
        <v>732</v>
      </c>
      <c r="F219" s="928" t="s">
        <v>89</v>
      </c>
      <c r="G219" s="308" t="s">
        <v>36</v>
      </c>
      <c r="H219" s="1353" t="s">
        <v>855</v>
      </c>
      <c r="I219" s="1363" t="s">
        <v>1220</v>
      </c>
      <c r="J219" s="263"/>
      <c r="K219" s="269"/>
      <c r="L219" s="269"/>
    </row>
    <row r="220" spans="1:12" ht="14.4" x14ac:dyDescent="0.3">
      <c r="A220" s="179">
        <f t="shared" si="3"/>
        <v>22</v>
      </c>
      <c r="B220" s="639" t="s">
        <v>443</v>
      </c>
      <c r="C220" s="639">
        <v>151724426</v>
      </c>
      <c r="D220" s="309" t="s">
        <v>731</v>
      </c>
      <c r="E220" s="309" t="s">
        <v>731</v>
      </c>
      <c r="F220" s="928" t="s">
        <v>209</v>
      </c>
      <c r="G220" s="308" t="s">
        <v>2508</v>
      </c>
      <c r="H220" s="1353" t="s">
        <v>855</v>
      </c>
      <c r="I220" s="1363" t="s">
        <v>1220</v>
      </c>
      <c r="J220" s="263"/>
      <c r="K220" s="269"/>
      <c r="L220" s="269"/>
    </row>
    <row r="221" spans="1:12" ht="14.4" x14ac:dyDescent="0.3">
      <c r="A221" s="179">
        <f t="shared" si="3"/>
        <v>22</v>
      </c>
      <c r="B221" s="639" t="s">
        <v>382</v>
      </c>
      <c r="C221" s="639">
        <v>139405595</v>
      </c>
      <c r="D221" s="309" t="s">
        <v>731</v>
      </c>
      <c r="E221" s="308" t="s">
        <v>731</v>
      </c>
      <c r="F221" s="928" t="s">
        <v>209</v>
      </c>
      <c r="G221" s="308" t="s">
        <v>1882</v>
      </c>
      <c r="H221" s="1353" t="s">
        <v>855</v>
      </c>
      <c r="I221" s="1363" t="s">
        <v>1220</v>
      </c>
      <c r="J221" s="263"/>
      <c r="K221" s="269"/>
      <c r="L221" s="269"/>
    </row>
    <row r="222" spans="1:12" ht="14.4" x14ac:dyDescent="0.3">
      <c r="A222" s="179">
        <f t="shared" si="3"/>
        <v>22</v>
      </c>
      <c r="B222" s="639" t="s">
        <v>484</v>
      </c>
      <c r="C222" s="639">
        <v>160606126</v>
      </c>
      <c r="D222" s="309" t="s">
        <v>731</v>
      </c>
      <c r="E222" s="308" t="s">
        <v>731</v>
      </c>
      <c r="F222" s="263" t="s">
        <v>209</v>
      </c>
      <c r="G222" s="308" t="s">
        <v>2526</v>
      </c>
      <c r="H222" s="1353" t="s">
        <v>855</v>
      </c>
      <c r="I222" s="1363" t="s">
        <v>1220</v>
      </c>
      <c r="J222" s="263" t="s">
        <v>1483</v>
      </c>
      <c r="K222" s="269"/>
      <c r="L222" s="269"/>
    </row>
    <row r="223" spans="1:12" ht="14.4" x14ac:dyDescent="0.3">
      <c r="A223" s="179">
        <f t="shared" si="3"/>
        <v>22</v>
      </c>
      <c r="B223" s="639" t="s">
        <v>2360</v>
      </c>
      <c r="C223" s="639" t="s">
        <v>2362</v>
      </c>
      <c r="D223" s="309" t="s">
        <v>731</v>
      </c>
      <c r="E223" s="308" t="s">
        <v>731</v>
      </c>
      <c r="F223" s="928" t="s">
        <v>3</v>
      </c>
      <c r="G223" s="308" t="s">
        <v>2361</v>
      </c>
      <c r="H223" s="1353" t="s">
        <v>855</v>
      </c>
      <c r="I223" s="1363" t="s">
        <v>1220</v>
      </c>
      <c r="J223" s="263"/>
      <c r="K223" s="748"/>
      <c r="L223" s="748"/>
    </row>
    <row r="224" spans="1:12" ht="14.4" x14ac:dyDescent="0.3">
      <c r="A224" s="179">
        <f t="shared" si="3"/>
        <v>22</v>
      </c>
      <c r="B224" s="639" t="s">
        <v>2182</v>
      </c>
      <c r="C224" s="639" t="s">
        <v>2183</v>
      </c>
      <c r="D224" s="309" t="s">
        <v>731</v>
      </c>
      <c r="E224" s="308" t="s">
        <v>731</v>
      </c>
      <c r="F224" s="928" t="s">
        <v>3</v>
      </c>
      <c r="G224" s="308" t="s">
        <v>2184</v>
      </c>
      <c r="H224" s="1353" t="s">
        <v>855</v>
      </c>
      <c r="I224" s="1363" t="s">
        <v>1220</v>
      </c>
      <c r="J224" s="263"/>
      <c r="K224" s="269"/>
      <c r="L224" s="269"/>
    </row>
    <row r="225" spans="1:12" ht="14.4" x14ac:dyDescent="0.3">
      <c r="A225" s="179">
        <f t="shared" si="3"/>
        <v>22</v>
      </c>
      <c r="B225" s="639" t="s">
        <v>430</v>
      </c>
      <c r="C225" s="639">
        <v>173613350</v>
      </c>
      <c r="D225" s="308" t="s">
        <v>731</v>
      </c>
      <c r="E225" s="308" t="s">
        <v>731</v>
      </c>
      <c r="F225" s="263" t="s">
        <v>3</v>
      </c>
      <c r="G225" s="308" t="s">
        <v>29</v>
      </c>
      <c r="H225" s="1353" t="s">
        <v>855</v>
      </c>
      <c r="I225" s="1363" t="s">
        <v>1220</v>
      </c>
      <c r="J225" s="263"/>
      <c r="K225" s="269"/>
      <c r="L225" s="269"/>
    </row>
    <row r="226" spans="1:12" ht="14.4" x14ac:dyDescent="0.3">
      <c r="A226" s="179">
        <f t="shared" si="3"/>
        <v>22</v>
      </c>
      <c r="B226" s="639" t="s">
        <v>2344</v>
      </c>
      <c r="C226" s="639" t="s">
        <v>2345</v>
      </c>
      <c r="D226" s="309" t="s">
        <v>731</v>
      </c>
      <c r="E226" s="308" t="s">
        <v>731</v>
      </c>
      <c r="F226" s="928" t="s">
        <v>4</v>
      </c>
      <c r="G226" s="308" t="s">
        <v>2346</v>
      </c>
      <c r="H226" s="1353" t="s">
        <v>855</v>
      </c>
      <c r="I226" s="1363" t="s">
        <v>1220</v>
      </c>
      <c r="J226" s="263"/>
      <c r="K226" s="748">
        <v>45384</v>
      </c>
      <c r="L226" s="748"/>
    </row>
    <row r="227" spans="1:12" ht="14.4" x14ac:dyDescent="0.3">
      <c r="A227" s="179">
        <f t="shared" si="3"/>
        <v>22</v>
      </c>
      <c r="B227" s="639" t="s">
        <v>586</v>
      </c>
      <c r="C227" s="639">
        <v>186251113</v>
      </c>
      <c r="D227" s="309" t="s">
        <v>731</v>
      </c>
      <c r="E227" s="308" t="s">
        <v>731</v>
      </c>
      <c r="F227" s="263" t="s">
        <v>4</v>
      </c>
      <c r="G227" s="308" t="s">
        <v>139</v>
      </c>
      <c r="H227" s="1353" t="s">
        <v>855</v>
      </c>
      <c r="I227" s="1363" t="s">
        <v>1220</v>
      </c>
      <c r="J227" s="263"/>
      <c r="K227" s="269"/>
      <c r="L227" s="269"/>
    </row>
    <row r="228" spans="1:12" ht="26.4" x14ac:dyDescent="0.3">
      <c r="A228" s="179">
        <f t="shared" si="3"/>
        <v>22</v>
      </c>
      <c r="B228" s="641" t="s">
        <v>509</v>
      </c>
      <c r="C228" s="641">
        <v>137934833</v>
      </c>
      <c r="D228" s="315" t="s">
        <v>753</v>
      </c>
      <c r="E228" s="315" t="s">
        <v>753</v>
      </c>
      <c r="F228" s="264" t="s">
        <v>17</v>
      </c>
      <c r="G228" s="315" t="s">
        <v>2502</v>
      </c>
      <c r="H228" s="1355" t="s">
        <v>855</v>
      </c>
      <c r="I228" s="1365" t="s">
        <v>1220</v>
      </c>
      <c r="J228" s="264"/>
      <c r="K228" s="271"/>
      <c r="L228" s="271"/>
    </row>
    <row r="229" spans="1:12" ht="14.4" x14ac:dyDescent="0.3">
      <c r="A229" s="179">
        <f t="shared" si="3"/>
        <v>22</v>
      </c>
      <c r="B229" s="641" t="s">
        <v>446</v>
      </c>
      <c r="C229" s="641">
        <v>155421304</v>
      </c>
      <c r="D229" s="311" t="s">
        <v>717</v>
      </c>
      <c r="E229" s="315" t="s">
        <v>717</v>
      </c>
      <c r="F229" s="930" t="s">
        <v>209</v>
      </c>
      <c r="G229" s="315" t="s">
        <v>214</v>
      </c>
      <c r="H229" s="1355" t="s">
        <v>855</v>
      </c>
      <c r="I229" s="1365" t="s">
        <v>1220</v>
      </c>
      <c r="J229" s="264"/>
      <c r="K229" s="271"/>
      <c r="L229" s="271"/>
    </row>
    <row r="230" spans="1:12" ht="26.4" x14ac:dyDescent="0.3">
      <c r="A230" s="179">
        <f t="shared" si="3"/>
        <v>22</v>
      </c>
      <c r="B230" s="641" t="s">
        <v>2023</v>
      </c>
      <c r="C230" s="641" t="s">
        <v>2024</v>
      </c>
      <c r="D230" s="311" t="s">
        <v>717</v>
      </c>
      <c r="E230" s="315" t="s">
        <v>717</v>
      </c>
      <c r="F230" s="930" t="s">
        <v>209</v>
      </c>
      <c r="G230" s="315" t="s">
        <v>2511</v>
      </c>
      <c r="H230" s="1355" t="s">
        <v>855</v>
      </c>
      <c r="I230" s="1365" t="s">
        <v>1220</v>
      </c>
      <c r="J230" s="264" t="s">
        <v>3543</v>
      </c>
      <c r="K230" s="271"/>
      <c r="L230" s="271"/>
    </row>
    <row r="231" spans="1:12" ht="66" x14ac:dyDescent="0.3">
      <c r="A231" s="179">
        <f t="shared" si="3"/>
        <v>22</v>
      </c>
      <c r="B231" s="641" t="s">
        <v>2366</v>
      </c>
      <c r="C231" s="641" t="s">
        <v>2367</v>
      </c>
      <c r="D231" s="315" t="s">
        <v>717</v>
      </c>
      <c r="E231" s="315" t="s">
        <v>717</v>
      </c>
      <c r="F231" s="264" t="s">
        <v>3</v>
      </c>
      <c r="G231" s="315" t="s">
        <v>2669</v>
      </c>
      <c r="H231" s="1355" t="s">
        <v>855</v>
      </c>
      <c r="I231" s="1365" t="s">
        <v>1220</v>
      </c>
      <c r="J231" s="264" t="s">
        <v>3544</v>
      </c>
      <c r="K231" s="271"/>
      <c r="L231" s="271"/>
    </row>
    <row r="232" spans="1:12" ht="26.4" x14ac:dyDescent="0.3">
      <c r="A232" s="179">
        <f t="shared" si="3"/>
        <v>22</v>
      </c>
      <c r="B232" s="641" t="s">
        <v>436</v>
      </c>
      <c r="C232" s="641">
        <v>193809979</v>
      </c>
      <c r="D232" s="311" t="s">
        <v>717</v>
      </c>
      <c r="E232" s="311" t="s">
        <v>717</v>
      </c>
      <c r="F232" s="264" t="s">
        <v>4</v>
      </c>
      <c r="G232" s="315" t="s">
        <v>3301</v>
      </c>
      <c r="H232" s="1355" t="s">
        <v>855</v>
      </c>
      <c r="I232" s="1365" t="s">
        <v>1220</v>
      </c>
      <c r="J232" s="264" t="s">
        <v>3412</v>
      </c>
      <c r="K232" s="271"/>
      <c r="L232" s="271"/>
    </row>
    <row r="233" spans="1:12" ht="52.8" x14ac:dyDescent="0.3">
      <c r="A233" s="179">
        <f t="shared" si="3"/>
        <v>22</v>
      </c>
      <c r="B233" s="641" t="s">
        <v>365</v>
      </c>
      <c r="C233" s="641">
        <v>187195047</v>
      </c>
      <c r="D233" s="311" t="s">
        <v>717</v>
      </c>
      <c r="E233" s="311" t="s">
        <v>717</v>
      </c>
      <c r="F233" s="264" t="s">
        <v>4</v>
      </c>
      <c r="G233" s="315" t="s">
        <v>63</v>
      </c>
      <c r="H233" s="1355" t="s">
        <v>855</v>
      </c>
      <c r="I233" s="1365" t="s">
        <v>1220</v>
      </c>
      <c r="J233" s="264" t="s">
        <v>3321</v>
      </c>
      <c r="K233" s="271"/>
      <c r="L233" s="271"/>
    </row>
    <row r="234" spans="1:12" ht="14.4" x14ac:dyDescent="0.3">
      <c r="A234" s="179">
        <f t="shared" si="3"/>
        <v>22</v>
      </c>
      <c r="B234" s="641" t="s">
        <v>2188</v>
      </c>
      <c r="C234" s="641" t="s">
        <v>2189</v>
      </c>
      <c r="D234" s="311" t="s">
        <v>717</v>
      </c>
      <c r="E234" s="315" t="s">
        <v>717</v>
      </c>
      <c r="F234" s="930" t="s">
        <v>14</v>
      </c>
      <c r="G234" s="315" t="s">
        <v>2190</v>
      </c>
      <c r="H234" s="1355" t="s">
        <v>855</v>
      </c>
      <c r="I234" s="1365" t="s">
        <v>1220</v>
      </c>
      <c r="J234" s="264"/>
      <c r="K234" s="271"/>
      <c r="L234" s="271"/>
    </row>
    <row r="235" spans="1:12" ht="14.4" x14ac:dyDescent="0.3">
      <c r="A235" s="179">
        <f t="shared" si="3"/>
        <v>22</v>
      </c>
      <c r="B235" s="642" t="s">
        <v>434</v>
      </c>
      <c r="C235" s="642">
        <v>157680536</v>
      </c>
      <c r="D235" s="313" t="s">
        <v>755</v>
      </c>
      <c r="E235" s="314" t="s">
        <v>755</v>
      </c>
      <c r="F235" s="193" t="s">
        <v>17</v>
      </c>
      <c r="G235" s="314" t="s">
        <v>2516</v>
      </c>
      <c r="H235" s="1357" t="s">
        <v>855</v>
      </c>
      <c r="I235" s="1367" t="s">
        <v>1220</v>
      </c>
      <c r="J235" s="193"/>
      <c r="K235" s="211"/>
      <c r="L235" s="211"/>
    </row>
    <row r="236" spans="1:12" ht="14.4" x14ac:dyDescent="0.3">
      <c r="A236" s="179">
        <f t="shared" si="3"/>
        <v>22</v>
      </c>
      <c r="B236" s="642" t="s">
        <v>642</v>
      </c>
      <c r="C236" s="642">
        <v>135066745</v>
      </c>
      <c r="D236" s="313" t="s">
        <v>703</v>
      </c>
      <c r="E236" s="314" t="s">
        <v>703</v>
      </c>
      <c r="F236" s="932" t="s">
        <v>89</v>
      </c>
      <c r="G236" s="314" t="s">
        <v>2528</v>
      </c>
      <c r="H236" s="1357" t="s">
        <v>855</v>
      </c>
      <c r="I236" s="1367" t="s">
        <v>1220</v>
      </c>
      <c r="J236" s="193" t="s">
        <v>1483</v>
      </c>
      <c r="K236" s="211"/>
      <c r="L236" s="211"/>
    </row>
    <row r="237" spans="1:12" ht="14.4" x14ac:dyDescent="0.3">
      <c r="A237" s="179">
        <f t="shared" si="3"/>
        <v>22</v>
      </c>
      <c r="B237" s="642" t="s">
        <v>530</v>
      </c>
      <c r="C237" s="642">
        <v>155688203</v>
      </c>
      <c r="D237" s="313" t="s">
        <v>703</v>
      </c>
      <c r="E237" s="313" t="s">
        <v>703</v>
      </c>
      <c r="F237" s="932" t="s">
        <v>209</v>
      </c>
      <c r="G237" s="314" t="s">
        <v>44</v>
      </c>
      <c r="H237" s="1357" t="s">
        <v>855</v>
      </c>
      <c r="I237" s="1367" t="s">
        <v>1220</v>
      </c>
      <c r="J237" s="193"/>
      <c r="K237" s="211"/>
      <c r="L237" s="211"/>
    </row>
    <row r="238" spans="1:12" ht="14.4" x14ac:dyDescent="0.3">
      <c r="A238" s="179">
        <f t="shared" si="3"/>
        <v>22</v>
      </c>
      <c r="B238" s="642" t="s">
        <v>450</v>
      </c>
      <c r="C238" s="642">
        <v>158448831</v>
      </c>
      <c r="D238" s="313" t="s">
        <v>703</v>
      </c>
      <c r="E238" s="313" t="s">
        <v>703</v>
      </c>
      <c r="F238" s="932" t="s">
        <v>209</v>
      </c>
      <c r="G238" s="314" t="s">
        <v>175</v>
      </c>
      <c r="H238" s="1357" t="s">
        <v>855</v>
      </c>
      <c r="I238" s="1367" t="s">
        <v>1220</v>
      </c>
      <c r="J238" s="193" t="s">
        <v>1483</v>
      </c>
      <c r="K238" s="211"/>
      <c r="L238" s="211"/>
    </row>
    <row r="239" spans="1:12" ht="14.4" x14ac:dyDescent="0.3">
      <c r="A239" s="179">
        <f t="shared" si="3"/>
        <v>22</v>
      </c>
      <c r="B239" s="642" t="s">
        <v>355</v>
      </c>
      <c r="C239" s="642">
        <v>176478608</v>
      </c>
      <c r="D239" s="313" t="s">
        <v>703</v>
      </c>
      <c r="E239" s="314" t="s">
        <v>703</v>
      </c>
      <c r="F239" s="193" t="s">
        <v>4</v>
      </c>
      <c r="G239" s="314" t="s">
        <v>123</v>
      </c>
      <c r="H239" s="1357" t="s">
        <v>855</v>
      </c>
      <c r="I239" s="1367" t="s">
        <v>1220</v>
      </c>
      <c r="J239" s="193"/>
      <c r="K239" s="211"/>
      <c r="L239" s="211"/>
    </row>
    <row r="240" spans="1:12" ht="14.4" x14ac:dyDescent="0.3">
      <c r="A240" s="179">
        <f t="shared" si="3"/>
        <v>22</v>
      </c>
      <c r="B240" s="642" t="s">
        <v>348</v>
      </c>
      <c r="C240" s="642">
        <v>182166197</v>
      </c>
      <c r="D240" s="313" t="s">
        <v>703</v>
      </c>
      <c r="E240" s="313" t="s">
        <v>703</v>
      </c>
      <c r="F240" s="193" t="s">
        <v>4</v>
      </c>
      <c r="G240" s="314" t="s">
        <v>2283</v>
      </c>
      <c r="H240" s="1357" t="s">
        <v>855</v>
      </c>
      <c r="I240" s="1367" t="s">
        <v>1220</v>
      </c>
      <c r="J240" s="193"/>
      <c r="K240" s="211"/>
      <c r="L240" s="211"/>
    </row>
    <row r="241" spans="1:12" ht="14.4" x14ac:dyDescent="0.3">
      <c r="A241" s="179">
        <f t="shared" si="3"/>
        <v>22</v>
      </c>
      <c r="B241" s="642" t="s">
        <v>677</v>
      </c>
      <c r="C241" s="642">
        <v>194226551</v>
      </c>
      <c r="D241" s="314" t="s">
        <v>703</v>
      </c>
      <c r="E241" s="314" t="s">
        <v>703</v>
      </c>
      <c r="F241" s="193" t="s">
        <v>4</v>
      </c>
      <c r="G241" s="314" t="s">
        <v>126</v>
      </c>
      <c r="H241" s="1357" t="s">
        <v>855</v>
      </c>
      <c r="I241" s="1367" t="s">
        <v>1220</v>
      </c>
      <c r="J241" s="193"/>
      <c r="K241" s="211"/>
      <c r="L241" s="211"/>
    </row>
    <row r="242" spans="1:12" ht="14.4" x14ac:dyDescent="0.3">
      <c r="A242" s="179">
        <f t="shared" si="3"/>
        <v>22</v>
      </c>
      <c r="B242" s="642" t="s">
        <v>590</v>
      </c>
      <c r="C242" s="642">
        <v>192782120</v>
      </c>
      <c r="D242" s="313" t="s">
        <v>703</v>
      </c>
      <c r="E242" s="314" t="s">
        <v>703</v>
      </c>
      <c r="F242" s="193" t="s">
        <v>14</v>
      </c>
      <c r="G242" s="314" t="s">
        <v>268</v>
      </c>
      <c r="H242" s="1357" t="s">
        <v>855</v>
      </c>
      <c r="I242" s="1367" t="s">
        <v>1220</v>
      </c>
      <c r="J242" s="193"/>
      <c r="K242" s="211"/>
      <c r="L242" s="211"/>
    </row>
    <row r="243" spans="1:12" ht="14.4" x14ac:dyDescent="0.3">
      <c r="A243" s="179">
        <f t="shared" si="3"/>
        <v>22</v>
      </c>
      <c r="B243" s="642" t="s">
        <v>346</v>
      </c>
      <c r="C243" s="642">
        <v>188056555</v>
      </c>
      <c r="D243" s="313" t="s">
        <v>703</v>
      </c>
      <c r="E243" s="313" t="s">
        <v>703</v>
      </c>
      <c r="F243" s="193" t="s">
        <v>14</v>
      </c>
      <c r="G243" s="314" t="s">
        <v>3041</v>
      </c>
      <c r="H243" s="1357" t="s">
        <v>855</v>
      </c>
      <c r="I243" s="1367" t="s">
        <v>1220</v>
      </c>
      <c r="J243" s="193" t="s">
        <v>1483</v>
      </c>
      <c r="K243" s="211"/>
      <c r="L243" s="211"/>
    </row>
    <row r="244" spans="1:12" ht="14.4" x14ac:dyDescent="0.3">
      <c r="A244" s="179">
        <f t="shared" si="3"/>
        <v>22</v>
      </c>
      <c r="B244" s="640" t="s">
        <v>333</v>
      </c>
      <c r="C244" s="640">
        <v>157579851</v>
      </c>
      <c r="D244" s="310" t="s">
        <v>756</v>
      </c>
      <c r="E244" s="310" t="s">
        <v>756</v>
      </c>
      <c r="F244" s="929" t="s">
        <v>209</v>
      </c>
      <c r="G244" s="317" t="s">
        <v>3336</v>
      </c>
      <c r="H244" s="1354" t="s">
        <v>855</v>
      </c>
      <c r="I244" s="1364" t="s">
        <v>1220</v>
      </c>
      <c r="J244" s="266"/>
      <c r="K244" s="268"/>
      <c r="L244" s="268"/>
    </row>
    <row r="245" spans="1:12" ht="14.4" x14ac:dyDescent="0.3">
      <c r="A245" s="179">
        <f t="shared" si="3"/>
        <v>22</v>
      </c>
      <c r="B245" s="640" t="s">
        <v>413</v>
      </c>
      <c r="C245" s="640" t="s">
        <v>414</v>
      </c>
      <c r="D245" s="310" t="s">
        <v>730</v>
      </c>
      <c r="E245" s="310" t="s">
        <v>730</v>
      </c>
      <c r="F245" s="266" t="s">
        <v>3</v>
      </c>
      <c r="G245" s="317" t="s">
        <v>2639</v>
      </c>
      <c r="H245" s="1354" t="s">
        <v>855</v>
      </c>
      <c r="I245" s="1364" t="s">
        <v>1220</v>
      </c>
      <c r="J245" s="266"/>
      <c r="K245" s="268"/>
      <c r="L245" s="268"/>
    </row>
    <row r="246" spans="1:12" ht="14.4" x14ac:dyDescent="0.3">
      <c r="A246" s="179">
        <f t="shared" si="3"/>
        <v>22</v>
      </c>
      <c r="B246" s="640" t="s">
        <v>2773</v>
      </c>
      <c r="C246" s="640">
        <v>175640150</v>
      </c>
      <c r="D246" s="317" t="s">
        <v>730</v>
      </c>
      <c r="E246" s="317" t="s">
        <v>730</v>
      </c>
      <c r="F246" s="929" t="s">
        <v>3</v>
      </c>
      <c r="G246" s="317" t="s">
        <v>2774</v>
      </c>
      <c r="H246" s="1354" t="s">
        <v>855</v>
      </c>
      <c r="I246" s="1364" t="s">
        <v>1220</v>
      </c>
      <c r="J246" s="266"/>
      <c r="K246" s="795"/>
      <c r="L246" s="795"/>
    </row>
    <row r="247" spans="1:12" ht="14.4" x14ac:dyDescent="0.3">
      <c r="A247" s="179">
        <f t="shared" si="3"/>
        <v>22</v>
      </c>
      <c r="B247" s="640" t="s">
        <v>423</v>
      </c>
      <c r="C247" s="640">
        <v>191225953</v>
      </c>
      <c r="D247" s="310" t="s">
        <v>730</v>
      </c>
      <c r="E247" s="310" t="s">
        <v>730</v>
      </c>
      <c r="F247" s="266" t="s">
        <v>3</v>
      </c>
      <c r="G247" s="317" t="s">
        <v>12</v>
      </c>
      <c r="H247" s="1354" t="s">
        <v>855</v>
      </c>
      <c r="I247" s="1364" t="s">
        <v>1220</v>
      </c>
      <c r="J247" s="266"/>
      <c r="K247" s="268"/>
      <c r="L247" s="268"/>
    </row>
    <row r="248" spans="1:12" ht="14.4" x14ac:dyDescent="0.3">
      <c r="A248" s="179">
        <f t="shared" si="3"/>
        <v>22</v>
      </c>
      <c r="B248" s="640" t="s">
        <v>678</v>
      </c>
      <c r="C248" s="640">
        <v>184542153</v>
      </c>
      <c r="D248" s="310" t="s">
        <v>730</v>
      </c>
      <c r="E248" s="310" t="s">
        <v>730</v>
      </c>
      <c r="F248" s="266" t="s">
        <v>4</v>
      </c>
      <c r="G248" s="317" t="s">
        <v>200</v>
      </c>
      <c r="H248" s="1354" t="s">
        <v>855</v>
      </c>
      <c r="I248" s="1364" t="s">
        <v>1220</v>
      </c>
      <c r="J248" s="266"/>
      <c r="K248" s="268"/>
      <c r="L248" s="268"/>
    </row>
    <row r="249" spans="1:12" ht="14.4" x14ac:dyDescent="0.3">
      <c r="A249" s="179">
        <f t="shared" si="3"/>
        <v>22</v>
      </c>
      <c r="B249" s="640" t="s">
        <v>308</v>
      </c>
      <c r="C249" s="640">
        <v>190445771</v>
      </c>
      <c r="D249" s="310" t="s">
        <v>730</v>
      </c>
      <c r="E249" s="310" t="s">
        <v>730</v>
      </c>
      <c r="F249" s="266" t="s">
        <v>4</v>
      </c>
      <c r="G249" s="317" t="s">
        <v>5</v>
      </c>
      <c r="H249" s="1354" t="s">
        <v>855</v>
      </c>
      <c r="I249" s="1364" t="s">
        <v>1220</v>
      </c>
      <c r="J249" s="266"/>
      <c r="K249" s="268"/>
      <c r="L249" s="268"/>
    </row>
    <row r="250" spans="1:12" ht="26.4" x14ac:dyDescent="0.3">
      <c r="A250" s="179">
        <f t="shared" si="3"/>
        <v>22</v>
      </c>
      <c r="B250" s="640" t="s">
        <v>367</v>
      </c>
      <c r="C250" s="640">
        <v>201044006</v>
      </c>
      <c r="D250" s="310" t="s">
        <v>730</v>
      </c>
      <c r="E250" s="310" t="s">
        <v>730</v>
      </c>
      <c r="F250" s="266" t="s">
        <v>4</v>
      </c>
      <c r="G250" s="317" t="s">
        <v>3253</v>
      </c>
      <c r="H250" s="1354" t="s">
        <v>855</v>
      </c>
      <c r="I250" s="1364" t="s">
        <v>1220</v>
      </c>
      <c r="J250" s="266"/>
      <c r="K250" s="268"/>
      <c r="L250" s="268"/>
    </row>
    <row r="251" spans="1:12" ht="14.4" x14ac:dyDescent="0.3">
      <c r="A251" s="179">
        <f t="shared" si="3"/>
        <v>22</v>
      </c>
      <c r="B251" s="640" t="s">
        <v>486</v>
      </c>
      <c r="C251" s="640">
        <v>186601343</v>
      </c>
      <c r="D251" s="310" t="s">
        <v>730</v>
      </c>
      <c r="E251" s="310" t="s">
        <v>730</v>
      </c>
      <c r="F251" s="266" t="s">
        <v>4</v>
      </c>
      <c r="G251" s="317" t="s">
        <v>240</v>
      </c>
      <c r="H251" s="1354" t="s">
        <v>855</v>
      </c>
      <c r="I251" s="1364" t="s">
        <v>1220</v>
      </c>
      <c r="J251" s="266"/>
      <c r="K251" s="268"/>
      <c r="L251" s="268"/>
    </row>
    <row r="252" spans="1:12" ht="14.4" x14ac:dyDescent="0.3">
      <c r="A252" s="179">
        <f t="shared" si="3"/>
        <v>22</v>
      </c>
      <c r="B252" s="640" t="s">
        <v>2160</v>
      </c>
      <c r="C252" s="640" t="s">
        <v>2161</v>
      </c>
      <c r="D252" s="310" t="s">
        <v>730</v>
      </c>
      <c r="E252" s="317" t="s">
        <v>730</v>
      </c>
      <c r="F252" s="929" t="s">
        <v>14</v>
      </c>
      <c r="G252" s="317" t="s">
        <v>2162</v>
      </c>
      <c r="H252" s="1354" t="s">
        <v>855</v>
      </c>
      <c r="I252" s="1364" t="s">
        <v>1220</v>
      </c>
      <c r="J252" s="266"/>
      <c r="K252" s="268"/>
      <c r="L252" s="268"/>
    </row>
    <row r="253" spans="1:12" ht="14.4" x14ac:dyDescent="0.3">
      <c r="A253" s="179">
        <f t="shared" si="3"/>
        <v>22</v>
      </c>
      <c r="B253" s="640" t="s">
        <v>466</v>
      </c>
      <c r="C253" s="640">
        <v>206554711</v>
      </c>
      <c r="D253" s="310" t="s">
        <v>730</v>
      </c>
      <c r="E253" s="310" t="s">
        <v>730</v>
      </c>
      <c r="F253" s="266" t="s">
        <v>14</v>
      </c>
      <c r="G253" s="317" t="s">
        <v>154</v>
      </c>
      <c r="H253" s="1354" t="s">
        <v>855</v>
      </c>
      <c r="I253" s="1364" t="s">
        <v>1220</v>
      </c>
      <c r="J253" s="266"/>
      <c r="K253" s="268"/>
      <c r="L253" s="268"/>
    </row>
    <row r="254" spans="1:12" ht="14.4" x14ac:dyDescent="0.3">
      <c r="A254" s="179">
        <f t="shared" si="3"/>
        <v>22</v>
      </c>
      <c r="B254" s="643" t="s">
        <v>372</v>
      </c>
      <c r="C254" s="643">
        <v>137037823</v>
      </c>
      <c r="D254" s="312" t="s">
        <v>758</v>
      </c>
      <c r="E254" s="312" t="s">
        <v>758</v>
      </c>
      <c r="F254" s="265" t="s">
        <v>89</v>
      </c>
      <c r="G254" s="316" t="s">
        <v>45</v>
      </c>
      <c r="H254" s="1356" t="s">
        <v>855</v>
      </c>
      <c r="I254" s="1366" t="s">
        <v>1220</v>
      </c>
      <c r="J254" s="265"/>
      <c r="K254" s="270"/>
      <c r="L254" s="270"/>
    </row>
    <row r="255" spans="1:12" ht="26.4" x14ac:dyDescent="0.3">
      <c r="A255" s="179">
        <f t="shared" si="3"/>
        <v>22</v>
      </c>
      <c r="B255" s="643" t="s">
        <v>1693</v>
      </c>
      <c r="C255" s="643" t="s">
        <v>1694</v>
      </c>
      <c r="D255" s="312" t="s">
        <v>757</v>
      </c>
      <c r="E255" s="312" t="s">
        <v>757</v>
      </c>
      <c r="F255" s="931" t="s">
        <v>209</v>
      </c>
      <c r="G255" s="316" t="s">
        <v>3334</v>
      </c>
      <c r="H255" s="1356" t="s">
        <v>855</v>
      </c>
      <c r="I255" s="1366" t="s">
        <v>1220</v>
      </c>
      <c r="J255" s="265"/>
      <c r="K255" s="270"/>
      <c r="L255" s="270"/>
    </row>
    <row r="256" spans="1:12" ht="14.4" x14ac:dyDescent="0.3">
      <c r="A256" s="179">
        <f t="shared" si="3"/>
        <v>22</v>
      </c>
      <c r="B256" s="643" t="s">
        <v>651</v>
      </c>
      <c r="C256" s="643">
        <v>169295352</v>
      </c>
      <c r="D256" s="312" t="s">
        <v>757</v>
      </c>
      <c r="E256" s="312" t="s">
        <v>757</v>
      </c>
      <c r="F256" s="265" t="s">
        <v>3</v>
      </c>
      <c r="G256" s="316" t="s">
        <v>652</v>
      </c>
      <c r="H256" s="1356" t="s">
        <v>855</v>
      </c>
      <c r="I256" s="1366" t="s">
        <v>1220</v>
      </c>
      <c r="J256" s="265"/>
      <c r="K256" s="270"/>
      <c r="L256" s="270"/>
    </row>
    <row r="257" spans="1:12" ht="14.4" x14ac:dyDescent="0.3">
      <c r="A257" s="179">
        <f t="shared" si="3"/>
        <v>22</v>
      </c>
      <c r="B257" s="643" t="s">
        <v>278</v>
      </c>
      <c r="C257" s="643">
        <v>177191450</v>
      </c>
      <c r="D257" s="312" t="s">
        <v>757</v>
      </c>
      <c r="E257" s="312" t="s">
        <v>757</v>
      </c>
      <c r="F257" s="265" t="s">
        <v>3</v>
      </c>
      <c r="G257" s="316" t="s">
        <v>687</v>
      </c>
      <c r="H257" s="1356" t="s">
        <v>855</v>
      </c>
      <c r="I257" s="1366" t="s">
        <v>1220</v>
      </c>
      <c r="J257" s="265"/>
      <c r="K257" s="270"/>
      <c r="L257" s="270"/>
    </row>
    <row r="258" spans="1:12" ht="26.4" x14ac:dyDescent="0.3">
      <c r="A258" s="179">
        <f t="shared" si="3"/>
        <v>22</v>
      </c>
      <c r="B258" s="643" t="s">
        <v>377</v>
      </c>
      <c r="C258" s="643">
        <v>196111492</v>
      </c>
      <c r="D258" s="312" t="s">
        <v>757</v>
      </c>
      <c r="E258" s="312" t="s">
        <v>757</v>
      </c>
      <c r="F258" s="265" t="s">
        <v>4</v>
      </c>
      <c r="G258" s="316" t="s">
        <v>3335</v>
      </c>
      <c r="H258" s="1356" t="s">
        <v>855</v>
      </c>
      <c r="I258" s="1366" t="s">
        <v>1220</v>
      </c>
      <c r="J258" s="265"/>
      <c r="K258" s="270"/>
      <c r="L258" s="270"/>
    </row>
    <row r="259" spans="1:12" ht="14.4" x14ac:dyDescent="0.3">
      <c r="A259" s="179">
        <f t="shared" si="3"/>
        <v>22</v>
      </c>
      <c r="B259" s="643" t="s">
        <v>585</v>
      </c>
      <c r="C259" s="643">
        <v>201505127</v>
      </c>
      <c r="D259" s="312" t="s">
        <v>757</v>
      </c>
      <c r="E259" s="316" t="s">
        <v>757</v>
      </c>
      <c r="F259" s="265" t="s">
        <v>4</v>
      </c>
      <c r="G259" s="316" t="s">
        <v>2265</v>
      </c>
      <c r="H259" s="1356" t="s">
        <v>855</v>
      </c>
      <c r="I259" s="1366" t="s">
        <v>1220</v>
      </c>
      <c r="J259" s="265"/>
      <c r="K259" s="270"/>
      <c r="L259" s="270"/>
    </row>
    <row r="260" spans="1:12" ht="14.4" x14ac:dyDescent="0.3">
      <c r="A260" s="179">
        <f t="shared" si="3"/>
        <v>22</v>
      </c>
      <c r="B260" s="643" t="s">
        <v>380</v>
      </c>
      <c r="C260" s="643">
        <v>182698334</v>
      </c>
      <c r="D260" s="312" t="s">
        <v>757</v>
      </c>
      <c r="E260" s="312" t="s">
        <v>757</v>
      </c>
      <c r="F260" s="265" t="s">
        <v>4</v>
      </c>
      <c r="G260" s="316" t="s">
        <v>2282</v>
      </c>
      <c r="H260" s="1356" t="s">
        <v>855</v>
      </c>
      <c r="I260" s="1366" t="s">
        <v>1220</v>
      </c>
      <c r="J260" s="265"/>
      <c r="K260" s="270"/>
      <c r="L260" s="270"/>
    </row>
    <row r="261" spans="1:12" ht="26.4" x14ac:dyDescent="0.3">
      <c r="A261" s="179">
        <f t="shared" si="3"/>
        <v>22</v>
      </c>
      <c r="B261" s="643" t="s">
        <v>287</v>
      </c>
      <c r="C261" s="643">
        <v>203737254</v>
      </c>
      <c r="D261" s="312" t="s">
        <v>757</v>
      </c>
      <c r="E261" s="312" t="s">
        <v>757</v>
      </c>
      <c r="F261" s="265" t="s">
        <v>4</v>
      </c>
      <c r="G261" s="316" t="s">
        <v>2888</v>
      </c>
      <c r="H261" s="1356" t="s">
        <v>855</v>
      </c>
      <c r="I261" s="1366" t="s">
        <v>1220</v>
      </c>
      <c r="J261" s="265"/>
      <c r="K261" s="270"/>
      <c r="L261" s="270"/>
    </row>
    <row r="262" spans="1:12" ht="14.4" x14ac:dyDescent="0.3">
      <c r="A262" s="179">
        <f t="shared" si="3"/>
        <v>22</v>
      </c>
      <c r="B262" s="643" t="s">
        <v>290</v>
      </c>
      <c r="C262" s="643">
        <v>197694459</v>
      </c>
      <c r="D262" s="312" t="s">
        <v>757</v>
      </c>
      <c r="E262" s="1330" t="s">
        <v>757</v>
      </c>
      <c r="F262" s="265" t="s">
        <v>4</v>
      </c>
      <c r="G262" s="316" t="s">
        <v>2284</v>
      </c>
      <c r="H262" s="1356" t="s">
        <v>855</v>
      </c>
      <c r="I262" s="1366" t="s">
        <v>1220</v>
      </c>
      <c r="J262" s="265"/>
      <c r="K262" s="270"/>
      <c r="L262" s="270"/>
    </row>
    <row r="263" spans="1:12" ht="14.4" x14ac:dyDescent="0.3">
      <c r="A263" s="179">
        <f t="shared" si="3"/>
        <v>22</v>
      </c>
      <c r="B263" s="643" t="s">
        <v>338</v>
      </c>
      <c r="C263" s="643">
        <v>198065900</v>
      </c>
      <c r="D263" s="312" t="s">
        <v>757</v>
      </c>
      <c r="E263" s="312" t="s">
        <v>757</v>
      </c>
      <c r="F263" s="265" t="s">
        <v>14</v>
      </c>
      <c r="G263" s="316" t="s">
        <v>245</v>
      </c>
      <c r="H263" s="1356" t="s">
        <v>855</v>
      </c>
      <c r="I263" s="1366" t="s">
        <v>1220</v>
      </c>
      <c r="J263" s="265"/>
      <c r="K263" s="270"/>
      <c r="L263" s="270"/>
    </row>
    <row r="264" spans="1:12" ht="14.4" x14ac:dyDescent="0.3">
      <c r="A264" s="179">
        <f t="shared" si="3"/>
        <v>22</v>
      </c>
      <c r="B264" s="642" t="s">
        <v>3215</v>
      </c>
      <c r="C264" s="642">
        <v>167071759</v>
      </c>
      <c r="D264" s="716" t="s">
        <v>1676</v>
      </c>
      <c r="E264" s="314" t="s">
        <v>1678</v>
      </c>
      <c r="F264" s="932" t="s">
        <v>209</v>
      </c>
      <c r="G264" s="314" t="s">
        <v>3216</v>
      </c>
      <c r="H264" s="1357" t="s">
        <v>1</v>
      </c>
      <c r="I264" s="1367" t="s">
        <v>3474</v>
      </c>
      <c r="J264" s="193"/>
      <c r="K264" s="889"/>
      <c r="L264" s="889"/>
    </row>
    <row r="265" spans="1:12" ht="26.4" x14ac:dyDescent="0.3">
      <c r="A265" s="179">
        <f t="shared" si="3"/>
        <v>22</v>
      </c>
      <c r="B265" s="642" t="s">
        <v>3170</v>
      </c>
      <c r="C265" s="642">
        <v>162918044</v>
      </c>
      <c r="D265" s="314" t="s">
        <v>1676</v>
      </c>
      <c r="E265" s="314" t="s">
        <v>1676</v>
      </c>
      <c r="F265" s="932" t="s">
        <v>209</v>
      </c>
      <c r="G265" s="314" t="s">
        <v>3173</v>
      </c>
      <c r="H265" s="1357" t="s">
        <v>1</v>
      </c>
      <c r="I265" s="1367" t="s">
        <v>3474</v>
      </c>
      <c r="J265" s="193" t="s">
        <v>3504</v>
      </c>
      <c r="K265" s="889"/>
      <c r="L265" s="889"/>
    </row>
    <row r="266" spans="1:12" ht="14.4" x14ac:dyDescent="0.3">
      <c r="A266" s="179">
        <f t="shared" si="3"/>
        <v>22</v>
      </c>
      <c r="B266" s="642" t="s">
        <v>3161</v>
      </c>
      <c r="C266" s="642">
        <v>166494052</v>
      </c>
      <c r="D266" s="314" t="s">
        <v>1676</v>
      </c>
      <c r="E266" s="314" t="s">
        <v>1676</v>
      </c>
      <c r="F266" s="932" t="s">
        <v>209</v>
      </c>
      <c r="G266" s="314" t="s">
        <v>3162</v>
      </c>
      <c r="H266" s="1357" t="s">
        <v>1</v>
      </c>
      <c r="I266" s="1367" t="s">
        <v>3474</v>
      </c>
      <c r="J266" s="193"/>
      <c r="K266" s="889"/>
      <c r="L266" s="889"/>
    </row>
    <row r="267" spans="1:12" ht="14.4" x14ac:dyDescent="0.3">
      <c r="A267" s="179">
        <f t="shared" si="3"/>
        <v>22</v>
      </c>
      <c r="B267" s="642" t="s">
        <v>3281</v>
      </c>
      <c r="C267" s="642">
        <v>184899752</v>
      </c>
      <c r="D267" s="314" t="s">
        <v>1676</v>
      </c>
      <c r="E267" s="314" t="s">
        <v>1676</v>
      </c>
      <c r="F267" s="932" t="s">
        <v>3</v>
      </c>
      <c r="G267" s="314" t="s">
        <v>3282</v>
      </c>
      <c r="H267" s="1357" t="s">
        <v>1</v>
      </c>
      <c r="I267" s="1367" t="s">
        <v>3474</v>
      </c>
      <c r="J267" s="193"/>
      <c r="K267" s="889"/>
      <c r="L267" s="889"/>
    </row>
    <row r="268" spans="1:12" ht="14.4" x14ac:dyDescent="0.3">
      <c r="A268" s="179">
        <f t="shared" si="3"/>
        <v>22</v>
      </c>
      <c r="B268" s="642" t="s">
        <v>3196</v>
      </c>
      <c r="C268" s="642">
        <v>184062305</v>
      </c>
      <c r="D268" s="314" t="s">
        <v>1676</v>
      </c>
      <c r="E268" s="314" t="s">
        <v>1676</v>
      </c>
      <c r="F268" s="932" t="s">
        <v>3</v>
      </c>
      <c r="G268" s="314" t="s">
        <v>3197</v>
      </c>
      <c r="H268" s="1357" t="s">
        <v>1</v>
      </c>
      <c r="I268" s="1367" t="s">
        <v>3474</v>
      </c>
      <c r="J268" s="193"/>
      <c r="K268" s="889"/>
      <c r="L268" s="889"/>
    </row>
    <row r="269" spans="1:12" ht="14.4" x14ac:dyDescent="0.3">
      <c r="A269" s="179">
        <f t="shared" ref="A269:A332" si="4">IF(G269&lt;&gt;"",22,0)</f>
        <v>22</v>
      </c>
      <c r="B269" s="642" t="s">
        <v>3236</v>
      </c>
      <c r="C269" s="642">
        <v>179864231</v>
      </c>
      <c r="D269" s="314" t="s">
        <v>1676</v>
      </c>
      <c r="E269" s="314" t="s">
        <v>1676</v>
      </c>
      <c r="F269" s="932" t="s">
        <v>3</v>
      </c>
      <c r="G269" s="314" t="s">
        <v>3237</v>
      </c>
      <c r="H269" s="1357" t="s">
        <v>1</v>
      </c>
      <c r="I269" s="1367" t="s">
        <v>3474</v>
      </c>
      <c r="J269" s="193"/>
      <c r="K269" s="889"/>
      <c r="L269" s="889"/>
    </row>
    <row r="270" spans="1:12" ht="26.4" x14ac:dyDescent="0.3">
      <c r="A270" s="179">
        <f t="shared" si="4"/>
        <v>22</v>
      </c>
      <c r="B270" s="642" t="s">
        <v>405</v>
      </c>
      <c r="C270" s="642">
        <v>190340066</v>
      </c>
      <c r="D270" s="715" t="s">
        <v>711</v>
      </c>
      <c r="E270" s="313" t="s">
        <v>1676</v>
      </c>
      <c r="F270" s="193" t="s">
        <v>3</v>
      </c>
      <c r="G270" s="314" t="s">
        <v>2795</v>
      </c>
      <c r="H270" s="1357" t="s">
        <v>1</v>
      </c>
      <c r="I270" s="1367" t="s">
        <v>3474</v>
      </c>
      <c r="J270" s="193"/>
      <c r="K270" s="211"/>
      <c r="L270" s="211"/>
    </row>
    <row r="271" spans="1:12" ht="14.4" x14ac:dyDescent="0.3">
      <c r="A271" s="179">
        <f t="shared" si="4"/>
        <v>22</v>
      </c>
      <c r="B271" s="642" t="s">
        <v>3187</v>
      </c>
      <c r="C271" s="642">
        <v>186561295</v>
      </c>
      <c r="D271" s="314" t="s">
        <v>1676</v>
      </c>
      <c r="E271" s="314" t="s">
        <v>1676</v>
      </c>
      <c r="F271" s="932" t="s">
        <v>3</v>
      </c>
      <c r="G271" s="314" t="s">
        <v>3188</v>
      </c>
      <c r="H271" s="1357" t="s">
        <v>1</v>
      </c>
      <c r="I271" s="1367" t="s">
        <v>3474</v>
      </c>
      <c r="J271" s="193"/>
      <c r="K271" s="889"/>
      <c r="L271" s="889"/>
    </row>
    <row r="272" spans="1:12" ht="14.4" x14ac:dyDescent="0.3">
      <c r="A272" s="179">
        <f t="shared" si="4"/>
        <v>22</v>
      </c>
      <c r="B272" s="642" t="s">
        <v>3278</v>
      </c>
      <c r="C272" s="642">
        <v>186985613</v>
      </c>
      <c r="D272" s="314" t="s">
        <v>1676</v>
      </c>
      <c r="E272" s="314" t="s">
        <v>1676</v>
      </c>
      <c r="F272" s="932" t="s">
        <v>3</v>
      </c>
      <c r="G272" s="314" t="s">
        <v>3279</v>
      </c>
      <c r="H272" s="1357" t="s">
        <v>1</v>
      </c>
      <c r="I272" s="1367" t="s">
        <v>3474</v>
      </c>
      <c r="J272" s="193"/>
      <c r="K272" s="889"/>
      <c r="L272" s="889"/>
    </row>
    <row r="273" spans="1:12" ht="39.6" x14ac:dyDescent="0.3">
      <c r="A273" s="179">
        <f t="shared" si="4"/>
        <v>22</v>
      </c>
      <c r="B273" s="642" t="s">
        <v>3230</v>
      </c>
      <c r="C273" s="642">
        <v>180876847</v>
      </c>
      <c r="D273" s="314" t="s">
        <v>1676</v>
      </c>
      <c r="E273" s="314" t="s">
        <v>1676</v>
      </c>
      <c r="F273" s="932" t="s">
        <v>3</v>
      </c>
      <c r="G273" s="314" t="s">
        <v>3231</v>
      </c>
      <c r="H273" s="1357" t="s">
        <v>1</v>
      </c>
      <c r="I273" s="1367" t="s">
        <v>3474</v>
      </c>
      <c r="J273" s="193" t="s">
        <v>3463</v>
      </c>
      <c r="K273" s="889"/>
      <c r="L273" s="889"/>
    </row>
    <row r="274" spans="1:12" ht="14.4" x14ac:dyDescent="0.3">
      <c r="A274" s="179">
        <f t="shared" si="4"/>
        <v>22</v>
      </c>
      <c r="B274" s="642" t="s">
        <v>3183</v>
      </c>
      <c r="C274" s="642" t="s">
        <v>3184</v>
      </c>
      <c r="D274" s="314" t="s">
        <v>1676</v>
      </c>
      <c r="E274" s="314" t="s">
        <v>1676</v>
      </c>
      <c r="F274" s="932" t="s">
        <v>3</v>
      </c>
      <c r="G274" s="314" t="s">
        <v>3185</v>
      </c>
      <c r="H274" s="1357" t="s">
        <v>1</v>
      </c>
      <c r="I274" s="1367" t="s">
        <v>3474</v>
      </c>
      <c r="J274" s="193"/>
      <c r="K274" s="889"/>
      <c r="L274" s="889"/>
    </row>
    <row r="275" spans="1:12" ht="14.4" x14ac:dyDescent="0.3">
      <c r="A275" s="179">
        <f t="shared" si="4"/>
        <v>22</v>
      </c>
      <c r="B275" s="642" t="s">
        <v>3284</v>
      </c>
      <c r="C275" s="642">
        <v>181012943</v>
      </c>
      <c r="D275" s="314" t="s">
        <v>1676</v>
      </c>
      <c r="E275" s="314" t="s">
        <v>1676</v>
      </c>
      <c r="F275" s="932" t="s">
        <v>3</v>
      </c>
      <c r="G275" s="314" t="s">
        <v>3285</v>
      </c>
      <c r="H275" s="1357" t="s">
        <v>1</v>
      </c>
      <c r="I275" s="1367" t="s">
        <v>3474</v>
      </c>
      <c r="J275" s="193"/>
      <c r="K275" s="889"/>
      <c r="L275" s="889"/>
    </row>
    <row r="276" spans="1:12" ht="14.4" x14ac:dyDescent="0.3">
      <c r="A276" s="179">
        <f t="shared" si="4"/>
        <v>22</v>
      </c>
      <c r="B276" s="639" t="s">
        <v>505</v>
      </c>
      <c r="C276" s="639">
        <v>136027794</v>
      </c>
      <c r="D276" s="715" t="s">
        <v>711</v>
      </c>
      <c r="E276" s="309" t="s">
        <v>2585</v>
      </c>
      <c r="F276" s="263" t="s">
        <v>89</v>
      </c>
      <c r="G276" s="308" t="s">
        <v>122</v>
      </c>
      <c r="H276" s="1353" t="s">
        <v>1</v>
      </c>
      <c r="I276" s="1363" t="s">
        <v>3474</v>
      </c>
      <c r="J276" s="263"/>
      <c r="K276" s="269"/>
      <c r="L276" s="269"/>
    </row>
    <row r="277" spans="1:12" ht="14.4" x14ac:dyDescent="0.3">
      <c r="A277" s="179">
        <f t="shared" si="4"/>
        <v>22</v>
      </c>
      <c r="B277" s="639" t="s">
        <v>3167</v>
      </c>
      <c r="C277" s="639">
        <v>161815268</v>
      </c>
      <c r="D277" s="308" t="s">
        <v>2561</v>
      </c>
      <c r="E277" s="308" t="s">
        <v>2561</v>
      </c>
      <c r="F277" s="928" t="s">
        <v>209</v>
      </c>
      <c r="G277" s="308" t="s">
        <v>3168</v>
      </c>
      <c r="H277" s="1353" t="s">
        <v>1</v>
      </c>
      <c r="I277" s="1363" t="s">
        <v>3474</v>
      </c>
      <c r="J277" s="263"/>
      <c r="K277" s="748"/>
      <c r="L277" s="748"/>
    </row>
    <row r="278" spans="1:12" ht="14.4" x14ac:dyDescent="0.3">
      <c r="A278" s="179">
        <f t="shared" si="4"/>
        <v>22</v>
      </c>
      <c r="B278" s="639" t="s">
        <v>3174</v>
      </c>
      <c r="C278" s="639">
        <v>186314735</v>
      </c>
      <c r="D278" s="308" t="s">
        <v>2561</v>
      </c>
      <c r="E278" s="308" t="s">
        <v>2561</v>
      </c>
      <c r="F278" s="928" t="s">
        <v>3</v>
      </c>
      <c r="G278" s="308" t="s">
        <v>3175</v>
      </c>
      <c r="H278" s="1353" t="s">
        <v>1</v>
      </c>
      <c r="I278" s="1363" t="s">
        <v>3474</v>
      </c>
      <c r="J278" s="263"/>
      <c r="K278" s="748"/>
      <c r="L278" s="748"/>
    </row>
    <row r="279" spans="1:12" ht="14.4" x14ac:dyDescent="0.3">
      <c r="A279" s="179">
        <f t="shared" si="4"/>
        <v>22</v>
      </c>
      <c r="B279" s="639" t="s">
        <v>3227</v>
      </c>
      <c r="C279" s="639">
        <v>169101205</v>
      </c>
      <c r="D279" s="308" t="s">
        <v>2561</v>
      </c>
      <c r="E279" s="308" t="s">
        <v>2561</v>
      </c>
      <c r="F279" s="928" t="s">
        <v>3</v>
      </c>
      <c r="G279" s="308" t="s">
        <v>3228</v>
      </c>
      <c r="H279" s="1353" t="s">
        <v>1</v>
      </c>
      <c r="I279" s="1363" t="s">
        <v>3474</v>
      </c>
      <c r="J279" s="263"/>
      <c r="K279" s="748"/>
      <c r="L279" s="748"/>
    </row>
    <row r="280" spans="1:12" ht="14.4" x14ac:dyDescent="0.3">
      <c r="A280" s="179">
        <f t="shared" si="4"/>
        <v>22</v>
      </c>
      <c r="B280" s="639" t="s">
        <v>3224</v>
      </c>
      <c r="C280" s="639">
        <v>176967250</v>
      </c>
      <c r="D280" s="308" t="s">
        <v>2561</v>
      </c>
      <c r="E280" s="308" t="s">
        <v>2561</v>
      </c>
      <c r="F280" s="928" t="s">
        <v>3</v>
      </c>
      <c r="G280" s="308" t="s">
        <v>3225</v>
      </c>
      <c r="H280" s="1353" t="s">
        <v>1</v>
      </c>
      <c r="I280" s="1363" t="s">
        <v>3474</v>
      </c>
      <c r="J280" s="263"/>
      <c r="K280" s="748"/>
      <c r="L280" s="748"/>
    </row>
    <row r="281" spans="1:12" ht="14.4" x14ac:dyDescent="0.3">
      <c r="A281" s="179">
        <f t="shared" si="4"/>
        <v>22</v>
      </c>
      <c r="B281" s="639" t="s">
        <v>3180</v>
      </c>
      <c r="C281" s="639">
        <v>162748432</v>
      </c>
      <c r="D281" s="308" t="s">
        <v>2561</v>
      </c>
      <c r="E281" s="308" t="s">
        <v>2561</v>
      </c>
      <c r="F281" s="928" t="s">
        <v>3</v>
      </c>
      <c r="G281" s="308" t="s">
        <v>3181</v>
      </c>
      <c r="H281" s="1353" t="s">
        <v>1</v>
      </c>
      <c r="I281" s="1363" t="s">
        <v>3474</v>
      </c>
      <c r="J281" s="263"/>
      <c r="K281" s="748"/>
      <c r="L281" s="748"/>
    </row>
    <row r="282" spans="1:12" ht="52.8" x14ac:dyDescent="0.3">
      <c r="A282" s="179">
        <f t="shared" si="4"/>
        <v>22</v>
      </c>
      <c r="B282" s="639" t="s">
        <v>3212</v>
      </c>
      <c r="C282" s="639">
        <v>174234256</v>
      </c>
      <c r="D282" s="308" t="s">
        <v>2561</v>
      </c>
      <c r="E282" s="308" t="s">
        <v>2561</v>
      </c>
      <c r="F282" s="928" t="s">
        <v>3</v>
      </c>
      <c r="G282" s="308" t="s">
        <v>3213</v>
      </c>
      <c r="H282" s="1353" t="s">
        <v>1</v>
      </c>
      <c r="I282" s="1363" t="s">
        <v>3474</v>
      </c>
      <c r="J282" s="263" t="s">
        <v>3465</v>
      </c>
      <c r="K282" s="748"/>
      <c r="L282" s="748"/>
    </row>
    <row r="283" spans="1:12" ht="14.4" x14ac:dyDescent="0.3">
      <c r="A283" s="179">
        <f t="shared" si="4"/>
        <v>22</v>
      </c>
      <c r="B283" s="639" t="s">
        <v>3287</v>
      </c>
      <c r="C283" s="639" t="s">
        <v>3288</v>
      </c>
      <c r="D283" s="308" t="s">
        <v>2561</v>
      </c>
      <c r="E283" s="308" t="s">
        <v>2561</v>
      </c>
      <c r="F283" s="928" t="s">
        <v>3</v>
      </c>
      <c r="G283" s="308" t="s">
        <v>3289</v>
      </c>
      <c r="H283" s="1353" t="s">
        <v>1</v>
      </c>
      <c r="I283" s="1363" t="s">
        <v>3474</v>
      </c>
      <c r="J283" s="263"/>
      <c r="K283" s="748"/>
      <c r="L283" s="748"/>
    </row>
    <row r="284" spans="1:12" ht="14.4" x14ac:dyDescent="0.3">
      <c r="A284" s="179">
        <f t="shared" si="4"/>
        <v>22</v>
      </c>
      <c r="B284" s="639" t="s">
        <v>3218</v>
      </c>
      <c r="C284" s="639">
        <v>169632170</v>
      </c>
      <c r="D284" s="308" t="s">
        <v>2561</v>
      </c>
      <c r="E284" s="308" t="s">
        <v>2561</v>
      </c>
      <c r="F284" s="928" t="s">
        <v>3</v>
      </c>
      <c r="G284" s="308" t="s">
        <v>3219</v>
      </c>
      <c r="H284" s="1353" t="s">
        <v>1</v>
      </c>
      <c r="I284" s="1363" t="s">
        <v>3474</v>
      </c>
      <c r="J284" s="263"/>
      <c r="K284" s="748"/>
      <c r="L284" s="748"/>
    </row>
    <row r="285" spans="1:12" ht="14.4" x14ac:dyDescent="0.3">
      <c r="A285" s="179">
        <f t="shared" si="4"/>
        <v>22</v>
      </c>
      <c r="B285" s="639" t="s">
        <v>2835</v>
      </c>
      <c r="C285" s="639">
        <v>172000460</v>
      </c>
      <c r="D285" s="716" t="s">
        <v>702</v>
      </c>
      <c r="E285" s="308" t="s">
        <v>2561</v>
      </c>
      <c r="F285" s="928" t="s">
        <v>3</v>
      </c>
      <c r="G285" s="308" t="s">
        <v>2914</v>
      </c>
      <c r="H285" s="1353" t="s">
        <v>1</v>
      </c>
      <c r="I285" s="1363" t="s">
        <v>3474</v>
      </c>
      <c r="J285" s="263"/>
      <c r="K285" s="748"/>
      <c r="L285" s="748"/>
    </row>
    <row r="286" spans="1:12" ht="14.4" x14ac:dyDescent="0.3">
      <c r="A286" s="179">
        <f t="shared" si="4"/>
        <v>22</v>
      </c>
      <c r="B286" s="639" t="s">
        <v>3206</v>
      </c>
      <c r="C286" s="639">
        <v>166339545</v>
      </c>
      <c r="D286" s="308" t="s">
        <v>2561</v>
      </c>
      <c r="E286" s="308" t="s">
        <v>2561</v>
      </c>
      <c r="F286" s="928" t="s">
        <v>3</v>
      </c>
      <c r="G286" s="308" t="s">
        <v>3207</v>
      </c>
      <c r="H286" s="1353" t="s">
        <v>1</v>
      </c>
      <c r="I286" s="1363" t="s">
        <v>3474</v>
      </c>
      <c r="J286" s="263"/>
      <c r="K286" s="748"/>
      <c r="L286" s="748"/>
    </row>
    <row r="287" spans="1:12" ht="14.4" x14ac:dyDescent="0.3">
      <c r="A287" s="179">
        <f t="shared" si="4"/>
        <v>22</v>
      </c>
      <c r="B287" s="639" t="s">
        <v>3233</v>
      </c>
      <c r="C287" s="639">
        <v>193841554</v>
      </c>
      <c r="D287" s="308" t="s">
        <v>2561</v>
      </c>
      <c r="E287" s="308" t="s">
        <v>2561</v>
      </c>
      <c r="F287" s="928" t="s">
        <v>4</v>
      </c>
      <c r="G287" s="308" t="s">
        <v>3234</v>
      </c>
      <c r="H287" s="1353" t="s">
        <v>1</v>
      </c>
      <c r="I287" s="1363" t="s">
        <v>3474</v>
      </c>
      <c r="J287" s="263"/>
      <c r="K287" s="748"/>
      <c r="L287" s="748"/>
    </row>
    <row r="288" spans="1:12" ht="14.4" x14ac:dyDescent="0.3">
      <c r="A288" s="179">
        <f t="shared" si="4"/>
        <v>22</v>
      </c>
      <c r="B288" s="640" t="s">
        <v>643</v>
      </c>
      <c r="C288" s="640">
        <v>166232163</v>
      </c>
      <c r="D288" s="716" t="s">
        <v>712</v>
      </c>
      <c r="E288" s="317" t="s">
        <v>2586</v>
      </c>
      <c r="F288" s="929" t="s">
        <v>209</v>
      </c>
      <c r="G288" s="317" t="s">
        <v>2510</v>
      </c>
      <c r="H288" s="1354" t="s">
        <v>1</v>
      </c>
      <c r="I288" s="1364" t="s">
        <v>3474</v>
      </c>
      <c r="J288" s="266"/>
      <c r="K288" s="268"/>
      <c r="L288" s="268"/>
    </row>
    <row r="289" spans="1:12" ht="14.4" x14ac:dyDescent="0.3">
      <c r="A289" s="179">
        <f t="shared" si="4"/>
        <v>22</v>
      </c>
      <c r="B289" s="640" t="s">
        <v>3164</v>
      </c>
      <c r="C289" s="640">
        <v>155578939</v>
      </c>
      <c r="D289" s="317" t="s">
        <v>2562</v>
      </c>
      <c r="E289" s="317" t="s">
        <v>2562</v>
      </c>
      <c r="F289" s="929" t="s">
        <v>209</v>
      </c>
      <c r="G289" s="317" t="s">
        <v>3165</v>
      </c>
      <c r="H289" s="1354" t="s">
        <v>1</v>
      </c>
      <c r="I289" s="1364" t="s">
        <v>3474</v>
      </c>
      <c r="J289" s="266"/>
      <c r="K289" s="795"/>
      <c r="L289" s="795"/>
    </row>
    <row r="290" spans="1:12" ht="14.4" x14ac:dyDescent="0.3">
      <c r="A290" s="179">
        <f t="shared" si="4"/>
        <v>22</v>
      </c>
      <c r="B290" s="640" t="s">
        <v>3291</v>
      </c>
      <c r="C290" s="640">
        <v>136345974</v>
      </c>
      <c r="D290" s="317" t="s">
        <v>2562</v>
      </c>
      <c r="E290" s="317" t="s">
        <v>2562</v>
      </c>
      <c r="F290" s="929" t="s">
        <v>209</v>
      </c>
      <c r="G290" s="317" t="s">
        <v>3292</v>
      </c>
      <c r="H290" s="1354" t="s">
        <v>1</v>
      </c>
      <c r="I290" s="1364" t="s">
        <v>3474</v>
      </c>
      <c r="J290" s="266"/>
      <c r="K290" s="795"/>
      <c r="L290" s="795"/>
    </row>
    <row r="291" spans="1:12" ht="14.4" x14ac:dyDescent="0.3">
      <c r="A291" s="179">
        <f t="shared" si="4"/>
        <v>22</v>
      </c>
      <c r="B291" s="640" t="s">
        <v>3202</v>
      </c>
      <c r="C291" s="640">
        <v>179509709</v>
      </c>
      <c r="D291" s="317" t="s">
        <v>2562</v>
      </c>
      <c r="E291" s="317" t="s">
        <v>2562</v>
      </c>
      <c r="F291" s="929" t="s">
        <v>3</v>
      </c>
      <c r="G291" s="317" t="s">
        <v>3205</v>
      </c>
      <c r="H291" s="1354" t="s">
        <v>1</v>
      </c>
      <c r="I291" s="1364" t="s">
        <v>3474</v>
      </c>
      <c r="J291" s="266" t="s">
        <v>1483</v>
      </c>
      <c r="K291" s="795"/>
      <c r="L291" s="795"/>
    </row>
    <row r="292" spans="1:12" ht="14.4" x14ac:dyDescent="0.3">
      <c r="A292" s="179">
        <f t="shared" si="4"/>
        <v>22</v>
      </c>
      <c r="B292" s="640" t="s">
        <v>3193</v>
      </c>
      <c r="C292" s="640">
        <v>178025015</v>
      </c>
      <c r="D292" s="317" t="s">
        <v>2562</v>
      </c>
      <c r="E292" s="317" t="s">
        <v>2562</v>
      </c>
      <c r="F292" s="929" t="s">
        <v>3</v>
      </c>
      <c r="G292" s="317" t="s">
        <v>3194</v>
      </c>
      <c r="H292" s="1354" t="s">
        <v>1</v>
      </c>
      <c r="I292" s="1364" t="s">
        <v>3474</v>
      </c>
      <c r="J292" s="266"/>
      <c r="K292" s="795"/>
      <c r="L292" s="795"/>
    </row>
    <row r="293" spans="1:12" ht="14.4" x14ac:dyDescent="0.3">
      <c r="A293" s="179">
        <f t="shared" si="4"/>
        <v>22</v>
      </c>
      <c r="B293" s="640" t="s">
        <v>3221</v>
      </c>
      <c r="C293" s="640">
        <v>168074654</v>
      </c>
      <c r="D293" s="317" t="s">
        <v>2562</v>
      </c>
      <c r="E293" s="317" t="s">
        <v>2562</v>
      </c>
      <c r="F293" s="929" t="s">
        <v>3</v>
      </c>
      <c r="G293" s="317" t="s">
        <v>3222</v>
      </c>
      <c r="H293" s="1354" t="s">
        <v>1</v>
      </c>
      <c r="I293" s="1364" t="s">
        <v>3474</v>
      </c>
      <c r="J293" s="266"/>
      <c r="K293" s="795"/>
      <c r="L293" s="795"/>
    </row>
    <row r="294" spans="1:12" ht="14.4" x14ac:dyDescent="0.3">
      <c r="A294" s="179">
        <f t="shared" si="4"/>
        <v>22</v>
      </c>
      <c r="B294" s="640" t="s">
        <v>3190</v>
      </c>
      <c r="C294" s="640">
        <v>174937753</v>
      </c>
      <c r="D294" s="317" t="s">
        <v>2562</v>
      </c>
      <c r="E294" s="317" t="s">
        <v>2562</v>
      </c>
      <c r="F294" s="929" t="s">
        <v>3</v>
      </c>
      <c r="G294" s="317" t="s">
        <v>3191</v>
      </c>
      <c r="H294" s="1354" t="s">
        <v>1</v>
      </c>
      <c r="I294" s="1364" t="s">
        <v>3474</v>
      </c>
      <c r="J294" s="266"/>
      <c r="K294" s="795"/>
      <c r="L294" s="795"/>
    </row>
    <row r="295" spans="1:12" ht="66" x14ac:dyDescent="0.3">
      <c r="A295" s="179">
        <f t="shared" si="4"/>
        <v>22</v>
      </c>
      <c r="B295" s="640" t="s">
        <v>3209</v>
      </c>
      <c r="C295" s="640">
        <v>186829891</v>
      </c>
      <c r="D295" s="317" t="s">
        <v>2562</v>
      </c>
      <c r="E295" s="317" t="s">
        <v>2562</v>
      </c>
      <c r="F295" s="929" t="s">
        <v>3</v>
      </c>
      <c r="G295" s="317" t="s">
        <v>3210</v>
      </c>
      <c r="H295" s="1354" t="s">
        <v>1</v>
      </c>
      <c r="I295" s="1364" t="s">
        <v>3474</v>
      </c>
      <c r="J295" s="266" t="s">
        <v>3541</v>
      </c>
      <c r="K295" s="795"/>
      <c r="L295" s="795"/>
    </row>
    <row r="296" spans="1:12" ht="14.4" x14ac:dyDescent="0.3">
      <c r="A296" s="179">
        <f t="shared" si="4"/>
        <v>22</v>
      </c>
      <c r="B296" s="640" t="s">
        <v>3199</v>
      </c>
      <c r="C296" s="640">
        <v>182912050</v>
      </c>
      <c r="D296" s="716" t="s">
        <v>2561</v>
      </c>
      <c r="E296" s="317" t="s">
        <v>2562</v>
      </c>
      <c r="F296" s="929" t="s">
        <v>3</v>
      </c>
      <c r="G296" s="317" t="s">
        <v>3200</v>
      </c>
      <c r="H296" s="1354" t="s">
        <v>1</v>
      </c>
      <c r="I296" s="1364" t="s">
        <v>3474</v>
      </c>
      <c r="J296" s="266"/>
      <c r="K296" s="795"/>
      <c r="L296" s="795"/>
    </row>
    <row r="297" spans="1:12" ht="14.4" x14ac:dyDescent="0.3">
      <c r="A297" s="179">
        <f t="shared" si="4"/>
        <v>22</v>
      </c>
      <c r="B297" s="640" t="s">
        <v>3177</v>
      </c>
      <c r="C297" s="640">
        <v>170988868</v>
      </c>
      <c r="D297" s="317" t="s">
        <v>2562</v>
      </c>
      <c r="E297" s="317" t="s">
        <v>2562</v>
      </c>
      <c r="F297" s="929" t="s">
        <v>3</v>
      </c>
      <c r="G297" s="317" t="s">
        <v>3178</v>
      </c>
      <c r="H297" s="1354" t="s">
        <v>1</v>
      </c>
      <c r="I297" s="1364" t="s">
        <v>3474</v>
      </c>
      <c r="J297" s="266"/>
      <c r="K297" s="795"/>
      <c r="L297" s="795"/>
    </row>
    <row r="298" spans="1:12" ht="14.4" x14ac:dyDescent="0.3">
      <c r="A298" s="179">
        <f t="shared" si="4"/>
        <v>22</v>
      </c>
      <c r="B298" s="641" t="s">
        <v>524</v>
      </c>
      <c r="C298" s="641">
        <v>126844476</v>
      </c>
      <c r="D298" s="716" t="s">
        <v>2936</v>
      </c>
      <c r="E298" s="315" t="s">
        <v>760</v>
      </c>
      <c r="F298" s="264" t="s">
        <v>89</v>
      </c>
      <c r="G298" s="315" t="s">
        <v>1913</v>
      </c>
      <c r="H298" s="1355" t="s">
        <v>855</v>
      </c>
      <c r="I298" s="1365" t="s">
        <v>1220</v>
      </c>
      <c r="J298" s="264"/>
      <c r="K298" s="271"/>
      <c r="L298" s="271"/>
    </row>
    <row r="299" spans="1:12" ht="14.4" x14ac:dyDescent="0.3">
      <c r="A299" s="179">
        <f t="shared" si="4"/>
        <v>22</v>
      </c>
      <c r="B299" s="641" t="s">
        <v>644</v>
      </c>
      <c r="C299" s="641">
        <v>169470901</v>
      </c>
      <c r="D299" s="715" t="s">
        <v>2937</v>
      </c>
      <c r="E299" s="311" t="s">
        <v>66</v>
      </c>
      <c r="F299" s="930" t="s">
        <v>209</v>
      </c>
      <c r="G299" s="315" t="s">
        <v>250</v>
      </c>
      <c r="H299" s="1355" t="s">
        <v>855</v>
      </c>
      <c r="I299" s="1365" t="s">
        <v>1220</v>
      </c>
      <c r="J299" s="264"/>
      <c r="K299" s="271"/>
      <c r="L299" s="271"/>
    </row>
    <row r="300" spans="1:12" ht="14.4" x14ac:dyDescent="0.3">
      <c r="A300" s="179">
        <f t="shared" si="4"/>
        <v>22</v>
      </c>
      <c r="B300" s="641" t="s">
        <v>658</v>
      </c>
      <c r="C300" s="641">
        <v>166312140</v>
      </c>
      <c r="D300" s="715" t="s">
        <v>2937</v>
      </c>
      <c r="E300" s="311" t="s">
        <v>66</v>
      </c>
      <c r="F300" s="930" t="s">
        <v>209</v>
      </c>
      <c r="G300" s="315" t="s">
        <v>657</v>
      </c>
      <c r="H300" s="1355" t="s">
        <v>855</v>
      </c>
      <c r="I300" s="1365" t="s">
        <v>1220</v>
      </c>
      <c r="J300" s="264"/>
      <c r="K300" s="271"/>
      <c r="L300" s="271"/>
    </row>
    <row r="301" spans="1:12" ht="14.4" x14ac:dyDescent="0.3">
      <c r="A301" s="179">
        <f t="shared" si="4"/>
        <v>22</v>
      </c>
      <c r="B301" s="643" t="s">
        <v>528</v>
      </c>
      <c r="C301" s="643">
        <v>174605017</v>
      </c>
      <c r="D301" s="715" t="s">
        <v>754</v>
      </c>
      <c r="E301" s="312" t="s">
        <v>761</v>
      </c>
      <c r="F301" s="265" t="s">
        <v>209</v>
      </c>
      <c r="G301" s="316" t="s">
        <v>1885</v>
      </c>
      <c r="H301" s="1356" t="s">
        <v>853</v>
      </c>
      <c r="I301" s="1366" t="s">
        <v>1472</v>
      </c>
      <c r="J301" s="265" t="s">
        <v>1483</v>
      </c>
      <c r="K301" s="270"/>
      <c r="L301" s="270"/>
    </row>
    <row r="302" spans="1:12" ht="14.4" x14ac:dyDescent="0.3">
      <c r="A302" s="179">
        <f t="shared" si="4"/>
        <v>22</v>
      </c>
      <c r="B302" s="643" t="s">
        <v>479</v>
      </c>
      <c r="C302" s="643">
        <v>167838146</v>
      </c>
      <c r="D302" s="312" t="s">
        <v>194</v>
      </c>
      <c r="E302" s="316" t="s">
        <v>194</v>
      </c>
      <c r="F302" s="265" t="s">
        <v>3</v>
      </c>
      <c r="G302" s="316" t="s">
        <v>3035</v>
      </c>
      <c r="H302" s="1356" t="s">
        <v>853</v>
      </c>
      <c r="I302" s="1366" t="s">
        <v>1472</v>
      </c>
      <c r="J302" s="265"/>
      <c r="K302" s="270"/>
      <c r="L302" s="270"/>
    </row>
    <row r="303" spans="1:12" ht="14.4" x14ac:dyDescent="0.3">
      <c r="A303" s="179">
        <f t="shared" si="4"/>
        <v>22</v>
      </c>
      <c r="B303" s="642" t="s">
        <v>516</v>
      </c>
      <c r="C303" s="642">
        <v>131302835</v>
      </c>
      <c r="D303" s="715" t="s">
        <v>766</v>
      </c>
      <c r="E303" s="313" t="s">
        <v>762</v>
      </c>
      <c r="F303" s="932" t="s">
        <v>209</v>
      </c>
      <c r="G303" s="314" t="s">
        <v>40</v>
      </c>
      <c r="H303" s="1357" t="s">
        <v>854</v>
      </c>
      <c r="I303" s="1367" t="s">
        <v>882</v>
      </c>
      <c r="J303" s="193"/>
      <c r="K303" s="211"/>
      <c r="L303" s="211"/>
    </row>
    <row r="304" spans="1:12" ht="14.4" x14ac:dyDescent="0.3">
      <c r="A304" s="179">
        <f t="shared" si="4"/>
        <v>22</v>
      </c>
      <c r="B304" s="642" t="s">
        <v>1683</v>
      </c>
      <c r="C304" s="642">
        <v>193655513</v>
      </c>
      <c r="D304" s="313" t="s">
        <v>113</v>
      </c>
      <c r="E304" s="313" t="s">
        <v>113</v>
      </c>
      <c r="F304" s="932" t="s">
        <v>209</v>
      </c>
      <c r="G304" s="314" t="s">
        <v>2285</v>
      </c>
      <c r="H304" s="1357" t="s">
        <v>854</v>
      </c>
      <c r="I304" s="1367" t="s">
        <v>882</v>
      </c>
      <c r="J304" s="193"/>
      <c r="K304" s="211"/>
      <c r="L304" s="211"/>
    </row>
    <row r="305" spans="1:12" ht="14.4" x14ac:dyDescent="0.3">
      <c r="A305" s="179">
        <f t="shared" si="4"/>
        <v>22</v>
      </c>
      <c r="B305" s="639" t="s">
        <v>520</v>
      </c>
      <c r="C305" s="639">
        <v>135710539</v>
      </c>
      <c r="D305" s="309" t="s">
        <v>763</v>
      </c>
      <c r="E305" s="308" t="s">
        <v>763</v>
      </c>
      <c r="F305" s="263" t="s">
        <v>89</v>
      </c>
      <c r="G305" s="308" t="s">
        <v>65</v>
      </c>
      <c r="H305" s="1353" t="s">
        <v>2125</v>
      </c>
      <c r="I305" s="1363" t="s">
        <v>2838</v>
      </c>
      <c r="J305" s="263"/>
      <c r="K305" s="269"/>
      <c r="L305" s="269"/>
    </row>
    <row r="306" spans="1:12" ht="14.4" x14ac:dyDescent="0.3">
      <c r="A306" s="179">
        <f t="shared" si="4"/>
        <v>22</v>
      </c>
      <c r="B306" s="639" t="s">
        <v>2331</v>
      </c>
      <c r="C306" s="639" t="s">
        <v>2332</v>
      </c>
      <c r="D306" s="715" t="s">
        <v>752</v>
      </c>
      <c r="E306" s="308" t="s">
        <v>763</v>
      </c>
      <c r="F306" s="928" t="s">
        <v>209</v>
      </c>
      <c r="G306" s="308" t="s">
        <v>2852</v>
      </c>
      <c r="H306" s="1353" t="s">
        <v>2125</v>
      </c>
      <c r="I306" s="1363" t="s">
        <v>2838</v>
      </c>
      <c r="J306" s="263" t="s">
        <v>1483</v>
      </c>
      <c r="K306" s="748"/>
      <c r="L306" s="748"/>
    </row>
    <row r="307" spans="1:12" ht="26.4" x14ac:dyDescent="0.3">
      <c r="A307" s="179">
        <f t="shared" si="4"/>
        <v>22</v>
      </c>
      <c r="B307" s="640" t="s">
        <v>521</v>
      </c>
      <c r="C307" s="640">
        <v>136185160</v>
      </c>
      <c r="D307" s="310" t="s">
        <v>764</v>
      </c>
      <c r="E307" s="310" t="s">
        <v>764</v>
      </c>
      <c r="F307" s="929" t="s">
        <v>209</v>
      </c>
      <c r="G307" s="317" t="s">
        <v>1925</v>
      </c>
      <c r="H307" s="1354" t="s">
        <v>853</v>
      </c>
      <c r="I307" s="1364" t="s">
        <v>3590</v>
      </c>
      <c r="J307" s="266"/>
      <c r="K307" s="268"/>
      <c r="L307" s="268"/>
    </row>
    <row r="308" spans="1:12" ht="14.4" x14ac:dyDescent="0.3">
      <c r="A308" s="179">
        <f t="shared" si="4"/>
        <v>22</v>
      </c>
      <c r="B308" s="640" t="s">
        <v>482</v>
      </c>
      <c r="C308" s="640">
        <v>172764681</v>
      </c>
      <c r="D308" s="310" t="s">
        <v>196</v>
      </c>
      <c r="E308" s="310" t="s">
        <v>196</v>
      </c>
      <c r="F308" s="929" t="s">
        <v>209</v>
      </c>
      <c r="G308" s="317" t="s">
        <v>222</v>
      </c>
      <c r="H308" s="1354" t="s">
        <v>853</v>
      </c>
      <c r="I308" s="1364" t="s">
        <v>3590</v>
      </c>
      <c r="J308" s="266"/>
      <c r="K308" s="268"/>
      <c r="L308" s="268"/>
    </row>
    <row r="309" spans="1:12" ht="14.4" x14ac:dyDescent="0.3">
      <c r="A309" s="179">
        <f t="shared" si="4"/>
        <v>22</v>
      </c>
      <c r="B309" s="641" t="s">
        <v>472</v>
      </c>
      <c r="C309" s="641">
        <v>151901859</v>
      </c>
      <c r="D309" s="315" t="s">
        <v>862</v>
      </c>
      <c r="E309" s="315" t="s">
        <v>862</v>
      </c>
      <c r="F309" s="930" t="s">
        <v>89</v>
      </c>
      <c r="G309" s="315" t="s">
        <v>2704</v>
      </c>
      <c r="H309" s="1355" t="s">
        <v>2</v>
      </c>
      <c r="I309" s="1365" t="s">
        <v>880</v>
      </c>
      <c r="J309" s="264"/>
      <c r="K309" s="271"/>
      <c r="L309" s="271"/>
    </row>
    <row r="310" spans="1:12" ht="14.4" x14ac:dyDescent="0.3">
      <c r="A310" s="179">
        <f t="shared" si="4"/>
        <v>22</v>
      </c>
      <c r="B310" s="641" t="s">
        <v>522</v>
      </c>
      <c r="C310" s="641">
        <v>143968413</v>
      </c>
      <c r="D310" s="311" t="s">
        <v>197</v>
      </c>
      <c r="E310" s="311" t="s">
        <v>197</v>
      </c>
      <c r="F310" s="930" t="s">
        <v>209</v>
      </c>
      <c r="G310" s="315" t="s">
        <v>2819</v>
      </c>
      <c r="H310" s="1355" t="s">
        <v>2</v>
      </c>
      <c r="I310" s="1365" t="s">
        <v>880</v>
      </c>
      <c r="J310" s="264" t="s">
        <v>1483</v>
      </c>
      <c r="K310" s="271">
        <v>45379</v>
      </c>
      <c r="L310" s="271"/>
    </row>
    <row r="311" spans="1:12" ht="14.4" x14ac:dyDescent="0.3">
      <c r="A311" s="179">
        <f t="shared" si="4"/>
        <v>22</v>
      </c>
      <c r="B311" s="643" t="s">
        <v>532</v>
      </c>
      <c r="C311" s="643">
        <v>151866395</v>
      </c>
      <c r="D311" s="312" t="s">
        <v>765</v>
      </c>
      <c r="E311" s="312" t="s">
        <v>765</v>
      </c>
      <c r="F311" s="931" t="s">
        <v>89</v>
      </c>
      <c r="G311" s="316" t="s">
        <v>1921</v>
      </c>
      <c r="H311" s="1356" t="s">
        <v>855</v>
      </c>
      <c r="I311" s="1366" t="s">
        <v>1220</v>
      </c>
      <c r="J311" s="265"/>
      <c r="K311" s="270"/>
      <c r="L311" s="270"/>
    </row>
    <row r="312" spans="1:12" ht="14.4" x14ac:dyDescent="0.3">
      <c r="A312" s="179">
        <f t="shared" si="4"/>
        <v>22</v>
      </c>
      <c r="B312" s="643" t="s">
        <v>314</v>
      </c>
      <c r="C312" s="643">
        <v>162955020</v>
      </c>
      <c r="D312" s="312" t="s">
        <v>198</v>
      </c>
      <c r="E312" s="316" t="s">
        <v>198</v>
      </c>
      <c r="F312" s="931" t="s">
        <v>209</v>
      </c>
      <c r="G312" s="316" t="s">
        <v>236</v>
      </c>
      <c r="H312" s="1356" t="s">
        <v>855</v>
      </c>
      <c r="I312" s="1366" t="s">
        <v>1220</v>
      </c>
      <c r="J312" s="265"/>
      <c r="K312" s="270"/>
      <c r="L312" s="270"/>
    </row>
    <row r="313" spans="1:12" ht="14.4" x14ac:dyDescent="0.3">
      <c r="A313" s="179">
        <f t="shared" si="4"/>
        <v>22</v>
      </c>
      <c r="B313" s="643" t="s">
        <v>421</v>
      </c>
      <c r="C313" s="643">
        <v>136024078</v>
      </c>
      <c r="D313" s="316" t="s">
        <v>863</v>
      </c>
      <c r="E313" s="316" t="s">
        <v>863</v>
      </c>
      <c r="F313" s="265" t="s">
        <v>17</v>
      </c>
      <c r="G313" s="316" t="s">
        <v>34</v>
      </c>
      <c r="H313" s="1356" t="s">
        <v>855</v>
      </c>
      <c r="I313" s="1369" t="s">
        <v>1220</v>
      </c>
      <c r="J313" s="265"/>
      <c r="K313" s="270"/>
      <c r="L313" s="270"/>
    </row>
    <row r="314" spans="1:12" ht="14.4" x14ac:dyDescent="0.3">
      <c r="A314" s="179">
        <f t="shared" si="4"/>
        <v>22</v>
      </c>
      <c r="B314" s="643" t="s">
        <v>2675</v>
      </c>
      <c r="C314" s="643" t="s">
        <v>2676</v>
      </c>
      <c r="D314" s="316" t="s">
        <v>680</v>
      </c>
      <c r="E314" s="316" t="s">
        <v>680</v>
      </c>
      <c r="F314" s="931" t="s">
        <v>3</v>
      </c>
      <c r="G314" s="316" t="s">
        <v>3452</v>
      </c>
      <c r="H314" s="1356" t="s">
        <v>855</v>
      </c>
      <c r="I314" s="1366" t="s">
        <v>1220</v>
      </c>
      <c r="J314" s="265" t="s">
        <v>1483</v>
      </c>
      <c r="K314" s="871"/>
      <c r="L314" s="871"/>
    </row>
    <row r="315" spans="1:12" ht="14.4" x14ac:dyDescent="0.3">
      <c r="A315" s="179">
        <f t="shared" si="4"/>
        <v>22</v>
      </c>
      <c r="B315" s="639" t="s">
        <v>541</v>
      </c>
      <c r="C315" s="639">
        <v>127673209</v>
      </c>
      <c r="D315" s="308" t="s">
        <v>864</v>
      </c>
      <c r="E315" s="308" t="s">
        <v>864</v>
      </c>
      <c r="F315" s="263" t="s">
        <v>17</v>
      </c>
      <c r="G315" s="308" t="s">
        <v>2706</v>
      </c>
      <c r="H315" s="1353" t="s">
        <v>855</v>
      </c>
      <c r="I315" s="1363" t="s">
        <v>1220</v>
      </c>
      <c r="J315" s="263"/>
      <c r="K315" s="269"/>
      <c r="L315" s="269"/>
    </row>
    <row r="316" spans="1:12" ht="14.4" x14ac:dyDescent="0.3">
      <c r="A316" s="179">
        <f t="shared" si="4"/>
        <v>22</v>
      </c>
      <c r="B316" s="639" t="s">
        <v>312</v>
      </c>
      <c r="C316" s="639">
        <v>159838102</v>
      </c>
      <c r="D316" s="715" t="s">
        <v>769</v>
      </c>
      <c r="E316" s="308" t="s">
        <v>754</v>
      </c>
      <c r="F316" s="928" t="s">
        <v>209</v>
      </c>
      <c r="G316" s="308" t="s">
        <v>2181</v>
      </c>
      <c r="H316" s="1353" t="s">
        <v>855</v>
      </c>
      <c r="I316" s="1347" t="s">
        <v>1220</v>
      </c>
      <c r="J316" s="263" t="s">
        <v>1483</v>
      </c>
      <c r="K316" s="269"/>
      <c r="L316" s="269"/>
    </row>
    <row r="317" spans="1:12" ht="14.4" x14ac:dyDescent="0.3">
      <c r="A317" s="179">
        <f t="shared" si="4"/>
        <v>22</v>
      </c>
      <c r="B317" s="639" t="s">
        <v>525</v>
      </c>
      <c r="C317" s="639">
        <v>168065477</v>
      </c>
      <c r="D317" s="715" t="s">
        <v>2015</v>
      </c>
      <c r="E317" s="308" t="s">
        <v>754</v>
      </c>
      <c r="F317" s="263" t="s">
        <v>209</v>
      </c>
      <c r="G317" s="308" t="s">
        <v>52</v>
      </c>
      <c r="H317" s="1353" t="s">
        <v>855</v>
      </c>
      <c r="I317" s="1347" t="s">
        <v>1220</v>
      </c>
      <c r="J317" s="263"/>
      <c r="K317" s="269"/>
      <c r="L317" s="269"/>
    </row>
    <row r="318" spans="1:12" ht="14.4" x14ac:dyDescent="0.3">
      <c r="A318" s="179">
        <f t="shared" si="4"/>
        <v>22</v>
      </c>
      <c r="B318" s="639" t="s">
        <v>542</v>
      </c>
      <c r="C318" s="639">
        <v>178268384</v>
      </c>
      <c r="D318" s="716" t="s">
        <v>1995</v>
      </c>
      <c r="E318" s="308" t="s">
        <v>754</v>
      </c>
      <c r="F318" s="263" t="s">
        <v>3</v>
      </c>
      <c r="G318" s="308" t="s">
        <v>1840</v>
      </c>
      <c r="H318" s="1353" t="s">
        <v>855</v>
      </c>
      <c r="I318" s="1363" t="s">
        <v>1220</v>
      </c>
      <c r="J318" s="263"/>
      <c r="K318" s="269"/>
      <c r="L318" s="269"/>
    </row>
    <row r="319" spans="1:12" ht="14.4" x14ac:dyDescent="0.3">
      <c r="A319" s="179">
        <f t="shared" si="4"/>
        <v>22</v>
      </c>
      <c r="B319" s="641" t="s">
        <v>523</v>
      </c>
      <c r="C319" s="641">
        <v>129891890</v>
      </c>
      <c r="D319" s="311" t="s">
        <v>2018</v>
      </c>
      <c r="E319" s="311" t="s">
        <v>2018</v>
      </c>
      <c r="F319" s="264" t="s">
        <v>17</v>
      </c>
      <c r="G319" s="315" t="s">
        <v>1865</v>
      </c>
      <c r="H319" s="1355" t="s">
        <v>853</v>
      </c>
      <c r="I319" s="1365" t="s">
        <v>3591</v>
      </c>
      <c r="J319" s="264"/>
      <c r="K319" s="271"/>
      <c r="L319" s="271"/>
    </row>
    <row r="320" spans="1:12" ht="14.4" x14ac:dyDescent="0.3">
      <c r="A320" s="179">
        <f t="shared" si="4"/>
        <v>22</v>
      </c>
      <c r="B320" s="641" t="s">
        <v>527</v>
      </c>
      <c r="C320" s="641">
        <v>167841236</v>
      </c>
      <c r="D320" s="311" t="s">
        <v>2015</v>
      </c>
      <c r="E320" s="315" t="s">
        <v>2015</v>
      </c>
      <c r="F320" s="264" t="s">
        <v>209</v>
      </c>
      <c r="G320" s="315" t="s">
        <v>1914</v>
      </c>
      <c r="H320" s="1355" t="s">
        <v>853</v>
      </c>
      <c r="I320" s="1365" t="s">
        <v>3591</v>
      </c>
      <c r="J320" s="264"/>
      <c r="K320" s="271"/>
      <c r="L320" s="271"/>
    </row>
    <row r="321" spans="1:12" ht="14.4" x14ac:dyDescent="0.3">
      <c r="A321" s="179">
        <f t="shared" si="4"/>
        <v>22</v>
      </c>
      <c r="B321" s="639" t="s">
        <v>563</v>
      </c>
      <c r="C321" s="639">
        <v>142975068</v>
      </c>
      <c r="D321" s="1333" t="s">
        <v>770</v>
      </c>
      <c r="E321" s="1333" t="s">
        <v>770</v>
      </c>
      <c r="F321" s="263" t="s">
        <v>17</v>
      </c>
      <c r="G321" s="308" t="s">
        <v>182</v>
      </c>
      <c r="H321" s="1353" t="s">
        <v>853</v>
      </c>
      <c r="I321" s="1370" t="s">
        <v>2455</v>
      </c>
      <c r="J321" s="263"/>
      <c r="K321" s="269"/>
      <c r="L321" s="269"/>
    </row>
    <row r="322" spans="1:12" ht="14.4" x14ac:dyDescent="0.3">
      <c r="A322" s="179">
        <f t="shared" si="4"/>
        <v>22</v>
      </c>
      <c r="B322" s="639" t="s">
        <v>432</v>
      </c>
      <c r="C322" s="639">
        <v>184077213</v>
      </c>
      <c r="D322" s="1333" t="s">
        <v>770</v>
      </c>
      <c r="E322" s="1333" t="s">
        <v>770</v>
      </c>
      <c r="F322" s="263" t="s">
        <v>4</v>
      </c>
      <c r="G322" s="308" t="s">
        <v>1912</v>
      </c>
      <c r="H322" s="1353" t="s">
        <v>853</v>
      </c>
      <c r="I322" s="1363" t="s">
        <v>2455</v>
      </c>
      <c r="J322" s="263"/>
      <c r="K322" s="269"/>
      <c r="L322" s="269"/>
    </row>
    <row r="323" spans="1:12" ht="14.4" x14ac:dyDescent="0.3">
      <c r="A323" s="179">
        <f t="shared" si="4"/>
        <v>22</v>
      </c>
      <c r="B323" s="639" t="s">
        <v>543</v>
      </c>
      <c r="C323" s="639">
        <v>127328900</v>
      </c>
      <c r="D323" s="309" t="s">
        <v>771</v>
      </c>
      <c r="E323" s="309" t="s">
        <v>771</v>
      </c>
      <c r="F323" s="263" t="s">
        <v>89</v>
      </c>
      <c r="G323" s="308" t="s">
        <v>257</v>
      </c>
      <c r="H323" s="1353" t="s">
        <v>855</v>
      </c>
      <c r="I323" s="1363" t="s">
        <v>2455</v>
      </c>
      <c r="J323" s="263"/>
      <c r="K323" s="269"/>
      <c r="L323" s="269"/>
    </row>
    <row r="324" spans="1:12" ht="14.4" x14ac:dyDescent="0.3">
      <c r="A324" s="179">
        <f t="shared" si="4"/>
        <v>22</v>
      </c>
      <c r="B324" s="639" t="s">
        <v>412</v>
      </c>
      <c r="C324" s="639">
        <v>197142138</v>
      </c>
      <c r="D324" s="309" t="s">
        <v>771</v>
      </c>
      <c r="E324" s="309" t="s">
        <v>771</v>
      </c>
      <c r="F324" s="263" t="s">
        <v>4</v>
      </c>
      <c r="G324" s="308" t="s">
        <v>1905</v>
      </c>
      <c r="H324" s="1353" t="s">
        <v>855</v>
      </c>
      <c r="I324" s="1363" t="s">
        <v>2455</v>
      </c>
      <c r="J324" s="263"/>
      <c r="K324" s="269"/>
      <c r="L324" s="269"/>
    </row>
    <row r="325" spans="1:12" ht="14.4" x14ac:dyDescent="0.3">
      <c r="A325" s="179">
        <f t="shared" si="4"/>
        <v>22</v>
      </c>
      <c r="B325" s="640" t="s">
        <v>553</v>
      </c>
      <c r="C325" s="640">
        <v>116576139</v>
      </c>
      <c r="D325" s="317" t="s">
        <v>774</v>
      </c>
      <c r="E325" s="317" t="s">
        <v>774</v>
      </c>
      <c r="F325" s="266" t="s">
        <v>11</v>
      </c>
      <c r="G325" s="317" t="s">
        <v>1919</v>
      </c>
      <c r="H325" s="1354" t="s">
        <v>1075</v>
      </c>
      <c r="I325" s="1364" t="s">
        <v>774</v>
      </c>
      <c r="J325" s="266"/>
      <c r="K325" s="268"/>
      <c r="L325" s="268"/>
    </row>
    <row r="326" spans="1:12" ht="14.4" x14ac:dyDescent="0.3">
      <c r="A326" s="179">
        <f t="shared" si="4"/>
        <v>22</v>
      </c>
      <c r="B326" s="640" t="s">
        <v>565</v>
      </c>
      <c r="C326" s="640">
        <v>163733137</v>
      </c>
      <c r="D326" s="317" t="s">
        <v>774</v>
      </c>
      <c r="E326" s="317" t="s">
        <v>774</v>
      </c>
      <c r="F326" s="266" t="s">
        <v>209</v>
      </c>
      <c r="G326" s="317" t="s">
        <v>210</v>
      </c>
      <c r="H326" s="1354" t="s">
        <v>1075</v>
      </c>
      <c r="I326" s="1364" t="s">
        <v>774</v>
      </c>
      <c r="J326" s="266"/>
      <c r="K326" s="268"/>
      <c r="L326" s="268"/>
    </row>
    <row r="327" spans="1:12" ht="26.4" x14ac:dyDescent="0.3">
      <c r="A327" s="179">
        <f t="shared" si="4"/>
        <v>22</v>
      </c>
      <c r="B327" s="641" t="s">
        <v>554</v>
      </c>
      <c r="C327" s="641">
        <v>163649462</v>
      </c>
      <c r="D327" s="311" t="s">
        <v>193</v>
      </c>
      <c r="E327" s="315" t="s">
        <v>193</v>
      </c>
      <c r="F327" s="264" t="s">
        <v>209</v>
      </c>
      <c r="G327" s="315" t="s">
        <v>1924</v>
      </c>
      <c r="H327" s="1355" t="s">
        <v>853</v>
      </c>
      <c r="I327" s="1365" t="s">
        <v>193</v>
      </c>
      <c r="J327" s="264"/>
      <c r="K327" s="271"/>
      <c r="L327" s="271"/>
    </row>
    <row r="328" spans="1:12" ht="26.4" x14ac:dyDescent="0.3">
      <c r="A328" s="179">
        <f t="shared" si="4"/>
        <v>22</v>
      </c>
      <c r="B328" s="641" t="s">
        <v>397</v>
      </c>
      <c r="C328" s="641" t="s">
        <v>398</v>
      </c>
      <c r="D328" s="311" t="s">
        <v>193</v>
      </c>
      <c r="E328" s="315" t="s">
        <v>193</v>
      </c>
      <c r="F328" s="264" t="s">
        <v>4</v>
      </c>
      <c r="G328" s="315" t="s">
        <v>149</v>
      </c>
      <c r="H328" s="1355" t="s">
        <v>853</v>
      </c>
      <c r="I328" s="1365" t="s">
        <v>193</v>
      </c>
      <c r="J328" s="264"/>
      <c r="K328" s="271"/>
      <c r="L328" s="271"/>
    </row>
    <row r="329" spans="1:12" ht="26.4" x14ac:dyDescent="0.3">
      <c r="A329" s="179">
        <f t="shared" si="4"/>
        <v>22</v>
      </c>
      <c r="B329" s="642" t="s">
        <v>2249</v>
      </c>
      <c r="C329" s="642" t="s">
        <v>2248</v>
      </c>
      <c r="D329" s="715" t="s">
        <v>193</v>
      </c>
      <c r="E329" s="314" t="s">
        <v>1416</v>
      </c>
      <c r="F329" s="932" t="s">
        <v>89</v>
      </c>
      <c r="G329" s="314" t="s">
        <v>2703</v>
      </c>
      <c r="H329" s="1357" t="s">
        <v>853</v>
      </c>
      <c r="I329" s="1367" t="s">
        <v>1416</v>
      </c>
      <c r="J329" s="193"/>
      <c r="K329" s="211"/>
      <c r="L329" s="211"/>
    </row>
    <row r="330" spans="1:12" ht="26.4" x14ac:dyDescent="0.3">
      <c r="A330" s="179">
        <f t="shared" si="4"/>
        <v>22</v>
      </c>
      <c r="B330" s="639" t="s">
        <v>593</v>
      </c>
      <c r="C330" s="639">
        <v>169043728</v>
      </c>
      <c r="D330" s="715" t="s">
        <v>193</v>
      </c>
      <c r="E330" s="309" t="s">
        <v>1417</v>
      </c>
      <c r="F330" s="263" t="s">
        <v>209</v>
      </c>
      <c r="G330" s="308" t="s">
        <v>1917</v>
      </c>
      <c r="H330" s="1353" t="s">
        <v>853</v>
      </c>
      <c r="I330" s="1363" t="s">
        <v>1417</v>
      </c>
      <c r="J330" s="263"/>
      <c r="K330" s="269"/>
      <c r="L330" s="269"/>
    </row>
    <row r="331" spans="1:12" ht="26.4" x14ac:dyDescent="0.3">
      <c r="A331" s="179">
        <f t="shared" si="4"/>
        <v>22</v>
      </c>
      <c r="B331" s="639" t="s">
        <v>416</v>
      </c>
      <c r="C331" s="639">
        <v>174573743</v>
      </c>
      <c r="D331" s="715" t="s">
        <v>193</v>
      </c>
      <c r="E331" s="308" t="s">
        <v>1417</v>
      </c>
      <c r="F331" s="263" t="s">
        <v>4</v>
      </c>
      <c r="G331" s="308" t="s">
        <v>1870</v>
      </c>
      <c r="H331" s="1353" t="s">
        <v>853</v>
      </c>
      <c r="I331" s="1363" t="s">
        <v>1417</v>
      </c>
      <c r="J331" s="263"/>
      <c r="K331" s="269"/>
      <c r="L331" s="269"/>
    </row>
    <row r="332" spans="1:12" ht="14.4" x14ac:dyDescent="0.3">
      <c r="A332" s="179">
        <f t="shared" si="4"/>
        <v>22</v>
      </c>
      <c r="B332" s="642" t="s">
        <v>415</v>
      </c>
      <c r="C332" s="642">
        <v>134660279</v>
      </c>
      <c r="D332" s="716" t="s">
        <v>768</v>
      </c>
      <c r="E332" s="314" t="s">
        <v>218</v>
      </c>
      <c r="F332" s="193" t="s">
        <v>17</v>
      </c>
      <c r="G332" s="314" t="s">
        <v>46</v>
      </c>
      <c r="H332" s="1357" t="s">
        <v>1075</v>
      </c>
      <c r="I332" s="1367" t="s">
        <v>218</v>
      </c>
      <c r="J332" s="193"/>
      <c r="K332" s="211"/>
      <c r="L332" s="211"/>
    </row>
    <row r="333" spans="1:12" ht="14.4" x14ac:dyDescent="0.3">
      <c r="A333" s="179">
        <f t="shared" ref="A333:A396" si="5">IF(G333&lt;&gt;"",22,0)</f>
        <v>22</v>
      </c>
      <c r="B333" s="642" t="s">
        <v>2691</v>
      </c>
      <c r="C333" s="642" t="s">
        <v>2692</v>
      </c>
      <c r="D333" s="314" t="s">
        <v>218</v>
      </c>
      <c r="E333" s="314" t="s">
        <v>218</v>
      </c>
      <c r="F333" s="932" t="s">
        <v>209</v>
      </c>
      <c r="G333" s="314" t="s">
        <v>2693</v>
      </c>
      <c r="H333" s="1357" t="s">
        <v>1075</v>
      </c>
      <c r="I333" s="1367" t="s">
        <v>218</v>
      </c>
      <c r="J333" s="193"/>
      <c r="K333" s="889"/>
      <c r="L333" s="889"/>
    </row>
    <row r="334" spans="1:12" ht="14.4" x14ac:dyDescent="0.3">
      <c r="A334" s="179">
        <f t="shared" si="5"/>
        <v>22</v>
      </c>
      <c r="B334" s="642" t="s">
        <v>315</v>
      </c>
      <c r="C334" s="642" t="s">
        <v>316</v>
      </c>
      <c r="D334" s="715" t="s">
        <v>712</v>
      </c>
      <c r="E334" s="313" t="s">
        <v>218</v>
      </c>
      <c r="F334" s="193" t="s">
        <v>3</v>
      </c>
      <c r="G334" s="314" t="s">
        <v>1852</v>
      </c>
      <c r="H334" s="1357" t="s">
        <v>1075</v>
      </c>
      <c r="I334" s="1367" t="s">
        <v>218</v>
      </c>
      <c r="J334" s="193"/>
      <c r="K334" s="211"/>
      <c r="L334" s="211"/>
    </row>
    <row r="335" spans="1:12" ht="14.4" x14ac:dyDescent="0.3">
      <c r="A335" s="179">
        <f t="shared" si="5"/>
        <v>22</v>
      </c>
      <c r="B335" s="642" t="s">
        <v>496</v>
      </c>
      <c r="C335" s="642">
        <v>188038913</v>
      </c>
      <c r="D335" s="314" t="s">
        <v>218</v>
      </c>
      <c r="E335" s="314" t="s">
        <v>218</v>
      </c>
      <c r="F335" s="193" t="s">
        <v>4</v>
      </c>
      <c r="G335" s="314" t="s">
        <v>205</v>
      </c>
      <c r="H335" s="1357" t="s">
        <v>1075</v>
      </c>
      <c r="I335" s="1367" t="s">
        <v>218</v>
      </c>
      <c r="J335" s="193"/>
      <c r="K335" s="211"/>
      <c r="L335" s="211"/>
    </row>
    <row r="336" spans="1:12" ht="14.4" x14ac:dyDescent="0.3">
      <c r="A336" s="179">
        <f t="shared" si="5"/>
        <v>22</v>
      </c>
      <c r="B336" s="639" t="s">
        <v>558</v>
      </c>
      <c r="C336" s="639" t="s">
        <v>559</v>
      </c>
      <c r="D336" s="309" t="s">
        <v>16</v>
      </c>
      <c r="E336" s="308" t="s">
        <v>16</v>
      </c>
      <c r="F336" s="263" t="s">
        <v>17</v>
      </c>
      <c r="G336" s="308" t="s">
        <v>1872</v>
      </c>
      <c r="H336" s="1353" t="s">
        <v>1075</v>
      </c>
      <c r="I336" s="1363" t="s">
        <v>16</v>
      </c>
      <c r="J336" s="263"/>
      <c r="K336" s="269"/>
      <c r="L336" s="269"/>
    </row>
    <row r="337" spans="1:12" ht="14.4" x14ac:dyDescent="0.3">
      <c r="A337" s="179">
        <f t="shared" si="5"/>
        <v>22</v>
      </c>
      <c r="B337" s="639" t="s">
        <v>481</v>
      </c>
      <c r="C337" s="639">
        <v>170139828</v>
      </c>
      <c r="D337" s="309" t="s">
        <v>16</v>
      </c>
      <c r="E337" s="309" t="s">
        <v>16</v>
      </c>
      <c r="F337" s="928" t="s">
        <v>209</v>
      </c>
      <c r="G337" s="308" t="s">
        <v>233</v>
      </c>
      <c r="H337" s="1353" t="s">
        <v>1075</v>
      </c>
      <c r="I337" s="1363" t="s">
        <v>16</v>
      </c>
      <c r="J337" s="263"/>
      <c r="K337" s="269"/>
      <c r="L337" s="269"/>
    </row>
    <row r="338" spans="1:12" ht="14.4" x14ac:dyDescent="0.3">
      <c r="A338" s="179">
        <f t="shared" si="5"/>
        <v>22</v>
      </c>
      <c r="B338" s="640" t="s">
        <v>491</v>
      </c>
      <c r="C338" s="640">
        <v>113715820</v>
      </c>
      <c r="D338" s="310" t="s">
        <v>206</v>
      </c>
      <c r="E338" s="317" t="s">
        <v>206</v>
      </c>
      <c r="F338" s="929" t="s">
        <v>11</v>
      </c>
      <c r="G338" s="317" t="s">
        <v>43</v>
      </c>
      <c r="H338" s="1354" t="s">
        <v>1075</v>
      </c>
      <c r="I338" s="1364" t="s">
        <v>206</v>
      </c>
      <c r="J338" s="266"/>
      <c r="K338" s="268"/>
      <c r="L338" s="268"/>
    </row>
    <row r="339" spans="1:12" ht="26.4" x14ac:dyDescent="0.3">
      <c r="A339" s="179">
        <f t="shared" si="5"/>
        <v>22</v>
      </c>
      <c r="B339" s="643" t="s">
        <v>332</v>
      </c>
      <c r="C339" s="643">
        <v>185240339</v>
      </c>
      <c r="D339" s="716" t="s">
        <v>2001</v>
      </c>
      <c r="E339" s="316" t="s">
        <v>1000</v>
      </c>
      <c r="F339" s="1019" t="s">
        <v>10</v>
      </c>
      <c r="G339" s="316" t="s">
        <v>231</v>
      </c>
      <c r="H339" s="1356" t="s">
        <v>853</v>
      </c>
      <c r="I339" s="1366" t="s">
        <v>1000</v>
      </c>
      <c r="J339" s="265"/>
      <c r="K339" s="270">
        <v>45378</v>
      </c>
      <c r="L339" s="270">
        <v>45743</v>
      </c>
    </row>
    <row r="340" spans="1:12" ht="26.4" x14ac:dyDescent="0.3">
      <c r="A340" s="179">
        <f t="shared" si="5"/>
        <v>22</v>
      </c>
      <c r="B340" s="643" t="s">
        <v>645</v>
      </c>
      <c r="C340" s="643">
        <v>168179685</v>
      </c>
      <c r="D340" s="715" t="s">
        <v>1398</v>
      </c>
      <c r="E340" s="312" t="s">
        <v>1000</v>
      </c>
      <c r="F340" s="931" t="s">
        <v>209</v>
      </c>
      <c r="G340" s="316" t="s">
        <v>2400</v>
      </c>
      <c r="H340" s="1356" t="s">
        <v>1075</v>
      </c>
      <c r="I340" s="1366" t="s">
        <v>1000</v>
      </c>
      <c r="J340" s="265"/>
      <c r="K340" s="270"/>
      <c r="L340" s="270"/>
    </row>
    <row r="341" spans="1:12" ht="26.4" x14ac:dyDescent="0.3">
      <c r="A341" s="179">
        <f t="shared" si="5"/>
        <v>22</v>
      </c>
      <c r="B341" s="643" t="s">
        <v>2828</v>
      </c>
      <c r="C341" s="643" t="s">
        <v>2829</v>
      </c>
      <c r="D341" s="715" t="s">
        <v>717</v>
      </c>
      <c r="E341" s="316" t="s">
        <v>1000</v>
      </c>
      <c r="F341" s="931" t="s">
        <v>3</v>
      </c>
      <c r="G341" s="316" t="s">
        <v>2830</v>
      </c>
      <c r="H341" s="1356" t="s">
        <v>853</v>
      </c>
      <c r="I341" s="1366" t="s">
        <v>1000</v>
      </c>
      <c r="J341" s="265" t="s">
        <v>987</v>
      </c>
      <c r="K341" s="871"/>
      <c r="L341" s="871"/>
    </row>
    <row r="342" spans="1:12" ht="26.4" x14ac:dyDescent="0.3">
      <c r="A342" s="179">
        <f t="shared" si="5"/>
        <v>22</v>
      </c>
      <c r="B342" s="643" t="s">
        <v>564</v>
      </c>
      <c r="C342" s="643">
        <v>202301258</v>
      </c>
      <c r="D342" s="316" t="s">
        <v>1000</v>
      </c>
      <c r="E342" s="316" t="s">
        <v>1000</v>
      </c>
      <c r="F342" s="265" t="s">
        <v>3</v>
      </c>
      <c r="G342" s="316" t="s">
        <v>133</v>
      </c>
      <c r="H342" s="1356" t="s">
        <v>853</v>
      </c>
      <c r="I342" s="1366" t="s">
        <v>1000</v>
      </c>
      <c r="J342" s="265" t="s">
        <v>3006</v>
      </c>
      <c r="K342" s="270"/>
      <c r="L342" s="270"/>
    </row>
    <row r="343" spans="1:12" ht="39.6" x14ac:dyDescent="0.3">
      <c r="A343" s="179">
        <f t="shared" si="5"/>
        <v>22</v>
      </c>
      <c r="B343" s="643" t="s">
        <v>344</v>
      </c>
      <c r="C343" s="643">
        <v>200957334</v>
      </c>
      <c r="D343" s="715" t="s">
        <v>713</v>
      </c>
      <c r="E343" s="316" t="s">
        <v>1000</v>
      </c>
      <c r="F343" s="265" t="s">
        <v>4</v>
      </c>
      <c r="G343" s="316" t="s">
        <v>103</v>
      </c>
      <c r="H343" s="1356" t="s">
        <v>853</v>
      </c>
      <c r="I343" s="1366" t="s">
        <v>1000</v>
      </c>
      <c r="J343" s="265" t="s">
        <v>3451</v>
      </c>
      <c r="K343" s="270"/>
      <c r="L343" s="270"/>
    </row>
    <row r="344" spans="1:12" ht="26.4" x14ac:dyDescent="0.3">
      <c r="A344" s="179">
        <f t="shared" si="5"/>
        <v>22</v>
      </c>
      <c r="B344" s="643" t="s">
        <v>507</v>
      </c>
      <c r="C344" s="643">
        <v>196813209</v>
      </c>
      <c r="D344" s="715" t="s">
        <v>716</v>
      </c>
      <c r="E344" s="312" t="s">
        <v>1000</v>
      </c>
      <c r="F344" s="265" t="s">
        <v>4</v>
      </c>
      <c r="G344" s="316" t="s">
        <v>104</v>
      </c>
      <c r="H344" s="1356" t="s">
        <v>854</v>
      </c>
      <c r="I344" s="1366" t="s">
        <v>1000</v>
      </c>
      <c r="J344" s="265" t="s">
        <v>1483</v>
      </c>
      <c r="K344" s="270"/>
      <c r="L344" s="270"/>
    </row>
    <row r="345" spans="1:12" ht="26.4" x14ac:dyDescent="0.3">
      <c r="A345" s="179">
        <f t="shared" si="5"/>
        <v>22</v>
      </c>
      <c r="B345" s="643" t="s">
        <v>582</v>
      </c>
      <c r="C345" s="643">
        <v>179529548</v>
      </c>
      <c r="D345" s="715" t="s">
        <v>703</v>
      </c>
      <c r="E345" s="312" t="s">
        <v>1000</v>
      </c>
      <c r="F345" s="265" t="s">
        <v>4</v>
      </c>
      <c r="G345" s="316" t="s">
        <v>54</v>
      </c>
      <c r="H345" s="1356" t="s">
        <v>1075</v>
      </c>
      <c r="I345" s="1366" t="s">
        <v>1000</v>
      </c>
      <c r="J345" s="265" t="s">
        <v>3123</v>
      </c>
      <c r="K345" s="270"/>
      <c r="L345" s="270"/>
    </row>
    <row r="346" spans="1:12" ht="14.4" x14ac:dyDescent="0.3">
      <c r="A346" s="179">
        <f t="shared" si="5"/>
        <v>22</v>
      </c>
      <c r="B346" s="642" t="s">
        <v>547</v>
      </c>
      <c r="C346" s="642">
        <v>167392482</v>
      </c>
      <c r="D346" s="715" t="s">
        <v>769</v>
      </c>
      <c r="E346" s="313" t="s">
        <v>936</v>
      </c>
      <c r="F346" s="193" t="s">
        <v>3</v>
      </c>
      <c r="G346" s="314" t="s">
        <v>1916</v>
      </c>
      <c r="H346" s="1357" t="s">
        <v>855</v>
      </c>
      <c r="I346" s="1367" t="s">
        <v>936</v>
      </c>
      <c r="J346" s="193" t="s">
        <v>3572</v>
      </c>
      <c r="K346" s="211"/>
      <c r="L346" s="211"/>
    </row>
    <row r="347" spans="1:12" ht="26.4" x14ac:dyDescent="0.3">
      <c r="A347" s="179">
        <f t="shared" si="5"/>
        <v>22</v>
      </c>
      <c r="B347" s="640" t="s">
        <v>560</v>
      </c>
      <c r="C347" s="640">
        <v>124665388</v>
      </c>
      <c r="D347" s="317" t="s">
        <v>1081</v>
      </c>
      <c r="E347" s="317" t="s">
        <v>1081</v>
      </c>
      <c r="F347" s="266" t="s">
        <v>17</v>
      </c>
      <c r="G347" s="317" t="s">
        <v>1873</v>
      </c>
      <c r="H347" s="1354" t="s">
        <v>1075</v>
      </c>
      <c r="I347" s="1364" t="s">
        <v>1081</v>
      </c>
      <c r="J347" s="266"/>
      <c r="K347" s="268"/>
      <c r="L347" s="268"/>
    </row>
    <row r="348" spans="1:12" ht="26.4" x14ac:dyDescent="0.3">
      <c r="A348" s="179">
        <f t="shared" si="5"/>
        <v>22</v>
      </c>
      <c r="B348" s="640" t="s">
        <v>600</v>
      </c>
      <c r="C348" s="640">
        <v>99973668</v>
      </c>
      <c r="D348" s="310" t="s">
        <v>1081</v>
      </c>
      <c r="E348" s="310" t="s">
        <v>1081</v>
      </c>
      <c r="F348" s="266" t="s">
        <v>89</v>
      </c>
      <c r="G348" s="317" t="s">
        <v>70</v>
      </c>
      <c r="H348" s="1354" t="s">
        <v>1075</v>
      </c>
      <c r="I348" s="1364" t="s">
        <v>1081</v>
      </c>
      <c r="J348" s="266"/>
      <c r="K348" s="268"/>
      <c r="L348" s="268"/>
    </row>
    <row r="349" spans="1:12" ht="26.4" x14ac:dyDescent="0.3">
      <c r="A349" s="179">
        <f t="shared" si="5"/>
        <v>22</v>
      </c>
      <c r="B349" s="640" t="s">
        <v>569</v>
      </c>
      <c r="C349" s="640">
        <v>141709933</v>
      </c>
      <c r="D349" s="715" t="s">
        <v>701</v>
      </c>
      <c r="E349" s="317" t="s">
        <v>1081</v>
      </c>
      <c r="F349" s="929" t="s">
        <v>209</v>
      </c>
      <c r="G349" s="317" t="s">
        <v>246</v>
      </c>
      <c r="H349" s="1354" t="s">
        <v>1075</v>
      </c>
      <c r="I349" s="1364" t="s">
        <v>1081</v>
      </c>
      <c r="J349" s="266" t="s">
        <v>1483</v>
      </c>
      <c r="K349" s="268"/>
      <c r="L349" s="268"/>
    </row>
    <row r="350" spans="1:12" ht="26.4" x14ac:dyDescent="0.3">
      <c r="A350" s="179">
        <f t="shared" si="5"/>
        <v>22</v>
      </c>
      <c r="B350" s="640" t="s">
        <v>2319</v>
      </c>
      <c r="C350" s="640" t="s">
        <v>2320</v>
      </c>
      <c r="D350" s="715" t="s">
        <v>715</v>
      </c>
      <c r="E350" s="317" t="s">
        <v>1081</v>
      </c>
      <c r="F350" s="929" t="s">
        <v>4</v>
      </c>
      <c r="G350" s="317" t="s">
        <v>2321</v>
      </c>
      <c r="H350" s="1354" t="s">
        <v>853</v>
      </c>
      <c r="I350" s="1364" t="s">
        <v>1081</v>
      </c>
      <c r="J350" s="266" t="s">
        <v>3481</v>
      </c>
      <c r="K350" s="795"/>
      <c r="L350" s="795"/>
    </row>
    <row r="351" spans="1:12" ht="14.4" x14ac:dyDescent="0.3">
      <c r="A351" s="179">
        <f t="shared" si="5"/>
        <v>22</v>
      </c>
      <c r="B351" s="643" t="s">
        <v>498</v>
      </c>
      <c r="C351" s="643">
        <v>143957497</v>
      </c>
      <c r="D351" s="312" t="s">
        <v>1532</v>
      </c>
      <c r="E351" s="316" t="s">
        <v>1532</v>
      </c>
      <c r="F351" s="265" t="s">
        <v>17</v>
      </c>
      <c r="G351" s="316" t="s">
        <v>71</v>
      </c>
      <c r="H351" s="1356" t="s">
        <v>1075</v>
      </c>
      <c r="I351" s="1366" t="s">
        <v>1532</v>
      </c>
      <c r="J351" s="265"/>
      <c r="K351" s="270"/>
      <c r="L351" s="270"/>
    </row>
    <row r="352" spans="1:12" ht="14.4" x14ac:dyDescent="0.3">
      <c r="A352" s="179">
        <f t="shared" si="5"/>
        <v>22</v>
      </c>
      <c r="B352" s="643" t="s">
        <v>502</v>
      </c>
      <c r="C352" s="643">
        <v>140565792</v>
      </c>
      <c r="D352" s="312" t="s">
        <v>1532</v>
      </c>
      <c r="E352" s="316" t="s">
        <v>1532</v>
      </c>
      <c r="F352" s="931" t="s">
        <v>209</v>
      </c>
      <c r="G352" s="316" t="s">
        <v>1874</v>
      </c>
      <c r="H352" s="1356" t="s">
        <v>1075</v>
      </c>
      <c r="I352" s="1366" t="s">
        <v>1532</v>
      </c>
      <c r="J352" s="265"/>
      <c r="K352" s="270"/>
      <c r="L352" s="270"/>
    </row>
    <row r="353" spans="1:12" ht="14.4" x14ac:dyDescent="0.3">
      <c r="A353" s="179">
        <f t="shared" si="5"/>
        <v>22</v>
      </c>
      <c r="B353" s="643" t="s">
        <v>1535</v>
      </c>
      <c r="C353" s="643">
        <v>183361058</v>
      </c>
      <c r="D353" s="715" t="s">
        <v>2001</v>
      </c>
      <c r="E353" s="316" t="s">
        <v>1532</v>
      </c>
      <c r="F353" s="265" t="s">
        <v>3</v>
      </c>
      <c r="G353" s="316" t="s">
        <v>53</v>
      </c>
      <c r="H353" s="1356" t="s">
        <v>1075</v>
      </c>
      <c r="I353" s="1366" t="s">
        <v>1532</v>
      </c>
      <c r="J353" s="265" t="s">
        <v>3121</v>
      </c>
      <c r="K353" s="270"/>
      <c r="L353" s="270"/>
    </row>
    <row r="354" spans="1:12" ht="26.4" x14ac:dyDescent="0.3">
      <c r="A354" s="179">
        <f t="shared" si="5"/>
        <v>22</v>
      </c>
      <c r="B354" s="643" t="s">
        <v>690</v>
      </c>
      <c r="C354" s="643">
        <v>202539106</v>
      </c>
      <c r="D354" s="715" t="s">
        <v>2136</v>
      </c>
      <c r="E354" s="312" t="s">
        <v>1532</v>
      </c>
      <c r="F354" s="265" t="s">
        <v>4</v>
      </c>
      <c r="G354" s="316" t="s">
        <v>91</v>
      </c>
      <c r="H354" s="1356" t="s">
        <v>1075</v>
      </c>
      <c r="I354" s="1366" t="s">
        <v>1532</v>
      </c>
      <c r="J354" s="265" t="s">
        <v>3539</v>
      </c>
      <c r="K354" s="270"/>
      <c r="L354" s="270"/>
    </row>
    <row r="355" spans="1:12" ht="14.4" x14ac:dyDescent="0.3">
      <c r="A355" s="179">
        <f t="shared" si="5"/>
        <v>22</v>
      </c>
      <c r="B355" s="643" t="s">
        <v>595</v>
      </c>
      <c r="C355" s="643">
        <v>168448937</v>
      </c>
      <c r="D355" s="312" t="s">
        <v>1532</v>
      </c>
      <c r="E355" s="312" t="s">
        <v>1532</v>
      </c>
      <c r="F355" s="265" t="s">
        <v>4</v>
      </c>
      <c r="G355" s="316" t="s">
        <v>2144</v>
      </c>
      <c r="H355" s="1356" t="s">
        <v>1075</v>
      </c>
      <c r="I355" s="1366" t="s">
        <v>1532</v>
      </c>
      <c r="J355" s="265"/>
      <c r="K355" s="270"/>
      <c r="L355" s="270"/>
    </row>
    <row r="356" spans="1:12" ht="14.4" x14ac:dyDescent="0.3">
      <c r="A356" s="179">
        <f t="shared" si="5"/>
        <v>22</v>
      </c>
      <c r="B356" s="642" t="s">
        <v>2519</v>
      </c>
      <c r="C356" s="642">
        <v>138621901</v>
      </c>
      <c r="D356" s="313" t="s">
        <v>72</v>
      </c>
      <c r="E356" s="314" t="s">
        <v>72</v>
      </c>
      <c r="F356" s="932" t="s">
        <v>89</v>
      </c>
      <c r="G356" s="314" t="s">
        <v>2789</v>
      </c>
      <c r="H356" s="1357" t="s">
        <v>853</v>
      </c>
      <c r="I356" s="1367" t="s">
        <v>72</v>
      </c>
      <c r="J356" s="193"/>
      <c r="K356" s="889"/>
      <c r="L356" s="889"/>
    </row>
    <row r="357" spans="1:12" ht="14.4" x14ac:dyDescent="0.3">
      <c r="A357" s="179">
        <f t="shared" si="5"/>
        <v>22</v>
      </c>
      <c r="B357" s="639" t="s">
        <v>310</v>
      </c>
      <c r="C357" s="639">
        <v>182274976</v>
      </c>
      <c r="D357" s="1338" t="s">
        <v>791</v>
      </c>
      <c r="E357" s="1347" t="s">
        <v>791</v>
      </c>
      <c r="F357" s="263" t="s">
        <v>3</v>
      </c>
      <c r="G357" s="308" t="s">
        <v>1875</v>
      </c>
      <c r="H357" s="1353" t="s">
        <v>1075</v>
      </c>
      <c r="I357" s="1370" t="s">
        <v>791</v>
      </c>
      <c r="J357" s="263" t="s">
        <v>1483</v>
      </c>
      <c r="K357" s="269"/>
      <c r="L357" s="269"/>
    </row>
    <row r="358" spans="1:12" ht="14.4" x14ac:dyDescent="0.3">
      <c r="A358" s="179">
        <f t="shared" si="5"/>
        <v>22</v>
      </c>
      <c r="B358" s="640" t="s">
        <v>3140</v>
      </c>
      <c r="C358" s="640">
        <v>120626221</v>
      </c>
      <c r="D358" s="310" t="s">
        <v>1720</v>
      </c>
      <c r="E358" s="317" t="s">
        <v>1720</v>
      </c>
      <c r="F358" s="929" t="s">
        <v>11</v>
      </c>
      <c r="G358" s="317" t="s">
        <v>3141</v>
      </c>
      <c r="H358" s="1354" t="s">
        <v>1075</v>
      </c>
      <c r="I358" s="1364" t="s">
        <v>1720</v>
      </c>
      <c r="J358" s="266"/>
      <c r="K358" s="795"/>
      <c r="L358" s="795"/>
    </row>
    <row r="359" spans="1:12" ht="26.4" x14ac:dyDescent="0.3">
      <c r="A359" s="179">
        <f t="shared" si="5"/>
        <v>22</v>
      </c>
      <c r="B359" s="640" t="s">
        <v>573</v>
      </c>
      <c r="C359" s="640">
        <v>128590870</v>
      </c>
      <c r="D359" s="715" t="s">
        <v>679</v>
      </c>
      <c r="E359" s="317" t="s">
        <v>1720</v>
      </c>
      <c r="F359" s="266" t="s">
        <v>89</v>
      </c>
      <c r="G359" s="317" t="s">
        <v>25</v>
      </c>
      <c r="H359" s="1354" t="s">
        <v>1075</v>
      </c>
      <c r="I359" s="1364" t="s">
        <v>1720</v>
      </c>
      <c r="J359" s="266"/>
      <c r="K359" s="268"/>
      <c r="L359" s="268"/>
    </row>
    <row r="360" spans="1:12" ht="26.4" x14ac:dyDescent="0.3">
      <c r="A360" s="179">
        <f t="shared" si="5"/>
        <v>22</v>
      </c>
      <c r="B360" s="641" t="s">
        <v>574</v>
      </c>
      <c r="C360" s="641">
        <v>123845730</v>
      </c>
      <c r="D360" s="311" t="s">
        <v>679</v>
      </c>
      <c r="E360" s="315" t="s">
        <v>679</v>
      </c>
      <c r="F360" s="264" t="s">
        <v>17</v>
      </c>
      <c r="G360" s="315" t="s">
        <v>24</v>
      </c>
      <c r="H360" s="1355" t="s">
        <v>853</v>
      </c>
      <c r="I360" s="1365" t="s">
        <v>679</v>
      </c>
      <c r="J360" s="264"/>
      <c r="K360" s="271"/>
      <c r="L360" s="271"/>
    </row>
    <row r="361" spans="1:12" ht="26.4" x14ac:dyDescent="0.3">
      <c r="A361" s="179">
        <f t="shared" si="5"/>
        <v>22</v>
      </c>
      <c r="B361" s="641" t="s">
        <v>575</v>
      </c>
      <c r="C361" s="641">
        <v>172014887</v>
      </c>
      <c r="D361" s="311" t="s">
        <v>679</v>
      </c>
      <c r="E361" s="315" t="s">
        <v>679</v>
      </c>
      <c r="F361" s="264" t="s">
        <v>3</v>
      </c>
      <c r="G361" s="315" t="s">
        <v>3143</v>
      </c>
      <c r="H361" s="1355" t="s">
        <v>853</v>
      </c>
      <c r="I361" s="1365" t="s">
        <v>679</v>
      </c>
      <c r="J361" s="264" t="s">
        <v>3539</v>
      </c>
      <c r="K361" s="271"/>
      <c r="L361" s="271"/>
    </row>
    <row r="362" spans="1:12" ht="14.4" x14ac:dyDescent="0.3">
      <c r="A362" s="179">
        <f t="shared" si="5"/>
        <v>22</v>
      </c>
      <c r="B362" s="642" t="s">
        <v>566</v>
      </c>
      <c r="C362" s="642">
        <v>118837177</v>
      </c>
      <c r="D362" s="313" t="s">
        <v>83</v>
      </c>
      <c r="E362" s="314" t="s">
        <v>83</v>
      </c>
      <c r="F362" s="193" t="s">
        <v>11</v>
      </c>
      <c r="G362" s="314" t="s">
        <v>26</v>
      </c>
      <c r="H362" s="1357" t="s">
        <v>1075</v>
      </c>
      <c r="I362" s="1367" t="s">
        <v>83</v>
      </c>
      <c r="J362" s="193"/>
      <c r="K362" s="211"/>
      <c r="L362" s="211"/>
    </row>
    <row r="363" spans="1:12" ht="26.4" x14ac:dyDescent="0.3">
      <c r="A363" s="179">
        <f t="shared" si="5"/>
        <v>22</v>
      </c>
      <c r="B363" s="642" t="s">
        <v>417</v>
      </c>
      <c r="C363" s="642">
        <v>184508052</v>
      </c>
      <c r="D363" s="313" t="s">
        <v>83</v>
      </c>
      <c r="E363" s="313" t="s">
        <v>83</v>
      </c>
      <c r="F363" s="193" t="s">
        <v>4</v>
      </c>
      <c r="G363" s="314" t="s">
        <v>162</v>
      </c>
      <c r="H363" s="1357" t="s">
        <v>1075</v>
      </c>
      <c r="I363" s="1367" t="s">
        <v>83</v>
      </c>
      <c r="J363" s="193" t="s">
        <v>3539</v>
      </c>
      <c r="K363" s="211"/>
      <c r="L363" s="211"/>
    </row>
    <row r="364" spans="1:12" ht="14.4" x14ac:dyDescent="0.3">
      <c r="A364" s="179">
        <f t="shared" si="5"/>
        <v>22</v>
      </c>
      <c r="B364" s="642" t="s">
        <v>393</v>
      </c>
      <c r="C364" s="642">
        <v>194367902</v>
      </c>
      <c r="D364" s="715" t="s">
        <v>721</v>
      </c>
      <c r="E364" s="313" t="s">
        <v>83</v>
      </c>
      <c r="F364" s="193" t="s">
        <v>4</v>
      </c>
      <c r="G364" s="314" t="s">
        <v>116</v>
      </c>
      <c r="H364" s="1357" t="s">
        <v>1075</v>
      </c>
      <c r="I364" s="1367" t="s">
        <v>83</v>
      </c>
      <c r="J364" s="193"/>
      <c r="K364" s="211"/>
      <c r="L364" s="211"/>
    </row>
    <row r="365" spans="1:12" ht="14.4" x14ac:dyDescent="0.3">
      <c r="A365" s="179">
        <f t="shared" si="5"/>
        <v>22</v>
      </c>
      <c r="B365" s="639" t="s">
        <v>580</v>
      </c>
      <c r="C365" s="639">
        <v>169041776</v>
      </c>
      <c r="D365" s="308" t="s">
        <v>1080</v>
      </c>
      <c r="E365" s="308" t="s">
        <v>1080</v>
      </c>
      <c r="F365" s="263" t="s">
        <v>3</v>
      </c>
      <c r="G365" s="308" t="s">
        <v>57</v>
      </c>
      <c r="H365" s="1353" t="s">
        <v>1075</v>
      </c>
      <c r="I365" s="1363" t="s">
        <v>1080</v>
      </c>
      <c r="J365" s="263"/>
      <c r="K365" s="269"/>
      <c r="L365" s="269"/>
    </row>
    <row r="366" spans="1:12" ht="14.4" x14ac:dyDescent="0.3">
      <c r="A366" s="179">
        <f t="shared" si="5"/>
        <v>22</v>
      </c>
      <c r="B366" s="639" t="s">
        <v>378</v>
      </c>
      <c r="C366" s="639">
        <v>200200772</v>
      </c>
      <c r="D366" s="309" t="s">
        <v>1080</v>
      </c>
      <c r="E366" s="309" t="s">
        <v>1080</v>
      </c>
      <c r="F366" s="263" t="s">
        <v>4</v>
      </c>
      <c r="G366" s="308" t="s">
        <v>160</v>
      </c>
      <c r="H366" s="1353" t="s">
        <v>1075</v>
      </c>
      <c r="I366" s="1363" t="s">
        <v>1080</v>
      </c>
      <c r="J366" s="263"/>
      <c r="K366" s="269"/>
      <c r="L366" s="269"/>
    </row>
    <row r="367" spans="1:12" ht="26.4" x14ac:dyDescent="0.3">
      <c r="A367" s="179">
        <f t="shared" si="5"/>
        <v>22</v>
      </c>
      <c r="B367" s="641" t="s">
        <v>508</v>
      </c>
      <c r="C367" s="641">
        <v>120322702</v>
      </c>
      <c r="D367" s="715" t="s">
        <v>1839</v>
      </c>
      <c r="E367" s="315" t="s">
        <v>1985</v>
      </c>
      <c r="F367" s="930" t="s">
        <v>11</v>
      </c>
      <c r="G367" s="315" t="s">
        <v>73</v>
      </c>
      <c r="H367" s="1355" t="s">
        <v>853</v>
      </c>
      <c r="I367" s="1365" t="s">
        <v>1985</v>
      </c>
      <c r="J367" s="264"/>
      <c r="K367" s="271"/>
      <c r="L367" s="271"/>
    </row>
    <row r="368" spans="1:12" ht="26.4" x14ac:dyDescent="0.3">
      <c r="A368" s="179">
        <f t="shared" si="5"/>
        <v>22</v>
      </c>
      <c r="B368" s="641" t="s">
        <v>511</v>
      </c>
      <c r="C368" s="641" t="s">
        <v>512</v>
      </c>
      <c r="D368" s="716" t="s">
        <v>1839</v>
      </c>
      <c r="E368" s="315" t="s">
        <v>1985</v>
      </c>
      <c r="F368" s="930" t="s">
        <v>209</v>
      </c>
      <c r="G368" s="315" t="s">
        <v>2702</v>
      </c>
      <c r="H368" s="1355" t="s">
        <v>853</v>
      </c>
      <c r="I368" s="1365" t="s">
        <v>1985</v>
      </c>
      <c r="J368" s="264"/>
      <c r="K368" s="271"/>
      <c r="L368" s="271"/>
    </row>
    <row r="369" spans="1:12" ht="26.4" x14ac:dyDescent="0.3">
      <c r="A369" s="179">
        <f t="shared" si="5"/>
        <v>22</v>
      </c>
      <c r="B369" s="643" t="s">
        <v>515</v>
      </c>
      <c r="C369" s="643">
        <v>176446412</v>
      </c>
      <c r="D369" s="716" t="s">
        <v>1839</v>
      </c>
      <c r="E369" s="316" t="s">
        <v>1986</v>
      </c>
      <c r="F369" s="265" t="s">
        <v>3</v>
      </c>
      <c r="G369" s="316" t="s">
        <v>1918</v>
      </c>
      <c r="H369" s="1356" t="s">
        <v>2</v>
      </c>
      <c r="I369" s="1366" t="s">
        <v>1986</v>
      </c>
      <c r="J369" s="265"/>
      <c r="K369" s="270"/>
      <c r="L369" s="270"/>
    </row>
    <row r="370" spans="1:12" ht="26.4" x14ac:dyDescent="0.3">
      <c r="A370" s="179">
        <f t="shared" si="5"/>
        <v>22</v>
      </c>
      <c r="B370" s="643" t="s">
        <v>478</v>
      </c>
      <c r="C370" s="643">
        <v>205002235</v>
      </c>
      <c r="D370" s="716" t="s">
        <v>1839</v>
      </c>
      <c r="E370" s="312" t="s">
        <v>1986</v>
      </c>
      <c r="F370" s="265" t="s">
        <v>4</v>
      </c>
      <c r="G370" s="316" t="s">
        <v>128</v>
      </c>
      <c r="H370" s="1356" t="s">
        <v>2</v>
      </c>
      <c r="I370" s="1366" t="s">
        <v>1986</v>
      </c>
      <c r="J370" s="265"/>
      <c r="K370" s="270"/>
      <c r="L370" s="270"/>
    </row>
    <row r="371" spans="1:12" ht="26.4" x14ac:dyDescent="0.3">
      <c r="A371" s="179">
        <f t="shared" si="5"/>
        <v>22</v>
      </c>
      <c r="B371" s="643" t="s">
        <v>465</v>
      </c>
      <c r="C371" s="643">
        <v>196965106</v>
      </c>
      <c r="D371" s="715" t="s">
        <v>1839</v>
      </c>
      <c r="E371" s="316" t="s">
        <v>1986</v>
      </c>
      <c r="F371" s="265" t="s">
        <v>4</v>
      </c>
      <c r="G371" s="316" t="s">
        <v>158</v>
      </c>
      <c r="H371" s="1356" t="s">
        <v>2</v>
      </c>
      <c r="I371" s="1366" t="s">
        <v>1986</v>
      </c>
      <c r="J371" s="265"/>
      <c r="K371" s="270"/>
      <c r="L371" s="270"/>
    </row>
    <row r="372" spans="1:12" ht="26.4" x14ac:dyDescent="0.3">
      <c r="A372" s="179">
        <f t="shared" si="5"/>
        <v>22</v>
      </c>
      <c r="B372" s="643" t="s">
        <v>514</v>
      </c>
      <c r="C372" s="643">
        <v>202416926</v>
      </c>
      <c r="D372" s="716" t="s">
        <v>1839</v>
      </c>
      <c r="E372" s="316" t="s">
        <v>1986</v>
      </c>
      <c r="F372" s="265" t="s">
        <v>4</v>
      </c>
      <c r="G372" s="316" t="s">
        <v>98</v>
      </c>
      <c r="H372" s="1356" t="s">
        <v>2</v>
      </c>
      <c r="I372" s="1366" t="s">
        <v>1986</v>
      </c>
      <c r="J372" s="265"/>
      <c r="K372" s="270"/>
      <c r="L372" s="270"/>
    </row>
    <row r="373" spans="1:12" ht="26.4" x14ac:dyDescent="0.3">
      <c r="A373" s="179">
        <f t="shared" si="5"/>
        <v>22</v>
      </c>
      <c r="B373" s="642" t="s">
        <v>510</v>
      </c>
      <c r="C373" s="642">
        <v>157543784</v>
      </c>
      <c r="D373" s="716" t="s">
        <v>1839</v>
      </c>
      <c r="E373" s="314" t="s">
        <v>1987</v>
      </c>
      <c r="F373" s="932" t="s">
        <v>209</v>
      </c>
      <c r="G373" s="314" t="s">
        <v>74</v>
      </c>
      <c r="H373" s="1357" t="s">
        <v>1</v>
      </c>
      <c r="I373" s="1367" t="s">
        <v>1987</v>
      </c>
      <c r="J373" s="193"/>
      <c r="K373" s="211"/>
      <c r="L373" s="211"/>
    </row>
    <row r="374" spans="1:12" ht="26.4" x14ac:dyDescent="0.3">
      <c r="A374" s="179">
        <f t="shared" si="5"/>
        <v>22</v>
      </c>
      <c r="B374" s="642" t="s">
        <v>490</v>
      </c>
      <c r="C374" s="642">
        <v>182856770</v>
      </c>
      <c r="D374" s="716" t="s">
        <v>1839</v>
      </c>
      <c r="E374" s="314" t="s">
        <v>1987</v>
      </c>
      <c r="F374" s="193" t="s">
        <v>3</v>
      </c>
      <c r="G374" s="314" t="s">
        <v>1922</v>
      </c>
      <c r="H374" s="1357" t="s">
        <v>1</v>
      </c>
      <c r="I374" s="1367" t="s">
        <v>1987</v>
      </c>
      <c r="J374" s="193"/>
      <c r="K374" s="211"/>
      <c r="L374" s="211"/>
    </row>
    <row r="375" spans="1:12" ht="26.4" x14ac:dyDescent="0.3">
      <c r="A375" s="179">
        <f t="shared" si="5"/>
        <v>22</v>
      </c>
      <c r="B375" s="642" t="s">
        <v>536</v>
      </c>
      <c r="C375" s="642">
        <v>200878523</v>
      </c>
      <c r="D375" s="715" t="s">
        <v>742</v>
      </c>
      <c r="E375" s="313" t="s">
        <v>1987</v>
      </c>
      <c r="F375" s="193" t="s">
        <v>4</v>
      </c>
      <c r="G375" s="314" t="s">
        <v>253</v>
      </c>
      <c r="H375" s="1357" t="s">
        <v>1</v>
      </c>
      <c r="I375" s="1367" t="s">
        <v>1987</v>
      </c>
      <c r="J375" s="193" t="s">
        <v>3515</v>
      </c>
      <c r="K375" s="211"/>
      <c r="L375" s="211"/>
    </row>
    <row r="376" spans="1:12" ht="26.4" x14ac:dyDescent="0.3">
      <c r="A376" s="179">
        <f t="shared" si="5"/>
        <v>22</v>
      </c>
      <c r="B376" s="642" t="s">
        <v>477</v>
      </c>
      <c r="C376" s="642">
        <v>205988939</v>
      </c>
      <c r="D376" s="715" t="s">
        <v>1839</v>
      </c>
      <c r="E376" s="313" t="s">
        <v>1987</v>
      </c>
      <c r="F376" s="193" t="s">
        <v>4</v>
      </c>
      <c r="G376" s="314" t="s">
        <v>144</v>
      </c>
      <c r="H376" s="1357" t="s">
        <v>1</v>
      </c>
      <c r="I376" s="1367" t="s">
        <v>1987</v>
      </c>
      <c r="J376" s="193"/>
      <c r="K376" s="211"/>
      <c r="L376" s="211"/>
    </row>
    <row r="377" spans="1:12" ht="14.4" x14ac:dyDescent="0.3">
      <c r="A377" s="179">
        <f t="shared" si="5"/>
        <v>22</v>
      </c>
      <c r="B377" s="641" t="s">
        <v>517</v>
      </c>
      <c r="C377" s="641">
        <v>120239929</v>
      </c>
      <c r="D377" s="716" t="s">
        <v>762</v>
      </c>
      <c r="E377" s="315" t="s">
        <v>13</v>
      </c>
      <c r="F377" s="264" t="s">
        <v>17</v>
      </c>
      <c r="G377" s="315" t="s">
        <v>1866</v>
      </c>
      <c r="H377" s="1355" t="s">
        <v>885</v>
      </c>
      <c r="I377" s="1365" t="s">
        <v>13</v>
      </c>
      <c r="J377" s="264"/>
      <c r="K377" s="271">
        <v>45387</v>
      </c>
      <c r="L377" s="271">
        <v>45390</v>
      </c>
    </row>
    <row r="378" spans="1:12" ht="14.4" x14ac:dyDescent="0.3">
      <c r="A378" s="179">
        <f t="shared" si="5"/>
        <v>22</v>
      </c>
      <c r="B378" s="641" t="s">
        <v>526</v>
      </c>
      <c r="C378" s="641">
        <v>152979126</v>
      </c>
      <c r="D378" s="715" t="s">
        <v>2937</v>
      </c>
      <c r="E378" s="311" t="s">
        <v>13</v>
      </c>
      <c r="F378" s="264" t="s">
        <v>89</v>
      </c>
      <c r="G378" s="315" t="s">
        <v>1868</v>
      </c>
      <c r="H378" s="1355" t="s">
        <v>885</v>
      </c>
      <c r="I378" s="1365" t="s">
        <v>13</v>
      </c>
      <c r="J378" s="264"/>
      <c r="K378" s="271">
        <v>45373</v>
      </c>
      <c r="L378" s="271">
        <v>45392</v>
      </c>
    </row>
    <row r="379" spans="1:12" ht="14.4" x14ac:dyDescent="0.3">
      <c r="A379" s="179">
        <f t="shared" si="5"/>
        <v>22</v>
      </c>
      <c r="B379" s="641" t="s">
        <v>361</v>
      </c>
      <c r="C379" s="641">
        <v>138489949</v>
      </c>
      <c r="D379" s="715" t="s">
        <v>701</v>
      </c>
      <c r="E379" s="311" t="s">
        <v>13</v>
      </c>
      <c r="F379" s="930" t="s">
        <v>89</v>
      </c>
      <c r="G379" s="315" t="s">
        <v>2700</v>
      </c>
      <c r="H379" s="1355" t="s">
        <v>885</v>
      </c>
      <c r="I379" s="1365" t="s">
        <v>13</v>
      </c>
      <c r="J379" s="264"/>
      <c r="K379" s="271">
        <v>45386</v>
      </c>
      <c r="L379" s="271">
        <v>45406</v>
      </c>
    </row>
    <row r="380" spans="1:12" ht="14.4" x14ac:dyDescent="0.3">
      <c r="A380" s="179">
        <f t="shared" si="5"/>
        <v>22</v>
      </c>
      <c r="B380" s="641" t="s">
        <v>546</v>
      </c>
      <c r="C380" s="641">
        <v>162959816</v>
      </c>
      <c r="D380" s="715" t="s">
        <v>2937</v>
      </c>
      <c r="E380" s="315" t="s">
        <v>13</v>
      </c>
      <c r="F380" s="930" t="s">
        <v>209</v>
      </c>
      <c r="G380" s="315" t="s">
        <v>2145</v>
      </c>
      <c r="H380" s="1355" t="s">
        <v>885</v>
      </c>
      <c r="I380" s="1365" t="s">
        <v>13</v>
      </c>
      <c r="J380" s="264"/>
      <c r="K380" s="271">
        <v>45371</v>
      </c>
      <c r="L380" s="271">
        <v>45392</v>
      </c>
    </row>
    <row r="381" spans="1:12" ht="14.4" x14ac:dyDescent="0.3">
      <c r="A381" s="179">
        <f t="shared" si="5"/>
        <v>22</v>
      </c>
      <c r="B381" s="641" t="s">
        <v>583</v>
      </c>
      <c r="C381" s="641" t="s">
        <v>584</v>
      </c>
      <c r="D381" s="715" t="s">
        <v>794</v>
      </c>
      <c r="E381" s="311" t="s">
        <v>13</v>
      </c>
      <c r="F381" s="264" t="s">
        <v>3</v>
      </c>
      <c r="G381" s="315" t="s">
        <v>1848</v>
      </c>
      <c r="H381" s="1355" t="s">
        <v>885</v>
      </c>
      <c r="I381" s="1365" t="s">
        <v>13</v>
      </c>
      <c r="J381" s="264"/>
      <c r="K381" s="271">
        <v>45386</v>
      </c>
      <c r="L381" s="271">
        <v>45391</v>
      </c>
    </row>
    <row r="382" spans="1:12" ht="14.4" x14ac:dyDescent="0.3">
      <c r="A382" s="179">
        <f t="shared" si="5"/>
        <v>22</v>
      </c>
      <c r="B382" s="641" t="s">
        <v>492</v>
      </c>
      <c r="C382" s="641">
        <v>196490051</v>
      </c>
      <c r="D382" s="715" t="s">
        <v>1997</v>
      </c>
      <c r="E382" s="311" t="s">
        <v>13</v>
      </c>
      <c r="F382" s="264" t="s">
        <v>4</v>
      </c>
      <c r="G382" s="315" t="s">
        <v>178</v>
      </c>
      <c r="H382" s="1355" t="s">
        <v>885</v>
      </c>
      <c r="I382" s="1365" t="s">
        <v>13</v>
      </c>
      <c r="J382" s="264"/>
      <c r="K382" s="271">
        <v>45384</v>
      </c>
      <c r="L382" s="271">
        <v>45390</v>
      </c>
    </row>
    <row r="383" spans="1:12" ht="26.4" x14ac:dyDescent="0.3">
      <c r="A383" s="179">
        <f t="shared" si="5"/>
        <v>22</v>
      </c>
      <c r="B383" s="641" t="s">
        <v>2255</v>
      </c>
      <c r="C383" s="641" t="s">
        <v>2256</v>
      </c>
      <c r="D383" s="715" t="s">
        <v>1000</v>
      </c>
      <c r="E383" s="311" t="s">
        <v>13</v>
      </c>
      <c r="F383" s="930" t="s">
        <v>14</v>
      </c>
      <c r="G383" s="315" t="s">
        <v>2534</v>
      </c>
      <c r="H383" s="1355" t="s">
        <v>885</v>
      </c>
      <c r="I383" s="1365" t="s">
        <v>13</v>
      </c>
      <c r="J383" s="264" t="s">
        <v>3006</v>
      </c>
      <c r="K383" s="271">
        <v>45376</v>
      </c>
      <c r="L383" s="271">
        <v>45390</v>
      </c>
    </row>
    <row r="384" spans="1:12" ht="26.4" x14ac:dyDescent="0.3">
      <c r="A384" s="179">
        <f t="shared" si="5"/>
        <v>22</v>
      </c>
      <c r="B384" s="643" t="s">
        <v>531</v>
      </c>
      <c r="C384" s="643">
        <v>157123793</v>
      </c>
      <c r="D384" s="715" t="s">
        <v>1832</v>
      </c>
      <c r="E384" s="316" t="s">
        <v>1527</v>
      </c>
      <c r="F384" s="931" t="s">
        <v>209</v>
      </c>
      <c r="G384" s="316" t="s">
        <v>1911</v>
      </c>
      <c r="H384" s="1356" t="s">
        <v>909</v>
      </c>
      <c r="I384" s="1366" t="s">
        <v>1527</v>
      </c>
      <c r="J384" s="265"/>
      <c r="K384" s="270">
        <v>45386</v>
      </c>
      <c r="L384" s="270"/>
    </row>
    <row r="385" spans="1:12" ht="26.4" x14ac:dyDescent="0.3">
      <c r="A385" s="179">
        <f t="shared" si="5"/>
        <v>22</v>
      </c>
      <c r="B385" s="643" t="s">
        <v>661</v>
      </c>
      <c r="C385" s="643">
        <v>200903307</v>
      </c>
      <c r="D385" s="715" t="s">
        <v>2001</v>
      </c>
      <c r="E385" s="316" t="s">
        <v>1527</v>
      </c>
      <c r="F385" s="265" t="s">
        <v>4</v>
      </c>
      <c r="G385" s="316" t="s">
        <v>660</v>
      </c>
      <c r="H385" s="1356" t="s">
        <v>909</v>
      </c>
      <c r="I385" s="1366" t="s">
        <v>1527</v>
      </c>
      <c r="J385" s="265"/>
      <c r="K385" s="270">
        <v>45360</v>
      </c>
      <c r="L385" s="270">
        <v>45387</v>
      </c>
    </row>
    <row r="386" spans="1:12" ht="26.4" x14ac:dyDescent="0.3">
      <c r="A386" s="179">
        <f t="shared" si="5"/>
        <v>22</v>
      </c>
      <c r="B386" s="643" t="s">
        <v>384</v>
      </c>
      <c r="C386" s="643" t="s">
        <v>385</v>
      </c>
      <c r="D386" s="716" t="s">
        <v>2001</v>
      </c>
      <c r="E386" s="312" t="s">
        <v>1527</v>
      </c>
      <c r="F386" s="265" t="s">
        <v>14</v>
      </c>
      <c r="G386" s="316" t="s">
        <v>97</v>
      </c>
      <c r="H386" s="1356" t="s">
        <v>909</v>
      </c>
      <c r="I386" s="1366" t="s">
        <v>1527</v>
      </c>
      <c r="J386" s="265"/>
      <c r="K386" s="270">
        <v>45386</v>
      </c>
      <c r="L386" s="270"/>
    </row>
    <row r="387" spans="1:12" ht="39.6" x14ac:dyDescent="0.3">
      <c r="A387" s="179">
        <f t="shared" si="5"/>
        <v>22</v>
      </c>
      <c r="B387" s="642" t="s">
        <v>317</v>
      </c>
      <c r="C387" s="642">
        <v>138334546</v>
      </c>
      <c r="D387" s="715" t="s">
        <v>728</v>
      </c>
      <c r="E387" s="313" t="s">
        <v>807</v>
      </c>
      <c r="F387" s="193" t="s">
        <v>17</v>
      </c>
      <c r="G387" s="314" t="s">
        <v>2557</v>
      </c>
      <c r="H387" s="1357" t="s">
        <v>909</v>
      </c>
      <c r="I387" s="1367" t="s">
        <v>807</v>
      </c>
      <c r="J387" s="193"/>
      <c r="K387" s="211">
        <v>45373</v>
      </c>
      <c r="L387" s="211">
        <v>45393</v>
      </c>
    </row>
    <row r="388" spans="1:12" ht="39.6" x14ac:dyDescent="0.3">
      <c r="A388" s="179">
        <f t="shared" si="5"/>
        <v>22</v>
      </c>
      <c r="B388" s="642" t="s">
        <v>324</v>
      </c>
      <c r="C388" s="642">
        <v>132561311</v>
      </c>
      <c r="D388" s="715" t="s">
        <v>1832</v>
      </c>
      <c r="E388" s="314" t="s">
        <v>807</v>
      </c>
      <c r="F388" s="193" t="s">
        <v>89</v>
      </c>
      <c r="G388" s="314" t="s">
        <v>248</v>
      </c>
      <c r="H388" s="1357" t="s">
        <v>909</v>
      </c>
      <c r="I388" s="1367" t="s">
        <v>807</v>
      </c>
      <c r="J388" s="193"/>
      <c r="K388" s="211">
        <v>45366</v>
      </c>
      <c r="L388" s="211">
        <v>45390</v>
      </c>
    </row>
    <row r="389" spans="1:12" ht="39.6" x14ac:dyDescent="0.3">
      <c r="A389" s="179">
        <f t="shared" si="5"/>
        <v>22</v>
      </c>
      <c r="B389" s="642" t="s">
        <v>460</v>
      </c>
      <c r="C389" s="642">
        <v>145674875</v>
      </c>
      <c r="D389" s="715" t="s">
        <v>1832</v>
      </c>
      <c r="E389" s="313" t="s">
        <v>807</v>
      </c>
      <c r="F389" s="193" t="s">
        <v>89</v>
      </c>
      <c r="G389" s="314" t="s">
        <v>2489</v>
      </c>
      <c r="H389" s="1357" t="s">
        <v>909</v>
      </c>
      <c r="I389" s="1367" t="s">
        <v>807</v>
      </c>
      <c r="J389" s="193"/>
      <c r="K389" s="211">
        <v>45385</v>
      </c>
      <c r="L389" s="211"/>
    </row>
    <row r="390" spans="1:12" ht="39.6" x14ac:dyDescent="0.3">
      <c r="A390" s="179">
        <f t="shared" si="5"/>
        <v>22</v>
      </c>
      <c r="B390" s="642" t="s">
        <v>674</v>
      </c>
      <c r="C390" s="642">
        <v>164465772</v>
      </c>
      <c r="D390" s="715" t="s">
        <v>714</v>
      </c>
      <c r="E390" s="314" t="s">
        <v>807</v>
      </c>
      <c r="F390" s="193" t="s">
        <v>209</v>
      </c>
      <c r="G390" s="314" t="s">
        <v>2636</v>
      </c>
      <c r="H390" s="1357" t="s">
        <v>909</v>
      </c>
      <c r="I390" s="1367" t="s">
        <v>807</v>
      </c>
      <c r="J390" s="193"/>
      <c r="K390" s="211">
        <v>45378</v>
      </c>
      <c r="L390" s="211">
        <v>45407</v>
      </c>
    </row>
    <row r="391" spans="1:12" ht="39.6" x14ac:dyDescent="0.3">
      <c r="A391" s="179">
        <f t="shared" si="5"/>
        <v>22</v>
      </c>
      <c r="B391" s="642" t="s">
        <v>1779</v>
      </c>
      <c r="C391" s="642">
        <v>164095290</v>
      </c>
      <c r="D391" s="1339" t="s">
        <v>1992</v>
      </c>
      <c r="E391" s="1348" t="s">
        <v>807</v>
      </c>
      <c r="F391" s="932" t="s">
        <v>209</v>
      </c>
      <c r="G391" s="314" t="s">
        <v>1780</v>
      </c>
      <c r="H391" s="1357" t="s">
        <v>909</v>
      </c>
      <c r="I391" s="1367" t="s">
        <v>807</v>
      </c>
      <c r="J391" s="193"/>
      <c r="K391" s="211">
        <v>45358</v>
      </c>
      <c r="L391" s="211">
        <v>45399</v>
      </c>
    </row>
    <row r="392" spans="1:12" ht="39.6" x14ac:dyDescent="0.3">
      <c r="A392" s="179">
        <f t="shared" si="5"/>
        <v>22</v>
      </c>
      <c r="B392" s="642" t="s">
        <v>2031</v>
      </c>
      <c r="C392" s="642">
        <v>165225996</v>
      </c>
      <c r="D392" s="715" t="s">
        <v>700</v>
      </c>
      <c r="E392" s="314" t="s">
        <v>807</v>
      </c>
      <c r="F392" s="932" t="s">
        <v>3</v>
      </c>
      <c r="G392" s="314" t="s">
        <v>2504</v>
      </c>
      <c r="H392" s="1357" t="s">
        <v>909</v>
      </c>
      <c r="I392" s="1367" t="s">
        <v>807</v>
      </c>
      <c r="J392" s="193"/>
      <c r="K392" s="211">
        <v>45385</v>
      </c>
      <c r="L392" s="211">
        <v>45412</v>
      </c>
    </row>
    <row r="393" spans="1:12" ht="39.6" x14ac:dyDescent="0.3">
      <c r="A393" s="179">
        <f t="shared" si="5"/>
        <v>22</v>
      </c>
      <c r="B393" s="642" t="s">
        <v>488</v>
      </c>
      <c r="C393" s="642">
        <v>189511590</v>
      </c>
      <c r="D393" s="1332" t="s">
        <v>714</v>
      </c>
      <c r="E393" s="1334" t="s">
        <v>807</v>
      </c>
      <c r="F393" s="193" t="s">
        <v>4</v>
      </c>
      <c r="G393" s="314" t="s">
        <v>682</v>
      </c>
      <c r="H393" s="1357" t="s">
        <v>909</v>
      </c>
      <c r="I393" s="1367" t="s">
        <v>807</v>
      </c>
      <c r="J393" s="193"/>
      <c r="K393" s="211">
        <v>45381</v>
      </c>
      <c r="L393" s="211">
        <v>45395</v>
      </c>
    </row>
    <row r="394" spans="1:12" ht="39.6" x14ac:dyDescent="0.3">
      <c r="A394" s="179">
        <f t="shared" si="5"/>
        <v>22</v>
      </c>
      <c r="B394" s="970" t="s">
        <v>1539</v>
      </c>
      <c r="C394" s="970">
        <v>190656322</v>
      </c>
      <c r="D394" s="715" t="s">
        <v>1832</v>
      </c>
      <c r="E394" s="313" t="s">
        <v>807</v>
      </c>
      <c r="F394" s="972" t="s">
        <v>4</v>
      </c>
      <c r="G394" s="314" t="s">
        <v>147</v>
      </c>
      <c r="H394" s="1357" t="s">
        <v>909</v>
      </c>
      <c r="I394" s="971" t="s">
        <v>807</v>
      </c>
      <c r="J394" s="193" t="s">
        <v>3411</v>
      </c>
      <c r="K394" s="211">
        <v>45347</v>
      </c>
      <c r="L394" s="211">
        <v>45436</v>
      </c>
    </row>
    <row r="395" spans="1:12" ht="39.6" x14ac:dyDescent="0.3">
      <c r="A395" s="179">
        <f t="shared" si="5"/>
        <v>22</v>
      </c>
      <c r="B395" s="639" t="s">
        <v>2645</v>
      </c>
      <c r="C395" s="639">
        <v>141192795</v>
      </c>
      <c r="D395" s="715" t="s">
        <v>709</v>
      </c>
      <c r="E395" s="308" t="s">
        <v>809</v>
      </c>
      <c r="F395" s="928" t="s">
        <v>1650</v>
      </c>
      <c r="G395" s="308" t="s">
        <v>2646</v>
      </c>
      <c r="H395" s="1353" t="s">
        <v>909</v>
      </c>
      <c r="I395" s="1363" t="s">
        <v>809</v>
      </c>
      <c r="J395" s="263"/>
      <c r="K395" s="748">
        <v>45386</v>
      </c>
      <c r="L395" s="748">
        <v>45400</v>
      </c>
    </row>
    <row r="396" spans="1:12" ht="39.6" x14ac:dyDescent="0.3">
      <c r="A396" s="179">
        <f t="shared" si="5"/>
        <v>22</v>
      </c>
      <c r="B396" s="639" t="s">
        <v>2633</v>
      </c>
      <c r="C396" s="639">
        <v>196147578</v>
      </c>
      <c r="D396" s="716" t="s">
        <v>732</v>
      </c>
      <c r="E396" s="308" t="s">
        <v>809</v>
      </c>
      <c r="F396" s="928" t="s">
        <v>10</v>
      </c>
      <c r="G396" s="308" t="s">
        <v>2634</v>
      </c>
      <c r="H396" s="1353" t="s">
        <v>909</v>
      </c>
      <c r="I396" s="1363" t="s">
        <v>809</v>
      </c>
      <c r="J396" s="263"/>
      <c r="K396" s="748"/>
      <c r="L396" s="748"/>
    </row>
    <row r="397" spans="1:12" ht="39.6" x14ac:dyDescent="0.3">
      <c r="A397" s="179">
        <f t="shared" ref="A397:A460" si="6">IF(G397&lt;&gt;"",22,0)</f>
        <v>22</v>
      </c>
      <c r="B397" s="639" t="s">
        <v>279</v>
      </c>
      <c r="C397" s="639">
        <v>116961989</v>
      </c>
      <c r="D397" s="715" t="s">
        <v>719</v>
      </c>
      <c r="E397" s="309" t="s">
        <v>809</v>
      </c>
      <c r="F397" s="263" t="s">
        <v>17</v>
      </c>
      <c r="G397" s="308" t="s">
        <v>2261</v>
      </c>
      <c r="H397" s="1353" t="s">
        <v>909</v>
      </c>
      <c r="I397" s="1363" t="s">
        <v>809</v>
      </c>
      <c r="J397" s="263"/>
      <c r="K397" s="269">
        <v>45386</v>
      </c>
      <c r="L397" s="269">
        <v>45388</v>
      </c>
    </row>
    <row r="398" spans="1:12" ht="39.6" x14ac:dyDescent="0.3">
      <c r="A398" s="179">
        <f t="shared" si="6"/>
        <v>22</v>
      </c>
      <c r="B398" s="639" t="s">
        <v>567</v>
      </c>
      <c r="C398" s="639">
        <v>130964621</v>
      </c>
      <c r="D398" s="716" t="s">
        <v>745</v>
      </c>
      <c r="E398" s="308" t="s">
        <v>809</v>
      </c>
      <c r="F398" s="263" t="s">
        <v>17</v>
      </c>
      <c r="G398" s="308" t="s">
        <v>1847</v>
      </c>
      <c r="H398" s="1353" t="s">
        <v>909</v>
      </c>
      <c r="I398" s="1363" t="s">
        <v>809</v>
      </c>
      <c r="J398" s="263"/>
      <c r="K398" s="269">
        <v>45378</v>
      </c>
      <c r="L398" s="269">
        <v>45392</v>
      </c>
    </row>
    <row r="399" spans="1:12" ht="39.6" x14ac:dyDescent="0.3">
      <c r="A399" s="179">
        <f t="shared" si="6"/>
        <v>22</v>
      </c>
      <c r="B399" s="639" t="s">
        <v>662</v>
      </c>
      <c r="C399" s="639">
        <v>150365996</v>
      </c>
      <c r="D399" s="715" t="s">
        <v>1832</v>
      </c>
      <c r="E399" s="308" t="s">
        <v>809</v>
      </c>
      <c r="F399" s="928" t="s">
        <v>89</v>
      </c>
      <c r="G399" s="308" t="s">
        <v>2072</v>
      </c>
      <c r="H399" s="1353" t="s">
        <v>909</v>
      </c>
      <c r="I399" s="1363" t="s">
        <v>809</v>
      </c>
      <c r="J399" s="263" t="s">
        <v>3410</v>
      </c>
      <c r="K399" s="269">
        <v>45372</v>
      </c>
      <c r="L399" s="269">
        <v>45391</v>
      </c>
    </row>
    <row r="400" spans="1:12" ht="39.6" x14ac:dyDescent="0.3">
      <c r="A400" s="179">
        <f t="shared" si="6"/>
        <v>22</v>
      </c>
      <c r="B400" s="639" t="s">
        <v>550</v>
      </c>
      <c r="C400" s="639">
        <v>156128856</v>
      </c>
      <c r="D400" s="1340" t="s">
        <v>2001</v>
      </c>
      <c r="E400" s="1347" t="s">
        <v>809</v>
      </c>
      <c r="F400" s="928" t="s">
        <v>89</v>
      </c>
      <c r="G400" s="308" t="s">
        <v>1923</v>
      </c>
      <c r="H400" s="1353" t="s">
        <v>909</v>
      </c>
      <c r="I400" s="1363" t="s">
        <v>809</v>
      </c>
      <c r="J400" s="263"/>
      <c r="K400" s="269" t="s">
        <v>3545</v>
      </c>
      <c r="L400" s="269" t="s">
        <v>3546</v>
      </c>
    </row>
    <row r="401" spans="1:12" ht="39.6" x14ac:dyDescent="0.3">
      <c r="A401" s="179">
        <f t="shared" si="6"/>
        <v>22</v>
      </c>
      <c r="B401" s="639" t="s">
        <v>534</v>
      </c>
      <c r="C401" s="639">
        <v>132988560</v>
      </c>
      <c r="D401" s="715" t="s">
        <v>2001</v>
      </c>
      <c r="E401" s="308" t="s">
        <v>809</v>
      </c>
      <c r="F401" s="263" t="s">
        <v>89</v>
      </c>
      <c r="G401" s="308" t="s">
        <v>1889</v>
      </c>
      <c r="H401" s="1353" t="s">
        <v>909</v>
      </c>
      <c r="I401" s="1363" t="s">
        <v>809</v>
      </c>
      <c r="J401" s="263"/>
      <c r="K401" s="269">
        <v>45367</v>
      </c>
      <c r="L401" s="269">
        <v>45396</v>
      </c>
    </row>
    <row r="402" spans="1:12" ht="39.6" x14ac:dyDescent="0.3">
      <c r="A402" s="179">
        <f t="shared" si="6"/>
        <v>22</v>
      </c>
      <c r="B402" s="639" t="s">
        <v>655</v>
      </c>
      <c r="C402" s="639" t="s">
        <v>656</v>
      </c>
      <c r="D402" s="715" t="s">
        <v>767</v>
      </c>
      <c r="E402" s="308" t="s">
        <v>809</v>
      </c>
      <c r="F402" s="928" t="s">
        <v>209</v>
      </c>
      <c r="G402" s="308" t="s">
        <v>1920</v>
      </c>
      <c r="H402" s="1353" t="s">
        <v>909</v>
      </c>
      <c r="I402" s="1363" t="s">
        <v>809</v>
      </c>
      <c r="J402" s="263"/>
      <c r="K402" s="269">
        <v>45376</v>
      </c>
      <c r="L402" s="269">
        <v>45396</v>
      </c>
    </row>
    <row r="403" spans="1:12" ht="39.6" x14ac:dyDescent="0.3">
      <c r="A403" s="179">
        <f t="shared" si="6"/>
        <v>22</v>
      </c>
      <c r="B403" s="639" t="s">
        <v>350</v>
      </c>
      <c r="C403" s="639">
        <v>133985352</v>
      </c>
      <c r="D403" s="715" t="s">
        <v>1832</v>
      </c>
      <c r="E403" s="308" t="s">
        <v>809</v>
      </c>
      <c r="F403" s="928" t="s">
        <v>209</v>
      </c>
      <c r="G403" s="308" t="s">
        <v>1890</v>
      </c>
      <c r="H403" s="1353" t="s">
        <v>909</v>
      </c>
      <c r="I403" s="1363" t="s">
        <v>809</v>
      </c>
      <c r="J403" s="263"/>
      <c r="K403" s="269">
        <v>45384</v>
      </c>
      <c r="L403" s="269">
        <v>45404</v>
      </c>
    </row>
    <row r="404" spans="1:12" ht="39.6" x14ac:dyDescent="0.3">
      <c r="A404" s="179">
        <f t="shared" si="6"/>
        <v>22</v>
      </c>
      <c r="B404" s="639" t="s">
        <v>579</v>
      </c>
      <c r="C404" s="639">
        <v>140429740</v>
      </c>
      <c r="D404" s="715" t="s">
        <v>83</v>
      </c>
      <c r="E404" s="308" t="s">
        <v>809</v>
      </c>
      <c r="F404" s="928" t="s">
        <v>209</v>
      </c>
      <c r="G404" s="308" t="s">
        <v>1876</v>
      </c>
      <c r="H404" s="1353" t="s">
        <v>909</v>
      </c>
      <c r="I404" s="1363" t="s">
        <v>809</v>
      </c>
      <c r="J404" s="263"/>
      <c r="K404" s="269">
        <v>45376</v>
      </c>
      <c r="L404" s="269">
        <v>45389</v>
      </c>
    </row>
    <row r="405" spans="1:12" ht="39.6" x14ac:dyDescent="0.3">
      <c r="A405" s="179">
        <f t="shared" si="6"/>
        <v>22</v>
      </c>
      <c r="B405" s="639" t="s">
        <v>2822</v>
      </c>
      <c r="C405" s="639">
        <v>155690178</v>
      </c>
      <c r="D405" s="716" t="s">
        <v>715</v>
      </c>
      <c r="E405" s="308" t="s">
        <v>809</v>
      </c>
      <c r="F405" s="928" t="s">
        <v>209</v>
      </c>
      <c r="G405" s="308" t="s">
        <v>2820</v>
      </c>
      <c r="H405" s="1353" t="s">
        <v>909</v>
      </c>
      <c r="I405" s="1363" t="s">
        <v>809</v>
      </c>
      <c r="J405" s="263"/>
      <c r="K405" s="748">
        <v>45384</v>
      </c>
      <c r="L405" s="748">
        <v>45404</v>
      </c>
    </row>
    <row r="406" spans="1:12" ht="39.6" x14ac:dyDescent="0.3">
      <c r="A406" s="179">
        <f t="shared" si="6"/>
        <v>22</v>
      </c>
      <c r="B406" s="639" t="s">
        <v>480</v>
      </c>
      <c r="C406" s="639">
        <v>168271344</v>
      </c>
      <c r="D406" s="715" t="s">
        <v>195</v>
      </c>
      <c r="E406" s="309" t="s">
        <v>809</v>
      </c>
      <c r="F406" s="263" t="s">
        <v>209</v>
      </c>
      <c r="G406" s="308" t="s">
        <v>1915</v>
      </c>
      <c r="H406" s="1353" t="s">
        <v>909</v>
      </c>
      <c r="I406" s="1363" t="s">
        <v>809</v>
      </c>
      <c r="J406" s="263"/>
      <c r="K406" s="269">
        <v>45380</v>
      </c>
      <c r="L406" s="269">
        <v>45396</v>
      </c>
    </row>
    <row r="407" spans="1:12" ht="39.6" x14ac:dyDescent="0.3">
      <c r="A407" s="179">
        <f t="shared" si="6"/>
        <v>22</v>
      </c>
      <c r="B407" s="639" t="s">
        <v>1787</v>
      </c>
      <c r="C407" s="639">
        <v>152643640</v>
      </c>
      <c r="D407" s="715" t="s">
        <v>1832</v>
      </c>
      <c r="E407" s="308" t="s">
        <v>809</v>
      </c>
      <c r="F407" s="928" t="s">
        <v>209</v>
      </c>
      <c r="G407" s="308" t="s">
        <v>1788</v>
      </c>
      <c r="H407" s="1353" t="s">
        <v>909</v>
      </c>
      <c r="I407" s="1363" t="s">
        <v>809</v>
      </c>
      <c r="J407" s="263"/>
      <c r="K407" s="269">
        <v>45351</v>
      </c>
      <c r="L407" s="269">
        <v>45392</v>
      </c>
    </row>
    <row r="408" spans="1:12" ht="39.6" x14ac:dyDescent="0.3">
      <c r="A408" s="179">
        <f t="shared" si="6"/>
        <v>22</v>
      </c>
      <c r="B408" s="639" t="s">
        <v>489</v>
      </c>
      <c r="C408" s="639">
        <v>157041843</v>
      </c>
      <c r="D408" s="715" t="s">
        <v>702</v>
      </c>
      <c r="E408" s="308" t="s">
        <v>809</v>
      </c>
      <c r="F408" s="928" t="s">
        <v>209</v>
      </c>
      <c r="G408" s="308" t="s">
        <v>1883</v>
      </c>
      <c r="H408" s="1353" t="s">
        <v>909</v>
      </c>
      <c r="I408" s="1363" t="s">
        <v>809</v>
      </c>
      <c r="J408" s="263"/>
      <c r="K408" s="269">
        <v>45377</v>
      </c>
      <c r="L408" s="269">
        <v>45391</v>
      </c>
    </row>
    <row r="409" spans="1:12" ht="39.6" x14ac:dyDescent="0.3">
      <c r="A409" s="179">
        <f t="shared" si="6"/>
        <v>22</v>
      </c>
      <c r="B409" s="639" t="s">
        <v>591</v>
      </c>
      <c r="C409" s="639">
        <v>175139958</v>
      </c>
      <c r="D409" s="715" t="s">
        <v>704</v>
      </c>
      <c r="E409" s="308" t="s">
        <v>809</v>
      </c>
      <c r="F409" s="263" t="s">
        <v>3</v>
      </c>
      <c r="G409" s="308" t="s">
        <v>221</v>
      </c>
      <c r="H409" s="1353" t="s">
        <v>909</v>
      </c>
      <c r="I409" s="1363" t="s">
        <v>809</v>
      </c>
      <c r="J409" s="263"/>
      <c r="K409" s="269">
        <v>45384</v>
      </c>
      <c r="L409" s="269">
        <v>45389</v>
      </c>
    </row>
    <row r="410" spans="1:12" ht="39.6" x14ac:dyDescent="0.3">
      <c r="A410" s="179">
        <f t="shared" si="6"/>
        <v>22</v>
      </c>
      <c r="B410" s="639" t="s">
        <v>1549</v>
      </c>
      <c r="C410" s="639">
        <v>180494294</v>
      </c>
      <c r="D410" s="715" t="s">
        <v>740</v>
      </c>
      <c r="E410" s="309" t="s">
        <v>809</v>
      </c>
      <c r="F410" s="263" t="s">
        <v>3</v>
      </c>
      <c r="G410" s="308" t="s">
        <v>2509</v>
      </c>
      <c r="H410" s="1353" t="s">
        <v>909</v>
      </c>
      <c r="I410" s="1363" t="s">
        <v>809</v>
      </c>
      <c r="J410" s="263"/>
      <c r="K410" s="269">
        <v>45387</v>
      </c>
      <c r="L410" s="269">
        <v>45389</v>
      </c>
    </row>
    <row r="411" spans="1:12" ht="39.6" x14ac:dyDescent="0.3">
      <c r="A411" s="179">
        <f t="shared" si="6"/>
        <v>22</v>
      </c>
      <c r="B411" s="639" t="s">
        <v>572</v>
      </c>
      <c r="C411" s="639">
        <v>182678872</v>
      </c>
      <c r="D411" s="715" t="s">
        <v>2001</v>
      </c>
      <c r="E411" s="308" t="s">
        <v>809</v>
      </c>
      <c r="F411" s="263" t="s">
        <v>3</v>
      </c>
      <c r="G411" s="308" t="s">
        <v>1892</v>
      </c>
      <c r="H411" s="1353" t="s">
        <v>909</v>
      </c>
      <c r="I411" s="1363" t="s">
        <v>809</v>
      </c>
      <c r="J411" s="263"/>
      <c r="K411" s="269">
        <v>45376</v>
      </c>
      <c r="L411" s="269">
        <v>45403</v>
      </c>
    </row>
    <row r="412" spans="1:12" ht="39.6" x14ac:dyDescent="0.3">
      <c r="A412" s="179">
        <f t="shared" si="6"/>
        <v>22</v>
      </c>
      <c r="B412" s="639" t="s">
        <v>342</v>
      </c>
      <c r="C412" s="639">
        <v>176965800</v>
      </c>
      <c r="D412" s="716" t="s">
        <v>717</v>
      </c>
      <c r="E412" s="308" t="s">
        <v>809</v>
      </c>
      <c r="F412" s="263" t="s">
        <v>3</v>
      </c>
      <c r="G412" s="308" t="s">
        <v>1860</v>
      </c>
      <c r="H412" s="1353" t="s">
        <v>909</v>
      </c>
      <c r="I412" s="1363" t="s">
        <v>809</v>
      </c>
      <c r="J412" s="263"/>
      <c r="K412" s="269">
        <v>45383</v>
      </c>
      <c r="L412" s="269">
        <v>45397</v>
      </c>
    </row>
    <row r="413" spans="1:12" ht="39.6" x14ac:dyDescent="0.3">
      <c r="A413" s="179">
        <f t="shared" si="6"/>
        <v>22</v>
      </c>
      <c r="B413" s="832" t="s">
        <v>692</v>
      </c>
      <c r="C413" s="832">
        <v>197844353</v>
      </c>
      <c r="D413" s="940" t="s">
        <v>703</v>
      </c>
      <c r="E413" s="863" t="s">
        <v>809</v>
      </c>
      <c r="F413" s="348" t="s">
        <v>4</v>
      </c>
      <c r="G413" s="346" t="s">
        <v>255</v>
      </c>
      <c r="H413" s="1358" t="s">
        <v>909</v>
      </c>
      <c r="I413" s="1371" t="s">
        <v>809</v>
      </c>
      <c r="J413" s="348"/>
      <c r="K413" s="352">
        <v>45377</v>
      </c>
      <c r="L413" s="352">
        <v>45388</v>
      </c>
    </row>
    <row r="414" spans="1:12" ht="39.6" x14ac:dyDescent="0.3">
      <c r="A414" s="179">
        <f t="shared" si="6"/>
        <v>22</v>
      </c>
      <c r="B414" s="832" t="s">
        <v>598</v>
      </c>
      <c r="C414" s="832">
        <v>194866828</v>
      </c>
      <c r="D414" s="940" t="s">
        <v>1832</v>
      </c>
      <c r="E414" s="346" t="s">
        <v>809</v>
      </c>
      <c r="F414" s="348" t="s">
        <v>4</v>
      </c>
      <c r="G414" s="346" t="s">
        <v>32</v>
      </c>
      <c r="H414" s="1358" t="s">
        <v>909</v>
      </c>
      <c r="I414" s="1371" t="s">
        <v>809</v>
      </c>
      <c r="J414" s="348"/>
      <c r="K414" s="352">
        <v>45383</v>
      </c>
      <c r="L414" s="352">
        <v>45397</v>
      </c>
    </row>
    <row r="415" spans="1:12" ht="39.6" x14ac:dyDescent="0.3">
      <c r="A415" s="179">
        <f t="shared" si="6"/>
        <v>22</v>
      </c>
      <c r="B415" s="832" t="s">
        <v>371</v>
      </c>
      <c r="C415" s="832">
        <v>199907263</v>
      </c>
      <c r="D415" s="940" t="s">
        <v>2001</v>
      </c>
      <c r="E415" s="863" t="s">
        <v>809</v>
      </c>
      <c r="F415" s="348" t="s">
        <v>4</v>
      </c>
      <c r="G415" s="346" t="s">
        <v>142</v>
      </c>
      <c r="H415" s="1358" t="s">
        <v>909</v>
      </c>
      <c r="I415" s="1371" t="s">
        <v>809</v>
      </c>
      <c r="J415" s="348"/>
      <c r="K415" s="352">
        <v>45383</v>
      </c>
      <c r="L415" s="352">
        <v>45403</v>
      </c>
    </row>
    <row r="416" spans="1:12" ht="39.6" x14ac:dyDescent="0.3">
      <c r="A416" s="179">
        <f t="shared" si="6"/>
        <v>22</v>
      </c>
      <c r="B416" s="832" t="s">
        <v>291</v>
      </c>
      <c r="C416" s="832">
        <v>203415419</v>
      </c>
      <c r="D416" s="1341" t="s">
        <v>740</v>
      </c>
      <c r="E416" s="863" t="s">
        <v>809</v>
      </c>
      <c r="F416" s="348" t="s">
        <v>4</v>
      </c>
      <c r="G416" s="346" t="s">
        <v>129</v>
      </c>
      <c r="H416" s="1358" t="s">
        <v>909</v>
      </c>
      <c r="I416" s="1371" t="s">
        <v>809</v>
      </c>
      <c r="J416" s="348"/>
      <c r="K416" s="352">
        <v>45377</v>
      </c>
      <c r="L416" s="352">
        <v>45396</v>
      </c>
    </row>
    <row r="417" spans="1:12" ht="39.6" x14ac:dyDescent="0.3">
      <c r="A417" s="179">
        <f t="shared" si="6"/>
        <v>22</v>
      </c>
      <c r="B417" s="832" t="s">
        <v>343</v>
      </c>
      <c r="C417" s="832">
        <v>202989659</v>
      </c>
      <c r="D417" s="940" t="s">
        <v>1832</v>
      </c>
      <c r="E417" s="863" t="s">
        <v>809</v>
      </c>
      <c r="F417" s="348" t="s">
        <v>4</v>
      </c>
      <c r="G417" s="346" t="s">
        <v>263</v>
      </c>
      <c r="H417" s="1358" t="s">
        <v>909</v>
      </c>
      <c r="I417" s="1371" t="s">
        <v>809</v>
      </c>
      <c r="J417" s="348"/>
      <c r="K417" s="352">
        <v>45380</v>
      </c>
      <c r="L417" s="352">
        <v>45409</v>
      </c>
    </row>
    <row r="418" spans="1:12" ht="39.6" x14ac:dyDescent="0.3">
      <c r="A418" s="179">
        <f t="shared" si="6"/>
        <v>22</v>
      </c>
      <c r="B418" s="832" t="s">
        <v>470</v>
      </c>
      <c r="C418" s="832">
        <v>199231138</v>
      </c>
      <c r="D418" s="1342" t="s">
        <v>742</v>
      </c>
      <c r="E418" s="1349" t="s">
        <v>809</v>
      </c>
      <c r="F418" s="348" t="s">
        <v>4</v>
      </c>
      <c r="G418" s="346" t="s">
        <v>2529</v>
      </c>
      <c r="H418" s="1358" t="s">
        <v>909</v>
      </c>
      <c r="I418" s="1371" t="s">
        <v>809</v>
      </c>
      <c r="J418" s="348"/>
      <c r="K418" s="352">
        <v>45367</v>
      </c>
      <c r="L418" s="352">
        <v>45396</v>
      </c>
    </row>
    <row r="419" spans="1:12" ht="39.6" x14ac:dyDescent="0.3">
      <c r="A419" s="179">
        <f t="shared" si="6"/>
        <v>22</v>
      </c>
      <c r="B419" s="832" t="s">
        <v>444</v>
      </c>
      <c r="C419" s="832" t="s">
        <v>445</v>
      </c>
      <c r="D419" s="935" t="s">
        <v>702</v>
      </c>
      <c r="E419" s="346" t="s">
        <v>809</v>
      </c>
      <c r="F419" s="348" t="s">
        <v>4</v>
      </c>
      <c r="G419" s="346" t="s">
        <v>1869</v>
      </c>
      <c r="H419" s="1358" t="s">
        <v>909</v>
      </c>
      <c r="I419" s="1371" t="s">
        <v>809</v>
      </c>
      <c r="J419" s="348"/>
      <c r="K419" s="352">
        <v>45372</v>
      </c>
      <c r="L419" s="352">
        <v>45392</v>
      </c>
    </row>
    <row r="420" spans="1:12" ht="39.6" x14ac:dyDescent="0.3">
      <c r="A420" s="179">
        <f t="shared" si="6"/>
        <v>22</v>
      </c>
      <c r="B420" s="832" t="s">
        <v>408</v>
      </c>
      <c r="C420" s="832">
        <v>195375844</v>
      </c>
      <c r="D420" s="940" t="s">
        <v>704</v>
      </c>
      <c r="E420" s="346" t="s">
        <v>809</v>
      </c>
      <c r="F420" s="348" t="s">
        <v>14</v>
      </c>
      <c r="G420" s="346" t="s">
        <v>2273</v>
      </c>
      <c r="H420" s="1358" t="s">
        <v>909</v>
      </c>
      <c r="I420" s="1371" t="s">
        <v>809</v>
      </c>
      <c r="J420" s="348"/>
      <c r="K420" s="352">
        <v>45369</v>
      </c>
      <c r="L420" s="352">
        <v>45389</v>
      </c>
    </row>
    <row r="421" spans="1:12" ht="39.6" x14ac:dyDescent="0.3">
      <c r="A421" s="179">
        <f t="shared" si="6"/>
        <v>22</v>
      </c>
      <c r="B421" s="646" t="s">
        <v>374</v>
      </c>
      <c r="C421" s="646" t="s">
        <v>375</v>
      </c>
      <c r="D421" s="935" t="s">
        <v>761</v>
      </c>
      <c r="E421" s="340" t="s">
        <v>810</v>
      </c>
      <c r="F421" s="945" t="s">
        <v>209</v>
      </c>
      <c r="G421" s="340" t="s">
        <v>191</v>
      </c>
      <c r="H421" s="1359" t="s">
        <v>909</v>
      </c>
      <c r="I421" s="1372" t="s">
        <v>810</v>
      </c>
      <c r="J421" s="341"/>
      <c r="K421" s="343">
        <v>45365</v>
      </c>
      <c r="L421" s="343">
        <v>45443</v>
      </c>
    </row>
    <row r="422" spans="1:12" ht="26.4" x14ac:dyDescent="0.3">
      <c r="A422" s="179">
        <f t="shared" si="6"/>
        <v>22</v>
      </c>
      <c r="B422" s="644" t="s">
        <v>540</v>
      </c>
      <c r="C422" s="644">
        <v>207444898</v>
      </c>
      <c r="D422" s="940" t="s">
        <v>1832</v>
      </c>
      <c r="E422" s="381" t="s">
        <v>798</v>
      </c>
      <c r="F422" s="349" t="s">
        <v>4</v>
      </c>
      <c r="G422" s="347" t="s">
        <v>159</v>
      </c>
      <c r="H422" s="1360" t="s">
        <v>909</v>
      </c>
      <c r="I422" s="1373" t="s">
        <v>798</v>
      </c>
      <c r="J422" s="349"/>
      <c r="K422" s="353">
        <v>45349</v>
      </c>
      <c r="L422" s="353">
        <v>45432</v>
      </c>
    </row>
    <row r="423" spans="1:12" ht="26.4" x14ac:dyDescent="0.3">
      <c r="A423" s="179">
        <f t="shared" si="6"/>
        <v>22</v>
      </c>
      <c r="B423" s="862" t="s">
        <v>538</v>
      </c>
      <c r="C423" s="862">
        <v>203066465</v>
      </c>
      <c r="D423" s="940" t="s">
        <v>1832</v>
      </c>
      <c r="E423" s="1350" t="s">
        <v>811</v>
      </c>
      <c r="F423" s="383" t="s">
        <v>4</v>
      </c>
      <c r="G423" s="382" t="s">
        <v>95</v>
      </c>
      <c r="H423" s="1361" t="s">
        <v>909</v>
      </c>
      <c r="I423" s="1374" t="s">
        <v>811</v>
      </c>
      <c r="J423" s="383"/>
      <c r="K423" s="385">
        <v>45372</v>
      </c>
      <c r="L423" s="385">
        <v>45413</v>
      </c>
    </row>
    <row r="424" spans="1:12" ht="26.4" x14ac:dyDescent="0.3">
      <c r="A424" s="179">
        <f t="shared" si="6"/>
        <v>22</v>
      </c>
      <c r="B424" s="646" t="s">
        <v>354</v>
      </c>
      <c r="C424" s="646">
        <v>144902866</v>
      </c>
      <c r="D424" s="935" t="s">
        <v>738</v>
      </c>
      <c r="E424" s="340" t="s">
        <v>216</v>
      </c>
      <c r="F424" s="341" t="s">
        <v>17</v>
      </c>
      <c r="G424" s="340" t="s">
        <v>1878</v>
      </c>
      <c r="H424" s="1359" t="s">
        <v>884</v>
      </c>
      <c r="I424" s="1372" t="s">
        <v>216</v>
      </c>
      <c r="J424" s="341"/>
      <c r="K424" s="343">
        <v>45387</v>
      </c>
      <c r="L424" s="343">
        <v>45389</v>
      </c>
    </row>
    <row r="425" spans="1:12" ht="26.4" x14ac:dyDescent="0.3">
      <c r="A425" s="179">
        <f t="shared" si="6"/>
        <v>22</v>
      </c>
      <c r="B425" s="646" t="s">
        <v>280</v>
      </c>
      <c r="C425" s="646">
        <v>141584200</v>
      </c>
      <c r="D425" s="940" t="s">
        <v>794</v>
      </c>
      <c r="E425" s="340" t="s">
        <v>216</v>
      </c>
      <c r="F425" s="341" t="s">
        <v>89</v>
      </c>
      <c r="G425" s="340" t="s">
        <v>1841</v>
      </c>
      <c r="H425" s="1359" t="s">
        <v>884</v>
      </c>
      <c r="I425" s="1372" t="s">
        <v>216</v>
      </c>
      <c r="J425" s="341"/>
      <c r="K425" s="343">
        <v>45387</v>
      </c>
      <c r="L425" s="343">
        <v>45388</v>
      </c>
    </row>
    <row r="426" spans="1:12" ht="26.4" x14ac:dyDescent="0.3">
      <c r="A426" s="179">
        <f t="shared" si="6"/>
        <v>22</v>
      </c>
      <c r="B426" s="646" t="s">
        <v>519</v>
      </c>
      <c r="C426" s="646">
        <v>155194499</v>
      </c>
      <c r="D426" s="940" t="s">
        <v>754</v>
      </c>
      <c r="E426" s="340" t="s">
        <v>216</v>
      </c>
      <c r="F426" s="341" t="s">
        <v>3</v>
      </c>
      <c r="G426" s="340" t="s">
        <v>2402</v>
      </c>
      <c r="H426" s="1359" t="s">
        <v>884</v>
      </c>
      <c r="I426" s="1372" t="s">
        <v>216</v>
      </c>
      <c r="J426" s="341"/>
      <c r="K426" s="343">
        <v>45387</v>
      </c>
      <c r="L426" s="343">
        <v>45390</v>
      </c>
    </row>
    <row r="427" spans="1:12" ht="26.4" x14ac:dyDescent="0.3">
      <c r="A427" s="179">
        <f t="shared" si="6"/>
        <v>22</v>
      </c>
      <c r="B427" s="646" t="s">
        <v>364</v>
      </c>
      <c r="C427" s="646">
        <v>190000699</v>
      </c>
      <c r="D427" s="940" t="s">
        <v>752</v>
      </c>
      <c r="E427" s="340" t="s">
        <v>216</v>
      </c>
      <c r="F427" s="341" t="s">
        <v>4</v>
      </c>
      <c r="G427" s="340" t="s">
        <v>3088</v>
      </c>
      <c r="H427" s="1359" t="s">
        <v>884</v>
      </c>
      <c r="I427" s="1372" t="s">
        <v>216</v>
      </c>
      <c r="J427" s="341" t="s">
        <v>1483</v>
      </c>
      <c r="K427" s="343">
        <v>45387</v>
      </c>
      <c r="L427" s="343" t="s">
        <v>3569</v>
      </c>
    </row>
    <row r="428" spans="1:12" ht="26.4" x14ac:dyDescent="0.3">
      <c r="A428" s="179">
        <f t="shared" si="6"/>
        <v>22</v>
      </c>
      <c r="B428" s="646" t="s">
        <v>366</v>
      </c>
      <c r="C428" s="646">
        <v>203164599</v>
      </c>
      <c r="D428" s="940" t="s">
        <v>713</v>
      </c>
      <c r="E428" s="835" t="s">
        <v>216</v>
      </c>
      <c r="F428" s="341" t="s">
        <v>4</v>
      </c>
      <c r="G428" s="340" t="s">
        <v>219</v>
      </c>
      <c r="H428" s="1359" t="s">
        <v>884</v>
      </c>
      <c r="I428" s="1372" t="s">
        <v>216</v>
      </c>
      <c r="J428" s="341"/>
      <c r="K428" s="343">
        <v>45388</v>
      </c>
      <c r="L428" s="343">
        <v>45389</v>
      </c>
    </row>
    <row r="429" spans="1:12" ht="26.4" x14ac:dyDescent="0.3">
      <c r="A429" s="179">
        <f t="shared" si="6"/>
        <v>22</v>
      </c>
      <c r="B429" s="644" t="s">
        <v>506</v>
      </c>
      <c r="C429" s="644">
        <v>136125478</v>
      </c>
      <c r="D429" s="1343" t="s">
        <v>775</v>
      </c>
      <c r="E429" s="1343" t="s">
        <v>775</v>
      </c>
      <c r="F429" s="349" t="s">
        <v>89</v>
      </c>
      <c r="G429" s="347" t="s">
        <v>261</v>
      </c>
      <c r="H429" s="1360" t="s">
        <v>1075</v>
      </c>
      <c r="I429" s="1373" t="s">
        <v>775</v>
      </c>
      <c r="J429" s="349"/>
      <c r="K429" s="353"/>
      <c r="L429" s="353"/>
    </row>
    <row r="430" spans="1:12" ht="26.4" x14ac:dyDescent="0.3">
      <c r="A430" s="179">
        <f t="shared" si="6"/>
        <v>22</v>
      </c>
      <c r="B430" s="644" t="s">
        <v>429</v>
      </c>
      <c r="C430" s="644">
        <v>174553122</v>
      </c>
      <c r="D430" s="381" t="s">
        <v>775</v>
      </c>
      <c r="E430" s="347" t="s">
        <v>775</v>
      </c>
      <c r="F430" s="1001" t="s">
        <v>209</v>
      </c>
      <c r="G430" s="347" t="s">
        <v>239</v>
      </c>
      <c r="H430" s="1360" t="s">
        <v>1075</v>
      </c>
      <c r="I430" s="1373" t="s">
        <v>775</v>
      </c>
      <c r="J430" s="349"/>
      <c r="K430" s="353"/>
      <c r="L430" s="353"/>
    </row>
    <row r="431" spans="1:12" ht="26.4" x14ac:dyDescent="0.3">
      <c r="A431" s="179">
        <f t="shared" si="6"/>
        <v>22</v>
      </c>
      <c r="B431" s="832" t="s">
        <v>691</v>
      </c>
      <c r="C431" s="832">
        <v>195531854</v>
      </c>
      <c r="D431" s="940" t="s">
        <v>2001</v>
      </c>
      <c r="E431" s="346" t="s">
        <v>785</v>
      </c>
      <c r="F431" s="348" t="s">
        <v>4</v>
      </c>
      <c r="G431" s="346" t="s">
        <v>152</v>
      </c>
      <c r="H431" s="1358" t="s">
        <v>1075</v>
      </c>
      <c r="I431" s="1371" t="s">
        <v>785</v>
      </c>
      <c r="J431" s="348"/>
      <c r="K431" s="352"/>
      <c r="L431" s="352"/>
    </row>
    <row r="432" spans="1:12" ht="26.4" x14ac:dyDescent="0.3">
      <c r="A432" s="179">
        <f t="shared" si="6"/>
        <v>22</v>
      </c>
      <c r="B432" s="646" t="s">
        <v>3144</v>
      </c>
      <c r="C432" s="646">
        <v>100475766</v>
      </c>
      <c r="D432" s="835" t="s">
        <v>2136</v>
      </c>
      <c r="E432" s="340" t="s">
        <v>2136</v>
      </c>
      <c r="F432" s="945" t="s">
        <v>11</v>
      </c>
      <c r="G432" s="340" t="s">
        <v>3145</v>
      </c>
      <c r="H432" s="1359" t="s">
        <v>1075</v>
      </c>
      <c r="I432" s="1372" t="s">
        <v>2136</v>
      </c>
      <c r="J432" s="341"/>
      <c r="K432" s="952"/>
      <c r="L432" s="952"/>
    </row>
    <row r="433" spans="1:12" ht="14.4" x14ac:dyDescent="0.3">
      <c r="A433" s="179">
        <f t="shared" si="6"/>
        <v>22</v>
      </c>
      <c r="B433" s="862" t="s">
        <v>305</v>
      </c>
      <c r="C433" s="862">
        <v>123796136</v>
      </c>
      <c r="D433" s="935" t="s">
        <v>863</v>
      </c>
      <c r="E433" s="382" t="s">
        <v>1079</v>
      </c>
      <c r="F433" s="1002" t="s">
        <v>11</v>
      </c>
      <c r="G433" s="382" t="s">
        <v>1877</v>
      </c>
      <c r="H433" s="1361" t="s">
        <v>1083</v>
      </c>
      <c r="I433" s="1374" t="s">
        <v>1079</v>
      </c>
      <c r="J433" s="383" t="s">
        <v>2904</v>
      </c>
      <c r="K433" s="385"/>
      <c r="L433" s="385"/>
    </row>
    <row r="434" spans="1:12" ht="26.4" x14ac:dyDescent="0.3">
      <c r="A434" s="179">
        <f t="shared" si="6"/>
        <v>22</v>
      </c>
      <c r="B434" s="646" t="s">
        <v>2441</v>
      </c>
      <c r="C434" s="646" t="s">
        <v>2442</v>
      </c>
      <c r="D434" s="940" t="s">
        <v>776</v>
      </c>
      <c r="E434" s="340" t="s">
        <v>1398</v>
      </c>
      <c r="F434" s="945" t="s">
        <v>11</v>
      </c>
      <c r="G434" s="340" t="s">
        <v>2443</v>
      </c>
      <c r="H434" s="1359" t="s">
        <v>962</v>
      </c>
      <c r="I434" s="1372" t="s">
        <v>1398</v>
      </c>
      <c r="J434" s="341"/>
      <c r="K434" s="952"/>
      <c r="L434" s="952"/>
    </row>
    <row r="435" spans="1:12" ht="26.4" x14ac:dyDescent="0.3">
      <c r="A435" s="179">
        <f t="shared" si="6"/>
        <v>22</v>
      </c>
      <c r="B435" s="646" t="s">
        <v>2446</v>
      </c>
      <c r="C435" s="646" t="s">
        <v>2447</v>
      </c>
      <c r="D435" s="940" t="s">
        <v>776</v>
      </c>
      <c r="E435" s="340" t="s">
        <v>1398</v>
      </c>
      <c r="F435" s="945" t="s">
        <v>17</v>
      </c>
      <c r="G435" s="340" t="s">
        <v>2448</v>
      </c>
      <c r="H435" s="1359" t="s">
        <v>962</v>
      </c>
      <c r="I435" s="1372" t="s">
        <v>1398</v>
      </c>
      <c r="J435" s="341"/>
      <c r="K435" s="952"/>
      <c r="L435" s="952"/>
    </row>
    <row r="436" spans="1:12" ht="26.4" x14ac:dyDescent="0.3">
      <c r="A436" s="179">
        <f t="shared" si="6"/>
        <v>22</v>
      </c>
      <c r="B436" s="646" t="s">
        <v>499</v>
      </c>
      <c r="C436" s="646">
        <v>145846706</v>
      </c>
      <c r="D436" s="935" t="s">
        <v>786</v>
      </c>
      <c r="E436" s="340" t="s">
        <v>1398</v>
      </c>
      <c r="F436" s="341" t="s">
        <v>89</v>
      </c>
      <c r="G436" s="340" t="s">
        <v>15</v>
      </c>
      <c r="H436" s="1359" t="s">
        <v>962</v>
      </c>
      <c r="I436" s="1372" t="s">
        <v>1398</v>
      </c>
      <c r="J436" s="341"/>
      <c r="K436" s="343"/>
      <c r="L436" s="343"/>
    </row>
    <row r="437" spans="1:12" ht="14.4" x14ac:dyDescent="0.3">
      <c r="A437" s="179">
        <f t="shared" si="6"/>
        <v>22</v>
      </c>
      <c r="B437" s="646" t="s">
        <v>549</v>
      </c>
      <c r="C437" s="646">
        <v>129264829</v>
      </c>
      <c r="D437" s="940" t="s">
        <v>902</v>
      </c>
      <c r="E437" s="835" t="s">
        <v>1398</v>
      </c>
      <c r="F437" s="341" t="s">
        <v>89</v>
      </c>
      <c r="G437" s="340" t="s">
        <v>1896</v>
      </c>
      <c r="H437" s="1359" t="s">
        <v>962</v>
      </c>
      <c r="I437" s="1372" t="s">
        <v>1398</v>
      </c>
      <c r="J437" s="341"/>
      <c r="K437" s="343"/>
      <c r="L437" s="343"/>
    </row>
    <row r="438" spans="1:12" ht="14.4" x14ac:dyDescent="0.3">
      <c r="A438" s="179">
        <f t="shared" si="6"/>
        <v>22</v>
      </c>
      <c r="B438" s="646" t="s">
        <v>2481</v>
      </c>
      <c r="C438" s="646">
        <v>146138055</v>
      </c>
      <c r="D438" s="835" t="s">
        <v>1398</v>
      </c>
      <c r="E438" s="340" t="s">
        <v>1398</v>
      </c>
      <c r="F438" s="945" t="s">
        <v>89</v>
      </c>
      <c r="G438" s="340" t="s">
        <v>2482</v>
      </c>
      <c r="H438" s="1359" t="s">
        <v>962</v>
      </c>
      <c r="I438" s="1372" t="s">
        <v>1398</v>
      </c>
      <c r="J438" s="341"/>
      <c r="K438" s="952"/>
      <c r="L438" s="952"/>
    </row>
    <row r="439" spans="1:12" ht="14.4" x14ac:dyDescent="0.3">
      <c r="A439" s="179">
        <f t="shared" si="6"/>
        <v>22</v>
      </c>
      <c r="B439" s="646" t="s">
        <v>495</v>
      </c>
      <c r="C439" s="646">
        <v>160506857</v>
      </c>
      <c r="D439" s="935" t="s">
        <v>686</v>
      </c>
      <c r="E439" s="340" t="s">
        <v>1398</v>
      </c>
      <c r="F439" s="945" t="s">
        <v>89</v>
      </c>
      <c r="G439" s="340" t="s">
        <v>1899</v>
      </c>
      <c r="H439" s="1359" t="s">
        <v>962</v>
      </c>
      <c r="I439" s="1372" t="s">
        <v>1398</v>
      </c>
      <c r="J439" s="341"/>
      <c r="K439" s="343"/>
      <c r="L439" s="343"/>
    </row>
    <row r="440" spans="1:12" ht="39.6" x14ac:dyDescent="0.3">
      <c r="A440" s="179">
        <f t="shared" si="6"/>
        <v>22</v>
      </c>
      <c r="B440" s="646" t="s">
        <v>576</v>
      </c>
      <c r="C440" s="646">
        <v>160918411</v>
      </c>
      <c r="D440" s="1344" t="s">
        <v>796</v>
      </c>
      <c r="E440" s="1351" t="s">
        <v>1398</v>
      </c>
      <c r="F440" s="945" t="s">
        <v>89</v>
      </c>
      <c r="G440" s="340" t="s">
        <v>39</v>
      </c>
      <c r="H440" s="1359" t="s">
        <v>962</v>
      </c>
      <c r="I440" s="990" t="s">
        <v>1398</v>
      </c>
      <c r="J440" s="341"/>
      <c r="K440" s="343"/>
      <c r="L440" s="343"/>
    </row>
    <row r="441" spans="1:12" ht="26.4" x14ac:dyDescent="0.3">
      <c r="A441" s="179">
        <f t="shared" si="6"/>
        <v>22</v>
      </c>
      <c r="B441" s="646" t="s">
        <v>597</v>
      </c>
      <c r="C441" s="646">
        <v>153746931</v>
      </c>
      <c r="D441" s="1342" t="s">
        <v>787</v>
      </c>
      <c r="E441" s="340" t="s">
        <v>1398</v>
      </c>
      <c r="F441" s="341" t="s">
        <v>89</v>
      </c>
      <c r="G441" s="340" t="s">
        <v>1897</v>
      </c>
      <c r="H441" s="1359" t="s">
        <v>962</v>
      </c>
      <c r="I441" s="1372" t="s">
        <v>1398</v>
      </c>
      <c r="J441" s="341"/>
      <c r="K441" s="343"/>
      <c r="L441" s="343"/>
    </row>
    <row r="442" spans="1:12" ht="14.4" x14ac:dyDescent="0.3">
      <c r="A442" s="179">
        <f t="shared" si="6"/>
        <v>22</v>
      </c>
      <c r="B442" s="646" t="s">
        <v>500</v>
      </c>
      <c r="C442" s="646">
        <v>140358398</v>
      </c>
      <c r="D442" s="935" t="s">
        <v>686</v>
      </c>
      <c r="E442" s="340" t="s">
        <v>1398</v>
      </c>
      <c r="F442" s="945" t="s">
        <v>209</v>
      </c>
      <c r="G442" s="340" t="s">
        <v>1898</v>
      </c>
      <c r="H442" s="1359" t="s">
        <v>962</v>
      </c>
      <c r="I442" s="1372" t="s">
        <v>1398</v>
      </c>
      <c r="J442" s="341"/>
      <c r="K442" s="343"/>
      <c r="L442" s="343"/>
    </row>
    <row r="443" spans="1:12" ht="26.4" x14ac:dyDescent="0.3">
      <c r="A443" s="179">
        <f t="shared" si="6"/>
        <v>22</v>
      </c>
      <c r="B443" s="646" t="s">
        <v>269</v>
      </c>
      <c r="C443" s="646">
        <v>155773553</v>
      </c>
      <c r="D443" s="940" t="s">
        <v>203</v>
      </c>
      <c r="E443" s="835" t="s">
        <v>1398</v>
      </c>
      <c r="F443" s="945" t="s">
        <v>209</v>
      </c>
      <c r="G443" s="340" t="s">
        <v>243</v>
      </c>
      <c r="H443" s="1359" t="s">
        <v>962</v>
      </c>
      <c r="I443" s="1372" t="s">
        <v>1398</v>
      </c>
      <c r="J443" s="341"/>
      <c r="K443" s="343"/>
      <c r="L443" s="343"/>
    </row>
    <row r="444" spans="1:12" ht="39.6" x14ac:dyDescent="0.3">
      <c r="A444" s="179">
        <f t="shared" si="6"/>
        <v>22</v>
      </c>
      <c r="B444" s="646" t="s">
        <v>334</v>
      </c>
      <c r="C444" s="646">
        <v>172967825</v>
      </c>
      <c r="D444" s="940" t="s">
        <v>796</v>
      </c>
      <c r="E444" s="340" t="s">
        <v>1398</v>
      </c>
      <c r="F444" s="341" t="s">
        <v>209</v>
      </c>
      <c r="G444" s="340" t="s">
        <v>167</v>
      </c>
      <c r="H444" s="1359" t="s">
        <v>962</v>
      </c>
      <c r="I444" s="1372" t="s">
        <v>1398</v>
      </c>
      <c r="J444" s="341"/>
      <c r="K444" s="343"/>
      <c r="L444" s="343"/>
    </row>
    <row r="445" spans="1:12" ht="26.4" x14ac:dyDescent="0.3">
      <c r="A445" s="179">
        <f t="shared" si="6"/>
        <v>22</v>
      </c>
      <c r="B445" s="646" t="s">
        <v>2451</v>
      </c>
      <c r="C445" s="646" t="s">
        <v>2452</v>
      </c>
      <c r="D445" s="940" t="s">
        <v>776</v>
      </c>
      <c r="E445" s="340" t="s">
        <v>1398</v>
      </c>
      <c r="F445" s="945" t="s">
        <v>209</v>
      </c>
      <c r="G445" s="340" t="s">
        <v>2907</v>
      </c>
      <c r="H445" s="1359" t="s">
        <v>962</v>
      </c>
      <c r="I445" s="1372" t="s">
        <v>1398</v>
      </c>
      <c r="J445" s="341"/>
      <c r="K445" s="952"/>
      <c r="L445" s="952"/>
    </row>
    <row r="446" spans="1:12" ht="14.4" x14ac:dyDescent="0.3">
      <c r="A446" s="179">
        <f t="shared" si="6"/>
        <v>22</v>
      </c>
      <c r="B446" s="646" t="s">
        <v>2323</v>
      </c>
      <c r="C446" s="646" t="s">
        <v>2324</v>
      </c>
      <c r="D446" s="340" t="s">
        <v>1398</v>
      </c>
      <c r="E446" s="340" t="s">
        <v>1398</v>
      </c>
      <c r="F446" s="945" t="s">
        <v>3</v>
      </c>
      <c r="G446" s="340" t="s">
        <v>2325</v>
      </c>
      <c r="H446" s="1359" t="s">
        <v>962</v>
      </c>
      <c r="I446" s="1372" t="s">
        <v>1398</v>
      </c>
      <c r="J446" s="341"/>
      <c r="K446" s="952"/>
      <c r="L446" s="952"/>
    </row>
    <row r="447" spans="1:12" ht="14.4" x14ac:dyDescent="0.3">
      <c r="A447" s="179">
        <f t="shared" si="6"/>
        <v>22</v>
      </c>
      <c r="B447" s="646" t="s">
        <v>2671</v>
      </c>
      <c r="C447" s="646" t="s">
        <v>2672</v>
      </c>
      <c r="D447" s="940" t="s">
        <v>208</v>
      </c>
      <c r="E447" s="340" t="s">
        <v>1398</v>
      </c>
      <c r="F447" s="945" t="s">
        <v>3</v>
      </c>
      <c r="G447" s="340" t="s">
        <v>2673</v>
      </c>
      <c r="H447" s="1359" t="s">
        <v>962</v>
      </c>
      <c r="I447" s="1372" t="s">
        <v>1398</v>
      </c>
      <c r="J447" s="341"/>
      <c r="K447" s="952"/>
      <c r="L447" s="952"/>
    </row>
    <row r="448" spans="1:12" ht="14.4" x14ac:dyDescent="0.3">
      <c r="A448" s="179">
        <f t="shared" si="6"/>
        <v>22</v>
      </c>
      <c r="B448" s="646" t="s">
        <v>601</v>
      </c>
      <c r="C448" s="646">
        <v>185560910</v>
      </c>
      <c r="D448" s="935" t="s">
        <v>784</v>
      </c>
      <c r="E448" s="340" t="s">
        <v>1398</v>
      </c>
      <c r="F448" s="341" t="s">
        <v>3</v>
      </c>
      <c r="G448" s="340" t="s">
        <v>1901</v>
      </c>
      <c r="H448" s="1359" t="s">
        <v>962</v>
      </c>
      <c r="I448" s="1372" t="s">
        <v>1398</v>
      </c>
      <c r="J448" s="341"/>
      <c r="K448" s="343"/>
      <c r="L448" s="343"/>
    </row>
    <row r="449" spans="1:12" ht="14.4" x14ac:dyDescent="0.3">
      <c r="A449" s="179">
        <f t="shared" si="6"/>
        <v>22</v>
      </c>
      <c r="B449" s="646" t="s">
        <v>497</v>
      </c>
      <c r="C449" s="646">
        <v>186705009</v>
      </c>
      <c r="D449" s="935" t="s">
        <v>784</v>
      </c>
      <c r="E449" s="340" t="s">
        <v>1398</v>
      </c>
      <c r="F449" s="341" t="s">
        <v>3</v>
      </c>
      <c r="G449" s="340" t="s">
        <v>1902</v>
      </c>
      <c r="H449" s="1359" t="s">
        <v>962</v>
      </c>
      <c r="I449" s="1372" t="s">
        <v>1398</v>
      </c>
      <c r="J449" s="341"/>
      <c r="K449" s="343"/>
      <c r="L449" s="343"/>
    </row>
    <row r="450" spans="1:12" ht="14.4" x14ac:dyDescent="0.3">
      <c r="A450" s="179">
        <f t="shared" si="6"/>
        <v>22</v>
      </c>
      <c r="B450" s="646" t="s">
        <v>395</v>
      </c>
      <c r="C450" s="646">
        <v>202528910</v>
      </c>
      <c r="D450" s="940" t="s">
        <v>901</v>
      </c>
      <c r="E450" s="1351" t="s">
        <v>1398</v>
      </c>
      <c r="F450" s="341" t="s">
        <v>4</v>
      </c>
      <c r="G450" s="340" t="s">
        <v>92</v>
      </c>
      <c r="H450" s="1359" t="s">
        <v>962</v>
      </c>
      <c r="I450" s="1372" t="s">
        <v>1398</v>
      </c>
      <c r="J450" s="341"/>
      <c r="K450" s="343"/>
      <c r="L450" s="343"/>
    </row>
    <row r="451" spans="1:12" ht="26.4" x14ac:dyDescent="0.3">
      <c r="A451" s="179">
        <f t="shared" si="6"/>
        <v>22</v>
      </c>
      <c r="B451" s="646" t="s">
        <v>2004</v>
      </c>
      <c r="C451" s="646">
        <v>190312763</v>
      </c>
      <c r="D451" s="940" t="s">
        <v>776</v>
      </c>
      <c r="E451" s="340" t="s">
        <v>1398</v>
      </c>
      <c r="F451" s="945" t="s">
        <v>4</v>
      </c>
      <c r="G451" s="340" t="s">
        <v>3016</v>
      </c>
      <c r="H451" s="1359" t="s">
        <v>962</v>
      </c>
      <c r="I451" s="1372" t="s">
        <v>1398</v>
      </c>
      <c r="J451" s="341"/>
      <c r="K451" s="343"/>
      <c r="L451" s="343"/>
    </row>
    <row r="452" spans="1:12" ht="39.6" x14ac:dyDescent="0.3">
      <c r="A452" s="179">
        <f t="shared" si="6"/>
        <v>22</v>
      </c>
      <c r="B452" s="646" t="s">
        <v>578</v>
      </c>
      <c r="C452" s="646">
        <v>189472307</v>
      </c>
      <c r="D452" s="1342" t="s">
        <v>796</v>
      </c>
      <c r="E452" s="1352" t="s">
        <v>1398</v>
      </c>
      <c r="F452" s="341" t="s">
        <v>4</v>
      </c>
      <c r="G452" s="340" t="s">
        <v>101</v>
      </c>
      <c r="H452" s="1359" t="s">
        <v>962</v>
      </c>
      <c r="I452" s="1372" t="s">
        <v>1398</v>
      </c>
      <c r="J452" s="341"/>
      <c r="K452" s="343"/>
      <c r="L452" s="343"/>
    </row>
    <row r="453" spans="1:12" ht="14.4" x14ac:dyDescent="0.3">
      <c r="A453" s="179">
        <f t="shared" si="6"/>
        <v>22</v>
      </c>
      <c r="B453" s="646" t="s">
        <v>568</v>
      </c>
      <c r="C453" s="646">
        <v>190130673</v>
      </c>
      <c r="D453" s="835" t="s">
        <v>1398</v>
      </c>
      <c r="E453" s="340" t="s">
        <v>1398</v>
      </c>
      <c r="F453" s="341" t="s">
        <v>4</v>
      </c>
      <c r="G453" s="340" t="s">
        <v>155</v>
      </c>
      <c r="H453" s="1359" t="s">
        <v>962</v>
      </c>
      <c r="I453" s="1372" t="s">
        <v>1398</v>
      </c>
      <c r="J453" s="341"/>
      <c r="K453" s="343"/>
      <c r="L453" s="343"/>
    </row>
    <row r="454" spans="1:12" ht="26.4" x14ac:dyDescent="0.3">
      <c r="A454" s="179">
        <f t="shared" si="6"/>
        <v>22</v>
      </c>
      <c r="B454" s="646" t="s">
        <v>676</v>
      </c>
      <c r="C454" s="646">
        <v>198504173</v>
      </c>
      <c r="D454" s="1342" t="s">
        <v>787</v>
      </c>
      <c r="E454" s="340" t="s">
        <v>1398</v>
      </c>
      <c r="F454" s="341" t="s">
        <v>4</v>
      </c>
      <c r="G454" s="340" t="s">
        <v>93</v>
      </c>
      <c r="H454" s="1359" t="s">
        <v>962</v>
      </c>
      <c r="I454" s="1372" t="s">
        <v>1398</v>
      </c>
      <c r="J454" s="341"/>
      <c r="K454" s="343"/>
      <c r="L454" s="343"/>
    </row>
    <row r="455" spans="1:12" ht="26.4" x14ac:dyDescent="0.3">
      <c r="A455" s="179">
        <f t="shared" si="6"/>
        <v>22</v>
      </c>
      <c r="B455" s="646" t="s">
        <v>406</v>
      </c>
      <c r="C455" s="646">
        <v>189250932</v>
      </c>
      <c r="D455" s="1342" t="s">
        <v>787</v>
      </c>
      <c r="E455" s="340" t="s">
        <v>1398</v>
      </c>
      <c r="F455" s="341" t="s">
        <v>4</v>
      </c>
      <c r="G455" s="340" t="s">
        <v>180</v>
      </c>
      <c r="H455" s="1359" t="s">
        <v>962</v>
      </c>
      <c r="I455" s="1372" t="s">
        <v>1398</v>
      </c>
      <c r="J455" s="341"/>
      <c r="K455" s="343"/>
      <c r="L455" s="343"/>
    </row>
    <row r="456" spans="1:12" ht="14.4" x14ac:dyDescent="0.3">
      <c r="A456" s="179">
        <f t="shared" si="6"/>
        <v>22</v>
      </c>
      <c r="B456" s="646" t="s">
        <v>503</v>
      </c>
      <c r="C456" s="646">
        <v>179846012</v>
      </c>
      <c r="D456" s="935" t="s">
        <v>784</v>
      </c>
      <c r="E456" s="340" t="s">
        <v>1398</v>
      </c>
      <c r="F456" s="341" t="s">
        <v>4</v>
      </c>
      <c r="G456" s="340" t="s">
        <v>106</v>
      </c>
      <c r="H456" s="1359" t="s">
        <v>962</v>
      </c>
      <c r="I456" s="1372" t="s">
        <v>1398</v>
      </c>
      <c r="J456" s="341"/>
      <c r="K456" s="343"/>
      <c r="L456" s="343"/>
    </row>
    <row r="457" spans="1:12" ht="14.4" x14ac:dyDescent="0.3">
      <c r="A457" s="179">
        <f t="shared" si="6"/>
        <v>22</v>
      </c>
      <c r="B457" s="646" t="s">
        <v>551</v>
      </c>
      <c r="C457" s="646" t="s">
        <v>552</v>
      </c>
      <c r="D457" s="1344" t="s">
        <v>902</v>
      </c>
      <c r="E457" s="1351" t="s">
        <v>1398</v>
      </c>
      <c r="F457" s="341" t="s">
        <v>4</v>
      </c>
      <c r="G457" s="340" t="s">
        <v>51</v>
      </c>
      <c r="H457" s="1359" t="s">
        <v>962</v>
      </c>
      <c r="I457" s="1372" t="s">
        <v>1398</v>
      </c>
      <c r="J457" s="341"/>
      <c r="K457" s="343"/>
      <c r="L457" s="343"/>
    </row>
    <row r="458" spans="1:12" ht="14.4" x14ac:dyDescent="0.3">
      <c r="A458" s="179">
        <f t="shared" si="6"/>
        <v>22</v>
      </c>
      <c r="B458" s="646" t="s">
        <v>270</v>
      </c>
      <c r="C458" s="646">
        <v>137577151</v>
      </c>
      <c r="D458" s="340" t="s">
        <v>784</v>
      </c>
      <c r="E458" s="340" t="s">
        <v>1398</v>
      </c>
      <c r="F458" s="933" t="s">
        <v>209</v>
      </c>
      <c r="G458" s="340" t="s">
        <v>207</v>
      </c>
      <c r="H458" s="1359" t="s">
        <v>962</v>
      </c>
      <c r="I458" s="1372" t="s">
        <v>1398</v>
      </c>
      <c r="J458" s="341"/>
      <c r="K458" s="343"/>
      <c r="L458" s="343"/>
    </row>
    <row r="459" spans="1:12" ht="14.4" x14ac:dyDescent="0.3">
      <c r="A459" s="179">
        <f t="shared" si="6"/>
        <v>22</v>
      </c>
      <c r="B459" s="832" t="s">
        <v>1536</v>
      </c>
      <c r="C459" s="832" t="s">
        <v>1537</v>
      </c>
      <c r="D459" s="863" t="s">
        <v>77</v>
      </c>
      <c r="E459" s="346" t="s">
        <v>77</v>
      </c>
      <c r="F459" s="348" t="s">
        <v>11</v>
      </c>
      <c r="G459" s="346" t="s">
        <v>2128</v>
      </c>
      <c r="H459" s="1358" t="s">
        <v>1075</v>
      </c>
      <c r="I459" s="1371" t="s">
        <v>77</v>
      </c>
      <c r="J459" s="348"/>
      <c r="K459" s="352"/>
      <c r="L459" s="352"/>
    </row>
    <row r="460" spans="1:12" ht="39.6" x14ac:dyDescent="0.3">
      <c r="A460" s="179">
        <f t="shared" si="6"/>
        <v>22</v>
      </c>
      <c r="B460" s="832" t="s">
        <v>2477</v>
      </c>
      <c r="C460" s="832">
        <v>127764670</v>
      </c>
      <c r="D460" s="863" t="s">
        <v>1080</v>
      </c>
      <c r="E460" s="346" t="s">
        <v>809</v>
      </c>
      <c r="F460" s="911" t="s">
        <v>3</v>
      </c>
      <c r="G460" s="346" t="s">
        <v>2479</v>
      </c>
      <c r="H460" s="1358" t="s">
        <v>909</v>
      </c>
      <c r="I460" s="1371" t="s">
        <v>809</v>
      </c>
      <c r="J460" s="348"/>
      <c r="K460" s="902">
        <v>45385</v>
      </c>
      <c r="L460" s="902"/>
    </row>
    <row r="461" spans="1:12" ht="14.4" x14ac:dyDescent="0.3">
      <c r="A461" s="179">
        <f t="shared" ref="A461:A524" si="7">IF(G461&lt;&gt;"",22,0)</f>
        <v>22</v>
      </c>
      <c r="B461" s="862" t="s">
        <v>1538</v>
      </c>
      <c r="C461" s="862">
        <v>94929563</v>
      </c>
      <c r="D461" s="852" t="s">
        <v>77</v>
      </c>
      <c r="E461" s="382" t="s">
        <v>1079</v>
      </c>
      <c r="F461" s="383" t="s">
        <v>11</v>
      </c>
      <c r="G461" s="382" t="s">
        <v>181</v>
      </c>
      <c r="H461" s="1361" t="s">
        <v>1083</v>
      </c>
      <c r="I461" s="1374" t="s">
        <v>1079</v>
      </c>
      <c r="J461" s="383"/>
      <c r="K461" s="385">
        <v>45338</v>
      </c>
      <c r="L461" s="385">
        <v>45458</v>
      </c>
    </row>
    <row r="462" spans="1:12" ht="14.4" x14ac:dyDescent="0.3">
      <c r="A462" s="179">
        <f t="shared" si="7"/>
        <v>22</v>
      </c>
      <c r="B462" s="646" t="s">
        <v>599</v>
      </c>
      <c r="C462" s="646">
        <v>195831769</v>
      </c>
      <c r="D462" s="835" t="s">
        <v>1990</v>
      </c>
      <c r="E462" s="340" t="s">
        <v>1398</v>
      </c>
      <c r="F462" s="341" t="s">
        <v>14</v>
      </c>
      <c r="G462" s="340" t="s">
        <v>1903</v>
      </c>
      <c r="H462" s="1359" t="s">
        <v>962</v>
      </c>
      <c r="I462" s="1372" t="s">
        <v>1398</v>
      </c>
      <c r="J462" s="341"/>
      <c r="K462" s="343">
        <v>45281</v>
      </c>
      <c r="L462" s="343"/>
    </row>
    <row r="463" spans="1:12" ht="14.4" x14ac:dyDescent="0.3">
      <c r="A463" s="179">
        <f t="shared" si="7"/>
        <v>22</v>
      </c>
      <c r="B463" s="818" t="s">
        <v>606</v>
      </c>
      <c r="C463" s="818">
        <v>99833599</v>
      </c>
      <c r="D463" s="898" t="s">
        <v>784</v>
      </c>
      <c r="E463" s="400" t="s">
        <v>784</v>
      </c>
      <c r="F463" s="399" t="s">
        <v>818</v>
      </c>
      <c r="G463" s="400" t="s">
        <v>607</v>
      </c>
      <c r="H463" s="1362" t="s">
        <v>1075</v>
      </c>
      <c r="I463" s="1375" t="s">
        <v>784</v>
      </c>
      <c r="J463" s="399"/>
      <c r="K463" s="404"/>
      <c r="L463" s="404"/>
    </row>
    <row r="464" spans="1:12" ht="26.4" x14ac:dyDescent="0.3">
      <c r="A464" s="179">
        <f t="shared" si="7"/>
        <v>22</v>
      </c>
      <c r="B464" s="646" t="s">
        <v>613</v>
      </c>
      <c r="C464" s="646" t="s">
        <v>614</v>
      </c>
      <c r="D464" s="340" t="s">
        <v>1081</v>
      </c>
      <c r="E464" s="340" t="s">
        <v>1081</v>
      </c>
      <c r="F464" s="341" t="s">
        <v>818</v>
      </c>
      <c r="G464" s="340" t="s">
        <v>84</v>
      </c>
      <c r="H464" s="1359" t="s">
        <v>1075</v>
      </c>
      <c r="I464" s="1372" t="s">
        <v>1081</v>
      </c>
      <c r="J464" s="341"/>
      <c r="K464" s="343"/>
      <c r="L464" s="343"/>
    </row>
    <row r="465" spans="1:12" ht="26.4" x14ac:dyDescent="0.3">
      <c r="A465" s="179">
        <f t="shared" si="7"/>
        <v>22</v>
      </c>
      <c r="B465" s="646" t="s">
        <v>619</v>
      </c>
      <c r="C465" s="646">
        <v>116685426</v>
      </c>
      <c r="D465" s="340" t="s">
        <v>1081</v>
      </c>
      <c r="E465" s="340" t="s">
        <v>1081</v>
      </c>
      <c r="F465" s="341" t="s">
        <v>818</v>
      </c>
      <c r="G465" s="340" t="s">
        <v>620</v>
      </c>
      <c r="H465" s="1359" t="s">
        <v>1075</v>
      </c>
      <c r="I465" s="1372" t="s">
        <v>1081</v>
      </c>
      <c r="J465" s="341"/>
      <c r="K465" s="343"/>
      <c r="L465" s="343"/>
    </row>
    <row r="466" spans="1:12" ht="26.4" x14ac:dyDescent="0.3">
      <c r="A466" s="179">
        <f t="shared" si="7"/>
        <v>22</v>
      </c>
      <c r="B466" s="646" t="s">
        <v>624</v>
      </c>
      <c r="C466" s="646">
        <v>153747644</v>
      </c>
      <c r="D466" s="340" t="s">
        <v>1081</v>
      </c>
      <c r="E466" s="340" t="s">
        <v>1081</v>
      </c>
      <c r="F466" s="341" t="s">
        <v>818</v>
      </c>
      <c r="G466" s="340" t="s">
        <v>625</v>
      </c>
      <c r="H466" s="1359" t="s">
        <v>1075</v>
      </c>
      <c r="I466" s="1372" t="s">
        <v>1081</v>
      </c>
      <c r="J466" s="341"/>
      <c r="K466" s="343"/>
      <c r="L466" s="343"/>
    </row>
    <row r="467" spans="1:12" ht="26.4" x14ac:dyDescent="0.3">
      <c r="A467" s="179">
        <f t="shared" si="7"/>
        <v>22</v>
      </c>
      <c r="B467" s="646" t="s">
        <v>630</v>
      </c>
      <c r="C467" s="646" t="s">
        <v>631</v>
      </c>
      <c r="D467" s="340" t="s">
        <v>1081</v>
      </c>
      <c r="E467" s="340" t="s">
        <v>1081</v>
      </c>
      <c r="F467" s="341" t="s">
        <v>818</v>
      </c>
      <c r="G467" s="340" t="s">
        <v>632</v>
      </c>
      <c r="H467" s="1359" t="s">
        <v>1075</v>
      </c>
      <c r="I467" s="1372" t="s">
        <v>1081</v>
      </c>
      <c r="J467" s="341"/>
      <c r="K467" s="343"/>
      <c r="L467" s="343"/>
    </row>
    <row r="468" spans="1:12" ht="14.4" x14ac:dyDescent="0.3">
      <c r="A468" s="179">
        <f t="shared" si="7"/>
        <v>22</v>
      </c>
      <c r="B468" s="644" t="s">
        <v>634</v>
      </c>
      <c r="C468" s="644">
        <v>193035760</v>
      </c>
      <c r="D468" s="347" t="s">
        <v>1532</v>
      </c>
      <c r="E468" s="347" t="s">
        <v>1532</v>
      </c>
      <c r="F468" s="349" t="s">
        <v>818</v>
      </c>
      <c r="G468" s="347" t="s">
        <v>635</v>
      </c>
      <c r="H468" s="1360" t="s">
        <v>1075</v>
      </c>
      <c r="I468" s="1373" t="s">
        <v>1532</v>
      </c>
      <c r="J468" s="349"/>
      <c r="K468" s="353"/>
      <c r="L468" s="353"/>
    </row>
    <row r="469" spans="1:12" ht="14.4" x14ac:dyDescent="0.3">
      <c r="A469" s="179">
        <f t="shared" si="7"/>
        <v>22</v>
      </c>
      <c r="B469" s="862" t="s">
        <v>629</v>
      </c>
      <c r="C469" s="862">
        <v>118481860</v>
      </c>
      <c r="D469" s="382" t="s">
        <v>1532</v>
      </c>
      <c r="E469" s="382" t="s">
        <v>72</v>
      </c>
      <c r="F469" s="383" t="s">
        <v>818</v>
      </c>
      <c r="G469" s="382" t="s">
        <v>249</v>
      </c>
      <c r="H469" s="1361" t="s">
        <v>1075</v>
      </c>
      <c r="I469" s="1374" t="s">
        <v>72</v>
      </c>
      <c r="J469" s="383"/>
      <c r="K469" s="385"/>
      <c r="L469" s="385"/>
    </row>
    <row r="470" spans="1:12" ht="14.4" x14ac:dyDescent="0.3">
      <c r="A470" s="179">
        <f t="shared" si="7"/>
        <v>22</v>
      </c>
      <c r="B470" s="862" t="s">
        <v>633</v>
      </c>
      <c r="C470" s="862">
        <v>108821035</v>
      </c>
      <c r="D470" s="852" t="s">
        <v>83</v>
      </c>
      <c r="E470" s="382" t="s">
        <v>83</v>
      </c>
      <c r="F470" s="383" t="s">
        <v>818</v>
      </c>
      <c r="G470" s="382" t="s">
        <v>82</v>
      </c>
      <c r="H470" s="1361" t="s">
        <v>1075</v>
      </c>
      <c r="I470" s="1374" t="s">
        <v>83</v>
      </c>
      <c r="J470" s="383"/>
      <c r="K470" s="385"/>
      <c r="L470" s="385"/>
    </row>
    <row r="471" spans="1:12" ht="14.4" x14ac:dyDescent="0.3">
      <c r="A471" s="179">
        <f t="shared" si="7"/>
        <v>22</v>
      </c>
      <c r="B471" s="832" t="s">
        <v>621</v>
      </c>
      <c r="C471" s="832">
        <v>107280391</v>
      </c>
      <c r="D471" s="346" t="s">
        <v>1080</v>
      </c>
      <c r="E471" s="346" t="s">
        <v>1080</v>
      </c>
      <c r="F471" s="348" t="s">
        <v>818</v>
      </c>
      <c r="G471" s="346" t="s">
        <v>85</v>
      </c>
      <c r="H471" s="1358" t="s">
        <v>1075</v>
      </c>
      <c r="I471" s="1371" t="s">
        <v>1080</v>
      </c>
      <c r="J471" s="348"/>
      <c r="K471" s="352"/>
      <c r="L471" s="352"/>
    </row>
    <row r="472" spans="1:12" ht="14.4" x14ac:dyDescent="0.3">
      <c r="A472" s="179">
        <f t="shared" si="7"/>
        <v>22</v>
      </c>
      <c r="B472" s="832" t="s">
        <v>1964</v>
      </c>
      <c r="C472" s="832" t="s">
        <v>1965</v>
      </c>
      <c r="D472" s="863" t="s">
        <v>1080</v>
      </c>
      <c r="E472" s="346" t="s">
        <v>1080</v>
      </c>
      <c r="F472" s="911" t="s">
        <v>818</v>
      </c>
      <c r="G472" s="346" t="s">
        <v>1966</v>
      </c>
      <c r="H472" s="1358" t="s">
        <v>1075</v>
      </c>
      <c r="I472" s="1371" t="s">
        <v>1080</v>
      </c>
      <c r="J472" s="348"/>
      <c r="K472" s="352"/>
      <c r="L472" s="352"/>
    </row>
    <row r="473" spans="1:12" ht="14.4" x14ac:dyDescent="0.3">
      <c r="A473" s="179">
        <f t="shared" si="7"/>
        <v>22</v>
      </c>
      <c r="B473" s="646" t="s">
        <v>622</v>
      </c>
      <c r="C473" s="646">
        <v>122443752</v>
      </c>
      <c r="D473" s="835" t="s">
        <v>88</v>
      </c>
      <c r="E473" s="835" t="s">
        <v>88</v>
      </c>
      <c r="F473" s="341" t="s">
        <v>818</v>
      </c>
      <c r="G473" s="340" t="s">
        <v>623</v>
      </c>
      <c r="H473" s="1359" t="s">
        <v>1075</v>
      </c>
      <c r="I473" s="1372" t="s">
        <v>88</v>
      </c>
      <c r="J473" s="341"/>
      <c r="K473" s="343"/>
      <c r="L473" s="343"/>
    </row>
    <row r="474" spans="1:12" ht="14.4" x14ac:dyDescent="0.3">
      <c r="A474" s="179">
        <f t="shared" si="7"/>
        <v>22</v>
      </c>
      <c r="B474" s="646" t="s">
        <v>636</v>
      </c>
      <c r="C474" s="646">
        <v>109150967</v>
      </c>
      <c r="D474" s="835" t="s">
        <v>88</v>
      </c>
      <c r="E474" s="340" t="s">
        <v>88</v>
      </c>
      <c r="F474" s="341" t="s">
        <v>818</v>
      </c>
      <c r="G474" s="340" t="s">
        <v>87</v>
      </c>
      <c r="H474" s="1359" t="s">
        <v>1075</v>
      </c>
      <c r="I474" s="1372" t="s">
        <v>88</v>
      </c>
      <c r="J474" s="341"/>
      <c r="K474" s="343"/>
      <c r="L474" s="343"/>
    </row>
    <row r="475" spans="1:12" ht="14.4" x14ac:dyDescent="0.3">
      <c r="A475" s="179">
        <f t="shared" si="7"/>
        <v>22</v>
      </c>
      <c r="B475" s="832" t="s">
        <v>626</v>
      </c>
      <c r="C475" s="832" t="s">
        <v>627</v>
      </c>
      <c r="D475" s="863" t="s">
        <v>77</v>
      </c>
      <c r="E475" s="346" t="s">
        <v>77</v>
      </c>
      <c r="F475" s="348" t="s">
        <v>818</v>
      </c>
      <c r="G475" s="346" t="s">
        <v>86</v>
      </c>
      <c r="H475" s="1358" t="s">
        <v>1075</v>
      </c>
      <c r="I475" s="1371" t="s">
        <v>77</v>
      </c>
      <c r="J475" s="348"/>
      <c r="K475" s="352"/>
      <c r="L475" s="352"/>
    </row>
    <row r="476" spans="1:12" ht="14.4" x14ac:dyDescent="0.3">
      <c r="A476" s="179">
        <f t="shared" si="7"/>
        <v>22</v>
      </c>
      <c r="B476" s="832" t="s">
        <v>2065</v>
      </c>
      <c r="C476" s="832">
        <v>195031606</v>
      </c>
      <c r="D476" s="863" t="s">
        <v>77</v>
      </c>
      <c r="E476" s="346" t="s">
        <v>77</v>
      </c>
      <c r="F476" s="911" t="s">
        <v>818</v>
      </c>
      <c r="G476" s="346" t="s">
        <v>2288</v>
      </c>
      <c r="H476" s="1358" t="s">
        <v>1075</v>
      </c>
      <c r="I476" s="1371" t="s">
        <v>77</v>
      </c>
      <c r="J476" s="348"/>
      <c r="K476" s="352"/>
      <c r="L476" s="352"/>
    </row>
    <row r="477" spans="1:12" ht="14.4" x14ac:dyDescent="0.3">
      <c r="A477" s="179">
        <f t="shared" si="7"/>
        <v>22</v>
      </c>
      <c r="B477" s="832" t="s">
        <v>638</v>
      </c>
      <c r="C477" s="832">
        <v>128975748</v>
      </c>
      <c r="D477" s="863" t="s">
        <v>77</v>
      </c>
      <c r="E477" s="346" t="s">
        <v>77</v>
      </c>
      <c r="F477" s="348" t="s">
        <v>818</v>
      </c>
      <c r="G477" s="346" t="s">
        <v>81</v>
      </c>
      <c r="H477" s="1358" t="s">
        <v>1075</v>
      </c>
      <c r="I477" s="1371" t="s">
        <v>77</v>
      </c>
      <c r="J477" s="348"/>
      <c r="K477" s="352"/>
      <c r="L477" s="352"/>
    </row>
    <row r="478" spans="1:12" ht="14.4" x14ac:dyDescent="0.3">
      <c r="A478" s="179">
        <f t="shared" si="7"/>
        <v>22</v>
      </c>
      <c r="B478" s="646" t="s">
        <v>637</v>
      </c>
      <c r="C478" s="646">
        <v>98184759</v>
      </c>
      <c r="D478" s="835" t="s">
        <v>782</v>
      </c>
      <c r="E478" s="835" t="s">
        <v>782</v>
      </c>
      <c r="F478" s="341" t="s">
        <v>818</v>
      </c>
      <c r="G478" s="340" t="s">
        <v>780</v>
      </c>
      <c r="H478" s="1359" t="s">
        <v>1075</v>
      </c>
      <c r="I478" s="1372" t="s">
        <v>782</v>
      </c>
      <c r="J478" s="341"/>
      <c r="K478" s="343"/>
      <c r="L478" s="343"/>
    </row>
    <row r="479" spans="1:12" ht="26.4" x14ac:dyDescent="0.3">
      <c r="A479" s="179">
        <f t="shared" si="7"/>
        <v>22</v>
      </c>
      <c r="B479" s="644" t="s">
        <v>617</v>
      </c>
      <c r="C479" s="644">
        <v>69788726</v>
      </c>
      <c r="D479" s="347" t="s">
        <v>1081</v>
      </c>
      <c r="E479" s="347" t="s">
        <v>1527</v>
      </c>
      <c r="F479" s="349" t="s">
        <v>818</v>
      </c>
      <c r="G479" s="347" t="s">
        <v>211</v>
      </c>
      <c r="H479" s="1360" t="s">
        <v>909</v>
      </c>
      <c r="I479" s="1373" t="s">
        <v>1527</v>
      </c>
      <c r="J479" s="349"/>
      <c r="K479" s="353">
        <v>45385</v>
      </c>
      <c r="L479" s="353"/>
    </row>
    <row r="480" spans="1:12" ht="14.4" x14ac:dyDescent="0.3">
      <c r="A480" s="179">
        <f t="shared" si="7"/>
        <v>22</v>
      </c>
      <c r="B480" s="832" t="s">
        <v>615</v>
      </c>
      <c r="C480" s="832">
        <v>151094899</v>
      </c>
      <c r="D480" s="863" t="s">
        <v>639</v>
      </c>
      <c r="E480" s="346" t="s">
        <v>639</v>
      </c>
      <c r="F480" s="348" t="s">
        <v>818</v>
      </c>
      <c r="G480" s="346" t="s">
        <v>79</v>
      </c>
      <c r="H480" s="1358" t="s">
        <v>1075</v>
      </c>
      <c r="I480" s="1371" t="s">
        <v>639</v>
      </c>
      <c r="J480" s="348"/>
      <c r="K480" s="352"/>
      <c r="L480" s="352"/>
    </row>
    <row r="481" spans="1:12" ht="14.4" x14ac:dyDescent="0.3">
      <c r="A481" s="179">
        <f t="shared" si="7"/>
        <v>22</v>
      </c>
      <c r="B481" s="818" t="s">
        <v>618</v>
      </c>
      <c r="C481" s="818">
        <v>129104562</v>
      </c>
      <c r="D481" s="400" t="s">
        <v>792</v>
      </c>
      <c r="E481" s="400" t="s">
        <v>792</v>
      </c>
      <c r="F481" s="399" t="s">
        <v>818</v>
      </c>
      <c r="G481" s="400" t="s">
        <v>80</v>
      </c>
      <c r="H481" s="1362" t="s">
        <v>1075</v>
      </c>
      <c r="I481" s="1375" t="s">
        <v>792</v>
      </c>
      <c r="J481" s="399"/>
      <c r="K481" s="404"/>
      <c r="L481" s="404"/>
    </row>
    <row r="482" spans="1:12" ht="26.4" x14ac:dyDescent="0.3">
      <c r="A482" s="179">
        <f t="shared" si="7"/>
        <v>22</v>
      </c>
      <c r="B482" s="832" t="s">
        <v>616</v>
      </c>
      <c r="C482" s="832">
        <v>117555178</v>
      </c>
      <c r="D482" s="346" t="s">
        <v>786</v>
      </c>
      <c r="E482" s="346" t="s">
        <v>786</v>
      </c>
      <c r="F482" s="348" t="s">
        <v>818</v>
      </c>
      <c r="G482" s="346" t="s">
        <v>78</v>
      </c>
      <c r="H482" s="1358" t="s">
        <v>1075</v>
      </c>
      <c r="I482" s="1371" t="s">
        <v>786</v>
      </c>
      <c r="J482" s="348"/>
      <c r="K482" s="352"/>
      <c r="L482" s="352"/>
    </row>
    <row r="483" spans="1:12" ht="26.4" x14ac:dyDescent="0.3">
      <c r="A483" s="179">
        <f t="shared" si="7"/>
        <v>22</v>
      </c>
      <c r="B483" s="832" t="s">
        <v>608</v>
      </c>
      <c r="C483" s="832">
        <v>112749217</v>
      </c>
      <c r="D483" s="346" t="s">
        <v>786</v>
      </c>
      <c r="E483" s="346" t="s">
        <v>786</v>
      </c>
      <c r="F483" s="348" t="s">
        <v>818</v>
      </c>
      <c r="G483" s="346" t="s">
        <v>609</v>
      </c>
      <c r="H483" s="1358" t="s">
        <v>1075</v>
      </c>
      <c r="I483" s="1371" t="s">
        <v>786</v>
      </c>
      <c r="J483" s="348"/>
      <c r="K483" s="352"/>
      <c r="L483" s="352"/>
    </row>
    <row r="484" spans="1:12" ht="26.4" x14ac:dyDescent="0.3">
      <c r="A484" s="179">
        <f t="shared" si="7"/>
        <v>22</v>
      </c>
      <c r="B484" s="818" t="s">
        <v>604</v>
      </c>
      <c r="C484" s="818">
        <v>142989220</v>
      </c>
      <c r="D484" s="400" t="s">
        <v>814</v>
      </c>
      <c r="E484" s="400" t="s">
        <v>814</v>
      </c>
      <c r="F484" s="399" t="s">
        <v>818</v>
      </c>
      <c r="G484" s="400" t="s">
        <v>605</v>
      </c>
      <c r="H484" s="1362" t="s">
        <v>1075</v>
      </c>
      <c r="I484" s="1375" t="s">
        <v>814</v>
      </c>
      <c r="J484" s="399"/>
      <c r="K484" s="404"/>
      <c r="L484" s="404"/>
    </row>
    <row r="485" spans="1:12" ht="26.4" x14ac:dyDescent="0.3">
      <c r="A485" s="179">
        <f t="shared" si="7"/>
        <v>22</v>
      </c>
      <c r="B485" s="818" t="s">
        <v>612</v>
      </c>
      <c r="C485" s="818">
        <v>138974960</v>
      </c>
      <c r="D485" s="400" t="s">
        <v>814</v>
      </c>
      <c r="E485" s="400" t="s">
        <v>814</v>
      </c>
      <c r="F485" s="399" t="s">
        <v>818</v>
      </c>
      <c r="G485" s="400" t="s">
        <v>602</v>
      </c>
      <c r="H485" s="1362" t="s">
        <v>1075</v>
      </c>
      <c r="I485" s="1375" t="s">
        <v>814</v>
      </c>
      <c r="J485" s="399"/>
      <c r="K485" s="404"/>
      <c r="L485" s="404"/>
    </row>
    <row r="486" spans="1:12" ht="26.4" x14ac:dyDescent="0.3">
      <c r="A486" s="179">
        <f t="shared" si="7"/>
        <v>22</v>
      </c>
      <c r="B486" s="862" t="s">
        <v>610</v>
      </c>
      <c r="C486" s="862">
        <v>168130317</v>
      </c>
      <c r="D486" s="382" t="s">
        <v>783</v>
      </c>
      <c r="E486" s="382" t="s">
        <v>783</v>
      </c>
      <c r="F486" s="383" t="s">
        <v>818</v>
      </c>
      <c r="G486" s="382" t="s">
        <v>611</v>
      </c>
      <c r="H486" s="1361" t="s">
        <v>1075</v>
      </c>
      <c r="I486" s="1374" t="s">
        <v>783</v>
      </c>
      <c r="J486" s="383"/>
      <c r="K486" s="385"/>
      <c r="L486" s="385"/>
    </row>
    <row r="487" spans="1:12" ht="14.4" x14ac:dyDescent="0.3">
      <c r="A487" s="179">
        <f t="shared" si="7"/>
        <v>22</v>
      </c>
      <c r="B487" s="646" t="s">
        <v>628</v>
      </c>
      <c r="C487" s="646">
        <v>133554823</v>
      </c>
      <c r="D487" s="340" t="s">
        <v>22</v>
      </c>
      <c r="E487" s="340" t="s">
        <v>22</v>
      </c>
      <c r="F487" s="341" t="s">
        <v>818</v>
      </c>
      <c r="G487" s="340" t="s">
        <v>1002</v>
      </c>
      <c r="H487" s="1359" t="s">
        <v>1075</v>
      </c>
      <c r="I487" s="1372" t="s">
        <v>22</v>
      </c>
      <c r="J487" s="341"/>
      <c r="K487" s="343"/>
      <c r="L487" s="343"/>
    </row>
    <row r="488" spans="1:12" ht="14.4" x14ac:dyDescent="0.3">
      <c r="A488" s="179">
        <f t="shared" si="7"/>
        <v>22</v>
      </c>
      <c r="B488" s="646" t="s">
        <v>2966</v>
      </c>
      <c r="C488" s="646">
        <v>170493036</v>
      </c>
      <c r="D488" s="835" t="s">
        <v>1398</v>
      </c>
      <c r="E488" s="340" t="s">
        <v>1398</v>
      </c>
      <c r="F488" s="945" t="s">
        <v>818</v>
      </c>
      <c r="G488" s="340" t="s">
        <v>2967</v>
      </c>
      <c r="H488" s="1359" t="s">
        <v>962</v>
      </c>
      <c r="I488" s="1372" t="s">
        <v>1398</v>
      </c>
      <c r="J488" s="341"/>
      <c r="K488" s="952"/>
      <c r="L488" s="952"/>
    </row>
    <row r="489" spans="1:12" ht="26.4" x14ac:dyDescent="0.3">
      <c r="A489" s="179">
        <f t="shared" si="7"/>
        <v>22</v>
      </c>
      <c r="B489" s="644" t="s">
        <v>271</v>
      </c>
      <c r="C489" s="644">
        <v>128524282</v>
      </c>
      <c r="D489" s="312" t="s">
        <v>208</v>
      </c>
      <c r="E489" s="316" t="s">
        <v>208</v>
      </c>
      <c r="F489" s="265" t="s">
        <v>2164</v>
      </c>
      <c r="G489" s="316" t="s">
        <v>603</v>
      </c>
      <c r="H489" s="1356" t="s">
        <v>1075</v>
      </c>
      <c r="I489" s="1366" t="s">
        <v>208</v>
      </c>
      <c r="J489" s="265"/>
      <c r="K489" s="270"/>
      <c r="L489" s="270"/>
    </row>
    <row r="490" spans="1:12" ht="14.4" x14ac:dyDescent="0.3">
      <c r="A490" s="179">
        <f t="shared" si="7"/>
        <v>0</v>
      </c>
      <c r="B490" s="644"/>
      <c r="C490" s="644"/>
      <c r="D490" s="312"/>
      <c r="E490" s="316"/>
      <c r="F490" s="265"/>
      <c r="G490" s="316"/>
      <c r="H490" s="749"/>
      <c r="I490" s="316"/>
      <c r="J490" s="265"/>
      <c r="K490" s="270"/>
      <c r="L490" s="270"/>
    </row>
    <row r="491" spans="1:12" ht="14.4" x14ac:dyDescent="0.3">
      <c r="A491" s="179">
        <f t="shared" si="7"/>
        <v>0</v>
      </c>
      <c r="B491" s="818"/>
      <c r="C491" s="818"/>
      <c r="D491" s="400"/>
      <c r="E491" s="400"/>
      <c r="F491" s="399"/>
      <c r="G491" s="400"/>
      <c r="H491" s="909"/>
      <c r="I491" s="400"/>
      <c r="J491" s="399"/>
      <c r="K491" s="404"/>
      <c r="L491" s="404"/>
    </row>
    <row r="492" spans="1:12" ht="14.4" x14ac:dyDescent="0.3">
      <c r="A492" s="179">
        <f t="shared" si="7"/>
        <v>0</v>
      </c>
      <c r="B492" s="862"/>
      <c r="C492" s="862"/>
      <c r="D492" s="382"/>
      <c r="E492" s="382"/>
      <c r="F492" s="383"/>
      <c r="G492" s="382"/>
      <c r="H492" s="910"/>
      <c r="I492" s="382"/>
      <c r="J492" s="383"/>
      <c r="K492" s="385"/>
      <c r="L492" s="385"/>
    </row>
    <row r="493" spans="1:12" ht="14.4" x14ac:dyDescent="0.3">
      <c r="A493" s="179">
        <f t="shared" si="7"/>
        <v>0</v>
      </c>
      <c r="B493" s="646"/>
      <c r="C493" s="646"/>
      <c r="D493" s="340"/>
      <c r="E493" s="340"/>
      <c r="F493" s="341"/>
      <c r="G493" s="340"/>
      <c r="H493" s="908"/>
      <c r="I493" s="340"/>
      <c r="J493" s="341"/>
      <c r="K493" s="343"/>
      <c r="L493" s="343"/>
    </row>
    <row r="494" spans="1:12" ht="14.4" x14ac:dyDescent="0.3">
      <c r="A494" s="179">
        <f t="shared" si="7"/>
        <v>0</v>
      </c>
      <c r="B494" s="644"/>
      <c r="C494" s="644"/>
      <c r="D494" s="312"/>
      <c r="E494" s="316"/>
      <c r="F494" s="265"/>
      <c r="G494" s="316"/>
      <c r="H494" s="749"/>
      <c r="I494" s="316"/>
      <c r="J494" s="265"/>
      <c r="K494" s="270"/>
      <c r="L494" s="270"/>
    </row>
    <row r="495" spans="1:12" ht="14.4" x14ac:dyDescent="0.3">
      <c r="A495" s="179">
        <f t="shared" si="7"/>
        <v>0</v>
      </c>
      <c r="B495" s="644"/>
      <c r="C495" s="644"/>
      <c r="D495" s="312"/>
      <c r="E495" s="316"/>
      <c r="F495" s="265"/>
      <c r="G495" s="316"/>
      <c r="H495" s="749"/>
      <c r="I495" s="316"/>
      <c r="J495" s="265"/>
      <c r="K495" s="270"/>
      <c r="L495" s="270"/>
    </row>
    <row r="496" spans="1:12" ht="14.4" x14ac:dyDescent="0.3">
      <c r="A496" s="179">
        <f t="shared" si="7"/>
        <v>0</v>
      </c>
      <c r="B496" s="644"/>
      <c r="C496" s="644"/>
      <c r="D496" s="312"/>
      <c r="E496" s="316"/>
      <c r="F496" s="265"/>
      <c r="G496" s="316"/>
      <c r="H496" s="749"/>
      <c r="I496" s="316"/>
      <c r="J496" s="265"/>
      <c r="K496" s="270"/>
      <c r="L496" s="270"/>
    </row>
    <row r="497" spans="1:12" ht="14.4" x14ac:dyDescent="0.3">
      <c r="A497" s="179">
        <f t="shared" si="7"/>
        <v>0</v>
      </c>
      <c r="B497" s="729"/>
      <c r="C497" s="644"/>
      <c r="D497" s="312"/>
      <c r="E497" s="316"/>
      <c r="F497" s="265"/>
      <c r="G497" s="316"/>
      <c r="H497" s="749"/>
      <c r="I497" s="316"/>
      <c r="J497" s="265"/>
      <c r="K497" s="738"/>
      <c r="L497" s="739"/>
    </row>
    <row r="498" spans="1:12" ht="14.4" x14ac:dyDescent="0.3">
      <c r="A498" s="179">
        <f t="shared" si="7"/>
        <v>0</v>
      </c>
      <c r="B498" s="729"/>
      <c r="C498" s="644"/>
      <c r="D498" s="312"/>
      <c r="E498" s="316"/>
      <c r="F498" s="265"/>
      <c r="G498" s="316"/>
      <c r="H498" s="749"/>
      <c r="I498" s="316"/>
      <c r="J498" s="265"/>
      <c r="K498" s="738"/>
      <c r="L498" s="739"/>
    </row>
    <row r="499" spans="1:12" ht="14.4" x14ac:dyDescent="0.3">
      <c r="A499" s="179">
        <f t="shared" si="7"/>
        <v>0</v>
      </c>
      <c r="B499" s="729"/>
      <c r="C499" s="644"/>
      <c r="D499" s="312"/>
      <c r="E499" s="316"/>
      <c r="F499" s="265"/>
      <c r="G499" s="316"/>
      <c r="H499" s="749"/>
      <c r="I499" s="316"/>
      <c r="J499" s="265"/>
      <c r="K499" s="738"/>
      <c r="L499" s="739"/>
    </row>
    <row r="500" spans="1:12" ht="14.4" x14ac:dyDescent="0.3">
      <c r="A500" s="179">
        <f t="shared" si="7"/>
        <v>0</v>
      </c>
      <c r="B500" s="729"/>
      <c r="C500" s="644"/>
      <c r="D500" s="312"/>
      <c r="E500" s="316"/>
      <c r="F500" s="265"/>
      <c r="G500" s="316"/>
      <c r="H500" s="749"/>
      <c r="I500" s="316"/>
      <c r="J500" s="265"/>
      <c r="K500" s="738"/>
      <c r="L500" s="739"/>
    </row>
    <row r="501" spans="1:12" ht="14.4" x14ac:dyDescent="0.3">
      <c r="A501" s="179">
        <f t="shared" si="7"/>
        <v>0</v>
      </c>
      <c r="B501" s="645"/>
      <c r="C501" s="646"/>
      <c r="D501" s="317"/>
      <c r="E501" s="317"/>
      <c r="F501" s="266"/>
      <c r="G501" s="317"/>
      <c r="H501" s="267"/>
      <c r="I501" s="266"/>
      <c r="J501" s="266"/>
      <c r="K501" s="625"/>
      <c r="L501" s="626"/>
    </row>
    <row r="502" spans="1:12" ht="14.4" x14ac:dyDescent="0.3">
      <c r="A502" s="179">
        <f t="shared" si="7"/>
        <v>0</v>
      </c>
      <c r="B502" s="645"/>
      <c r="C502" s="646"/>
      <c r="D502" s="317"/>
      <c r="E502" s="317"/>
      <c r="F502" s="266"/>
      <c r="G502" s="317"/>
      <c r="H502" s="267"/>
      <c r="I502" s="266"/>
      <c r="J502" s="266"/>
      <c r="K502" s="625"/>
      <c r="L502" s="626"/>
    </row>
    <row r="503" spans="1:12" ht="14.4" x14ac:dyDescent="0.3">
      <c r="A503" s="179">
        <f t="shared" si="7"/>
        <v>0</v>
      </c>
      <c r="B503" s="645"/>
      <c r="C503" s="646"/>
      <c r="D503" s="317"/>
      <c r="E503" s="317"/>
      <c r="F503" s="266"/>
      <c r="G503" s="317"/>
      <c r="H503" s="267"/>
      <c r="I503" s="266"/>
      <c r="J503" s="266"/>
      <c r="K503" s="625"/>
      <c r="L503" s="626"/>
    </row>
    <row r="504" spans="1:12" ht="14.4" x14ac:dyDescent="0.3">
      <c r="A504" s="179">
        <f t="shared" si="7"/>
        <v>0</v>
      </c>
      <c r="B504" s="645"/>
      <c r="C504" s="646"/>
      <c r="D504" s="317"/>
      <c r="E504" s="317"/>
      <c r="F504" s="266"/>
      <c r="G504" s="317"/>
      <c r="H504" s="267"/>
      <c r="I504" s="266"/>
      <c r="J504" s="266"/>
      <c r="K504" s="625"/>
      <c r="L504" s="626"/>
    </row>
    <row r="505" spans="1:12" ht="14.4" x14ac:dyDescent="0.3">
      <c r="A505" s="179">
        <f t="shared" si="7"/>
        <v>0</v>
      </c>
      <c r="B505" s="645"/>
      <c r="C505" s="646"/>
      <c r="D505" s="317"/>
      <c r="E505" s="317"/>
      <c r="F505" s="266"/>
      <c r="G505" s="317"/>
      <c r="H505" s="267"/>
      <c r="I505" s="266"/>
      <c r="J505" s="266"/>
      <c r="K505" s="625"/>
      <c r="L505" s="626"/>
    </row>
    <row r="506" spans="1:12" ht="14.4" x14ac:dyDescent="0.3">
      <c r="A506" s="179">
        <f t="shared" si="7"/>
        <v>0</v>
      </c>
      <c r="B506" s="645"/>
      <c r="C506" s="646"/>
      <c r="D506" s="317"/>
      <c r="E506" s="317"/>
      <c r="F506" s="266"/>
      <c r="G506" s="317"/>
      <c r="H506" s="267"/>
      <c r="I506" s="266"/>
      <c r="J506" s="266"/>
      <c r="K506" s="625"/>
      <c r="L506" s="626"/>
    </row>
    <row r="507" spans="1:12" ht="14.4" x14ac:dyDescent="0.3">
      <c r="A507" s="179">
        <f t="shared" si="7"/>
        <v>0</v>
      </c>
      <c r="B507" s="645"/>
      <c r="C507" s="646"/>
      <c r="D507" s="317"/>
      <c r="E507" s="317"/>
      <c r="F507" s="266"/>
      <c r="G507" s="317"/>
      <c r="H507" s="267"/>
      <c r="I507" s="266"/>
      <c r="J507" s="266"/>
      <c r="K507" s="625"/>
      <c r="L507" s="626"/>
    </row>
    <row r="508" spans="1:12" ht="14.4" x14ac:dyDescent="0.3">
      <c r="A508" s="179">
        <f t="shared" si="7"/>
        <v>0</v>
      </c>
      <c r="B508" s="647"/>
      <c r="C508" s="648"/>
      <c r="D508" s="317"/>
      <c r="E508" s="317"/>
      <c r="F508" s="266"/>
      <c r="G508" s="317"/>
      <c r="H508" s="267"/>
      <c r="I508" s="266"/>
      <c r="J508" s="266"/>
      <c r="K508" s="625"/>
      <c r="L508" s="626"/>
    </row>
    <row r="509" spans="1:12" ht="14.4" x14ac:dyDescent="0.3">
      <c r="A509" s="179">
        <f t="shared" si="7"/>
        <v>0</v>
      </c>
      <c r="B509" s="647"/>
      <c r="C509" s="648"/>
      <c r="D509" s="317"/>
      <c r="E509" s="317"/>
      <c r="F509" s="266"/>
      <c r="G509" s="317"/>
      <c r="H509" s="267"/>
      <c r="I509" s="266"/>
      <c r="J509" s="266"/>
      <c r="K509" s="625"/>
      <c r="L509" s="626"/>
    </row>
    <row r="510" spans="1:12" ht="14.4" x14ac:dyDescent="0.3">
      <c r="A510" s="179">
        <f t="shared" si="7"/>
        <v>0</v>
      </c>
      <c r="B510" s="647"/>
      <c r="C510" s="648"/>
      <c r="D510" s="309"/>
      <c r="E510" s="309"/>
      <c r="F510" s="263"/>
      <c r="G510" s="308"/>
      <c r="H510" s="275"/>
      <c r="I510" s="263"/>
      <c r="J510" s="635"/>
      <c r="K510" s="636"/>
      <c r="L510" s="637"/>
    </row>
    <row r="511" spans="1:12" ht="14.4" x14ac:dyDescent="0.3">
      <c r="A511" s="179">
        <f t="shared" si="7"/>
        <v>0</v>
      </c>
      <c r="B511" s="647"/>
      <c r="C511" s="648"/>
      <c r="D511" s="382"/>
      <c r="E511" s="382"/>
      <c r="F511" s="383"/>
      <c r="G511" s="382"/>
      <c r="H511" s="384"/>
      <c r="I511" s="383"/>
      <c r="J511" s="383"/>
      <c r="K511" s="623"/>
      <c r="L511" s="624"/>
    </row>
    <row r="512" spans="1:12" ht="14.4" x14ac:dyDescent="0.3">
      <c r="A512" s="179">
        <f t="shared" si="7"/>
        <v>0</v>
      </c>
      <c r="B512" s="647"/>
      <c r="C512" s="648"/>
      <c r="D512" s="317"/>
      <c r="E512" s="317"/>
      <c r="F512" s="266"/>
      <c r="G512" s="317"/>
      <c r="H512" s="267"/>
      <c r="I512" s="266"/>
      <c r="J512" s="266"/>
      <c r="K512" s="625"/>
      <c r="L512" s="626"/>
    </row>
    <row r="513" spans="1:12" ht="14.4" x14ac:dyDescent="0.3">
      <c r="A513" s="179">
        <f t="shared" si="7"/>
        <v>0</v>
      </c>
      <c r="B513" s="647"/>
      <c r="C513" s="648"/>
      <c r="D513" s="315"/>
      <c r="E513" s="315"/>
      <c r="F513" s="264"/>
      <c r="G513" s="315"/>
      <c r="H513" s="276"/>
      <c r="I513" s="264"/>
      <c r="J513" s="264"/>
      <c r="K513" s="271"/>
      <c r="L513" s="271"/>
    </row>
    <row r="514" spans="1:12" ht="14.4" x14ac:dyDescent="0.3">
      <c r="A514" s="179">
        <f t="shared" si="7"/>
        <v>0</v>
      </c>
      <c r="B514" s="647"/>
      <c r="C514" s="648"/>
      <c r="D514" s="315"/>
      <c r="E514" s="315"/>
      <c r="F514" s="264"/>
      <c r="G514" s="315"/>
      <c r="H514" s="276"/>
      <c r="I514" s="264"/>
      <c r="J514" s="264"/>
      <c r="K514" s="271"/>
      <c r="L514" s="271"/>
    </row>
    <row r="515" spans="1:12" ht="14.4" x14ac:dyDescent="0.3">
      <c r="A515" s="179">
        <f t="shared" si="7"/>
        <v>0</v>
      </c>
      <c r="B515" s="647"/>
      <c r="C515" s="648"/>
      <c r="D515" s="317"/>
      <c r="E515" s="317"/>
      <c r="F515" s="266"/>
      <c r="G515" s="317"/>
      <c r="H515" s="267"/>
      <c r="I515" s="266"/>
      <c r="J515" s="266"/>
      <c r="K515" s="268"/>
      <c r="L515" s="268"/>
    </row>
    <row r="516" spans="1:12" ht="14.4" x14ac:dyDescent="0.3">
      <c r="A516" s="179">
        <f t="shared" si="7"/>
        <v>0</v>
      </c>
      <c r="B516" s="647"/>
      <c r="C516" s="648"/>
      <c r="D516" s="317"/>
      <c r="E516" s="317"/>
      <c r="F516" s="266"/>
      <c r="G516" s="266"/>
      <c r="H516" s="267"/>
      <c r="I516" s="266"/>
      <c r="J516" s="266"/>
      <c r="K516" s="268"/>
      <c r="L516" s="268"/>
    </row>
    <row r="517" spans="1:12" ht="14.4" x14ac:dyDescent="0.3">
      <c r="A517" s="179">
        <f t="shared" si="7"/>
        <v>0</v>
      </c>
      <c r="B517" s="647"/>
      <c r="C517" s="648"/>
      <c r="D517" s="340"/>
      <c r="E517" s="340"/>
      <c r="F517" s="341"/>
      <c r="G517" s="341"/>
      <c r="H517" s="342"/>
      <c r="I517" s="341"/>
      <c r="J517" s="341"/>
      <c r="K517" s="343"/>
      <c r="L517" s="343"/>
    </row>
    <row r="518" spans="1:12" ht="14.4" x14ac:dyDescent="0.3">
      <c r="A518" s="179">
        <f t="shared" si="7"/>
        <v>0</v>
      </c>
      <c r="B518" s="647"/>
      <c r="C518" s="648"/>
      <c r="D518" s="400"/>
      <c r="E518" s="400"/>
      <c r="F518" s="399"/>
      <c r="G518" s="399"/>
      <c r="H518" s="403"/>
      <c r="I518" s="399"/>
      <c r="J518" s="399"/>
      <c r="K518" s="404"/>
      <c r="L518" s="404"/>
    </row>
    <row r="519" spans="1:12" ht="14.4" x14ac:dyDescent="0.3">
      <c r="A519" s="179">
        <f t="shared" si="7"/>
        <v>0</v>
      </c>
      <c r="B519" s="647"/>
      <c r="C519" s="648"/>
      <c r="D519" s="382"/>
      <c r="E519" s="382"/>
      <c r="F519" s="383"/>
      <c r="G519" s="383"/>
      <c r="H519" s="384"/>
      <c r="I519" s="383"/>
      <c r="J519" s="383"/>
      <c r="K519" s="385"/>
      <c r="L519" s="385"/>
    </row>
    <row r="520" spans="1:12" ht="14.4" x14ac:dyDescent="0.3">
      <c r="A520" s="179">
        <f t="shared" si="7"/>
        <v>0</v>
      </c>
      <c r="B520" s="647"/>
      <c r="C520" s="648"/>
      <c r="D520" s="317"/>
      <c r="E520" s="317"/>
      <c r="F520" s="266"/>
      <c r="G520" s="266"/>
      <c r="H520" s="267"/>
      <c r="I520" s="266"/>
      <c r="J520" s="266"/>
      <c r="K520" s="268"/>
      <c r="L520" s="268"/>
    </row>
    <row r="521" spans="1:12" ht="14.4" x14ac:dyDescent="0.3">
      <c r="A521" s="179">
        <f t="shared" si="7"/>
        <v>0</v>
      </c>
      <c r="B521" s="647"/>
      <c r="C521" s="648"/>
      <c r="D521" s="346"/>
      <c r="E521" s="346"/>
      <c r="F521" s="348"/>
      <c r="G521" s="348"/>
      <c r="H521" s="350"/>
      <c r="I521" s="348"/>
      <c r="J521" s="348"/>
      <c r="K521" s="352"/>
      <c r="L521" s="352"/>
    </row>
    <row r="522" spans="1:12" ht="14.4" x14ac:dyDescent="0.3">
      <c r="A522" s="179">
        <f t="shared" si="7"/>
        <v>0</v>
      </c>
      <c r="B522" s="647"/>
      <c r="C522" s="648"/>
      <c r="D522" s="346"/>
      <c r="E522" s="346"/>
      <c r="F522" s="348"/>
      <c r="G522" s="348"/>
      <c r="H522" s="350"/>
      <c r="I522" s="348"/>
      <c r="J522" s="348"/>
      <c r="K522" s="352"/>
      <c r="L522" s="352"/>
    </row>
    <row r="523" spans="1:12" ht="14.4" x14ac:dyDescent="0.3">
      <c r="A523" s="179">
        <f t="shared" si="7"/>
        <v>0</v>
      </c>
      <c r="B523" s="647"/>
      <c r="C523" s="648"/>
      <c r="D523" s="340"/>
      <c r="E523" s="340"/>
      <c r="F523" s="341"/>
      <c r="G523" s="341"/>
      <c r="H523" s="342"/>
      <c r="I523" s="341"/>
      <c r="J523" s="341"/>
      <c r="K523" s="343"/>
      <c r="L523" s="343"/>
    </row>
    <row r="524" spans="1:12" ht="14.4" x14ac:dyDescent="0.3">
      <c r="A524" s="179">
        <f t="shared" si="7"/>
        <v>0</v>
      </c>
      <c r="B524" s="647"/>
      <c r="C524" s="648"/>
      <c r="D524" s="400"/>
      <c r="E524" s="400"/>
      <c r="F524" s="399"/>
      <c r="G524" s="399"/>
      <c r="H524" s="403"/>
      <c r="I524" s="399"/>
      <c r="J524" s="399"/>
      <c r="K524" s="404"/>
      <c r="L524" s="404"/>
    </row>
    <row r="525" spans="1:12" ht="14.4" x14ac:dyDescent="0.3">
      <c r="A525" s="179">
        <f t="shared" ref="A525:A588" si="8">IF(G525&lt;&gt;"",22,0)</f>
        <v>0</v>
      </c>
      <c r="B525" s="647"/>
      <c r="C525" s="648"/>
      <c r="D525" s="382"/>
      <c r="E525" s="382"/>
      <c r="F525" s="383"/>
      <c r="G525" s="383"/>
      <c r="H525" s="384"/>
      <c r="I525" s="383"/>
      <c r="J525" s="383"/>
      <c r="K525" s="385"/>
      <c r="L525" s="385"/>
    </row>
    <row r="526" spans="1:12" ht="14.4" x14ac:dyDescent="0.3">
      <c r="A526" s="179">
        <f t="shared" si="8"/>
        <v>0</v>
      </c>
      <c r="B526" s="647"/>
      <c r="C526" s="648"/>
      <c r="D526" s="317"/>
      <c r="E526" s="317"/>
      <c r="F526" s="266"/>
      <c r="G526" s="266"/>
      <c r="H526" s="267"/>
      <c r="I526" s="266"/>
      <c r="J526" s="266"/>
      <c r="K526" s="268"/>
      <c r="L526" s="268"/>
    </row>
    <row r="527" spans="1:12" ht="14.4" x14ac:dyDescent="0.3">
      <c r="A527" s="179">
        <f t="shared" si="8"/>
        <v>0</v>
      </c>
      <c r="B527" s="647"/>
      <c r="C527" s="648"/>
      <c r="D527" s="400"/>
      <c r="E527" s="400"/>
      <c r="F527" s="399"/>
      <c r="G527" s="399"/>
      <c r="H527" s="403"/>
      <c r="I527" s="399"/>
      <c r="J527" s="399"/>
      <c r="K527" s="404"/>
      <c r="L527" s="404"/>
    </row>
    <row r="528" spans="1:12" ht="14.4" x14ac:dyDescent="0.3">
      <c r="A528" s="179">
        <f t="shared" si="8"/>
        <v>0</v>
      </c>
      <c r="B528" s="647"/>
      <c r="C528" s="648"/>
      <c r="D528" s="382"/>
      <c r="E528" s="382"/>
      <c r="F528" s="383"/>
      <c r="G528" s="383"/>
      <c r="H528" s="384"/>
      <c r="I528" s="383"/>
      <c r="J528" s="383"/>
      <c r="K528" s="385"/>
      <c r="L528" s="385"/>
    </row>
    <row r="529" spans="1:12" ht="14.4" x14ac:dyDescent="0.3">
      <c r="A529" s="179">
        <f t="shared" si="8"/>
        <v>0</v>
      </c>
      <c r="B529" s="647"/>
      <c r="C529" s="648"/>
      <c r="D529" s="317"/>
      <c r="E529" s="317"/>
      <c r="F529" s="266"/>
      <c r="G529" s="266"/>
      <c r="H529" s="267"/>
      <c r="I529" s="266"/>
      <c r="J529" s="266"/>
      <c r="K529" s="268"/>
      <c r="L529" s="268"/>
    </row>
    <row r="530" spans="1:12" ht="14.4" x14ac:dyDescent="0.3">
      <c r="A530" s="179">
        <f t="shared" si="8"/>
        <v>0</v>
      </c>
      <c r="B530" s="647"/>
      <c r="C530" s="648"/>
      <c r="D530" s="316"/>
      <c r="E530" s="316"/>
      <c r="F530" s="265"/>
      <c r="G530" s="265"/>
      <c r="H530" s="277"/>
      <c r="I530" s="265"/>
      <c r="J530" s="265"/>
      <c r="K530" s="270"/>
      <c r="L530" s="270"/>
    </row>
    <row r="531" spans="1:12" ht="14.4" x14ac:dyDescent="0.3">
      <c r="A531" s="179">
        <f t="shared" si="8"/>
        <v>0</v>
      </c>
      <c r="B531" s="647"/>
      <c r="C531" s="648"/>
      <c r="D531" s="308"/>
      <c r="E531" s="308"/>
      <c r="F531" s="263"/>
      <c r="G531" s="263"/>
      <c r="H531" s="275"/>
      <c r="I531" s="263"/>
      <c r="J531" s="263"/>
      <c r="K531" s="269"/>
      <c r="L531" s="269"/>
    </row>
    <row r="532" spans="1:12" ht="14.4" x14ac:dyDescent="0.3">
      <c r="A532" s="179">
        <f t="shared" si="8"/>
        <v>0</v>
      </c>
      <c r="B532" s="647"/>
      <c r="C532" s="648"/>
      <c r="D532" s="310"/>
      <c r="E532" s="317"/>
      <c r="F532" s="266"/>
      <c r="G532" s="266"/>
      <c r="H532" s="267"/>
      <c r="I532" s="266"/>
      <c r="J532" s="266"/>
      <c r="K532" s="268"/>
      <c r="L532" s="268"/>
    </row>
    <row r="533" spans="1:12" ht="14.4" x14ac:dyDescent="0.3">
      <c r="A533" s="179">
        <f t="shared" si="8"/>
        <v>0</v>
      </c>
      <c r="B533" s="647"/>
      <c r="C533" s="648"/>
      <c r="D533" s="312"/>
      <c r="E533" s="312"/>
      <c r="F533" s="265"/>
      <c r="G533" s="265"/>
      <c r="H533" s="277"/>
      <c r="I533" s="265"/>
      <c r="J533" s="265"/>
      <c r="K533" s="270"/>
      <c r="L533" s="270"/>
    </row>
    <row r="534" spans="1:12" ht="14.4" x14ac:dyDescent="0.3">
      <c r="A534" s="179">
        <f t="shared" si="8"/>
        <v>0</v>
      </c>
      <c r="B534" s="647"/>
      <c r="C534" s="648"/>
      <c r="D534" s="313"/>
      <c r="E534" s="314"/>
      <c r="F534" s="193"/>
      <c r="G534" s="193"/>
      <c r="H534" s="195"/>
      <c r="I534" s="193"/>
      <c r="J534" s="193"/>
      <c r="K534" s="211"/>
      <c r="L534" s="211"/>
    </row>
    <row r="535" spans="1:12" ht="14.4" x14ac:dyDescent="0.3">
      <c r="A535" s="179">
        <f t="shared" si="8"/>
        <v>0</v>
      </c>
      <c r="B535" s="647"/>
      <c r="C535" s="648"/>
      <c r="D535" s="313"/>
      <c r="E535" s="314"/>
      <c r="F535" s="193"/>
      <c r="G535" s="193"/>
      <c r="H535" s="195"/>
      <c r="I535" s="193"/>
      <c r="J535" s="193"/>
      <c r="K535" s="211"/>
      <c r="L535" s="211"/>
    </row>
    <row r="536" spans="1:12" ht="14.4" x14ac:dyDescent="0.3">
      <c r="A536" s="179">
        <f t="shared" si="8"/>
        <v>0</v>
      </c>
      <c r="B536" s="647"/>
      <c r="C536" s="648"/>
      <c r="D536" s="313"/>
      <c r="E536" s="314"/>
      <c r="F536" s="193"/>
      <c r="G536" s="193"/>
      <c r="H536" s="195"/>
      <c r="I536" s="193"/>
      <c r="J536" s="193"/>
      <c r="K536" s="211"/>
      <c r="L536" s="211"/>
    </row>
    <row r="537" spans="1:12" ht="14.4" x14ac:dyDescent="0.3">
      <c r="A537" s="179">
        <f t="shared" si="8"/>
        <v>0</v>
      </c>
      <c r="B537" s="647"/>
      <c r="C537" s="648"/>
      <c r="D537" s="308"/>
      <c r="E537" s="308"/>
      <c r="F537" s="263"/>
      <c r="G537" s="263"/>
      <c r="H537" s="275"/>
      <c r="I537" s="263"/>
      <c r="J537" s="263"/>
      <c r="K537" s="269"/>
      <c r="L537" s="269"/>
    </row>
    <row r="538" spans="1:12" ht="14.4" x14ac:dyDescent="0.3">
      <c r="A538" s="179">
        <f t="shared" si="8"/>
        <v>0</v>
      </c>
      <c r="B538" s="647"/>
      <c r="C538" s="648"/>
      <c r="D538" s="340"/>
      <c r="E538" s="340"/>
      <c r="F538" s="341"/>
      <c r="G538" s="341"/>
      <c r="H538" s="342"/>
      <c r="I538" s="341"/>
      <c r="J538" s="341"/>
      <c r="K538" s="343"/>
      <c r="L538" s="343"/>
    </row>
    <row r="539" spans="1:12" ht="14.4" x14ac:dyDescent="0.3">
      <c r="A539" s="179">
        <f t="shared" si="8"/>
        <v>0</v>
      </c>
      <c r="B539" s="647"/>
      <c r="C539" s="648"/>
      <c r="D539" s="381"/>
      <c r="E539" s="347"/>
      <c r="F539" s="349"/>
      <c r="G539" s="349"/>
      <c r="H539" s="351"/>
      <c r="I539" s="349"/>
      <c r="J539" s="349"/>
      <c r="K539" s="353"/>
      <c r="L539" s="353"/>
    </row>
    <row r="540" spans="1:12" ht="14.4" x14ac:dyDescent="0.3">
      <c r="A540" s="179">
        <f t="shared" si="8"/>
        <v>0</v>
      </c>
      <c r="B540" s="647"/>
      <c r="C540" s="648"/>
      <c r="D540" s="381"/>
      <c r="E540" s="381"/>
      <c r="F540" s="349"/>
      <c r="G540" s="349"/>
      <c r="H540" s="351"/>
      <c r="I540" s="349"/>
      <c r="J540" s="349"/>
      <c r="K540" s="353"/>
      <c r="L540" s="353"/>
    </row>
    <row r="541" spans="1:12" ht="14.4" x14ac:dyDescent="0.3">
      <c r="A541" s="179">
        <f t="shared" si="8"/>
        <v>0</v>
      </c>
      <c r="B541" s="647"/>
      <c r="C541" s="648"/>
      <c r="D541" s="381"/>
      <c r="E541" s="347"/>
      <c r="F541" s="349"/>
      <c r="G541" s="349"/>
      <c r="H541" s="351"/>
      <c r="I541" s="349"/>
      <c r="J541" s="349"/>
      <c r="K541" s="353"/>
      <c r="L541" s="353"/>
    </row>
    <row r="542" spans="1:12" ht="14.4" x14ac:dyDescent="0.3">
      <c r="A542" s="179">
        <f t="shared" si="8"/>
        <v>0</v>
      </c>
      <c r="B542" s="647"/>
      <c r="C542" s="648"/>
      <c r="D542" s="340"/>
      <c r="E542" s="340"/>
      <c r="F542" s="341"/>
      <c r="G542" s="341"/>
      <c r="H542" s="342"/>
      <c r="I542" s="341"/>
      <c r="J542" s="341"/>
      <c r="K542" s="343"/>
      <c r="L542" s="343"/>
    </row>
    <row r="543" spans="1:12" ht="14.4" x14ac:dyDescent="0.3">
      <c r="A543" s="179">
        <f t="shared" si="8"/>
        <v>0</v>
      </c>
      <c r="B543" s="647"/>
      <c r="C543" s="648"/>
      <c r="D543" s="382"/>
      <c r="E543" s="382"/>
      <c r="F543" s="383"/>
      <c r="G543" s="383"/>
      <c r="H543" s="384"/>
      <c r="I543" s="383"/>
      <c r="J543" s="383"/>
      <c r="K543" s="385"/>
      <c r="L543" s="385"/>
    </row>
    <row r="544" spans="1:12" ht="14.4" x14ac:dyDescent="0.3">
      <c r="A544" s="179">
        <f t="shared" si="8"/>
        <v>0</v>
      </c>
      <c r="B544" s="647"/>
      <c r="C544" s="648"/>
      <c r="D544" s="382"/>
      <c r="E544" s="382"/>
      <c r="F544" s="383"/>
      <c r="G544" s="383"/>
      <c r="H544" s="384"/>
      <c r="I544" s="383"/>
      <c r="J544" s="383"/>
      <c r="K544" s="385"/>
      <c r="L544" s="385"/>
    </row>
    <row r="545" spans="1:12" ht="14.4" x14ac:dyDescent="0.3">
      <c r="A545" s="179">
        <f t="shared" si="8"/>
        <v>0</v>
      </c>
      <c r="B545" s="647"/>
      <c r="C545" s="648"/>
      <c r="D545" s="346"/>
      <c r="E545" s="346"/>
      <c r="F545" s="348"/>
      <c r="G545" s="348"/>
      <c r="H545" s="350"/>
      <c r="I545" s="348"/>
      <c r="J545" s="348"/>
      <c r="K545" s="352"/>
      <c r="L545" s="352"/>
    </row>
    <row r="546" spans="1:12" ht="14.4" x14ac:dyDescent="0.3">
      <c r="A546" s="179">
        <f t="shared" si="8"/>
        <v>0</v>
      </c>
      <c r="B546" s="647"/>
      <c r="C546" s="648"/>
      <c r="D546" s="340"/>
      <c r="E546" s="340"/>
      <c r="F546" s="341"/>
      <c r="G546" s="341"/>
      <c r="H546" s="342"/>
      <c r="I546" s="341"/>
      <c r="J546" s="341"/>
      <c r="K546" s="343"/>
      <c r="L546" s="343"/>
    </row>
    <row r="547" spans="1:12" ht="14.4" x14ac:dyDescent="0.3">
      <c r="A547" s="179">
        <f t="shared" si="8"/>
        <v>0</v>
      </c>
      <c r="B547" s="647"/>
      <c r="C547" s="648"/>
      <c r="D547" s="347"/>
      <c r="E547" s="347"/>
      <c r="F547" s="349"/>
      <c r="G547" s="349"/>
      <c r="H547" s="351"/>
      <c r="I547" s="349"/>
      <c r="J547" s="349"/>
      <c r="K547" s="353"/>
      <c r="L547" s="353"/>
    </row>
    <row r="548" spans="1:12" ht="14.4" x14ac:dyDescent="0.3">
      <c r="A548" s="179">
        <f t="shared" si="8"/>
        <v>0</v>
      </c>
      <c r="B548" s="647"/>
      <c r="C548" s="648"/>
      <c r="D548" s="308"/>
      <c r="E548" s="308"/>
      <c r="F548" s="263"/>
      <c r="G548" s="263"/>
      <c r="H548" s="275"/>
      <c r="I548" s="263"/>
      <c r="J548" s="263"/>
      <c r="K548" s="269"/>
      <c r="L548" s="269"/>
    </row>
    <row r="549" spans="1:12" ht="14.4" x14ac:dyDescent="0.3">
      <c r="A549" s="179">
        <f t="shared" si="8"/>
        <v>0</v>
      </c>
      <c r="B549" s="647"/>
      <c r="C549" s="648"/>
      <c r="D549" s="310"/>
      <c r="E549" s="310"/>
      <c r="F549" s="266"/>
      <c r="G549" s="266"/>
      <c r="H549" s="267"/>
      <c r="I549" s="266"/>
      <c r="J549" s="266"/>
      <c r="K549" s="268"/>
      <c r="L549" s="268"/>
    </row>
    <row r="550" spans="1:12" ht="14.4" x14ac:dyDescent="0.3">
      <c r="A550" s="179">
        <f t="shared" si="8"/>
        <v>0</v>
      </c>
      <c r="B550" s="647"/>
      <c r="C550" s="648"/>
      <c r="D550" s="310"/>
      <c r="E550" s="310"/>
      <c r="F550" s="266"/>
      <c r="G550" s="266"/>
      <c r="H550" s="267"/>
      <c r="I550" s="266"/>
      <c r="J550" s="266"/>
      <c r="K550" s="268"/>
      <c r="L550" s="268"/>
    </row>
    <row r="551" spans="1:12" ht="14.4" x14ac:dyDescent="0.3">
      <c r="A551" s="179">
        <f t="shared" si="8"/>
        <v>0</v>
      </c>
      <c r="B551" s="647"/>
      <c r="C551" s="648"/>
      <c r="D551" s="308"/>
      <c r="E551" s="308"/>
      <c r="F551" s="263"/>
      <c r="G551" s="263"/>
      <c r="H551" s="275"/>
      <c r="I551" s="263"/>
      <c r="J551" s="263"/>
      <c r="K551" s="269"/>
      <c r="L551" s="269"/>
    </row>
    <row r="552" spans="1:12" x14ac:dyDescent="0.4">
      <c r="A552" s="179">
        <f t="shared" si="8"/>
        <v>0</v>
      </c>
      <c r="B552" s="647"/>
      <c r="C552" s="648"/>
    </row>
    <row r="553" spans="1:12" x14ac:dyDescent="0.4">
      <c r="A553" s="179">
        <f t="shared" si="8"/>
        <v>0</v>
      </c>
      <c r="B553" s="647"/>
      <c r="C553" s="648"/>
    </row>
    <row r="554" spans="1:12" x14ac:dyDescent="0.4">
      <c r="A554" s="179">
        <f t="shared" si="8"/>
        <v>0</v>
      </c>
      <c r="B554" s="647"/>
      <c r="C554" s="648"/>
    </row>
    <row r="555" spans="1:12" x14ac:dyDescent="0.4">
      <c r="A555" s="179">
        <f t="shared" si="8"/>
        <v>0</v>
      </c>
      <c r="B555" s="647"/>
      <c r="C555" s="648"/>
    </row>
    <row r="556" spans="1:12" x14ac:dyDescent="0.4">
      <c r="A556" s="179">
        <f t="shared" si="8"/>
        <v>0</v>
      </c>
      <c r="B556" s="647"/>
      <c r="C556" s="648"/>
    </row>
    <row r="557" spans="1:12" x14ac:dyDescent="0.4">
      <c r="A557" s="179">
        <f t="shared" si="8"/>
        <v>0</v>
      </c>
      <c r="B557" s="647"/>
      <c r="C557" s="648"/>
    </row>
    <row r="558" spans="1:12" x14ac:dyDescent="0.4">
      <c r="A558" s="179">
        <f t="shared" si="8"/>
        <v>0</v>
      </c>
      <c r="B558" s="647"/>
      <c r="C558" s="648"/>
    </row>
    <row r="559" spans="1:12" x14ac:dyDescent="0.4">
      <c r="A559" s="179">
        <f t="shared" si="8"/>
        <v>0</v>
      </c>
      <c r="B559" s="647"/>
      <c r="C559" s="648"/>
    </row>
    <row r="560" spans="1:12" x14ac:dyDescent="0.4">
      <c r="A560" s="179">
        <f t="shared" si="8"/>
        <v>0</v>
      </c>
      <c r="B560" s="647"/>
      <c r="C560" s="648"/>
    </row>
    <row r="561" spans="1:3" x14ac:dyDescent="0.4">
      <c r="A561" s="179">
        <f t="shared" si="8"/>
        <v>0</v>
      </c>
      <c r="B561" s="647"/>
      <c r="C561" s="648"/>
    </row>
    <row r="562" spans="1:3" x14ac:dyDescent="0.4">
      <c r="A562" s="179">
        <f t="shared" si="8"/>
        <v>0</v>
      </c>
      <c r="B562" s="647"/>
      <c r="C562" s="648"/>
    </row>
    <row r="563" spans="1:3" x14ac:dyDescent="0.4">
      <c r="A563" s="179">
        <f t="shared" si="8"/>
        <v>0</v>
      </c>
      <c r="B563" s="647"/>
      <c r="C563" s="648"/>
    </row>
    <row r="564" spans="1:3" x14ac:dyDescent="0.4">
      <c r="A564" s="179">
        <f t="shared" si="8"/>
        <v>0</v>
      </c>
      <c r="B564" s="647"/>
      <c r="C564" s="648"/>
    </row>
    <row r="565" spans="1:3" x14ac:dyDescent="0.4">
      <c r="A565" s="179">
        <f t="shared" si="8"/>
        <v>0</v>
      </c>
      <c r="B565" s="647"/>
      <c r="C565" s="648"/>
    </row>
    <row r="566" spans="1:3" x14ac:dyDescent="0.4">
      <c r="A566" s="179">
        <f t="shared" si="8"/>
        <v>0</v>
      </c>
      <c r="B566" s="647"/>
      <c r="C566" s="648"/>
    </row>
    <row r="567" spans="1:3" x14ac:dyDescent="0.4">
      <c r="A567" s="179">
        <f t="shared" si="8"/>
        <v>0</v>
      </c>
      <c r="B567" s="647"/>
      <c r="C567" s="648"/>
    </row>
    <row r="568" spans="1:3" x14ac:dyDescent="0.4">
      <c r="A568" s="179">
        <f t="shared" si="8"/>
        <v>0</v>
      </c>
      <c r="B568" s="647"/>
      <c r="C568" s="648"/>
    </row>
    <row r="569" spans="1:3" x14ac:dyDescent="0.4">
      <c r="A569" s="179">
        <f t="shared" si="8"/>
        <v>0</v>
      </c>
      <c r="B569" s="647"/>
      <c r="C569" s="648"/>
    </row>
    <row r="570" spans="1:3" x14ac:dyDescent="0.4">
      <c r="A570" s="179">
        <f t="shared" si="8"/>
        <v>0</v>
      </c>
      <c r="B570" s="647"/>
      <c r="C570" s="648"/>
    </row>
    <row r="571" spans="1:3" x14ac:dyDescent="0.4">
      <c r="A571" s="179">
        <f t="shared" si="8"/>
        <v>0</v>
      </c>
      <c r="B571" s="647"/>
      <c r="C571" s="648"/>
    </row>
    <row r="572" spans="1:3" x14ac:dyDescent="0.4">
      <c r="A572" s="179">
        <f t="shared" si="8"/>
        <v>0</v>
      </c>
      <c r="B572" s="647"/>
      <c r="C572" s="648"/>
    </row>
    <row r="573" spans="1:3" x14ac:dyDescent="0.4">
      <c r="A573" s="179">
        <f t="shared" si="8"/>
        <v>0</v>
      </c>
      <c r="B573" s="647"/>
      <c r="C573" s="648"/>
    </row>
    <row r="574" spans="1:3" x14ac:dyDescent="0.4">
      <c r="A574" s="179">
        <f t="shared" si="8"/>
        <v>0</v>
      </c>
      <c r="B574" s="647"/>
      <c r="C574" s="648"/>
    </row>
    <row r="575" spans="1:3" x14ac:dyDescent="0.4">
      <c r="A575" s="179">
        <f t="shared" si="8"/>
        <v>0</v>
      </c>
      <c r="B575" s="647"/>
      <c r="C575" s="648"/>
    </row>
    <row r="576" spans="1:3" x14ac:dyDescent="0.4">
      <c r="A576" s="179">
        <f t="shared" si="8"/>
        <v>0</v>
      </c>
      <c r="B576" s="647"/>
      <c r="C576" s="648"/>
    </row>
    <row r="577" spans="1:3" x14ac:dyDescent="0.4">
      <c r="A577" s="179">
        <f t="shared" si="8"/>
        <v>0</v>
      </c>
      <c r="B577" s="647"/>
      <c r="C577" s="648"/>
    </row>
    <row r="578" spans="1:3" x14ac:dyDescent="0.4">
      <c r="A578" s="179">
        <f t="shared" si="8"/>
        <v>0</v>
      </c>
      <c r="B578" s="647"/>
      <c r="C578" s="648"/>
    </row>
    <row r="579" spans="1:3" x14ac:dyDescent="0.4">
      <c r="A579" s="179">
        <f t="shared" si="8"/>
        <v>0</v>
      </c>
      <c r="B579" s="647"/>
      <c r="C579" s="648"/>
    </row>
    <row r="580" spans="1:3" x14ac:dyDescent="0.4">
      <c r="A580" s="179">
        <f t="shared" si="8"/>
        <v>0</v>
      </c>
      <c r="B580" s="647"/>
      <c r="C580" s="648"/>
    </row>
    <row r="581" spans="1:3" x14ac:dyDescent="0.4">
      <c r="A581" s="179">
        <f t="shared" si="8"/>
        <v>0</v>
      </c>
      <c r="B581" s="647"/>
      <c r="C581" s="648"/>
    </row>
    <row r="582" spans="1:3" x14ac:dyDescent="0.4">
      <c r="A582" s="179">
        <f t="shared" si="8"/>
        <v>0</v>
      </c>
      <c r="B582" s="647"/>
      <c r="C582" s="648"/>
    </row>
    <row r="583" spans="1:3" x14ac:dyDescent="0.4">
      <c r="A583" s="179">
        <f t="shared" si="8"/>
        <v>0</v>
      </c>
      <c r="B583" s="647"/>
      <c r="C583" s="648"/>
    </row>
    <row r="584" spans="1:3" x14ac:dyDescent="0.4">
      <c r="A584" s="179">
        <f t="shared" si="8"/>
        <v>0</v>
      </c>
      <c r="B584" s="647"/>
      <c r="C584" s="648"/>
    </row>
    <row r="585" spans="1:3" x14ac:dyDescent="0.4">
      <c r="A585" s="179">
        <f t="shared" si="8"/>
        <v>0</v>
      </c>
      <c r="B585" s="647"/>
      <c r="C585" s="648"/>
    </row>
    <row r="586" spans="1:3" x14ac:dyDescent="0.4">
      <c r="A586" s="179">
        <f t="shared" si="8"/>
        <v>0</v>
      </c>
      <c r="B586" s="647"/>
      <c r="C586" s="648"/>
    </row>
    <row r="587" spans="1:3" x14ac:dyDescent="0.4">
      <c r="A587" s="179">
        <f t="shared" si="8"/>
        <v>0</v>
      </c>
      <c r="B587" s="647"/>
      <c r="C587" s="648"/>
    </row>
    <row r="588" spans="1:3" x14ac:dyDescent="0.4">
      <c r="A588" s="179">
        <f t="shared" si="8"/>
        <v>0</v>
      </c>
      <c r="B588" s="647"/>
      <c r="C588" s="648"/>
    </row>
    <row r="589" spans="1:3" x14ac:dyDescent="0.4">
      <c r="A589" s="179">
        <f t="shared" ref="A589:A611" si="9">IF(G589&lt;&gt;"",22,0)</f>
        <v>0</v>
      </c>
      <c r="B589" s="647"/>
      <c r="C589" s="648"/>
    </row>
    <row r="590" spans="1:3" x14ac:dyDescent="0.4">
      <c r="A590" s="179">
        <f t="shared" si="9"/>
        <v>0</v>
      </c>
      <c r="B590" s="647"/>
      <c r="C590" s="648"/>
    </row>
    <row r="591" spans="1:3" x14ac:dyDescent="0.4">
      <c r="A591" s="179">
        <f t="shared" si="9"/>
        <v>0</v>
      </c>
      <c r="B591" s="647"/>
      <c r="C591" s="648"/>
    </row>
    <row r="592" spans="1:3" x14ac:dyDescent="0.4">
      <c r="A592" s="179">
        <f t="shared" si="9"/>
        <v>0</v>
      </c>
      <c r="B592" s="647"/>
      <c r="C592" s="648"/>
    </row>
    <row r="593" spans="1:3" x14ac:dyDescent="0.4">
      <c r="A593" s="179">
        <f t="shared" si="9"/>
        <v>0</v>
      </c>
      <c r="B593" s="647"/>
      <c r="C593" s="648"/>
    </row>
    <row r="594" spans="1:3" x14ac:dyDescent="0.4">
      <c r="A594" s="179">
        <f t="shared" si="9"/>
        <v>0</v>
      </c>
      <c r="B594" s="647"/>
      <c r="C594" s="648"/>
    </row>
    <row r="595" spans="1:3" x14ac:dyDescent="0.4">
      <c r="A595" s="179">
        <f t="shared" si="9"/>
        <v>0</v>
      </c>
      <c r="B595" s="647"/>
      <c r="C595" s="648"/>
    </row>
    <row r="596" spans="1:3" x14ac:dyDescent="0.4">
      <c r="A596" s="179">
        <f t="shared" si="9"/>
        <v>0</v>
      </c>
      <c r="B596" s="647"/>
      <c r="C596" s="648"/>
    </row>
    <row r="597" spans="1:3" x14ac:dyDescent="0.4">
      <c r="A597" s="179">
        <f t="shared" si="9"/>
        <v>0</v>
      </c>
      <c r="B597" s="647"/>
      <c r="C597" s="648"/>
    </row>
    <row r="598" spans="1:3" x14ac:dyDescent="0.4">
      <c r="A598" s="179">
        <f t="shared" si="9"/>
        <v>0</v>
      </c>
      <c r="B598" s="647"/>
      <c r="C598" s="648"/>
    </row>
    <row r="599" spans="1:3" x14ac:dyDescent="0.4">
      <c r="A599" s="179">
        <f t="shared" si="9"/>
        <v>0</v>
      </c>
      <c r="B599" s="647"/>
      <c r="C599" s="648"/>
    </row>
    <row r="600" spans="1:3" x14ac:dyDescent="0.4">
      <c r="A600" s="179">
        <f t="shared" si="9"/>
        <v>0</v>
      </c>
      <c r="B600" s="647"/>
      <c r="C600" s="648"/>
    </row>
    <row r="601" spans="1:3" x14ac:dyDescent="0.4">
      <c r="A601" s="179">
        <f t="shared" si="9"/>
        <v>0</v>
      </c>
      <c r="B601" s="647"/>
      <c r="C601" s="648"/>
    </row>
    <row r="602" spans="1:3" x14ac:dyDescent="0.4">
      <c r="A602" s="179">
        <f t="shared" si="9"/>
        <v>0</v>
      </c>
      <c r="B602" s="647"/>
      <c r="C602" s="648"/>
    </row>
    <row r="603" spans="1:3" x14ac:dyDescent="0.4">
      <c r="A603" s="179">
        <f t="shared" si="9"/>
        <v>0</v>
      </c>
      <c r="B603" s="647"/>
      <c r="C603" s="648"/>
    </row>
    <row r="604" spans="1:3" x14ac:dyDescent="0.4">
      <c r="A604" s="179">
        <f t="shared" si="9"/>
        <v>0</v>
      </c>
      <c r="B604" s="647"/>
      <c r="C604" s="648"/>
    </row>
    <row r="605" spans="1:3" x14ac:dyDescent="0.4">
      <c r="A605" s="179">
        <f t="shared" si="9"/>
        <v>0</v>
      </c>
      <c r="B605" s="647"/>
      <c r="C605" s="648"/>
    </row>
    <row r="606" spans="1:3" x14ac:dyDescent="0.4">
      <c r="A606" s="179">
        <f t="shared" si="9"/>
        <v>0</v>
      </c>
      <c r="B606" s="647"/>
      <c r="C606" s="648"/>
    </row>
    <row r="607" spans="1:3" x14ac:dyDescent="0.4">
      <c r="A607" s="179">
        <f t="shared" si="9"/>
        <v>0</v>
      </c>
      <c r="B607" s="647"/>
      <c r="C607" s="648"/>
    </row>
    <row r="608" spans="1:3" x14ac:dyDescent="0.4">
      <c r="A608" s="179">
        <f t="shared" si="9"/>
        <v>0</v>
      </c>
      <c r="B608" s="647"/>
      <c r="C608" s="648"/>
    </row>
    <row r="609" spans="1:3" x14ac:dyDescent="0.4">
      <c r="A609" s="179">
        <f t="shared" si="9"/>
        <v>0</v>
      </c>
      <c r="B609" s="647"/>
      <c r="C609" s="648"/>
    </row>
    <row r="610" spans="1:3" x14ac:dyDescent="0.4">
      <c r="A610" s="179">
        <f t="shared" si="9"/>
        <v>0</v>
      </c>
      <c r="B610" s="647"/>
      <c r="C610" s="648"/>
    </row>
    <row r="611" spans="1:3" x14ac:dyDescent="0.4">
      <c r="A611" s="179">
        <f t="shared" si="9"/>
        <v>0</v>
      </c>
      <c r="B611" s="647"/>
      <c r="C611" s="648"/>
    </row>
    <row r="612" spans="1:3" x14ac:dyDescent="0.4">
      <c r="B612" s="647"/>
      <c r="C612" s="648"/>
    </row>
    <row r="613" spans="1:3" x14ac:dyDescent="0.4">
      <c r="B613" s="647"/>
      <c r="C613" s="648"/>
    </row>
    <row r="614" spans="1:3" x14ac:dyDescent="0.4">
      <c r="B614" s="647"/>
      <c r="C614" s="648"/>
    </row>
    <row r="615" spans="1:3" x14ac:dyDescent="0.4">
      <c r="B615" s="647"/>
      <c r="C615" s="648"/>
    </row>
    <row r="616" spans="1:3" x14ac:dyDescent="0.4">
      <c r="B616" s="647"/>
      <c r="C616" s="648"/>
    </row>
    <row r="617" spans="1:3" x14ac:dyDescent="0.4">
      <c r="B617" s="647"/>
      <c r="C617" s="648"/>
    </row>
    <row r="618" spans="1:3" x14ac:dyDescent="0.4">
      <c r="B618" s="647"/>
      <c r="C618" s="648"/>
    </row>
    <row r="619" spans="1:3" x14ac:dyDescent="0.4">
      <c r="B619" s="647"/>
      <c r="C619" s="648"/>
    </row>
    <row r="620" spans="1:3" x14ac:dyDescent="0.4">
      <c r="B620" s="647"/>
      <c r="C620" s="648"/>
    </row>
    <row r="621" spans="1:3" x14ac:dyDescent="0.4">
      <c r="B621" s="647"/>
      <c r="C621" s="648"/>
    </row>
    <row r="622" spans="1:3" x14ac:dyDescent="0.4">
      <c r="B622" s="647"/>
      <c r="C622" s="648"/>
    </row>
    <row r="623" spans="1:3" x14ac:dyDescent="0.4">
      <c r="B623" s="647"/>
      <c r="C623" s="648"/>
    </row>
    <row r="624" spans="1:3" x14ac:dyDescent="0.4">
      <c r="B624" s="647"/>
      <c r="C624" s="648"/>
    </row>
    <row r="625" spans="2:3" x14ac:dyDescent="0.4">
      <c r="B625" s="647"/>
      <c r="C625" s="648"/>
    </row>
    <row r="626" spans="2:3" x14ac:dyDescent="0.4">
      <c r="B626" s="647"/>
      <c r="C626" s="648"/>
    </row>
    <row r="627" spans="2:3" x14ac:dyDescent="0.4">
      <c r="B627" s="647"/>
      <c r="C627" s="648"/>
    </row>
    <row r="628" spans="2:3" x14ac:dyDescent="0.4">
      <c r="B628" s="647"/>
      <c r="C628" s="648"/>
    </row>
    <row r="629" spans="2:3" x14ac:dyDescent="0.4">
      <c r="B629" s="647"/>
      <c r="C629" s="648"/>
    </row>
    <row r="630" spans="2:3" x14ac:dyDescent="0.4">
      <c r="B630" s="647"/>
      <c r="C630" s="648"/>
    </row>
    <row r="631" spans="2:3" x14ac:dyDescent="0.4">
      <c r="B631" s="647"/>
      <c r="C631" s="648"/>
    </row>
    <row r="632" spans="2:3" x14ac:dyDescent="0.4">
      <c r="B632" s="647"/>
      <c r="C632" s="648"/>
    </row>
    <row r="633" spans="2:3" x14ac:dyDescent="0.4">
      <c r="B633" s="647"/>
      <c r="C633" s="648"/>
    </row>
    <row r="634" spans="2:3" x14ac:dyDescent="0.4">
      <c r="B634" s="647"/>
      <c r="C634" s="648"/>
    </row>
    <row r="635" spans="2:3" x14ac:dyDescent="0.4">
      <c r="B635" s="647"/>
      <c r="C635" s="648"/>
    </row>
    <row r="636" spans="2:3" x14ac:dyDescent="0.4">
      <c r="B636" s="647"/>
      <c r="C636" s="648"/>
    </row>
    <row r="637" spans="2:3" x14ac:dyDescent="0.4">
      <c r="B637" s="647"/>
      <c r="C637" s="648"/>
    </row>
    <row r="638" spans="2:3" x14ac:dyDescent="0.4">
      <c r="B638" s="647"/>
      <c r="C638" s="648"/>
    </row>
    <row r="639" spans="2:3" x14ac:dyDescent="0.4">
      <c r="B639" s="647"/>
      <c r="C639" s="648"/>
    </row>
    <row r="640" spans="2:3" x14ac:dyDescent="0.4">
      <c r="B640" s="647"/>
      <c r="C640" s="648"/>
    </row>
    <row r="641" spans="2:3" x14ac:dyDescent="0.4">
      <c r="B641" s="647"/>
      <c r="C641" s="648"/>
    </row>
    <row r="642" spans="2:3" x14ac:dyDescent="0.4">
      <c r="B642" s="647"/>
      <c r="C642" s="648"/>
    </row>
    <row r="643" spans="2:3" x14ac:dyDescent="0.4">
      <c r="B643" s="647"/>
      <c r="C643" s="648"/>
    </row>
    <row r="644" spans="2:3" x14ac:dyDescent="0.4">
      <c r="B644" s="647"/>
      <c r="C644" s="648"/>
    </row>
    <row r="645" spans="2:3" x14ac:dyDescent="0.4">
      <c r="B645" s="647"/>
      <c r="C645" s="648"/>
    </row>
    <row r="646" spans="2:3" x14ac:dyDescent="0.4">
      <c r="B646" s="647"/>
      <c r="C646" s="648"/>
    </row>
    <row r="647" spans="2:3" x14ac:dyDescent="0.4">
      <c r="B647" s="647"/>
      <c r="C647" s="648"/>
    </row>
    <row r="648" spans="2:3" x14ac:dyDescent="0.4">
      <c r="B648" s="647"/>
      <c r="C648" s="648"/>
    </row>
    <row r="649" spans="2:3" x14ac:dyDescent="0.4">
      <c r="B649" s="647"/>
      <c r="C649" s="648"/>
    </row>
    <row r="650" spans="2:3" x14ac:dyDescent="0.4">
      <c r="B650" s="647"/>
      <c r="C650" s="648"/>
    </row>
    <row r="651" spans="2:3" x14ac:dyDescent="0.4">
      <c r="B651" s="647"/>
      <c r="C651" s="648"/>
    </row>
    <row r="652" spans="2:3" x14ac:dyDescent="0.4">
      <c r="B652" s="647"/>
      <c r="C652" s="648"/>
    </row>
    <row r="653" spans="2:3" x14ac:dyDescent="0.4">
      <c r="B653" s="647"/>
      <c r="C653" s="648"/>
    </row>
    <row r="654" spans="2:3" x14ac:dyDescent="0.4">
      <c r="B654" s="647"/>
      <c r="C654" s="648"/>
    </row>
    <row r="655" spans="2:3" x14ac:dyDescent="0.4">
      <c r="B655" s="647"/>
      <c r="C655" s="648"/>
    </row>
    <row r="656" spans="2:3" x14ac:dyDescent="0.4">
      <c r="B656" s="647"/>
      <c r="C656" s="648"/>
    </row>
    <row r="657" spans="2:3" x14ac:dyDescent="0.4">
      <c r="B657" s="647"/>
      <c r="C657" s="648"/>
    </row>
    <row r="658" spans="2:3" x14ac:dyDescent="0.4">
      <c r="B658" s="647"/>
      <c r="C658" s="648"/>
    </row>
    <row r="659" spans="2:3" x14ac:dyDescent="0.4">
      <c r="B659" s="647"/>
      <c r="C659" s="648"/>
    </row>
    <row r="660" spans="2:3" x14ac:dyDescent="0.4">
      <c r="B660" s="647"/>
      <c r="C660" s="648"/>
    </row>
    <row r="661" spans="2:3" x14ac:dyDescent="0.4">
      <c r="B661" s="647"/>
      <c r="C661" s="648"/>
    </row>
    <row r="662" spans="2:3" x14ac:dyDescent="0.4">
      <c r="B662" s="647"/>
      <c r="C662" s="648"/>
    </row>
    <row r="663" spans="2:3" x14ac:dyDescent="0.4">
      <c r="B663" s="647"/>
      <c r="C663" s="648"/>
    </row>
    <row r="664" spans="2:3" x14ac:dyDescent="0.4">
      <c r="B664" s="647"/>
      <c r="C664" s="648"/>
    </row>
    <row r="665" spans="2:3" x14ac:dyDescent="0.4">
      <c r="B665" s="647"/>
      <c r="C665" s="648"/>
    </row>
    <row r="666" spans="2:3" x14ac:dyDescent="0.4">
      <c r="B666" s="647"/>
      <c r="C666" s="648"/>
    </row>
    <row r="667" spans="2:3" x14ac:dyDescent="0.4">
      <c r="B667" s="647"/>
      <c r="C667" s="648"/>
    </row>
    <row r="668" spans="2:3" x14ac:dyDescent="0.4">
      <c r="B668" s="647"/>
      <c r="C668" s="648"/>
    </row>
    <row r="669" spans="2:3" x14ac:dyDescent="0.4">
      <c r="B669" s="647"/>
      <c r="C669" s="648"/>
    </row>
    <row r="670" spans="2:3" x14ac:dyDescent="0.4">
      <c r="B670" s="647"/>
      <c r="C670" s="648"/>
    </row>
    <row r="671" spans="2:3" x14ac:dyDescent="0.4">
      <c r="B671" s="647"/>
      <c r="C671" s="648"/>
    </row>
    <row r="672" spans="2:3" x14ac:dyDescent="0.4">
      <c r="B672" s="647"/>
      <c r="C672" s="648"/>
    </row>
    <row r="673" spans="2:3" x14ac:dyDescent="0.4">
      <c r="B673" s="647"/>
      <c r="C673" s="648"/>
    </row>
    <row r="674" spans="2:3" x14ac:dyDescent="0.4">
      <c r="B674" s="647"/>
      <c r="C674" s="648"/>
    </row>
    <row r="675" spans="2:3" x14ac:dyDescent="0.4">
      <c r="B675" s="647"/>
      <c r="C675" s="648"/>
    </row>
    <row r="676" spans="2:3" x14ac:dyDescent="0.4">
      <c r="B676" s="647"/>
      <c r="C676" s="648"/>
    </row>
    <row r="677" spans="2:3" x14ac:dyDescent="0.4">
      <c r="B677" s="647"/>
      <c r="C677" s="648"/>
    </row>
    <row r="678" spans="2:3" x14ac:dyDescent="0.4">
      <c r="B678" s="647"/>
      <c r="C678" s="648"/>
    </row>
    <row r="679" spans="2:3" x14ac:dyDescent="0.4">
      <c r="B679" s="647"/>
      <c r="C679" s="648"/>
    </row>
    <row r="680" spans="2:3" x14ac:dyDescent="0.4">
      <c r="B680" s="647"/>
      <c r="C680" s="648"/>
    </row>
    <row r="681" spans="2:3" x14ac:dyDescent="0.4">
      <c r="B681" s="647"/>
      <c r="C681" s="648"/>
    </row>
    <row r="682" spans="2:3" x14ac:dyDescent="0.4">
      <c r="B682" s="647"/>
      <c r="C682" s="648"/>
    </row>
    <row r="683" spans="2:3" x14ac:dyDescent="0.4">
      <c r="B683" s="647"/>
      <c r="C683" s="648"/>
    </row>
    <row r="684" spans="2:3" x14ac:dyDescent="0.4">
      <c r="B684" s="647"/>
      <c r="C684" s="648"/>
    </row>
    <row r="685" spans="2:3" x14ac:dyDescent="0.4">
      <c r="B685" s="647"/>
      <c r="C685" s="648"/>
    </row>
    <row r="686" spans="2:3" x14ac:dyDescent="0.4">
      <c r="B686" s="647"/>
      <c r="C686" s="648"/>
    </row>
    <row r="687" spans="2:3" x14ac:dyDescent="0.4">
      <c r="B687" s="647"/>
      <c r="C687" s="648"/>
    </row>
    <row r="688" spans="2:3" x14ac:dyDescent="0.4">
      <c r="B688" s="647"/>
      <c r="C688" s="648"/>
    </row>
    <row r="689" spans="2:3" x14ac:dyDescent="0.4">
      <c r="B689" s="647"/>
      <c r="C689" s="648"/>
    </row>
    <row r="690" spans="2:3" x14ac:dyDescent="0.4">
      <c r="B690" s="647"/>
      <c r="C690" s="648"/>
    </row>
    <row r="691" spans="2:3" x14ac:dyDescent="0.4">
      <c r="B691" s="647"/>
      <c r="C691" s="648"/>
    </row>
    <row r="692" spans="2:3" x14ac:dyDescent="0.4">
      <c r="B692" s="647"/>
      <c r="C692" s="648"/>
    </row>
    <row r="693" spans="2:3" x14ac:dyDescent="0.4">
      <c r="B693" s="647"/>
      <c r="C693" s="648"/>
    </row>
    <row r="694" spans="2:3" x14ac:dyDescent="0.4">
      <c r="B694" s="647"/>
      <c r="C694" s="648"/>
    </row>
    <row r="695" spans="2:3" x14ac:dyDescent="0.4">
      <c r="B695" s="647"/>
      <c r="C695" s="648"/>
    </row>
    <row r="696" spans="2:3" x14ac:dyDescent="0.4">
      <c r="B696" s="647"/>
      <c r="C696" s="648"/>
    </row>
    <row r="697" spans="2:3" x14ac:dyDescent="0.4">
      <c r="B697" s="647"/>
      <c r="C697" s="648"/>
    </row>
    <row r="698" spans="2:3" x14ac:dyDescent="0.4">
      <c r="B698" s="647"/>
      <c r="C698" s="648"/>
    </row>
    <row r="699" spans="2:3" x14ac:dyDescent="0.4">
      <c r="B699" s="647"/>
      <c r="C699" s="648"/>
    </row>
    <row r="700" spans="2:3" x14ac:dyDescent="0.4">
      <c r="B700" s="647"/>
      <c r="C700" s="648"/>
    </row>
    <row r="701" spans="2:3" x14ac:dyDescent="0.4">
      <c r="B701" s="647"/>
      <c r="C701" s="648"/>
    </row>
    <row r="702" spans="2:3" x14ac:dyDescent="0.4">
      <c r="B702" s="647"/>
      <c r="C702" s="648"/>
    </row>
    <row r="703" spans="2:3" x14ac:dyDescent="0.4">
      <c r="B703" s="647"/>
      <c r="C703" s="648"/>
    </row>
    <row r="704" spans="2:3" x14ac:dyDescent="0.4">
      <c r="B704" s="647"/>
      <c r="C704" s="648"/>
    </row>
    <row r="705" spans="2:3" x14ac:dyDescent="0.4">
      <c r="B705" s="647"/>
      <c r="C705" s="648"/>
    </row>
    <row r="706" spans="2:3" x14ac:dyDescent="0.4">
      <c r="B706" s="647"/>
      <c r="C706" s="648"/>
    </row>
    <row r="707" spans="2:3" x14ac:dyDescent="0.4">
      <c r="B707" s="647"/>
      <c r="C707" s="648"/>
    </row>
    <row r="708" spans="2:3" x14ac:dyDescent="0.4">
      <c r="B708" s="647"/>
      <c r="C708" s="648"/>
    </row>
    <row r="709" spans="2:3" x14ac:dyDescent="0.4">
      <c r="B709" s="647"/>
      <c r="C709" s="648"/>
    </row>
    <row r="710" spans="2:3" x14ac:dyDescent="0.4">
      <c r="B710" s="647"/>
      <c r="C710" s="648"/>
    </row>
    <row r="711" spans="2:3" x14ac:dyDescent="0.4">
      <c r="B711" s="647"/>
      <c r="C711" s="648"/>
    </row>
    <row r="712" spans="2:3" x14ac:dyDescent="0.4">
      <c r="B712" s="647"/>
      <c r="C712" s="648"/>
    </row>
    <row r="713" spans="2:3" x14ac:dyDescent="0.4">
      <c r="B713" s="647"/>
      <c r="C713" s="648"/>
    </row>
    <row r="714" spans="2:3" x14ac:dyDescent="0.4">
      <c r="B714" s="647"/>
      <c r="C714" s="648"/>
    </row>
    <row r="715" spans="2:3" x14ac:dyDescent="0.4">
      <c r="B715" s="647"/>
      <c r="C715" s="648"/>
    </row>
    <row r="716" spans="2:3" x14ac:dyDescent="0.4">
      <c r="B716" s="647"/>
      <c r="C716" s="648"/>
    </row>
    <row r="717" spans="2:3" x14ac:dyDescent="0.4">
      <c r="B717" s="647"/>
      <c r="C717" s="648"/>
    </row>
    <row r="718" spans="2:3" x14ac:dyDescent="0.4">
      <c r="B718" s="647"/>
      <c r="C718" s="648"/>
    </row>
    <row r="719" spans="2:3" x14ac:dyDescent="0.4">
      <c r="B719" s="647"/>
      <c r="C719" s="648"/>
    </row>
    <row r="720" spans="2:3" x14ac:dyDescent="0.4">
      <c r="B720" s="647"/>
      <c r="C720" s="648"/>
    </row>
    <row r="721" spans="2:3" x14ac:dyDescent="0.4">
      <c r="B721" s="647"/>
      <c r="C721" s="648"/>
    </row>
    <row r="722" spans="2:3" x14ac:dyDescent="0.4">
      <c r="B722" s="647"/>
      <c r="C722" s="648"/>
    </row>
    <row r="723" spans="2:3" x14ac:dyDescent="0.4">
      <c r="B723" s="647"/>
      <c r="C723" s="648"/>
    </row>
    <row r="724" spans="2:3" x14ac:dyDescent="0.4">
      <c r="B724" s="647"/>
      <c r="C724" s="648"/>
    </row>
    <row r="725" spans="2:3" x14ac:dyDescent="0.4">
      <c r="B725" s="647"/>
      <c r="C725" s="648"/>
    </row>
    <row r="726" spans="2:3" x14ac:dyDescent="0.4">
      <c r="B726" s="647"/>
      <c r="C726" s="648"/>
    </row>
    <row r="727" spans="2:3" x14ac:dyDescent="0.4">
      <c r="B727" s="647"/>
      <c r="C727" s="648"/>
    </row>
    <row r="728" spans="2:3" x14ac:dyDescent="0.4">
      <c r="B728" s="647"/>
      <c r="C728" s="648"/>
    </row>
    <row r="729" spans="2:3" x14ac:dyDescent="0.4">
      <c r="B729" s="647"/>
      <c r="C729" s="648"/>
    </row>
    <row r="730" spans="2:3" x14ac:dyDescent="0.4">
      <c r="B730" s="647"/>
      <c r="C730" s="648"/>
    </row>
    <row r="731" spans="2:3" x14ac:dyDescent="0.4">
      <c r="B731" s="647"/>
      <c r="C731" s="648"/>
    </row>
    <row r="732" spans="2:3" x14ac:dyDescent="0.4">
      <c r="B732" s="647"/>
      <c r="C732" s="648"/>
    </row>
    <row r="733" spans="2:3" x14ac:dyDescent="0.4">
      <c r="B733" s="647"/>
      <c r="C733" s="648"/>
    </row>
    <row r="734" spans="2:3" x14ac:dyDescent="0.4">
      <c r="B734" s="647"/>
      <c r="C734" s="648"/>
    </row>
    <row r="735" spans="2:3" x14ac:dyDescent="0.4">
      <c r="B735" s="647"/>
      <c r="C735" s="648"/>
    </row>
    <row r="736" spans="2:3" x14ac:dyDescent="0.4">
      <c r="B736" s="647"/>
      <c r="C736" s="648"/>
    </row>
    <row r="737" spans="2:3" x14ac:dyDescent="0.4">
      <c r="B737" s="647"/>
      <c r="C737" s="648"/>
    </row>
    <row r="738" spans="2:3" x14ac:dyDescent="0.4">
      <c r="B738" s="647"/>
      <c r="C738" s="648"/>
    </row>
    <row r="739" spans="2:3" x14ac:dyDescent="0.4">
      <c r="B739" s="647"/>
      <c r="C739" s="648"/>
    </row>
    <row r="740" spans="2:3" x14ac:dyDescent="0.4">
      <c r="B740" s="647"/>
      <c r="C740" s="648"/>
    </row>
    <row r="741" spans="2:3" x14ac:dyDescent="0.4">
      <c r="B741" s="647"/>
      <c r="C741" s="648"/>
    </row>
    <row r="742" spans="2:3" x14ac:dyDescent="0.4">
      <c r="B742" s="647"/>
      <c r="C742" s="648"/>
    </row>
    <row r="743" spans="2:3" x14ac:dyDescent="0.4">
      <c r="B743" s="647"/>
      <c r="C743" s="648"/>
    </row>
    <row r="744" spans="2:3" x14ac:dyDescent="0.4">
      <c r="B744" s="647"/>
      <c r="C744" s="648"/>
    </row>
    <row r="745" spans="2:3" x14ac:dyDescent="0.4">
      <c r="B745" s="647"/>
      <c r="C745" s="648"/>
    </row>
    <row r="746" spans="2:3" x14ac:dyDescent="0.4">
      <c r="B746" s="647"/>
      <c r="C746" s="648"/>
    </row>
    <row r="747" spans="2:3" x14ac:dyDescent="0.4">
      <c r="B747" s="647"/>
      <c r="C747" s="648"/>
    </row>
    <row r="748" spans="2:3" x14ac:dyDescent="0.4">
      <c r="B748" s="647"/>
      <c r="C748" s="648"/>
    </row>
    <row r="749" spans="2:3" x14ac:dyDescent="0.4">
      <c r="B749" s="647"/>
      <c r="C749" s="648"/>
    </row>
    <row r="750" spans="2:3" x14ac:dyDescent="0.4">
      <c r="B750" s="647"/>
      <c r="C750" s="648"/>
    </row>
    <row r="751" spans="2:3" x14ac:dyDescent="0.4">
      <c r="B751" s="647"/>
      <c r="C751" s="648"/>
    </row>
    <row r="752" spans="2:3" x14ac:dyDescent="0.4">
      <c r="B752" s="647"/>
      <c r="C752" s="648"/>
    </row>
    <row r="753" spans="2:3" x14ac:dyDescent="0.4">
      <c r="B753" s="647"/>
      <c r="C753" s="648"/>
    </row>
    <row r="754" spans="2:3" x14ac:dyDescent="0.4">
      <c r="B754" s="647"/>
      <c r="C754" s="648"/>
    </row>
    <row r="755" spans="2:3" x14ac:dyDescent="0.4">
      <c r="B755" s="647"/>
      <c r="C755" s="648"/>
    </row>
    <row r="756" spans="2:3" x14ac:dyDescent="0.4">
      <c r="B756" s="647"/>
      <c r="C756" s="648"/>
    </row>
    <row r="757" spans="2:3" x14ac:dyDescent="0.4">
      <c r="B757" s="647"/>
      <c r="C757" s="648"/>
    </row>
    <row r="758" spans="2:3" x14ac:dyDescent="0.4">
      <c r="B758" s="647"/>
      <c r="C758" s="648"/>
    </row>
    <row r="759" spans="2:3" x14ac:dyDescent="0.4">
      <c r="B759" s="647"/>
      <c r="C759" s="648"/>
    </row>
    <row r="760" spans="2:3" x14ac:dyDescent="0.4">
      <c r="B760" s="647"/>
      <c r="C760" s="648"/>
    </row>
    <row r="761" spans="2:3" x14ac:dyDescent="0.4">
      <c r="B761" s="647"/>
      <c r="C761" s="648"/>
    </row>
    <row r="762" spans="2:3" x14ac:dyDescent="0.4">
      <c r="B762" s="647"/>
      <c r="C762" s="648"/>
    </row>
    <row r="763" spans="2:3" x14ac:dyDescent="0.4">
      <c r="B763" s="647"/>
      <c r="C763" s="648"/>
    </row>
    <row r="764" spans="2:3" x14ac:dyDescent="0.4">
      <c r="B764" s="647"/>
      <c r="C764" s="648"/>
    </row>
    <row r="765" spans="2:3" x14ac:dyDescent="0.4">
      <c r="B765" s="647"/>
      <c r="C765" s="648"/>
    </row>
    <row r="766" spans="2:3" x14ac:dyDescent="0.4">
      <c r="B766" s="647"/>
      <c r="C766" s="648"/>
    </row>
    <row r="767" spans="2:3" x14ac:dyDescent="0.4">
      <c r="B767" s="647"/>
      <c r="C767" s="648"/>
    </row>
    <row r="768" spans="2:3" x14ac:dyDescent="0.4">
      <c r="B768" s="647"/>
      <c r="C768" s="648"/>
    </row>
    <row r="769" spans="2:3" x14ac:dyDescent="0.4">
      <c r="B769" s="647"/>
      <c r="C769" s="648"/>
    </row>
    <row r="770" spans="2:3" x14ac:dyDescent="0.4">
      <c r="B770" s="647"/>
      <c r="C770" s="648"/>
    </row>
    <row r="771" spans="2:3" x14ac:dyDescent="0.4">
      <c r="B771" s="647"/>
      <c r="C771" s="648"/>
    </row>
    <row r="772" spans="2:3" x14ac:dyDescent="0.4">
      <c r="B772" s="647"/>
      <c r="C772" s="648"/>
    </row>
    <row r="773" spans="2:3" x14ac:dyDescent="0.4">
      <c r="B773" s="647"/>
      <c r="C773" s="648"/>
    </row>
    <row r="774" spans="2:3" x14ac:dyDescent="0.4">
      <c r="B774" s="647"/>
      <c r="C774" s="648"/>
    </row>
    <row r="775" spans="2:3" x14ac:dyDescent="0.4">
      <c r="B775" s="647"/>
      <c r="C775" s="648"/>
    </row>
    <row r="776" spans="2:3" x14ac:dyDescent="0.4">
      <c r="B776" s="647"/>
      <c r="C776" s="648"/>
    </row>
    <row r="777" spans="2:3" x14ac:dyDescent="0.4">
      <c r="B777" s="647"/>
      <c r="C777" s="648"/>
    </row>
    <row r="778" spans="2:3" x14ac:dyDescent="0.4">
      <c r="B778" s="647"/>
      <c r="C778" s="648"/>
    </row>
    <row r="779" spans="2:3" x14ac:dyDescent="0.4">
      <c r="B779" s="647"/>
      <c r="C779" s="648"/>
    </row>
    <row r="780" spans="2:3" x14ac:dyDescent="0.4">
      <c r="B780" s="647"/>
      <c r="C780" s="648"/>
    </row>
    <row r="781" spans="2:3" x14ac:dyDescent="0.4">
      <c r="B781" s="647"/>
      <c r="C781" s="648"/>
    </row>
    <row r="782" spans="2:3" x14ac:dyDescent="0.4">
      <c r="B782" s="647"/>
      <c r="C782" s="648"/>
    </row>
    <row r="783" spans="2:3" x14ac:dyDescent="0.4">
      <c r="B783" s="647"/>
      <c r="C783" s="648"/>
    </row>
    <row r="784" spans="2:3" x14ac:dyDescent="0.4">
      <c r="B784" s="647"/>
      <c r="C784" s="648"/>
    </row>
    <row r="785" spans="2:3" x14ac:dyDescent="0.4">
      <c r="B785" s="647"/>
      <c r="C785" s="648"/>
    </row>
    <row r="786" spans="2:3" x14ac:dyDescent="0.4">
      <c r="B786" s="647"/>
      <c r="C786" s="648"/>
    </row>
    <row r="787" spans="2:3" x14ac:dyDescent="0.4">
      <c r="B787" s="647"/>
      <c r="C787" s="648"/>
    </row>
    <row r="788" spans="2:3" x14ac:dyDescent="0.4">
      <c r="B788" s="647"/>
      <c r="C788" s="648"/>
    </row>
    <row r="789" spans="2:3" x14ac:dyDescent="0.4">
      <c r="B789" s="647"/>
      <c r="C789" s="648"/>
    </row>
    <row r="790" spans="2:3" x14ac:dyDescent="0.4">
      <c r="B790" s="647"/>
      <c r="C790" s="648"/>
    </row>
    <row r="791" spans="2:3" x14ac:dyDescent="0.4">
      <c r="B791" s="647"/>
      <c r="C791" s="648"/>
    </row>
    <row r="792" spans="2:3" x14ac:dyDescent="0.4">
      <c r="B792" s="647"/>
      <c r="C792" s="648"/>
    </row>
    <row r="793" spans="2:3" x14ac:dyDescent="0.4">
      <c r="B793" s="647"/>
      <c r="C793" s="648"/>
    </row>
    <row r="794" spans="2:3" x14ac:dyDescent="0.4">
      <c r="B794" s="647"/>
      <c r="C794" s="648"/>
    </row>
    <row r="795" spans="2:3" x14ac:dyDescent="0.4">
      <c r="B795" s="647"/>
      <c r="C795" s="648"/>
    </row>
    <row r="796" spans="2:3" x14ac:dyDescent="0.4">
      <c r="B796" s="647"/>
      <c r="C796" s="648"/>
    </row>
    <row r="797" spans="2:3" x14ac:dyDescent="0.4">
      <c r="B797" s="647"/>
      <c r="C797" s="648"/>
    </row>
    <row r="798" spans="2:3" x14ac:dyDescent="0.4">
      <c r="B798" s="647"/>
      <c r="C798" s="648"/>
    </row>
    <row r="799" spans="2:3" x14ac:dyDescent="0.4">
      <c r="B799" s="647"/>
      <c r="C799" s="648"/>
    </row>
    <row r="800" spans="2:3" x14ac:dyDescent="0.4">
      <c r="B800" s="647"/>
      <c r="C800" s="648"/>
    </row>
    <row r="801" spans="2:3" x14ac:dyDescent="0.4">
      <c r="B801" s="647"/>
      <c r="C801" s="648"/>
    </row>
    <row r="802" spans="2:3" x14ac:dyDescent="0.4">
      <c r="B802" s="647"/>
      <c r="C802" s="648"/>
    </row>
    <row r="803" spans="2:3" x14ac:dyDescent="0.4">
      <c r="B803" s="647"/>
      <c r="C803" s="648"/>
    </row>
    <row r="804" spans="2:3" x14ac:dyDescent="0.4">
      <c r="B804" s="647"/>
      <c r="C804" s="648"/>
    </row>
    <row r="805" spans="2:3" x14ac:dyDescent="0.4">
      <c r="B805" s="647"/>
      <c r="C805" s="648"/>
    </row>
    <row r="806" spans="2:3" x14ac:dyDescent="0.4">
      <c r="B806" s="647"/>
      <c r="C806" s="648"/>
    </row>
    <row r="807" spans="2:3" x14ac:dyDescent="0.4">
      <c r="B807" s="647"/>
      <c r="C807" s="648"/>
    </row>
    <row r="808" spans="2:3" x14ac:dyDescent="0.4">
      <c r="B808" s="647"/>
      <c r="C808" s="648"/>
    </row>
    <row r="809" spans="2:3" x14ac:dyDescent="0.4">
      <c r="B809" s="647"/>
      <c r="C809" s="648"/>
    </row>
    <row r="810" spans="2:3" x14ac:dyDescent="0.4">
      <c r="B810" s="647"/>
      <c r="C810" s="648"/>
    </row>
    <row r="811" spans="2:3" x14ac:dyDescent="0.4">
      <c r="B811" s="647"/>
      <c r="C811" s="648"/>
    </row>
    <row r="812" spans="2:3" x14ac:dyDescent="0.4">
      <c r="B812" s="647"/>
      <c r="C812" s="648"/>
    </row>
    <row r="813" spans="2:3" x14ac:dyDescent="0.4">
      <c r="B813" s="647"/>
      <c r="C813" s="648"/>
    </row>
    <row r="814" spans="2:3" x14ac:dyDescent="0.4">
      <c r="B814" s="647"/>
      <c r="C814" s="648"/>
    </row>
    <row r="815" spans="2:3" x14ac:dyDescent="0.4">
      <c r="B815" s="647"/>
      <c r="C815" s="648"/>
    </row>
    <row r="816" spans="2:3" x14ac:dyDescent="0.4">
      <c r="B816" s="647"/>
      <c r="C816" s="648"/>
    </row>
    <row r="817" spans="2:3" x14ac:dyDescent="0.4">
      <c r="B817" s="647"/>
      <c r="C817" s="648"/>
    </row>
    <row r="818" spans="2:3" x14ac:dyDescent="0.4">
      <c r="B818" s="647"/>
      <c r="C818" s="648"/>
    </row>
    <row r="819" spans="2:3" x14ac:dyDescent="0.4">
      <c r="B819" s="647"/>
      <c r="C819" s="648"/>
    </row>
    <row r="820" spans="2:3" x14ac:dyDescent="0.4">
      <c r="B820" s="647"/>
      <c r="C820" s="648"/>
    </row>
    <row r="821" spans="2:3" x14ac:dyDescent="0.4">
      <c r="B821" s="647"/>
      <c r="C821" s="648"/>
    </row>
    <row r="822" spans="2:3" x14ac:dyDescent="0.4">
      <c r="B822" s="647"/>
      <c r="C822" s="648"/>
    </row>
    <row r="823" spans="2:3" x14ac:dyDescent="0.4">
      <c r="B823" s="647"/>
      <c r="C823" s="648"/>
    </row>
    <row r="824" spans="2:3" x14ac:dyDescent="0.4">
      <c r="B824" s="647"/>
      <c r="C824" s="648"/>
    </row>
    <row r="825" spans="2:3" x14ac:dyDescent="0.4">
      <c r="B825" s="647"/>
      <c r="C825" s="648"/>
    </row>
    <row r="826" spans="2:3" x14ac:dyDescent="0.4">
      <c r="B826" s="647"/>
      <c r="C826" s="648"/>
    </row>
    <row r="827" spans="2:3" x14ac:dyDescent="0.4">
      <c r="B827" s="647"/>
      <c r="C827" s="648"/>
    </row>
    <row r="828" spans="2:3" x14ac:dyDescent="0.4">
      <c r="B828" s="647"/>
      <c r="C828" s="648"/>
    </row>
    <row r="829" spans="2:3" x14ac:dyDescent="0.4">
      <c r="B829" s="647"/>
      <c r="C829" s="648"/>
    </row>
    <row r="830" spans="2:3" x14ac:dyDescent="0.4">
      <c r="B830" s="647"/>
      <c r="C830" s="648"/>
    </row>
    <row r="831" spans="2:3" x14ac:dyDescent="0.4">
      <c r="B831" s="647"/>
      <c r="C831" s="648"/>
    </row>
    <row r="832" spans="2:3" x14ac:dyDescent="0.4">
      <c r="B832" s="647"/>
      <c r="C832" s="648"/>
    </row>
    <row r="833" spans="2:3" x14ac:dyDescent="0.4">
      <c r="B833" s="647"/>
      <c r="C833" s="648"/>
    </row>
    <row r="834" spans="2:3" x14ac:dyDescent="0.4">
      <c r="B834" s="647"/>
      <c r="C834" s="648"/>
    </row>
    <row r="835" spans="2:3" x14ac:dyDescent="0.4">
      <c r="B835" s="647"/>
      <c r="C835" s="648"/>
    </row>
    <row r="836" spans="2:3" x14ac:dyDescent="0.4">
      <c r="B836" s="647"/>
      <c r="C836" s="648"/>
    </row>
    <row r="837" spans="2:3" x14ac:dyDescent="0.4">
      <c r="B837" s="647"/>
      <c r="C837" s="648"/>
    </row>
    <row r="838" spans="2:3" x14ac:dyDescent="0.4">
      <c r="B838" s="647"/>
      <c r="C838" s="648"/>
    </row>
    <row r="839" spans="2:3" x14ac:dyDescent="0.4">
      <c r="B839" s="647"/>
      <c r="C839" s="648"/>
    </row>
    <row r="840" spans="2:3" x14ac:dyDescent="0.4">
      <c r="B840" s="647"/>
      <c r="C840" s="648"/>
    </row>
    <row r="841" spans="2:3" x14ac:dyDescent="0.4">
      <c r="B841" s="647"/>
      <c r="C841" s="648"/>
    </row>
    <row r="842" spans="2:3" x14ac:dyDescent="0.4">
      <c r="B842" s="647"/>
      <c r="C842" s="648"/>
    </row>
    <row r="843" spans="2:3" x14ac:dyDescent="0.4">
      <c r="B843" s="647"/>
      <c r="C843" s="648"/>
    </row>
    <row r="844" spans="2:3" x14ac:dyDescent="0.4">
      <c r="B844" s="647"/>
      <c r="C844" s="648"/>
    </row>
    <row r="845" spans="2:3" x14ac:dyDescent="0.4">
      <c r="B845" s="647"/>
      <c r="C845" s="648"/>
    </row>
    <row r="846" spans="2:3" x14ac:dyDescent="0.4">
      <c r="B846" s="647"/>
      <c r="C846" s="648"/>
    </row>
    <row r="847" spans="2:3" x14ac:dyDescent="0.4">
      <c r="B847" s="647"/>
      <c r="C847" s="648"/>
    </row>
    <row r="848" spans="2:3" x14ac:dyDescent="0.4">
      <c r="B848" s="647"/>
      <c r="C848" s="648"/>
    </row>
    <row r="849" spans="2:3" x14ac:dyDescent="0.4">
      <c r="B849" s="647"/>
      <c r="C849" s="648"/>
    </row>
    <row r="850" spans="2:3" x14ac:dyDescent="0.4">
      <c r="B850" s="647"/>
      <c r="C850" s="648"/>
    </row>
    <row r="851" spans="2:3" x14ac:dyDescent="0.4">
      <c r="B851" s="647"/>
      <c r="C851" s="648"/>
    </row>
    <row r="852" spans="2:3" x14ac:dyDescent="0.4">
      <c r="B852" s="647"/>
      <c r="C852" s="648"/>
    </row>
    <row r="853" spans="2:3" x14ac:dyDescent="0.4">
      <c r="B853" s="647"/>
      <c r="C853" s="648"/>
    </row>
    <row r="854" spans="2:3" x14ac:dyDescent="0.4">
      <c r="B854" s="647"/>
      <c r="C854" s="648"/>
    </row>
    <row r="855" spans="2:3" x14ac:dyDescent="0.4">
      <c r="B855" s="647"/>
      <c r="C855" s="648"/>
    </row>
    <row r="856" spans="2:3" x14ac:dyDescent="0.4">
      <c r="B856" s="647"/>
      <c r="C856" s="648"/>
    </row>
    <row r="857" spans="2:3" x14ac:dyDescent="0.4">
      <c r="B857" s="647"/>
      <c r="C857" s="648"/>
    </row>
    <row r="858" spans="2:3" x14ac:dyDescent="0.4">
      <c r="B858" s="647"/>
      <c r="C858" s="648"/>
    </row>
    <row r="859" spans="2:3" x14ac:dyDescent="0.4">
      <c r="B859" s="647"/>
      <c r="C859" s="648"/>
    </row>
    <row r="860" spans="2:3" x14ac:dyDescent="0.4">
      <c r="B860" s="647"/>
      <c r="C860" s="648"/>
    </row>
    <row r="861" spans="2:3" x14ac:dyDescent="0.4">
      <c r="B861" s="647"/>
      <c r="C861" s="648"/>
    </row>
    <row r="862" spans="2:3" x14ac:dyDescent="0.4">
      <c r="B862" s="647"/>
      <c r="C862" s="648"/>
    </row>
    <row r="863" spans="2:3" x14ac:dyDescent="0.4">
      <c r="B863" s="647"/>
      <c r="C863" s="648"/>
    </row>
    <row r="864" spans="2:3" x14ac:dyDescent="0.4">
      <c r="B864" s="647"/>
      <c r="C864" s="648"/>
    </row>
    <row r="865" spans="2:3" x14ac:dyDescent="0.4">
      <c r="B865" s="647"/>
      <c r="C865" s="648"/>
    </row>
    <row r="866" spans="2:3" x14ac:dyDescent="0.4">
      <c r="B866" s="647"/>
      <c r="C866" s="648"/>
    </row>
    <row r="867" spans="2:3" x14ac:dyDescent="0.4">
      <c r="B867" s="647"/>
      <c r="C867" s="648"/>
    </row>
    <row r="868" spans="2:3" x14ac:dyDescent="0.4">
      <c r="B868" s="647"/>
      <c r="C868" s="648"/>
    </row>
    <row r="869" spans="2:3" x14ac:dyDescent="0.4">
      <c r="B869" s="647"/>
      <c r="C869" s="648"/>
    </row>
    <row r="870" spans="2:3" x14ac:dyDescent="0.4">
      <c r="B870" s="647"/>
      <c r="C870" s="648"/>
    </row>
    <row r="871" spans="2:3" x14ac:dyDescent="0.4">
      <c r="B871" s="647"/>
      <c r="C871" s="648"/>
    </row>
    <row r="872" spans="2:3" x14ac:dyDescent="0.4">
      <c r="B872" s="647"/>
      <c r="C872" s="648"/>
    </row>
    <row r="873" spans="2:3" x14ac:dyDescent="0.4">
      <c r="B873" s="647"/>
      <c r="C873" s="648"/>
    </row>
    <row r="874" spans="2:3" x14ac:dyDescent="0.4">
      <c r="B874" s="647"/>
      <c r="C874" s="648"/>
    </row>
    <row r="875" spans="2:3" x14ac:dyDescent="0.4">
      <c r="B875" s="647"/>
      <c r="C875" s="648"/>
    </row>
    <row r="876" spans="2:3" x14ac:dyDescent="0.4">
      <c r="B876" s="647"/>
      <c r="C876" s="648"/>
    </row>
    <row r="877" spans="2:3" x14ac:dyDescent="0.4">
      <c r="B877" s="647"/>
      <c r="C877" s="648"/>
    </row>
    <row r="878" spans="2:3" x14ac:dyDescent="0.4">
      <c r="B878" s="647"/>
      <c r="C878" s="648"/>
    </row>
    <row r="879" spans="2:3" x14ac:dyDescent="0.4">
      <c r="B879" s="647"/>
      <c r="C879" s="648"/>
    </row>
    <row r="880" spans="2:3" x14ac:dyDescent="0.4">
      <c r="B880" s="647"/>
      <c r="C880" s="648"/>
    </row>
    <row r="881" spans="2:3" x14ac:dyDescent="0.4">
      <c r="B881" s="647"/>
      <c r="C881" s="648"/>
    </row>
    <row r="882" spans="2:3" x14ac:dyDescent="0.4">
      <c r="B882" s="647"/>
      <c r="C882" s="648"/>
    </row>
    <row r="883" spans="2:3" x14ac:dyDescent="0.4">
      <c r="B883" s="647"/>
      <c r="C883" s="648"/>
    </row>
    <row r="884" spans="2:3" x14ac:dyDescent="0.4">
      <c r="B884" s="647"/>
      <c r="C884" s="648"/>
    </row>
    <row r="885" spans="2:3" x14ac:dyDescent="0.4">
      <c r="B885" s="647"/>
      <c r="C885" s="648"/>
    </row>
    <row r="886" spans="2:3" x14ac:dyDescent="0.4">
      <c r="B886" s="647"/>
      <c r="C886" s="648"/>
    </row>
    <row r="887" spans="2:3" x14ac:dyDescent="0.4">
      <c r="B887" s="647"/>
      <c r="C887" s="648"/>
    </row>
    <row r="888" spans="2:3" x14ac:dyDescent="0.4">
      <c r="B888" s="647"/>
      <c r="C888" s="648"/>
    </row>
    <row r="889" spans="2:3" x14ac:dyDescent="0.4">
      <c r="B889" s="647"/>
      <c r="C889" s="648"/>
    </row>
    <row r="890" spans="2:3" x14ac:dyDescent="0.4">
      <c r="B890" s="647"/>
      <c r="C890" s="648"/>
    </row>
    <row r="891" spans="2:3" x14ac:dyDescent="0.4">
      <c r="B891" s="647"/>
      <c r="C891" s="648"/>
    </row>
    <row r="892" spans="2:3" x14ac:dyDescent="0.4">
      <c r="B892" s="647"/>
      <c r="C892" s="648"/>
    </row>
    <row r="893" spans="2:3" x14ac:dyDescent="0.4">
      <c r="B893" s="647"/>
      <c r="C893" s="648"/>
    </row>
    <row r="894" spans="2:3" x14ac:dyDescent="0.4">
      <c r="B894" s="647"/>
      <c r="C894" s="648"/>
    </row>
    <row r="895" spans="2:3" x14ac:dyDescent="0.4">
      <c r="B895" s="647"/>
      <c r="C895" s="648"/>
    </row>
    <row r="896" spans="2:3" x14ac:dyDescent="0.4">
      <c r="B896" s="647"/>
      <c r="C896" s="648"/>
    </row>
    <row r="897" spans="2:3" x14ac:dyDescent="0.4">
      <c r="B897" s="647"/>
      <c r="C897" s="648"/>
    </row>
    <row r="898" spans="2:3" x14ac:dyDescent="0.4">
      <c r="B898" s="647"/>
      <c r="C898" s="648"/>
    </row>
    <row r="899" spans="2:3" x14ac:dyDescent="0.4">
      <c r="B899" s="647"/>
      <c r="C899" s="648"/>
    </row>
    <row r="900" spans="2:3" x14ac:dyDescent="0.4">
      <c r="B900" s="647"/>
      <c r="C900" s="648"/>
    </row>
    <row r="901" spans="2:3" x14ac:dyDescent="0.4">
      <c r="B901" s="647"/>
      <c r="C901" s="648"/>
    </row>
    <row r="902" spans="2:3" x14ac:dyDescent="0.4">
      <c r="B902" s="647"/>
      <c r="C902" s="648"/>
    </row>
    <row r="903" spans="2:3" x14ac:dyDescent="0.4">
      <c r="B903" s="647"/>
      <c r="C903" s="648"/>
    </row>
    <row r="904" spans="2:3" x14ac:dyDescent="0.4">
      <c r="B904" s="647"/>
      <c r="C904" s="648"/>
    </row>
    <row r="905" spans="2:3" x14ac:dyDescent="0.4">
      <c r="B905" s="647"/>
      <c r="C905" s="648"/>
    </row>
    <row r="906" spans="2:3" x14ac:dyDescent="0.4">
      <c r="B906" s="647"/>
      <c r="C906" s="648"/>
    </row>
    <row r="907" spans="2:3" x14ac:dyDescent="0.4">
      <c r="B907" s="647"/>
      <c r="C907" s="648"/>
    </row>
    <row r="908" spans="2:3" x14ac:dyDescent="0.4">
      <c r="B908" s="647"/>
      <c r="C908" s="648"/>
    </row>
    <row r="909" spans="2:3" x14ac:dyDescent="0.4">
      <c r="B909" s="647"/>
      <c r="C909" s="648"/>
    </row>
    <row r="910" spans="2:3" x14ac:dyDescent="0.4">
      <c r="B910" s="647"/>
      <c r="C910" s="648"/>
    </row>
    <row r="911" spans="2:3" x14ac:dyDescent="0.4">
      <c r="B911" s="647"/>
      <c r="C911" s="648"/>
    </row>
    <row r="912" spans="2:3" x14ac:dyDescent="0.4">
      <c r="B912" s="647"/>
      <c r="C912" s="648"/>
    </row>
    <row r="913" spans="2:3" x14ac:dyDescent="0.4">
      <c r="B913" s="647"/>
      <c r="C913" s="648"/>
    </row>
    <row r="914" spans="2:3" x14ac:dyDescent="0.4">
      <c r="B914" s="647"/>
      <c r="C914" s="648"/>
    </row>
    <row r="915" spans="2:3" x14ac:dyDescent="0.4">
      <c r="B915" s="647"/>
      <c r="C915" s="648"/>
    </row>
    <row r="916" spans="2:3" x14ac:dyDescent="0.4">
      <c r="B916" s="647"/>
      <c r="C916" s="648"/>
    </row>
    <row r="917" spans="2:3" x14ac:dyDescent="0.4">
      <c r="B917" s="647"/>
      <c r="C917" s="648"/>
    </row>
    <row r="918" spans="2:3" x14ac:dyDescent="0.4">
      <c r="B918" s="647"/>
      <c r="C918" s="648"/>
    </row>
    <row r="919" spans="2:3" x14ac:dyDescent="0.4">
      <c r="B919" s="647"/>
      <c r="C919" s="648"/>
    </row>
    <row r="920" spans="2:3" x14ac:dyDescent="0.4">
      <c r="B920" s="647"/>
      <c r="C920" s="648"/>
    </row>
    <row r="921" spans="2:3" x14ac:dyDescent="0.4">
      <c r="B921" s="647"/>
      <c r="C921" s="648"/>
    </row>
    <row r="922" spans="2:3" x14ac:dyDescent="0.4">
      <c r="B922" s="647"/>
      <c r="C922" s="648"/>
    </row>
    <row r="923" spans="2:3" x14ac:dyDescent="0.4">
      <c r="B923" s="647"/>
      <c r="C923" s="648"/>
    </row>
    <row r="924" spans="2:3" x14ac:dyDescent="0.4">
      <c r="B924" s="647"/>
      <c r="C924" s="648"/>
    </row>
    <row r="925" spans="2:3" x14ac:dyDescent="0.4">
      <c r="B925" s="647"/>
      <c r="C925" s="648"/>
    </row>
    <row r="926" spans="2:3" x14ac:dyDescent="0.4">
      <c r="B926" s="647"/>
      <c r="C926" s="648"/>
    </row>
    <row r="927" spans="2:3" x14ac:dyDescent="0.4">
      <c r="B927" s="647"/>
      <c r="C927" s="648"/>
    </row>
    <row r="928" spans="2:3" x14ac:dyDescent="0.4">
      <c r="B928" s="647"/>
      <c r="C928" s="648"/>
    </row>
    <row r="929" spans="2:3" x14ac:dyDescent="0.4">
      <c r="B929" s="647"/>
      <c r="C929" s="648"/>
    </row>
    <row r="930" spans="2:3" x14ac:dyDescent="0.4">
      <c r="B930" s="647"/>
      <c r="C930" s="648"/>
    </row>
    <row r="931" spans="2:3" x14ac:dyDescent="0.4">
      <c r="B931" s="647"/>
      <c r="C931" s="648"/>
    </row>
    <row r="932" spans="2:3" x14ac:dyDescent="0.4">
      <c r="B932" s="647"/>
      <c r="C932" s="648"/>
    </row>
    <row r="933" spans="2:3" x14ac:dyDescent="0.4">
      <c r="B933" s="647"/>
      <c r="C933" s="648"/>
    </row>
    <row r="934" spans="2:3" x14ac:dyDescent="0.4">
      <c r="B934" s="647"/>
      <c r="C934" s="648"/>
    </row>
    <row r="935" spans="2:3" x14ac:dyDescent="0.4">
      <c r="B935" s="647"/>
      <c r="C935" s="648"/>
    </row>
    <row r="936" spans="2:3" x14ac:dyDescent="0.4">
      <c r="B936" s="647"/>
      <c r="C936" s="648"/>
    </row>
    <row r="937" spans="2:3" x14ac:dyDescent="0.4">
      <c r="B937" s="647"/>
      <c r="C937" s="648"/>
    </row>
    <row r="938" spans="2:3" x14ac:dyDescent="0.4">
      <c r="B938" s="647"/>
      <c r="C938" s="648"/>
    </row>
    <row r="939" spans="2:3" x14ac:dyDescent="0.4">
      <c r="B939" s="647"/>
      <c r="C939" s="648"/>
    </row>
    <row r="940" spans="2:3" x14ac:dyDescent="0.4">
      <c r="B940" s="647"/>
      <c r="C940" s="648"/>
    </row>
    <row r="941" spans="2:3" x14ac:dyDescent="0.4">
      <c r="B941" s="647"/>
      <c r="C941" s="648"/>
    </row>
    <row r="942" spans="2:3" x14ac:dyDescent="0.4">
      <c r="B942" s="647"/>
      <c r="C942" s="648"/>
    </row>
    <row r="943" spans="2:3" x14ac:dyDescent="0.4">
      <c r="B943" s="647"/>
      <c r="C943" s="648"/>
    </row>
    <row r="944" spans="2:3" x14ac:dyDescent="0.4">
      <c r="B944" s="647"/>
      <c r="C944" s="648"/>
    </row>
    <row r="945" spans="2:3" x14ac:dyDescent="0.4">
      <c r="B945" s="647"/>
      <c r="C945" s="648"/>
    </row>
    <row r="946" spans="2:3" x14ac:dyDescent="0.4">
      <c r="B946" s="647"/>
      <c r="C946" s="648"/>
    </row>
    <row r="947" spans="2:3" x14ac:dyDescent="0.4">
      <c r="B947" s="647"/>
      <c r="C947" s="648"/>
    </row>
    <row r="948" spans="2:3" x14ac:dyDescent="0.4">
      <c r="B948" s="647"/>
      <c r="C948" s="648"/>
    </row>
    <row r="949" spans="2:3" x14ac:dyDescent="0.4">
      <c r="B949" s="647"/>
      <c r="C949" s="648"/>
    </row>
    <row r="950" spans="2:3" x14ac:dyDescent="0.4">
      <c r="B950" s="647"/>
      <c r="C950" s="648"/>
    </row>
    <row r="951" spans="2:3" x14ac:dyDescent="0.4">
      <c r="B951" s="647"/>
      <c r="C951" s="648"/>
    </row>
    <row r="952" spans="2:3" x14ac:dyDescent="0.4">
      <c r="B952" s="647"/>
      <c r="C952" s="648"/>
    </row>
    <row r="953" spans="2:3" x14ac:dyDescent="0.4">
      <c r="B953" s="647"/>
      <c r="C953" s="648"/>
    </row>
    <row r="954" spans="2:3" x14ac:dyDescent="0.4">
      <c r="B954" s="647"/>
      <c r="C954" s="648"/>
    </row>
    <row r="955" spans="2:3" x14ac:dyDescent="0.4">
      <c r="B955" s="647"/>
      <c r="C955" s="648"/>
    </row>
    <row r="956" spans="2:3" x14ac:dyDescent="0.4">
      <c r="B956" s="647"/>
      <c r="C956" s="648"/>
    </row>
    <row r="957" spans="2:3" x14ac:dyDescent="0.4">
      <c r="B957" s="647"/>
      <c r="C957" s="648"/>
    </row>
    <row r="958" spans="2:3" x14ac:dyDescent="0.4">
      <c r="B958" s="647"/>
      <c r="C958" s="648"/>
    </row>
    <row r="959" spans="2:3" x14ac:dyDescent="0.4">
      <c r="B959" s="647"/>
      <c r="C959" s="648"/>
    </row>
    <row r="960" spans="2:3" x14ac:dyDescent="0.4">
      <c r="B960" s="647"/>
      <c r="C960" s="648"/>
    </row>
    <row r="961" spans="2:3" x14ac:dyDescent="0.4">
      <c r="B961" s="647"/>
      <c r="C961" s="648"/>
    </row>
    <row r="962" spans="2:3" x14ac:dyDescent="0.4">
      <c r="B962" s="647"/>
      <c r="C962" s="648"/>
    </row>
    <row r="963" spans="2:3" x14ac:dyDescent="0.4">
      <c r="B963" s="647"/>
      <c r="C963" s="648"/>
    </row>
    <row r="964" spans="2:3" x14ac:dyDescent="0.4">
      <c r="B964" s="647"/>
      <c r="C964" s="648"/>
    </row>
    <row r="965" spans="2:3" x14ac:dyDescent="0.4">
      <c r="B965" s="647"/>
      <c r="C965" s="648"/>
    </row>
    <row r="966" spans="2:3" x14ac:dyDescent="0.4">
      <c r="B966" s="647"/>
      <c r="C966" s="648"/>
    </row>
  </sheetData>
  <sheetProtection algorithmName="SHA-512" hashValue="xXMxCH8ORavJmgo/NiWuIS2uayLsZ6N+DqjJctflCsJNM1K8u2Qtqs5/KunggzvT2cNbox6fIpi82m2JcTqOEw==" saltValue="J/6FulaD28zeDhRQSL9QMg==" spinCount="100000" sheet="1" objects="1" scenarios="1"/>
  <mergeCells count="1">
    <mergeCell ref="B9:J9"/>
  </mergeCells>
  <conditionalFormatting sqref="G551">
    <cfRule type="duplicateValues" dxfId="124" priority="18716"/>
  </conditionalFormatting>
  <conditionalFormatting sqref="H551">
    <cfRule type="containsText" dxfId="123" priority="18715" operator="containsText" text="F">
      <formula>NOT(ISERROR(SEARCH("F",H551)))</formula>
    </cfRule>
  </conditionalFormatting>
  <conditionalFormatting sqref="G550">
    <cfRule type="duplicateValues" dxfId="122" priority="18652"/>
  </conditionalFormatting>
  <conditionalFormatting sqref="H550">
    <cfRule type="containsText" dxfId="121" priority="18651" operator="containsText" text="F">
      <formula>NOT(ISERROR(SEARCH("F",H550)))</formula>
    </cfRule>
  </conditionalFormatting>
  <conditionalFormatting sqref="G549">
    <cfRule type="duplicateValues" dxfId="120" priority="18580"/>
  </conditionalFormatting>
  <conditionalFormatting sqref="H549">
    <cfRule type="containsText" dxfId="119" priority="18579" operator="containsText" text="F">
      <formula>NOT(ISERROR(SEARCH("F",H549)))</formula>
    </cfRule>
  </conditionalFormatting>
  <conditionalFormatting sqref="G530:G548">
    <cfRule type="duplicateValues" dxfId="118" priority="18516"/>
  </conditionalFormatting>
  <conditionalFormatting sqref="H530:H548">
    <cfRule type="containsText" dxfId="117" priority="18515" operator="containsText" text="F">
      <formula>NOT(ISERROR(SEARCH("F",H530)))</formula>
    </cfRule>
  </conditionalFormatting>
  <conditionalFormatting sqref="G527:G529">
    <cfRule type="duplicateValues" dxfId="116" priority="18488"/>
  </conditionalFormatting>
  <conditionalFormatting sqref="H527:H529">
    <cfRule type="containsText" dxfId="115" priority="18487" operator="containsText" text="F">
      <formula>NOT(ISERROR(SEARCH("F",H527)))</formula>
    </cfRule>
  </conditionalFormatting>
  <conditionalFormatting sqref="G521:G526">
    <cfRule type="duplicateValues" dxfId="114" priority="18484"/>
  </conditionalFormatting>
  <conditionalFormatting sqref="H521:H526">
    <cfRule type="containsText" dxfId="113" priority="18483" operator="containsText" text="F">
      <formula>NOT(ISERROR(SEARCH("F",H521)))</formula>
    </cfRule>
  </conditionalFormatting>
  <conditionalFormatting sqref="G517:G520">
    <cfRule type="duplicateValues" dxfId="112" priority="18384"/>
  </conditionalFormatting>
  <conditionalFormatting sqref="H517:H520">
    <cfRule type="containsText" dxfId="111" priority="18383" operator="containsText" text="F">
      <formula>NOT(ISERROR(SEARCH("F",H517)))</formula>
    </cfRule>
  </conditionalFormatting>
  <conditionalFormatting sqref="G516">
    <cfRule type="duplicateValues" dxfId="110" priority="17700"/>
  </conditionalFormatting>
  <conditionalFormatting sqref="H516">
    <cfRule type="containsText" dxfId="109" priority="17699" operator="containsText" text="F">
      <formula>NOT(ISERROR(SEARCH("F",H516)))</formula>
    </cfRule>
  </conditionalFormatting>
  <conditionalFormatting sqref="G515">
    <cfRule type="duplicateValues" dxfId="108" priority="17428"/>
  </conditionalFormatting>
  <conditionalFormatting sqref="H515">
    <cfRule type="containsText" dxfId="107" priority="17427" operator="containsText" text="F">
      <formula>NOT(ISERROR(SEARCH("F",H515)))</formula>
    </cfRule>
  </conditionalFormatting>
  <conditionalFormatting sqref="G514">
    <cfRule type="duplicateValues" dxfId="106" priority="17364"/>
  </conditionalFormatting>
  <conditionalFormatting sqref="H514">
    <cfRule type="containsText" dxfId="105" priority="17363" operator="containsText" text="F">
      <formula>NOT(ISERROR(SEARCH("F",H514)))</formula>
    </cfRule>
  </conditionalFormatting>
  <conditionalFormatting sqref="G513">
    <cfRule type="duplicateValues" dxfId="104" priority="17252"/>
  </conditionalFormatting>
  <conditionalFormatting sqref="H513">
    <cfRule type="containsText" dxfId="103" priority="17251" operator="containsText" text="F">
      <formula>NOT(ISERROR(SEARCH("F",H513)))</formula>
    </cfRule>
  </conditionalFormatting>
  <conditionalFormatting sqref="G511:G512">
    <cfRule type="duplicateValues" dxfId="102" priority="15784"/>
  </conditionalFormatting>
  <conditionalFormatting sqref="H511:H512">
    <cfRule type="containsText" dxfId="101" priority="15783" operator="containsText" text="F">
      <formula>NOT(ISERROR(SEARCH("F",H511)))</formula>
    </cfRule>
  </conditionalFormatting>
  <conditionalFormatting sqref="G510">
    <cfRule type="duplicateValues" dxfId="100" priority="14420"/>
  </conditionalFormatting>
  <conditionalFormatting sqref="H510">
    <cfRule type="containsText" dxfId="99" priority="14419" operator="containsText" text="F">
      <formula>NOT(ISERROR(SEARCH("F",H510)))</formula>
    </cfRule>
  </conditionalFormatting>
  <conditionalFormatting sqref="G509">
    <cfRule type="duplicateValues" dxfId="98" priority="13864"/>
  </conditionalFormatting>
  <conditionalFormatting sqref="H509">
    <cfRule type="containsText" dxfId="97" priority="13863" operator="containsText" text="F">
      <formula>NOT(ISERROR(SEARCH("F",H509)))</formula>
    </cfRule>
  </conditionalFormatting>
  <conditionalFormatting sqref="G508">
    <cfRule type="duplicateValues" dxfId="96" priority="13652"/>
  </conditionalFormatting>
  <conditionalFormatting sqref="H508">
    <cfRule type="containsText" dxfId="95" priority="13651" operator="containsText" text="F">
      <formula>NOT(ISERROR(SEARCH("F",H508)))</formula>
    </cfRule>
  </conditionalFormatting>
  <conditionalFormatting sqref="B508:B966">
    <cfRule type="duplicateValues" dxfId="94" priority="78819"/>
  </conditionalFormatting>
  <conditionalFormatting sqref="C508:C966">
    <cfRule type="duplicateValues" dxfId="93" priority="78821"/>
  </conditionalFormatting>
  <conditionalFormatting sqref="B507">
    <cfRule type="duplicateValues" dxfId="92" priority="13468"/>
  </conditionalFormatting>
  <conditionalFormatting sqref="C507">
    <cfRule type="duplicateValues" dxfId="91" priority="13467"/>
  </conditionalFormatting>
  <conditionalFormatting sqref="G507">
    <cfRule type="duplicateValues" dxfId="90" priority="13466"/>
  </conditionalFormatting>
  <conditionalFormatting sqref="H507">
    <cfRule type="containsText" dxfId="89" priority="13465" operator="containsText" text="F">
      <formula>NOT(ISERROR(SEARCH("F",H507)))</formula>
    </cfRule>
  </conditionalFormatting>
  <conditionalFormatting sqref="B506">
    <cfRule type="duplicateValues" dxfId="88" priority="13420"/>
  </conditionalFormatting>
  <conditionalFormatting sqref="C506">
    <cfRule type="duplicateValues" dxfId="87" priority="13419"/>
  </conditionalFormatting>
  <conditionalFormatting sqref="G506">
    <cfRule type="duplicateValues" dxfId="86" priority="13418"/>
  </conditionalFormatting>
  <conditionalFormatting sqref="H506">
    <cfRule type="containsText" dxfId="85" priority="13417" operator="containsText" text="F">
      <formula>NOT(ISERROR(SEARCH("F",H506)))</formula>
    </cfRule>
  </conditionalFormatting>
  <conditionalFormatting sqref="B505">
    <cfRule type="duplicateValues" dxfId="84" priority="13220"/>
  </conditionalFormatting>
  <conditionalFormatting sqref="C505">
    <cfRule type="duplicateValues" dxfId="83" priority="13219"/>
  </conditionalFormatting>
  <conditionalFormatting sqref="G505">
    <cfRule type="duplicateValues" dxfId="82" priority="13218"/>
  </conditionalFormatting>
  <conditionalFormatting sqref="H505">
    <cfRule type="containsText" dxfId="81" priority="13217" operator="containsText" text="F">
      <formula>NOT(ISERROR(SEARCH("F",H505)))</formula>
    </cfRule>
  </conditionalFormatting>
  <conditionalFormatting sqref="B504">
    <cfRule type="duplicateValues" dxfId="80" priority="13052"/>
  </conditionalFormatting>
  <conditionalFormatting sqref="C504">
    <cfRule type="duplicateValues" dxfId="79" priority="13051"/>
  </conditionalFormatting>
  <conditionalFormatting sqref="G504">
    <cfRule type="duplicateValues" dxfId="78" priority="13050"/>
  </conditionalFormatting>
  <conditionalFormatting sqref="H504">
    <cfRule type="containsText" dxfId="77" priority="13049" operator="containsText" text="F">
      <formula>NOT(ISERROR(SEARCH("F",H504)))</formula>
    </cfRule>
  </conditionalFormatting>
  <conditionalFormatting sqref="B503">
    <cfRule type="duplicateValues" dxfId="76" priority="13016"/>
  </conditionalFormatting>
  <conditionalFormatting sqref="C503">
    <cfRule type="duplicateValues" dxfId="75" priority="13015"/>
  </conditionalFormatting>
  <conditionalFormatting sqref="G503">
    <cfRule type="duplicateValues" dxfId="74" priority="13014"/>
  </conditionalFormatting>
  <conditionalFormatting sqref="H503">
    <cfRule type="containsText" dxfId="73" priority="13013" operator="containsText" text="F">
      <formula>NOT(ISERROR(SEARCH("F",H503)))</formula>
    </cfRule>
  </conditionalFormatting>
  <conditionalFormatting sqref="B502">
    <cfRule type="duplicateValues" dxfId="72" priority="12944"/>
  </conditionalFormatting>
  <conditionalFormatting sqref="C502">
    <cfRule type="duplicateValues" dxfId="71" priority="12943"/>
  </conditionalFormatting>
  <conditionalFormatting sqref="G502">
    <cfRule type="duplicateValues" dxfId="70" priority="12942"/>
  </conditionalFormatting>
  <conditionalFormatting sqref="H502">
    <cfRule type="containsText" dxfId="69" priority="12941" operator="containsText" text="F">
      <formula>NOT(ISERROR(SEARCH("F",H502)))</formula>
    </cfRule>
  </conditionalFormatting>
  <conditionalFormatting sqref="B501">
    <cfRule type="duplicateValues" dxfId="68" priority="12384"/>
  </conditionalFormatting>
  <conditionalFormatting sqref="C501">
    <cfRule type="duplicateValues" dxfId="67" priority="12383"/>
  </conditionalFormatting>
  <conditionalFormatting sqref="G501">
    <cfRule type="duplicateValues" dxfId="66" priority="12382"/>
  </conditionalFormatting>
  <conditionalFormatting sqref="H501">
    <cfRule type="containsText" dxfId="65" priority="12381" operator="containsText" text="F">
      <formula>NOT(ISERROR(SEARCH("F",H501)))</formula>
    </cfRule>
  </conditionalFormatting>
  <conditionalFormatting sqref="B500">
    <cfRule type="duplicateValues" dxfId="64" priority="10104"/>
  </conditionalFormatting>
  <conditionalFormatting sqref="C500">
    <cfRule type="duplicateValues" dxfId="63" priority="10103"/>
  </conditionalFormatting>
  <conditionalFormatting sqref="G500">
    <cfRule type="duplicateValues" dxfId="62" priority="10102"/>
  </conditionalFormatting>
  <conditionalFormatting sqref="H500">
    <cfRule type="containsText" dxfId="61" priority="10101" operator="containsText" text="F">
      <formula>NOT(ISERROR(SEARCH("F",H500)))</formula>
    </cfRule>
  </conditionalFormatting>
  <conditionalFormatting sqref="B499">
    <cfRule type="duplicateValues" dxfId="60" priority="9884"/>
  </conditionalFormatting>
  <conditionalFormatting sqref="C499">
    <cfRule type="duplicateValues" dxfId="59" priority="9883"/>
  </conditionalFormatting>
  <conditionalFormatting sqref="G499">
    <cfRule type="duplicateValues" dxfId="58" priority="9882"/>
  </conditionalFormatting>
  <conditionalFormatting sqref="H499">
    <cfRule type="containsText" dxfId="57" priority="9881" operator="containsText" text="F">
      <formula>NOT(ISERROR(SEARCH("F",H499)))</formula>
    </cfRule>
  </conditionalFormatting>
  <conditionalFormatting sqref="B498">
    <cfRule type="duplicateValues" dxfId="56" priority="9684"/>
  </conditionalFormatting>
  <conditionalFormatting sqref="C498">
    <cfRule type="duplicateValues" dxfId="55" priority="9683"/>
  </conditionalFormatting>
  <conditionalFormatting sqref="G498">
    <cfRule type="duplicateValues" dxfId="54" priority="9682"/>
  </conditionalFormatting>
  <conditionalFormatting sqref="H498">
    <cfRule type="containsText" dxfId="53" priority="9681" operator="containsText" text="F">
      <formula>NOT(ISERROR(SEARCH("F",H498)))</formula>
    </cfRule>
  </conditionalFormatting>
  <conditionalFormatting sqref="B497">
    <cfRule type="duplicateValues" dxfId="52" priority="9284"/>
  </conditionalFormatting>
  <conditionalFormatting sqref="C497">
    <cfRule type="duplicateValues" dxfId="51" priority="9283"/>
  </conditionalFormatting>
  <conditionalFormatting sqref="G497">
    <cfRule type="duplicateValues" dxfId="50" priority="9282"/>
  </conditionalFormatting>
  <conditionalFormatting sqref="H497">
    <cfRule type="containsText" dxfId="49" priority="9281" operator="containsText" text="F">
      <formula>NOT(ISERROR(SEARCH("F",H497)))</formula>
    </cfRule>
  </conditionalFormatting>
  <conditionalFormatting sqref="B496">
    <cfRule type="duplicateValues" dxfId="48" priority="8568"/>
  </conditionalFormatting>
  <conditionalFormatting sqref="C496">
    <cfRule type="duplicateValues" dxfId="47" priority="8567"/>
  </conditionalFormatting>
  <conditionalFormatting sqref="G496">
    <cfRule type="duplicateValues" dxfId="46" priority="8566"/>
  </conditionalFormatting>
  <conditionalFormatting sqref="H496">
    <cfRule type="containsText" dxfId="45" priority="8565" operator="containsText" text="F">
      <formula>NOT(ISERROR(SEARCH("F",H496)))</formula>
    </cfRule>
  </conditionalFormatting>
  <conditionalFormatting sqref="B495">
    <cfRule type="duplicateValues" dxfId="44" priority="8536"/>
  </conditionalFormatting>
  <conditionalFormatting sqref="C495">
    <cfRule type="duplicateValues" dxfId="43" priority="8535"/>
  </conditionalFormatting>
  <conditionalFormatting sqref="G495">
    <cfRule type="duplicateValues" dxfId="42" priority="8534"/>
  </conditionalFormatting>
  <conditionalFormatting sqref="H495">
    <cfRule type="containsText" dxfId="41" priority="8533" operator="containsText" text="F">
      <formula>NOT(ISERROR(SEARCH("F",H495)))</formula>
    </cfRule>
  </conditionalFormatting>
  <conditionalFormatting sqref="B491:B494">
    <cfRule type="duplicateValues" dxfId="40" priority="3936"/>
  </conditionalFormatting>
  <conditionalFormatting sqref="C491:C494">
    <cfRule type="duplicateValues" dxfId="39" priority="3935"/>
  </conditionalFormatting>
  <conditionalFormatting sqref="G491:G494">
    <cfRule type="duplicateValues" dxfId="38" priority="3934"/>
  </conditionalFormatting>
  <conditionalFormatting sqref="H491:H494">
    <cfRule type="containsText" dxfId="37" priority="3933" operator="containsText" text="F">
      <formula>NOT(ISERROR(SEARCH("F",H491)))</formula>
    </cfRule>
  </conditionalFormatting>
  <conditionalFormatting sqref="B490">
    <cfRule type="duplicateValues" dxfId="36" priority="424"/>
  </conditionalFormatting>
  <conditionalFormatting sqref="C490">
    <cfRule type="duplicateValues" dxfId="35" priority="423"/>
  </conditionalFormatting>
  <conditionalFormatting sqref="G490">
    <cfRule type="duplicateValues" dxfId="34" priority="422"/>
  </conditionalFormatting>
  <conditionalFormatting sqref="H490">
    <cfRule type="containsText" dxfId="33" priority="421" operator="containsText" text="F">
      <formula>NOT(ISERROR(SEARCH("F",H490)))</formula>
    </cfRule>
  </conditionalFormatting>
  <conditionalFormatting sqref="B12:B489">
    <cfRule type="duplicateValues" dxfId="28" priority="4"/>
  </conditionalFormatting>
  <conditionalFormatting sqref="C12:C489">
    <cfRule type="duplicateValues" dxfId="27" priority="3"/>
  </conditionalFormatting>
  <conditionalFormatting sqref="G12:G489">
    <cfRule type="duplicateValues" dxfId="26" priority="2"/>
  </conditionalFormatting>
  <conditionalFormatting sqref="H12:H489">
    <cfRule type="containsText" dxfId="25" priority="1" operator="containsText" text="F">
      <formula>NOT(ISERROR(SEARCH("F",H12)))</formula>
    </cfRule>
  </conditionalFormatting>
  <dataValidations count="2">
    <dataValidation type="list" errorStyle="information" allowBlank="1" showInputMessage="1" showErrorMessage="1" errorTitle="PASS V2." error="INGRESE DESTINACIÓN VALIDA" sqref="D530:E538 D173:D180 D181:E181 D12:D171 D364 D182:D362 E308:E354 E356:E364 E183:E306 E12:E179" xr:uid="{00000000-0002-0000-1000-000000000000}">
      <formula1>DESTINACIONES</formula1>
    </dataValidation>
    <dataValidation type="list" allowBlank="1" showInputMessage="1" showErrorMessage="1" sqref="H530:H532 H12:H500" xr:uid="{00000000-0002-0000-1000-000001000000}">
      <formula1>TURNOS</formula1>
    </dataValidation>
  </dataValidations>
  <pageMargins left="1.1811023622047245" right="0.98425196850393704" top="0.98425196850393704" bottom="0.98425196850393704" header="0.51181102362204722" footer="0.51181102362204722"/>
  <pageSetup paperSize="5" scale="36" fitToHeight="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2000000}">
          <x14:formula1>
            <xm:f>Datos!$C$3:$C$17</xm:f>
          </x14:formula1>
          <xm:sqref>F12:F551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dimension ref="A1:O206"/>
  <sheetViews>
    <sheetView topLeftCell="D1" workbookViewId="0">
      <pane ySplit="2" topLeftCell="A197" activePane="bottomLeft" state="frozen"/>
      <selection activeCell="D452" sqref="D452"/>
      <selection pane="bottomLeft" activeCell="G202" sqref="G202"/>
    </sheetView>
  </sheetViews>
  <sheetFormatPr baseColWidth="10" defaultRowHeight="14.4" x14ac:dyDescent="0.3"/>
  <cols>
    <col min="1" max="1" width="15.33203125" bestFit="1" customWidth="1"/>
    <col min="2" max="2" width="66.109375" bestFit="1" customWidth="1"/>
    <col min="3" max="3" width="56.5546875" bestFit="1" customWidth="1"/>
    <col min="4" max="4" width="9.88671875" customWidth="1"/>
    <col min="5" max="5" width="9.109375" hidden="1" customWidth="1"/>
    <col min="6" max="6" width="15.33203125" bestFit="1" customWidth="1"/>
    <col min="7" max="7" width="56" bestFit="1" customWidth="1"/>
    <col min="8" max="8" width="56.5546875" bestFit="1" customWidth="1"/>
    <col min="9" max="9" width="36.6640625" bestFit="1" customWidth="1"/>
    <col min="10" max="10" width="58.88671875" bestFit="1" customWidth="1"/>
  </cols>
  <sheetData>
    <row r="1" spans="1:15" ht="64.95" customHeight="1" x14ac:dyDescent="0.3">
      <c r="A1" s="31" t="s">
        <v>1207</v>
      </c>
      <c r="F1" s="31" t="s">
        <v>1189</v>
      </c>
    </row>
    <row r="2" spans="1:15" x14ac:dyDescent="0.3">
      <c r="A2" s="390" t="s">
        <v>1185</v>
      </c>
      <c r="B2" s="390" t="s">
        <v>1206</v>
      </c>
      <c r="C2" s="390" t="s">
        <v>1208</v>
      </c>
      <c r="F2" s="401" t="s">
        <v>1185</v>
      </c>
      <c r="G2" s="401" t="s">
        <v>1186</v>
      </c>
      <c r="H2" s="401" t="s">
        <v>1187</v>
      </c>
      <c r="I2" s="389"/>
      <c r="O2" s="390" t="s">
        <v>1716</v>
      </c>
    </row>
    <row r="3" spans="1:15" x14ac:dyDescent="0.3">
      <c r="A3" s="391">
        <v>44804.441122685188</v>
      </c>
      <c r="B3" s="389" t="s">
        <v>1223</v>
      </c>
      <c r="C3" s="389" t="s">
        <v>1188</v>
      </c>
      <c r="F3" s="402">
        <v>44803.51835648148</v>
      </c>
      <c r="G3" s="397" t="s">
        <v>1221</v>
      </c>
      <c r="H3" s="397" t="s">
        <v>1188</v>
      </c>
      <c r="I3" s="389"/>
      <c r="O3" s="389"/>
    </row>
    <row r="4" spans="1:15" x14ac:dyDescent="0.3">
      <c r="A4" s="391">
        <v>44804.484085648146</v>
      </c>
      <c r="B4" s="389" t="s">
        <v>1225</v>
      </c>
      <c r="C4" s="389" t="s">
        <v>1188</v>
      </c>
      <c r="F4" s="402">
        <v>44803.520694444444</v>
      </c>
      <c r="G4" s="397" t="s">
        <v>1222</v>
      </c>
      <c r="H4" s="397" t="s">
        <v>1188</v>
      </c>
      <c r="I4" s="389"/>
      <c r="O4" s="389"/>
    </row>
    <row r="5" spans="1:15" x14ac:dyDescent="0.3">
      <c r="A5" s="391">
        <v>44847.737025462964</v>
      </c>
      <c r="B5" s="389" t="s">
        <v>1400</v>
      </c>
      <c r="C5" s="389" t="s">
        <v>1397</v>
      </c>
      <c r="F5" s="402">
        <v>44804.503148148149</v>
      </c>
      <c r="G5" s="397" t="s">
        <v>1226</v>
      </c>
      <c r="H5" s="397" t="s">
        <v>1188</v>
      </c>
      <c r="I5" s="389"/>
      <c r="O5" s="389"/>
    </row>
    <row r="6" spans="1:15" x14ac:dyDescent="0.3">
      <c r="A6" s="391">
        <v>44847.737928240742</v>
      </c>
      <c r="B6" s="389" t="s">
        <v>1401</v>
      </c>
      <c r="C6" s="389" t="s">
        <v>1397</v>
      </c>
      <c r="F6" s="402">
        <v>44824.66300925926</v>
      </c>
      <c r="G6" s="397" t="s">
        <v>1395</v>
      </c>
      <c r="H6" s="397" t="s">
        <v>1188</v>
      </c>
      <c r="I6" s="389"/>
      <c r="O6" s="389"/>
    </row>
    <row r="7" spans="1:15" x14ac:dyDescent="0.3">
      <c r="A7" s="391">
        <v>44862.424375000002</v>
      </c>
      <c r="B7" s="389" t="s">
        <v>1410</v>
      </c>
      <c r="C7" s="389" t="s">
        <v>1402</v>
      </c>
      <c r="F7" s="402">
        <v>44862.422326388885</v>
      </c>
      <c r="G7" s="397" t="s">
        <v>1409</v>
      </c>
      <c r="H7" s="397" t="s">
        <v>1402</v>
      </c>
      <c r="I7" s="389"/>
      <c r="O7" s="389"/>
    </row>
    <row r="8" spans="1:15" x14ac:dyDescent="0.3">
      <c r="A8" s="391">
        <v>44862.664270833331</v>
      </c>
      <c r="B8" s="389" t="s">
        <v>1410</v>
      </c>
      <c r="C8" s="389" t="s">
        <v>1402</v>
      </c>
      <c r="F8" s="402">
        <v>44869.648692129631</v>
      </c>
      <c r="G8" s="397" t="s">
        <v>1508</v>
      </c>
      <c r="H8" s="397" t="s">
        <v>1397</v>
      </c>
      <c r="I8" s="389"/>
      <c r="O8" s="389"/>
    </row>
    <row r="9" spans="1:15" x14ac:dyDescent="0.3">
      <c r="A9" s="391">
        <v>44890.345625000002</v>
      </c>
      <c r="B9" s="389" t="s">
        <v>1610</v>
      </c>
      <c r="C9" s="389" t="s">
        <v>1606</v>
      </c>
      <c r="F9" s="402">
        <v>44869.699456018519</v>
      </c>
      <c r="G9" s="397" t="s">
        <v>1509</v>
      </c>
      <c r="H9" s="397" t="s">
        <v>1397</v>
      </c>
      <c r="I9" s="389"/>
      <c r="O9" s="389"/>
    </row>
    <row r="10" spans="1:15" x14ac:dyDescent="0.3">
      <c r="A10" s="391">
        <v>44913.355706018519</v>
      </c>
      <c r="B10" s="389" t="s">
        <v>1639</v>
      </c>
      <c r="C10" s="389" t="s">
        <v>1606</v>
      </c>
      <c r="F10" s="402">
        <v>44872.479884259257</v>
      </c>
      <c r="G10" s="397" t="s">
        <v>1523</v>
      </c>
      <c r="H10" s="397" t="s">
        <v>1524</v>
      </c>
      <c r="I10" s="389"/>
      <c r="O10" s="389"/>
    </row>
    <row r="11" spans="1:15" x14ac:dyDescent="0.3">
      <c r="A11" s="391">
        <v>44914.76939814815</v>
      </c>
      <c r="B11" s="389" t="s">
        <v>1672</v>
      </c>
      <c r="C11" s="389" t="s">
        <v>1606</v>
      </c>
      <c r="F11" s="402">
        <v>44881.597928240742</v>
      </c>
      <c r="G11" s="397" t="s">
        <v>1548</v>
      </c>
      <c r="H11" s="397" t="s">
        <v>1524</v>
      </c>
      <c r="I11" s="389"/>
      <c r="O11" s="389"/>
    </row>
    <row r="12" spans="1:15" x14ac:dyDescent="0.3">
      <c r="A12" s="391">
        <v>44922.66333333333</v>
      </c>
      <c r="B12" s="389" t="s">
        <v>1696</v>
      </c>
      <c r="C12" s="389" t="s">
        <v>1627</v>
      </c>
      <c r="F12" s="402">
        <v>44888.449664351851</v>
      </c>
      <c r="G12" s="397" t="s">
        <v>1607</v>
      </c>
      <c r="H12" s="397" t="s">
        <v>1606</v>
      </c>
      <c r="I12" s="389"/>
      <c r="O12" s="389"/>
    </row>
    <row r="13" spans="1:15" x14ac:dyDescent="0.3">
      <c r="A13" s="391">
        <v>44922.665405092594</v>
      </c>
      <c r="B13" s="389" t="s">
        <v>1699</v>
      </c>
      <c r="C13" s="389" t="s">
        <v>1627</v>
      </c>
      <c r="F13" s="402">
        <v>44893.668553240743</v>
      </c>
      <c r="G13" s="397" t="s">
        <v>1613</v>
      </c>
      <c r="H13" s="397" t="s">
        <v>1606</v>
      </c>
      <c r="I13" s="389"/>
      <c r="O13" s="389"/>
    </row>
    <row r="14" spans="1:15" x14ac:dyDescent="0.3">
      <c r="A14" s="391">
        <v>44922.667164351849</v>
      </c>
      <c r="B14" s="389" t="s">
        <v>1702</v>
      </c>
      <c r="C14" s="389" t="s">
        <v>1627</v>
      </c>
      <c r="F14" s="402">
        <v>44896.76767361111</v>
      </c>
      <c r="G14" s="397" t="s">
        <v>1625</v>
      </c>
      <c r="H14" s="397" t="s">
        <v>1606</v>
      </c>
      <c r="I14" s="389"/>
      <c r="O14" s="389"/>
    </row>
    <row r="15" spans="1:15" x14ac:dyDescent="0.3">
      <c r="A15" s="391">
        <v>44922.668599537035</v>
      </c>
      <c r="B15" s="389" t="s">
        <v>1705</v>
      </c>
      <c r="C15" s="389" t="s">
        <v>1627</v>
      </c>
      <c r="F15" s="402">
        <v>44896.902708333335</v>
      </c>
      <c r="G15" s="397" t="s">
        <v>1626</v>
      </c>
      <c r="H15" s="397" t="s">
        <v>1606</v>
      </c>
      <c r="I15" s="389"/>
      <c r="O15" s="389"/>
    </row>
    <row r="16" spans="1:15" x14ac:dyDescent="0.3">
      <c r="A16" s="391">
        <v>44922.67019675926</v>
      </c>
      <c r="B16" s="389" t="s">
        <v>1708</v>
      </c>
      <c r="C16" s="389" t="s">
        <v>1627</v>
      </c>
      <c r="F16" s="402">
        <v>44900.53365740741</v>
      </c>
      <c r="G16" s="397" t="s">
        <v>1628</v>
      </c>
      <c r="H16" s="397" t="s">
        <v>1627</v>
      </c>
      <c r="I16" s="389"/>
      <c r="O16" s="389"/>
    </row>
    <row r="17" spans="1:15" x14ac:dyDescent="0.3">
      <c r="A17" s="391">
        <v>44922.671354166669</v>
      </c>
      <c r="B17" s="389" t="s">
        <v>1710</v>
      </c>
      <c r="C17" s="389" t="s">
        <v>1627</v>
      </c>
      <c r="F17" s="402">
        <v>44909.403333333335</v>
      </c>
      <c r="G17" s="397" t="s">
        <v>1637</v>
      </c>
      <c r="H17" s="397" t="s">
        <v>1606</v>
      </c>
      <c r="I17" s="389"/>
      <c r="O17" s="389"/>
    </row>
    <row r="18" spans="1:15" x14ac:dyDescent="0.3">
      <c r="A18" s="391">
        <v>44922.672974537039</v>
      </c>
      <c r="B18" s="389" t="s">
        <v>1713</v>
      </c>
      <c r="C18" s="389" t="s">
        <v>1627</v>
      </c>
      <c r="F18" s="402">
        <v>44910.66547453704</v>
      </c>
      <c r="G18" s="397" t="s">
        <v>1638</v>
      </c>
      <c r="H18" s="397" t="s">
        <v>1606</v>
      </c>
      <c r="I18" s="389"/>
      <c r="O18" s="389"/>
    </row>
    <row r="19" spans="1:15" x14ac:dyDescent="0.3">
      <c r="A19" s="30">
        <v>44929.581712962965</v>
      </c>
      <c r="B19" t="s">
        <v>1756</v>
      </c>
      <c r="C19" t="s">
        <v>1627</v>
      </c>
      <c r="F19" s="402">
        <v>44915.373449074075</v>
      </c>
      <c r="G19" s="397" t="s">
        <v>1673</v>
      </c>
      <c r="H19" s="397" t="s">
        <v>1606</v>
      </c>
      <c r="I19" s="389"/>
      <c r="O19" s="389"/>
    </row>
    <row r="20" spans="1:15" x14ac:dyDescent="0.3">
      <c r="A20" s="30">
        <v>44929.583749999998</v>
      </c>
      <c r="B20" t="s">
        <v>1757</v>
      </c>
      <c r="C20" t="s">
        <v>1627</v>
      </c>
      <c r="F20" s="402">
        <v>44915.538657407407</v>
      </c>
      <c r="G20" s="397" t="s">
        <v>1674</v>
      </c>
      <c r="H20" s="397" t="s">
        <v>1627</v>
      </c>
      <c r="I20" s="389"/>
      <c r="O20" s="389"/>
    </row>
    <row r="21" spans="1:15" x14ac:dyDescent="0.3">
      <c r="A21" s="30">
        <v>44932.672534722224</v>
      </c>
      <c r="B21" t="s">
        <v>1781</v>
      </c>
      <c r="C21" t="s">
        <v>1627</v>
      </c>
      <c r="F21" s="402">
        <v>44924.605057870373</v>
      </c>
      <c r="G21" s="397" t="s">
        <v>1715</v>
      </c>
      <c r="H21" s="397" t="s">
        <v>1402</v>
      </c>
      <c r="I21" s="389"/>
      <c r="O21" s="389" t="s">
        <v>1717</v>
      </c>
    </row>
    <row r="22" spans="1:15" x14ac:dyDescent="0.3">
      <c r="A22" s="30">
        <v>44933.332870370374</v>
      </c>
      <c r="B22" t="s">
        <v>1789</v>
      </c>
      <c r="C22" t="s">
        <v>1627</v>
      </c>
      <c r="F22" s="402">
        <v>44925.628182870372</v>
      </c>
      <c r="G22" s="397" t="s">
        <v>1721</v>
      </c>
      <c r="H22" s="397" t="s">
        <v>1606</v>
      </c>
      <c r="I22" s="389"/>
    </row>
    <row r="23" spans="1:15" x14ac:dyDescent="0.3">
      <c r="A23" s="30">
        <v>44935.31422453704</v>
      </c>
      <c r="B23" t="s">
        <v>1792</v>
      </c>
      <c r="C23" t="s">
        <v>1627</v>
      </c>
      <c r="F23" s="402">
        <v>44927.579571759263</v>
      </c>
      <c r="G23" s="397" t="s">
        <v>1722</v>
      </c>
      <c r="H23" s="397" t="s">
        <v>1606</v>
      </c>
      <c r="I23" s="389"/>
    </row>
    <row r="24" spans="1:15" x14ac:dyDescent="0.3">
      <c r="A24" s="30">
        <v>44941.392870370371</v>
      </c>
      <c r="B24" t="s">
        <v>1825</v>
      </c>
      <c r="C24" t="s">
        <v>1606</v>
      </c>
      <c r="F24" s="30">
        <v>44929.466516203705</v>
      </c>
      <c r="G24" t="s">
        <v>1726</v>
      </c>
      <c r="H24" s="397" t="s">
        <v>1402</v>
      </c>
      <c r="I24" t="s">
        <v>1727</v>
      </c>
    </row>
    <row r="25" spans="1:15" x14ac:dyDescent="0.3">
      <c r="A25" s="30">
        <v>44946.75990740741</v>
      </c>
      <c r="B25" t="s">
        <v>1828</v>
      </c>
      <c r="C25" t="s">
        <v>1402</v>
      </c>
      <c r="F25" s="30">
        <v>44929.467557870368</v>
      </c>
      <c r="G25" t="s">
        <v>1728</v>
      </c>
      <c r="H25" t="s">
        <v>1402</v>
      </c>
      <c r="I25" t="s">
        <v>1729</v>
      </c>
    </row>
    <row r="26" spans="1:15" x14ac:dyDescent="0.3">
      <c r="A26" s="30">
        <v>44957.757557870369</v>
      </c>
      <c r="B26" t="s">
        <v>1926</v>
      </c>
      <c r="C26" t="s">
        <v>1402</v>
      </c>
      <c r="F26" s="30">
        <v>44929.490416666667</v>
      </c>
      <c r="G26" t="s">
        <v>1730</v>
      </c>
      <c r="H26" t="s">
        <v>1627</v>
      </c>
      <c r="I26" t="s">
        <v>1731</v>
      </c>
    </row>
    <row r="27" spans="1:15" x14ac:dyDescent="0.3">
      <c r="A27" s="30">
        <v>44963.486550925925</v>
      </c>
      <c r="B27" t="s">
        <v>1967</v>
      </c>
      <c r="C27" t="s">
        <v>1758</v>
      </c>
      <c r="F27" s="30">
        <v>44929.492013888892</v>
      </c>
      <c r="G27" t="s">
        <v>1732</v>
      </c>
      <c r="H27" t="s">
        <v>1627</v>
      </c>
      <c r="I27" t="s">
        <v>1731</v>
      </c>
    </row>
    <row r="28" spans="1:15" x14ac:dyDescent="0.3">
      <c r="A28" s="30">
        <v>44966.474826388891</v>
      </c>
      <c r="B28" t="s">
        <v>1975</v>
      </c>
      <c r="C28" t="s">
        <v>1758</v>
      </c>
      <c r="F28" s="30">
        <v>44929.49422453704</v>
      </c>
      <c r="G28" t="s">
        <v>1733</v>
      </c>
      <c r="H28" t="s">
        <v>1627</v>
      </c>
      <c r="I28" t="s">
        <v>1734</v>
      </c>
    </row>
    <row r="29" spans="1:15" x14ac:dyDescent="0.3">
      <c r="A29" s="30">
        <v>44984.510300925926</v>
      </c>
      <c r="B29" t="s">
        <v>2000</v>
      </c>
      <c r="C29" t="s">
        <v>1524</v>
      </c>
      <c r="F29" s="30">
        <v>44929.505300925928</v>
      </c>
      <c r="G29" t="s">
        <v>1735</v>
      </c>
      <c r="H29" t="s">
        <v>1627</v>
      </c>
      <c r="I29" t="s">
        <v>1736</v>
      </c>
    </row>
    <row r="30" spans="1:15" x14ac:dyDescent="0.3">
      <c r="A30" s="30">
        <v>44994.559988425928</v>
      </c>
      <c r="B30" t="s">
        <v>2006</v>
      </c>
      <c r="C30" t="s">
        <v>1606</v>
      </c>
      <c r="F30" s="30">
        <v>44929.508530092593</v>
      </c>
      <c r="G30" t="s">
        <v>1737</v>
      </c>
      <c r="H30" t="s">
        <v>1627</v>
      </c>
      <c r="I30" t="s">
        <v>1736</v>
      </c>
    </row>
    <row r="31" spans="1:15" x14ac:dyDescent="0.3">
      <c r="A31" s="30">
        <v>44998.698993055557</v>
      </c>
      <c r="B31" t="s">
        <v>2017</v>
      </c>
      <c r="C31" t="s">
        <v>1402</v>
      </c>
      <c r="F31" s="30">
        <v>44929.510347222225</v>
      </c>
      <c r="G31" t="s">
        <v>1738</v>
      </c>
      <c r="H31" t="s">
        <v>1627</v>
      </c>
      <c r="I31" t="s">
        <v>1739</v>
      </c>
    </row>
    <row r="32" spans="1:15" x14ac:dyDescent="0.3">
      <c r="A32" s="30">
        <v>44998.86440972222</v>
      </c>
      <c r="B32" t="s">
        <v>2022</v>
      </c>
      <c r="C32" t="s">
        <v>1606</v>
      </c>
      <c r="F32" s="30">
        <v>44929.511377314811</v>
      </c>
      <c r="G32" t="s">
        <v>1740</v>
      </c>
      <c r="H32" t="s">
        <v>1627</v>
      </c>
      <c r="I32" t="s">
        <v>1736</v>
      </c>
    </row>
    <row r="33" spans="1:9" x14ac:dyDescent="0.3">
      <c r="A33" s="30">
        <v>44998.86787037037</v>
      </c>
      <c r="B33" t="s">
        <v>2025</v>
      </c>
      <c r="C33" t="s">
        <v>1606</v>
      </c>
      <c r="F33" s="30">
        <v>44929.517407407409</v>
      </c>
      <c r="G33" t="s">
        <v>1741</v>
      </c>
      <c r="H33" t="s">
        <v>1627</v>
      </c>
      <c r="I33" t="s">
        <v>1742</v>
      </c>
    </row>
    <row r="34" spans="1:9" x14ac:dyDescent="0.3">
      <c r="A34" s="30">
        <v>44999.433657407404</v>
      </c>
      <c r="B34" t="s">
        <v>2030</v>
      </c>
      <c r="C34" t="s">
        <v>1606</v>
      </c>
      <c r="F34" s="30">
        <v>44929.51866898148</v>
      </c>
      <c r="G34" t="s">
        <v>1743</v>
      </c>
      <c r="H34" t="s">
        <v>1627</v>
      </c>
      <c r="I34" t="s">
        <v>1744</v>
      </c>
    </row>
    <row r="35" spans="1:9" x14ac:dyDescent="0.3">
      <c r="A35" s="30">
        <v>44999.492175925923</v>
      </c>
      <c r="B35" t="s">
        <v>2033</v>
      </c>
      <c r="C35" t="s">
        <v>1627</v>
      </c>
      <c r="F35" s="30">
        <v>44929.520185185182</v>
      </c>
      <c r="G35" t="s">
        <v>1745</v>
      </c>
      <c r="H35" t="s">
        <v>1627</v>
      </c>
      <c r="I35" t="s">
        <v>1746</v>
      </c>
    </row>
    <row r="36" spans="1:9" x14ac:dyDescent="0.3">
      <c r="A36" s="30">
        <v>45007.727349537039</v>
      </c>
      <c r="B36" t="s">
        <v>2041</v>
      </c>
      <c r="C36" t="s">
        <v>1627</v>
      </c>
      <c r="F36" s="30">
        <v>44929.520972222221</v>
      </c>
      <c r="G36" t="s">
        <v>1747</v>
      </c>
      <c r="H36" t="s">
        <v>1627</v>
      </c>
      <c r="I36" t="s">
        <v>1744</v>
      </c>
    </row>
    <row r="37" spans="1:9" x14ac:dyDescent="0.3">
      <c r="A37" s="30">
        <v>45009.307928240742</v>
      </c>
      <c r="B37" t="s">
        <v>2044</v>
      </c>
      <c r="C37" t="s">
        <v>1606</v>
      </c>
      <c r="F37" s="30">
        <v>44929.522245370368</v>
      </c>
      <c r="G37" t="s">
        <v>1748</v>
      </c>
      <c r="H37" t="s">
        <v>1627</v>
      </c>
      <c r="I37" t="s">
        <v>1744</v>
      </c>
    </row>
    <row r="38" spans="1:9" x14ac:dyDescent="0.3">
      <c r="A38" s="30">
        <v>45012.747800925928</v>
      </c>
      <c r="B38" t="s">
        <v>2045</v>
      </c>
      <c r="C38" t="s">
        <v>1606</v>
      </c>
      <c r="F38" s="30">
        <v>44929.524131944447</v>
      </c>
      <c r="G38" t="s">
        <v>1749</v>
      </c>
      <c r="H38" t="s">
        <v>1627</v>
      </c>
      <c r="I38" t="s">
        <v>1744</v>
      </c>
    </row>
    <row r="39" spans="1:9" x14ac:dyDescent="0.3">
      <c r="A39" s="30">
        <v>45039.356168981481</v>
      </c>
      <c r="B39" t="s">
        <v>2062</v>
      </c>
      <c r="C39" t="s">
        <v>1627</v>
      </c>
      <c r="F39" s="30">
        <v>44929.524942129632</v>
      </c>
      <c r="G39" t="s">
        <v>1750</v>
      </c>
      <c r="H39" t="s">
        <v>1627</v>
      </c>
      <c r="I39" t="s">
        <v>1744</v>
      </c>
    </row>
    <row r="40" spans="1:9" x14ac:dyDescent="0.3">
      <c r="A40" s="30">
        <v>45041.4608912037</v>
      </c>
      <c r="B40" t="s">
        <v>2064</v>
      </c>
      <c r="C40" t="s">
        <v>1627</v>
      </c>
      <c r="F40" s="30">
        <v>44929.525787037041</v>
      </c>
      <c r="G40" t="s">
        <v>1751</v>
      </c>
      <c r="H40" t="s">
        <v>1627</v>
      </c>
      <c r="I40" t="s">
        <v>1744</v>
      </c>
    </row>
    <row r="41" spans="1:9" x14ac:dyDescent="0.3">
      <c r="A41" s="30">
        <v>45042.671458333331</v>
      </c>
      <c r="B41" t="s">
        <v>2067</v>
      </c>
      <c r="C41" t="s">
        <v>1627</v>
      </c>
      <c r="F41" s="30">
        <v>44929.526805555557</v>
      </c>
      <c r="G41" t="s">
        <v>1752</v>
      </c>
      <c r="H41" t="s">
        <v>1627</v>
      </c>
      <c r="I41" t="s">
        <v>1744</v>
      </c>
    </row>
    <row r="42" spans="1:9" x14ac:dyDescent="0.3">
      <c r="A42" s="30">
        <v>45105.643090277779</v>
      </c>
      <c r="B42" t="s">
        <v>2163</v>
      </c>
      <c r="C42" t="s">
        <v>1627</v>
      </c>
      <c r="F42" s="30">
        <v>44929.527569444443</v>
      </c>
      <c r="G42" t="s">
        <v>1753</v>
      </c>
      <c r="H42" t="s">
        <v>1627</v>
      </c>
      <c r="I42" t="s">
        <v>1744</v>
      </c>
    </row>
    <row r="43" spans="1:9" x14ac:dyDescent="0.3">
      <c r="A43" s="30">
        <v>45105.723055555558</v>
      </c>
      <c r="B43" t="s">
        <v>2167</v>
      </c>
      <c r="C43" t="s">
        <v>1606</v>
      </c>
      <c r="F43" s="30">
        <v>44929.528657407405</v>
      </c>
      <c r="G43" t="s">
        <v>1754</v>
      </c>
      <c r="H43" t="s">
        <v>1627</v>
      </c>
      <c r="I43" t="s">
        <v>1744</v>
      </c>
    </row>
    <row r="44" spans="1:9" x14ac:dyDescent="0.3">
      <c r="A44" s="30">
        <v>45106.365081018521</v>
      </c>
      <c r="B44" t="s">
        <v>2174</v>
      </c>
      <c r="C44" t="s">
        <v>1627</v>
      </c>
      <c r="F44" s="30">
        <v>44929.529456018521</v>
      </c>
      <c r="G44" t="s">
        <v>1755</v>
      </c>
      <c r="H44" t="s">
        <v>1627</v>
      </c>
      <c r="I44" t="s">
        <v>1744</v>
      </c>
    </row>
    <row r="45" spans="1:9" x14ac:dyDescent="0.3">
      <c r="A45" s="30">
        <v>45106.449155092596</v>
      </c>
      <c r="B45" t="s">
        <v>2177</v>
      </c>
      <c r="C45" t="s">
        <v>1627</v>
      </c>
      <c r="F45" s="30">
        <v>44930.31459490741</v>
      </c>
      <c r="G45" t="s">
        <v>1759</v>
      </c>
      <c r="H45" t="s">
        <v>1758</v>
      </c>
      <c r="I45" t="s">
        <v>1760</v>
      </c>
    </row>
    <row r="46" spans="1:9" x14ac:dyDescent="0.3">
      <c r="A46" s="30">
        <v>45106.517500000002</v>
      </c>
      <c r="B46" t="s">
        <v>2180</v>
      </c>
      <c r="C46" t="s">
        <v>1627</v>
      </c>
      <c r="F46" s="30">
        <v>44930.315381944441</v>
      </c>
      <c r="G46" t="s">
        <v>1761</v>
      </c>
      <c r="H46" t="s">
        <v>1758</v>
      </c>
      <c r="I46" t="s">
        <v>1762</v>
      </c>
    </row>
    <row r="47" spans="1:9" x14ac:dyDescent="0.3">
      <c r="A47" s="30">
        <v>45106.625196759262</v>
      </c>
      <c r="B47" t="s">
        <v>2185</v>
      </c>
      <c r="C47" t="s">
        <v>1606</v>
      </c>
      <c r="F47" s="30">
        <v>44930.315879629627</v>
      </c>
      <c r="G47" t="s">
        <v>1763</v>
      </c>
      <c r="H47" t="s">
        <v>1758</v>
      </c>
      <c r="I47" t="s">
        <v>1764</v>
      </c>
    </row>
    <row r="48" spans="1:9" x14ac:dyDescent="0.3">
      <c r="A48" s="30">
        <v>45106.656909722224</v>
      </c>
      <c r="B48" t="s">
        <v>2191</v>
      </c>
      <c r="C48" t="s">
        <v>1627</v>
      </c>
      <c r="F48" s="30">
        <v>44930.525520833333</v>
      </c>
      <c r="G48" t="s">
        <v>1765</v>
      </c>
      <c r="H48" t="s">
        <v>1758</v>
      </c>
      <c r="I48" t="s">
        <v>1766</v>
      </c>
    </row>
    <row r="49" spans="1:9" x14ac:dyDescent="0.3">
      <c r="A49" s="30">
        <v>45106.691990740743</v>
      </c>
      <c r="B49" t="s">
        <v>2195</v>
      </c>
      <c r="C49" t="s">
        <v>1606</v>
      </c>
      <c r="F49" s="30">
        <v>44930.526087962964</v>
      </c>
      <c r="G49" t="s">
        <v>1767</v>
      </c>
      <c r="H49" t="s">
        <v>1758</v>
      </c>
      <c r="I49" t="s">
        <v>1766</v>
      </c>
    </row>
    <row r="50" spans="1:9" x14ac:dyDescent="0.3">
      <c r="A50" s="30">
        <v>45107.421585648146</v>
      </c>
      <c r="B50" t="s">
        <v>2199</v>
      </c>
      <c r="C50" t="s">
        <v>1606</v>
      </c>
      <c r="F50" s="30">
        <v>44930.526620370372</v>
      </c>
      <c r="G50" t="s">
        <v>1768</v>
      </c>
      <c r="H50" t="s">
        <v>1758</v>
      </c>
      <c r="I50" t="s">
        <v>1766</v>
      </c>
    </row>
    <row r="51" spans="1:9" x14ac:dyDescent="0.3">
      <c r="A51" s="30">
        <v>45107.449861111112</v>
      </c>
      <c r="B51" t="s">
        <v>2203</v>
      </c>
      <c r="C51" t="s">
        <v>1606</v>
      </c>
      <c r="F51" s="30">
        <v>44930.528032407405</v>
      </c>
      <c r="G51" t="s">
        <v>1769</v>
      </c>
      <c r="H51" t="s">
        <v>1758</v>
      </c>
      <c r="I51" t="s">
        <v>1770</v>
      </c>
    </row>
    <row r="52" spans="1:9" x14ac:dyDescent="0.3">
      <c r="A52" s="30">
        <v>45110.528240740743</v>
      </c>
      <c r="B52" t="s">
        <v>2209</v>
      </c>
      <c r="C52" t="s">
        <v>1606</v>
      </c>
      <c r="F52" s="30">
        <v>44930.529178240744</v>
      </c>
      <c r="G52" t="s">
        <v>1756</v>
      </c>
      <c r="H52" t="s">
        <v>1758</v>
      </c>
      <c r="I52" t="s">
        <v>1771</v>
      </c>
    </row>
    <row r="53" spans="1:9" x14ac:dyDescent="0.3">
      <c r="A53" s="30">
        <v>45111.324236111112</v>
      </c>
      <c r="B53" t="s">
        <v>2250</v>
      </c>
      <c r="C53" t="s">
        <v>1606</v>
      </c>
      <c r="F53" s="30">
        <v>44930.53020833333</v>
      </c>
      <c r="G53" t="s">
        <v>1757</v>
      </c>
      <c r="H53" t="s">
        <v>1758</v>
      </c>
      <c r="I53" t="s">
        <v>1772</v>
      </c>
    </row>
    <row r="54" spans="1:9" x14ac:dyDescent="0.3">
      <c r="A54" s="30">
        <v>45111.472118055557</v>
      </c>
      <c r="B54" t="s">
        <v>2254</v>
      </c>
      <c r="C54" t="s">
        <v>1606</v>
      </c>
      <c r="F54" s="30">
        <v>44931.87059027778</v>
      </c>
      <c r="G54" t="s">
        <v>1774</v>
      </c>
      <c r="H54" t="s">
        <v>1627</v>
      </c>
      <c r="I54" t="s">
        <v>1775</v>
      </c>
    </row>
    <row r="55" spans="1:9" x14ac:dyDescent="0.3">
      <c r="A55" s="30">
        <v>45111.495729166665</v>
      </c>
      <c r="B55" t="s">
        <v>2258</v>
      </c>
      <c r="C55" t="s">
        <v>1606</v>
      </c>
      <c r="F55" s="30">
        <v>44931.871122685188</v>
      </c>
      <c r="G55" t="s">
        <v>1776</v>
      </c>
      <c r="H55" t="s">
        <v>1627</v>
      </c>
      <c r="I55" t="s">
        <v>1775</v>
      </c>
    </row>
    <row r="56" spans="1:9" x14ac:dyDescent="0.3">
      <c r="A56" s="30">
        <v>45120.420775462961</v>
      </c>
      <c r="B56" t="s">
        <v>2334</v>
      </c>
      <c r="C56" t="s">
        <v>1627</v>
      </c>
      <c r="F56" s="30">
        <v>44931.871712962966</v>
      </c>
      <c r="G56" t="s">
        <v>1777</v>
      </c>
      <c r="H56" t="s">
        <v>1627</v>
      </c>
      <c r="I56" t="s">
        <v>1775</v>
      </c>
    </row>
    <row r="57" spans="1:9" x14ac:dyDescent="0.3">
      <c r="A57" s="30">
        <v>45121.671967592592</v>
      </c>
      <c r="B57" t="s">
        <v>2340</v>
      </c>
      <c r="C57" t="s">
        <v>1606</v>
      </c>
      <c r="F57" s="30">
        <v>44932.681712962964</v>
      </c>
      <c r="G57" t="s">
        <v>1782</v>
      </c>
      <c r="H57" t="s">
        <v>1627</v>
      </c>
      <c r="I57" t="s">
        <v>1783</v>
      </c>
    </row>
    <row r="58" spans="1:9" x14ac:dyDescent="0.3">
      <c r="A58" s="30">
        <v>45124.77648148148</v>
      </c>
      <c r="B58" t="s">
        <v>2347</v>
      </c>
      <c r="C58" t="s">
        <v>1606</v>
      </c>
      <c r="F58" s="30">
        <v>44932.682627314818</v>
      </c>
      <c r="G58" t="s">
        <v>1784</v>
      </c>
      <c r="H58" t="s">
        <v>1627</v>
      </c>
      <c r="I58" t="s">
        <v>1783</v>
      </c>
    </row>
    <row r="59" spans="1:9" x14ac:dyDescent="0.3">
      <c r="A59" s="30">
        <v>45145.462939814817</v>
      </c>
      <c r="B59" t="s">
        <v>2363</v>
      </c>
      <c r="C59" t="s">
        <v>2359</v>
      </c>
      <c r="F59" s="30">
        <v>44932.694074074076</v>
      </c>
      <c r="G59" t="s">
        <v>1785</v>
      </c>
      <c r="H59" t="s">
        <v>1627</v>
      </c>
      <c r="I59" t="s">
        <v>1786</v>
      </c>
    </row>
    <row r="60" spans="1:9" x14ac:dyDescent="0.3">
      <c r="A60" s="30">
        <v>45146.494537037041</v>
      </c>
      <c r="B60" t="s">
        <v>2369</v>
      </c>
      <c r="C60" t="s">
        <v>2359</v>
      </c>
      <c r="F60" s="30">
        <v>44933.360636574071</v>
      </c>
      <c r="G60" t="s">
        <v>1790</v>
      </c>
      <c r="H60" t="s">
        <v>1627</v>
      </c>
      <c r="I60" t="s">
        <v>1791</v>
      </c>
    </row>
    <row r="61" spans="1:9" x14ac:dyDescent="0.3">
      <c r="A61" s="30">
        <v>45154.727337962962</v>
      </c>
      <c r="B61" t="s">
        <v>2375</v>
      </c>
      <c r="C61" t="s">
        <v>1606</v>
      </c>
      <c r="F61" s="30">
        <v>44938.394560185188</v>
      </c>
      <c r="G61" t="s">
        <v>1795</v>
      </c>
      <c r="H61" t="s">
        <v>1606</v>
      </c>
      <c r="I61" t="s">
        <v>1796</v>
      </c>
    </row>
    <row r="62" spans="1:9" x14ac:dyDescent="0.3">
      <c r="A62" s="30">
        <v>45167.38925925926</v>
      </c>
      <c r="B62" t="s">
        <v>2405</v>
      </c>
      <c r="C62" t="s">
        <v>1758</v>
      </c>
      <c r="F62" s="30">
        <v>44942.431493055556</v>
      </c>
      <c r="G62" t="s">
        <v>1826</v>
      </c>
      <c r="H62" t="s">
        <v>1758</v>
      </c>
      <c r="I62" t="s">
        <v>1827</v>
      </c>
    </row>
    <row r="63" spans="1:9" x14ac:dyDescent="0.3">
      <c r="A63" s="30">
        <v>45168.842349537037</v>
      </c>
      <c r="B63" t="s">
        <v>2411</v>
      </c>
      <c r="C63" t="s">
        <v>2359</v>
      </c>
      <c r="F63" s="30">
        <v>44949.455011574071</v>
      </c>
      <c r="G63" t="s">
        <v>1829</v>
      </c>
      <c r="H63" t="s">
        <v>1758</v>
      </c>
      <c r="I63" t="s">
        <v>1830</v>
      </c>
    </row>
    <row r="64" spans="1:9" x14ac:dyDescent="0.3">
      <c r="A64" s="30">
        <v>45175.815509259257</v>
      </c>
      <c r="B64" t="s">
        <v>2432</v>
      </c>
      <c r="C64" t="s">
        <v>1758</v>
      </c>
      <c r="F64" s="30">
        <v>44956.439965277779</v>
      </c>
      <c r="G64" t="s">
        <v>1906</v>
      </c>
      <c r="H64" t="s">
        <v>1606</v>
      </c>
      <c r="I64" t="s">
        <v>1907</v>
      </c>
    </row>
    <row r="65" spans="1:9" x14ac:dyDescent="0.3">
      <c r="A65" s="30">
        <v>45175.818344907406</v>
      </c>
      <c r="B65" t="s">
        <v>2435</v>
      </c>
      <c r="C65" t="s">
        <v>1758</v>
      </c>
      <c r="F65" s="30">
        <v>44956.441122685188</v>
      </c>
      <c r="G65" t="s">
        <v>1908</v>
      </c>
      <c r="H65" t="s">
        <v>1606</v>
      </c>
      <c r="I65" t="s">
        <v>1909</v>
      </c>
    </row>
    <row r="66" spans="1:9" x14ac:dyDescent="0.3">
      <c r="A66" s="30">
        <v>45175.820798611108</v>
      </c>
      <c r="B66" t="s">
        <v>2436</v>
      </c>
      <c r="C66" t="s">
        <v>1758</v>
      </c>
      <c r="F66" s="30">
        <v>44958.638703703706</v>
      </c>
      <c r="G66" t="s">
        <v>1926</v>
      </c>
      <c r="H66" t="s">
        <v>1606</v>
      </c>
      <c r="I66" t="s">
        <v>1927</v>
      </c>
    </row>
    <row r="67" spans="1:9" x14ac:dyDescent="0.3">
      <c r="A67" s="30">
        <v>45176.706990740742</v>
      </c>
      <c r="B67" t="s">
        <v>2437</v>
      </c>
      <c r="C67" t="s">
        <v>2359</v>
      </c>
      <c r="F67" s="30">
        <v>44962.493136574078</v>
      </c>
      <c r="G67" t="s">
        <v>1958</v>
      </c>
      <c r="H67" t="s">
        <v>1524</v>
      </c>
      <c r="I67" t="s">
        <v>1959</v>
      </c>
    </row>
    <row r="68" spans="1:9" x14ac:dyDescent="0.3">
      <c r="A68" s="30">
        <v>45176.709097222221</v>
      </c>
      <c r="B68" t="s">
        <v>2438</v>
      </c>
      <c r="C68" t="s">
        <v>2359</v>
      </c>
      <c r="F68" s="30">
        <v>44962.495370370372</v>
      </c>
      <c r="G68" t="s">
        <v>1960</v>
      </c>
      <c r="H68" t="s">
        <v>1524</v>
      </c>
      <c r="I68" t="s">
        <v>1959</v>
      </c>
    </row>
    <row r="69" spans="1:9" x14ac:dyDescent="0.3">
      <c r="A69" s="30">
        <v>45176.72519675926</v>
      </c>
      <c r="B69" t="s">
        <v>2439</v>
      </c>
      <c r="C69" t="s">
        <v>2359</v>
      </c>
      <c r="F69" s="30">
        <v>44962.496157407404</v>
      </c>
      <c r="G69" t="s">
        <v>1961</v>
      </c>
      <c r="H69" t="s">
        <v>1524</v>
      </c>
      <c r="I69" t="s">
        <v>1959</v>
      </c>
    </row>
    <row r="70" spans="1:9" x14ac:dyDescent="0.3">
      <c r="A70" s="30">
        <v>45176.729155092595</v>
      </c>
      <c r="B70" t="s">
        <v>2440</v>
      </c>
      <c r="C70" t="s">
        <v>2359</v>
      </c>
      <c r="F70" s="30">
        <v>44962.496793981481</v>
      </c>
      <c r="G70" t="s">
        <v>1962</v>
      </c>
      <c r="H70" t="s">
        <v>1524</v>
      </c>
      <c r="I70" t="s">
        <v>1959</v>
      </c>
    </row>
    <row r="71" spans="1:9" x14ac:dyDescent="0.3">
      <c r="A71" s="30">
        <v>45176.791388888887</v>
      </c>
      <c r="B71" t="s">
        <v>2444</v>
      </c>
      <c r="C71" t="s">
        <v>2359</v>
      </c>
      <c r="F71" s="30">
        <v>44972.847685185188</v>
      </c>
      <c r="G71" t="s">
        <v>1977</v>
      </c>
      <c r="H71" t="s">
        <v>1627</v>
      </c>
      <c r="I71" t="s">
        <v>1978</v>
      </c>
    </row>
    <row r="72" spans="1:9" x14ac:dyDescent="0.3">
      <c r="A72" s="30">
        <v>45176.794004629628</v>
      </c>
      <c r="B72" t="s">
        <v>2445</v>
      </c>
      <c r="C72" t="s">
        <v>2359</v>
      </c>
      <c r="F72" s="30">
        <v>44991.763333333336</v>
      </c>
      <c r="G72" t="s">
        <v>2002</v>
      </c>
      <c r="H72" t="s">
        <v>1524</v>
      </c>
      <c r="I72" t="s">
        <v>2003</v>
      </c>
    </row>
    <row r="73" spans="1:9" x14ac:dyDescent="0.3">
      <c r="A73" s="30">
        <v>45176.797673611109</v>
      </c>
      <c r="B73" t="s">
        <v>2450</v>
      </c>
      <c r="C73" t="s">
        <v>2359</v>
      </c>
      <c r="F73" s="30">
        <v>44994.626261574071</v>
      </c>
      <c r="G73" t="s">
        <v>2007</v>
      </c>
      <c r="H73" t="s">
        <v>1402</v>
      </c>
      <c r="I73" t="s">
        <v>2008</v>
      </c>
    </row>
    <row r="74" spans="1:9" x14ac:dyDescent="0.3">
      <c r="A74" s="30">
        <v>45176.800138888888</v>
      </c>
      <c r="B74" t="s">
        <v>2454</v>
      </c>
      <c r="C74" t="s">
        <v>2359</v>
      </c>
      <c r="F74" s="30">
        <v>44994.626944444448</v>
      </c>
      <c r="G74" t="s">
        <v>2009</v>
      </c>
      <c r="H74" t="s">
        <v>1402</v>
      </c>
      <c r="I74" t="s">
        <v>2010</v>
      </c>
    </row>
    <row r="75" spans="1:9" x14ac:dyDescent="0.3">
      <c r="A75" s="30">
        <v>45191.430775462963</v>
      </c>
      <c r="B75" t="s">
        <v>2468</v>
      </c>
      <c r="C75" t="s">
        <v>1627</v>
      </c>
      <c r="F75" s="30">
        <v>44994.627372685187</v>
      </c>
      <c r="G75" t="s">
        <v>2011</v>
      </c>
      <c r="H75" t="s">
        <v>1402</v>
      </c>
      <c r="I75" t="s">
        <v>2010</v>
      </c>
    </row>
    <row r="76" spans="1:9" x14ac:dyDescent="0.3">
      <c r="A76" s="30">
        <v>45203.417349537034</v>
      </c>
      <c r="B76" t="s">
        <v>2478</v>
      </c>
      <c r="C76" t="s">
        <v>1606</v>
      </c>
      <c r="F76" s="30">
        <v>44998.869837962964</v>
      </c>
      <c r="G76" t="s">
        <v>2025</v>
      </c>
      <c r="H76" t="s">
        <v>1606</v>
      </c>
      <c r="I76" t="s">
        <v>2026</v>
      </c>
    </row>
    <row r="77" spans="1:9" x14ac:dyDescent="0.3">
      <c r="A77" s="30">
        <v>45206.422349537039</v>
      </c>
      <c r="B77" t="s">
        <v>2483</v>
      </c>
      <c r="C77" t="s">
        <v>1606</v>
      </c>
      <c r="F77" s="30">
        <v>45001.606388888889</v>
      </c>
      <c r="G77" t="s">
        <v>2035</v>
      </c>
      <c r="H77" t="s">
        <v>1627</v>
      </c>
      <c r="I77" t="s">
        <v>2036</v>
      </c>
    </row>
    <row r="78" spans="1:9" x14ac:dyDescent="0.3">
      <c r="A78" s="30">
        <v>45209.542256944442</v>
      </c>
      <c r="B78" t="s">
        <v>2484</v>
      </c>
      <c r="C78" t="s">
        <v>2359</v>
      </c>
      <c r="F78" s="30">
        <v>45001.606793981482</v>
      </c>
      <c r="G78" t="s">
        <v>2037</v>
      </c>
      <c r="H78" t="s">
        <v>1627</v>
      </c>
      <c r="I78" t="s">
        <v>1083</v>
      </c>
    </row>
    <row r="79" spans="1:9" x14ac:dyDescent="0.3">
      <c r="A79" s="30">
        <v>45209.546736111108</v>
      </c>
      <c r="B79" t="s">
        <v>2485</v>
      </c>
      <c r="C79" t="s">
        <v>2359</v>
      </c>
      <c r="F79" s="30">
        <v>45001.607314814813</v>
      </c>
      <c r="G79" t="s">
        <v>2038</v>
      </c>
      <c r="H79" t="s">
        <v>1627</v>
      </c>
      <c r="I79" t="s">
        <v>1083</v>
      </c>
    </row>
    <row r="80" spans="1:9" x14ac:dyDescent="0.3">
      <c r="A80" s="30">
        <v>45243.646064814813</v>
      </c>
      <c r="B80" t="s">
        <v>2521</v>
      </c>
      <c r="C80" t="s">
        <v>1606</v>
      </c>
      <c r="F80" s="30">
        <v>45006.318518518521</v>
      </c>
      <c r="G80" t="s">
        <v>2039</v>
      </c>
      <c r="H80" t="s">
        <v>1627</v>
      </c>
      <c r="I80" t="s">
        <v>2040</v>
      </c>
    </row>
    <row r="81" spans="1:9" x14ac:dyDescent="0.3">
      <c r="A81" s="30">
        <v>45248.37667824074</v>
      </c>
      <c r="B81" t="s">
        <v>2538</v>
      </c>
      <c r="C81" t="s">
        <v>2359</v>
      </c>
      <c r="F81" s="30">
        <v>45008.421956018516</v>
      </c>
      <c r="G81" t="s">
        <v>2042</v>
      </c>
      <c r="H81" t="s">
        <v>1627</v>
      </c>
      <c r="I81" t="s">
        <v>2043</v>
      </c>
    </row>
    <row r="82" spans="1:9" x14ac:dyDescent="0.3">
      <c r="A82" s="30">
        <v>45253.830335648148</v>
      </c>
      <c r="B82" t="s">
        <v>2548</v>
      </c>
      <c r="C82" t="s">
        <v>1606</v>
      </c>
      <c r="F82" s="30">
        <v>45034.374386574076</v>
      </c>
      <c r="G82" t="s">
        <v>2056</v>
      </c>
      <c r="H82" t="s">
        <v>1627</v>
      </c>
      <c r="I82" t="s">
        <v>2057</v>
      </c>
    </row>
    <row r="83" spans="1:9" x14ac:dyDescent="0.3">
      <c r="A83" s="30">
        <v>45257.384756944448</v>
      </c>
      <c r="B83" t="s">
        <v>2554</v>
      </c>
      <c r="C83" t="s">
        <v>1627</v>
      </c>
      <c r="F83" s="30">
        <v>45037.485277777778</v>
      </c>
      <c r="G83" t="s">
        <v>2058</v>
      </c>
      <c r="H83" t="s">
        <v>1758</v>
      </c>
      <c r="I83" t="s">
        <v>2059</v>
      </c>
    </row>
    <row r="84" spans="1:9" x14ac:dyDescent="0.3">
      <c r="A84" s="30">
        <v>45265.798576388886</v>
      </c>
      <c r="B84" t="s">
        <v>2624</v>
      </c>
      <c r="C84" t="s">
        <v>2359</v>
      </c>
      <c r="F84" s="30">
        <v>45038.567175925928</v>
      </c>
      <c r="G84" t="s">
        <v>2060</v>
      </c>
      <c r="H84" t="s">
        <v>1627</v>
      </c>
      <c r="I84" t="s">
        <v>2061</v>
      </c>
    </row>
    <row r="85" spans="1:9" x14ac:dyDescent="0.3">
      <c r="A85" s="30">
        <v>45266.738113425927</v>
      </c>
      <c r="B85" t="s">
        <v>2629</v>
      </c>
      <c r="C85" t="s">
        <v>1627</v>
      </c>
      <c r="F85" s="30">
        <v>45039.354837962965</v>
      </c>
      <c r="G85" t="s">
        <v>2062</v>
      </c>
      <c r="H85" t="s">
        <v>1627</v>
      </c>
      <c r="I85" t="s">
        <v>2063</v>
      </c>
    </row>
    <row r="86" spans="1:9" x14ac:dyDescent="0.3">
      <c r="A86" s="30">
        <v>45272.589386574073</v>
      </c>
      <c r="B86" t="s">
        <v>2647</v>
      </c>
      <c r="C86" t="s">
        <v>1606</v>
      </c>
      <c r="F86" s="30">
        <v>45045.330821759257</v>
      </c>
      <c r="G86" t="s">
        <v>2068</v>
      </c>
      <c r="H86" t="s">
        <v>1606</v>
      </c>
      <c r="I86" t="s">
        <v>2069</v>
      </c>
    </row>
    <row r="87" spans="1:9" x14ac:dyDescent="0.3">
      <c r="A87" s="30">
        <v>45280.418634259258</v>
      </c>
      <c r="B87" t="s">
        <v>2660</v>
      </c>
      <c r="C87" t="s">
        <v>2359</v>
      </c>
      <c r="F87" s="30">
        <v>45050.524050925924</v>
      </c>
      <c r="G87" t="s">
        <v>2070</v>
      </c>
      <c r="H87" t="s">
        <v>1606</v>
      </c>
      <c r="I87" t="s">
        <v>2071</v>
      </c>
    </row>
    <row r="88" spans="1:9" x14ac:dyDescent="0.3">
      <c r="A88" s="30">
        <v>45286.473402777781</v>
      </c>
      <c r="B88" t="s">
        <v>2667</v>
      </c>
      <c r="C88" t="s">
        <v>2359</v>
      </c>
      <c r="F88" s="30">
        <v>45054.753750000003</v>
      </c>
      <c r="G88" t="s">
        <v>2073</v>
      </c>
      <c r="H88" t="s">
        <v>1758</v>
      </c>
      <c r="I88" t="s">
        <v>2074</v>
      </c>
    </row>
    <row r="89" spans="1:9" x14ac:dyDescent="0.3">
      <c r="A89" s="30">
        <v>45287.71199074074</v>
      </c>
      <c r="B89" t="s">
        <v>2674</v>
      </c>
      <c r="C89" t="s">
        <v>2359</v>
      </c>
      <c r="F89" s="30">
        <v>45056.31009259259</v>
      </c>
      <c r="G89" t="s">
        <v>2075</v>
      </c>
      <c r="H89" t="s">
        <v>1627</v>
      </c>
      <c r="I89" t="s">
        <v>2076</v>
      </c>
    </row>
    <row r="90" spans="1:9" x14ac:dyDescent="0.3">
      <c r="A90" s="30">
        <v>45287.714212962965</v>
      </c>
      <c r="B90" t="s">
        <v>2678</v>
      </c>
      <c r="C90" t="s">
        <v>2359</v>
      </c>
      <c r="F90" s="30">
        <v>45062.468124999999</v>
      </c>
      <c r="G90" t="s">
        <v>2126</v>
      </c>
      <c r="H90" t="s">
        <v>1627</v>
      </c>
      <c r="I90" t="s">
        <v>2127</v>
      </c>
    </row>
    <row r="91" spans="1:9" x14ac:dyDescent="0.3">
      <c r="A91" s="30">
        <v>45287.715648148151</v>
      </c>
      <c r="B91" t="s">
        <v>2682</v>
      </c>
      <c r="C91" t="s">
        <v>2359</v>
      </c>
      <c r="F91" s="30">
        <v>45068.504328703704</v>
      </c>
      <c r="G91" t="s">
        <v>2129</v>
      </c>
      <c r="H91" t="s">
        <v>1402</v>
      </c>
      <c r="I91" t="s">
        <v>1083</v>
      </c>
    </row>
    <row r="92" spans="1:9" x14ac:dyDescent="0.3">
      <c r="A92" s="30">
        <v>45287.727916666663</v>
      </c>
      <c r="B92" t="s">
        <v>2686</v>
      </c>
      <c r="C92" t="s">
        <v>2359</v>
      </c>
      <c r="F92" s="30">
        <v>45070.311296296299</v>
      </c>
      <c r="G92" t="s">
        <v>2131</v>
      </c>
      <c r="H92" t="s">
        <v>1606</v>
      </c>
      <c r="I92" t="s">
        <v>2132</v>
      </c>
    </row>
    <row r="93" spans="1:9" x14ac:dyDescent="0.3">
      <c r="A93" s="30">
        <v>45287.728750000002</v>
      </c>
      <c r="B93" t="s">
        <v>2690</v>
      </c>
      <c r="C93" t="s">
        <v>2359</v>
      </c>
      <c r="F93" s="30">
        <v>45075.371608796297</v>
      </c>
      <c r="G93" t="s">
        <v>2133</v>
      </c>
      <c r="H93" t="s">
        <v>1758</v>
      </c>
      <c r="I93" t="s">
        <v>2134</v>
      </c>
    </row>
    <row r="94" spans="1:9" x14ac:dyDescent="0.3">
      <c r="A94" s="30">
        <v>45288.377905092595</v>
      </c>
      <c r="B94" t="s">
        <v>2694</v>
      </c>
      <c r="C94" t="s">
        <v>2359</v>
      </c>
      <c r="F94" s="30">
        <v>45089.584768518522</v>
      </c>
      <c r="G94" t="s">
        <v>2137</v>
      </c>
      <c r="H94" t="s">
        <v>1758</v>
      </c>
      <c r="I94" t="s">
        <v>2138</v>
      </c>
    </row>
    <row r="95" spans="1:9" x14ac:dyDescent="0.3">
      <c r="A95" s="30">
        <v>45288.379155092596</v>
      </c>
      <c r="B95" t="s">
        <v>2698</v>
      </c>
      <c r="C95" t="s">
        <v>2359</v>
      </c>
      <c r="F95" s="30">
        <v>45098.526747685188</v>
      </c>
      <c r="G95" t="s">
        <v>2141</v>
      </c>
      <c r="H95" t="s">
        <v>1606</v>
      </c>
      <c r="I95" t="s">
        <v>2142</v>
      </c>
    </row>
    <row r="96" spans="1:9" x14ac:dyDescent="0.3">
      <c r="A96" s="30">
        <v>45302.438703703701</v>
      </c>
      <c r="B96" t="s">
        <v>2771</v>
      </c>
      <c r="C96" t="s">
        <v>1627</v>
      </c>
      <c r="F96" s="30">
        <v>45104.641840277778</v>
      </c>
      <c r="G96" t="s">
        <v>2146</v>
      </c>
      <c r="H96" t="s">
        <v>1627</v>
      </c>
      <c r="I96" t="s">
        <v>2147</v>
      </c>
    </row>
    <row r="97" spans="1:9" x14ac:dyDescent="0.3">
      <c r="A97" s="30">
        <v>45302.501342592594</v>
      </c>
      <c r="B97" t="s">
        <v>2775</v>
      </c>
      <c r="C97" t="s">
        <v>1627</v>
      </c>
      <c r="F97" s="30">
        <v>45104.642627314817</v>
      </c>
      <c r="G97" t="s">
        <v>2148</v>
      </c>
      <c r="H97" t="s">
        <v>1627</v>
      </c>
      <c r="I97" t="s">
        <v>2147</v>
      </c>
    </row>
    <row r="98" spans="1:9" x14ac:dyDescent="0.3">
      <c r="A98" s="30">
        <v>45304.346967592595</v>
      </c>
      <c r="B98" t="s">
        <v>2779</v>
      </c>
      <c r="C98" t="s">
        <v>2359</v>
      </c>
      <c r="F98" s="30">
        <v>45104.643229166664</v>
      </c>
      <c r="G98" t="s">
        <v>2149</v>
      </c>
      <c r="H98" t="s">
        <v>1627</v>
      </c>
      <c r="I98" t="s">
        <v>2147</v>
      </c>
    </row>
    <row r="99" spans="1:9" x14ac:dyDescent="0.3">
      <c r="A99" s="30">
        <v>45309.669953703706</v>
      </c>
      <c r="B99" t="s">
        <v>2782</v>
      </c>
      <c r="C99" t="s">
        <v>1627</v>
      </c>
      <c r="F99" s="30">
        <v>45104.644270833334</v>
      </c>
      <c r="G99" t="s">
        <v>2150</v>
      </c>
      <c r="H99" t="s">
        <v>1627</v>
      </c>
      <c r="I99" t="s">
        <v>2147</v>
      </c>
    </row>
    <row r="100" spans="1:9" x14ac:dyDescent="0.3">
      <c r="A100" s="30">
        <v>45310.768923611111</v>
      </c>
      <c r="B100" t="s">
        <v>2792</v>
      </c>
      <c r="C100" t="s">
        <v>1627</v>
      </c>
      <c r="F100" s="30">
        <v>45104.645787037036</v>
      </c>
      <c r="G100" t="s">
        <v>2151</v>
      </c>
      <c r="H100" t="s">
        <v>1627</v>
      </c>
      <c r="I100" t="s">
        <v>2147</v>
      </c>
    </row>
    <row r="101" spans="1:9" x14ac:dyDescent="0.3">
      <c r="A101" s="30">
        <v>45313.459236111114</v>
      </c>
      <c r="B101" t="s">
        <v>2803</v>
      </c>
      <c r="C101" t="s">
        <v>1627</v>
      </c>
      <c r="F101" s="30">
        <v>45104.80709490741</v>
      </c>
      <c r="G101" t="s">
        <v>2152</v>
      </c>
      <c r="H101" t="s">
        <v>1627</v>
      </c>
      <c r="I101" t="s">
        <v>2153</v>
      </c>
    </row>
    <row r="102" spans="1:9" x14ac:dyDescent="0.3">
      <c r="A102" s="30">
        <v>45315.647789351853</v>
      </c>
      <c r="B102" t="s">
        <v>2816</v>
      </c>
      <c r="C102" t="s">
        <v>1627</v>
      </c>
      <c r="F102" s="30">
        <v>45104.808078703703</v>
      </c>
      <c r="G102" t="s">
        <v>2154</v>
      </c>
      <c r="H102" t="s">
        <v>1627</v>
      </c>
      <c r="I102" t="s">
        <v>2153</v>
      </c>
    </row>
    <row r="103" spans="1:9" x14ac:dyDescent="0.3">
      <c r="A103" s="30">
        <v>45321.791435185187</v>
      </c>
      <c r="B103" t="s">
        <v>2823</v>
      </c>
      <c r="C103" t="s">
        <v>1627</v>
      </c>
      <c r="F103" s="30">
        <v>45104.808865740742</v>
      </c>
      <c r="G103" t="s">
        <v>2155</v>
      </c>
      <c r="H103" t="s">
        <v>1627</v>
      </c>
      <c r="I103" t="s">
        <v>2153</v>
      </c>
    </row>
    <row r="104" spans="1:9" x14ac:dyDescent="0.3">
      <c r="A104" s="30">
        <v>45322.454363425924</v>
      </c>
      <c r="B104" t="s">
        <v>2826</v>
      </c>
      <c r="C104" t="s">
        <v>1627</v>
      </c>
      <c r="F104" s="30">
        <v>45104.809675925928</v>
      </c>
      <c r="G104" t="s">
        <v>2156</v>
      </c>
      <c r="H104" t="s">
        <v>1627</v>
      </c>
      <c r="I104" t="s">
        <v>2153</v>
      </c>
    </row>
    <row r="105" spans="1:9" x14ac:dyDescent="0.3">
      <c r="A105" s="30">
        <v>45323.568159722221</v>
      </c>
      <c r="B105" t="s">
        <v>2831</v>
      </c>
      <c r="C105" t="s">
        <v>1627</v>
      </c>
      <c r="F105" s="30">
        <v>45104.810289351852</v>
      </c>
      <c r="G105" t="s">
        <v>2157</v>
      </c>
      <c r="H105" t="s">
        <v>1627</v>
      </c>
      <c r="I105" t="s">
        <v>2153</v>
      </c>
    </row>
    <row r="106" spans="1:9" x14ac:dyDescent="0.3">
      <c r="A106" s="30">
        <v>45323.570011574076</v>
      </c>
      <c r="B106" t="s">
        <v>2834</v>
      </c>
      <c r="C106" t="s">
        <v>1627</v>
      </c>
      <c r="F106" s="30">
        <v>45104.862939814811</v>
      </c>
      <c r="G106" t="s">
        <v>2158</v>
      </c>
      <c r="H106" t="s">
        <v>1627</v>
      </c>
      <c r="I106" t="s">
        <v>2159</v>
      </c>
    </row>
    <row r="107" spans="1:9" x14ac:dyDescent="0.3">
      <c r="A107" s="30">
        <v>45323.571423611109</v>
      </c>
      <c r="B107" t="s">
        <v>2837</v>
      </c>
      <c r="C107" t="s">
        <v>1627</v>
      </c>
      <c r="F107" s="30">
        <v>45105.803796296299</v>
      </c>
      <c r="G107" t="s">
        <v>2168</v>
      </c>
      <c r="H107" t="s">
        <v>1627</v>
      </c>
      <c r="I107" t="s">
        <v>2169</v>
      </c>
    </row>
    <row r="108" spans="1:9" x14ac:dyDescent="0.3">
      <c r="A108" s="30">
        <v>45343.680312500001</v>
      </c>
      <c r="B108" t="s">
        <v>2899</v>
      </c>
      <c r="C108" t="s">
        <v>1627</v>
      </c>
      <c r="F108" s="30">
        <v>45105.804444444446</v>
      </c>
      <c r="G108" t="s">
        <v>2170</v>
      </c>
      <c r="H108" t="s">
        <v>1627</v>
      </c>
      <c r="I108" t="s">
        <v>2169</v>
      </c>
    </row>
    <row r="109" spans="1:9" x14ac:dyDescent="0.3">
      <c r="A109" s="30">
        <v>45352.49832175926</v>
      </c>
      <c r="B109" t="s">
        <v>2968</v>
      </c>
      <c r="C109" t="s">
        <v>1606</v>
      </c>
      <c r="F109" s="30">
        <v>45106.646909722222</v>
      </c>
      <c r="G109" t="s">
        <v>2186</v>
      </c>
      <c r="H109" t="s">
        <v>1606</v>
      </c>
      <c r="I109" t="s">
        <v>2187</v>
      </c>
    </row>
    <row r="110" spans="1:9" x14ac:dyDescent="0.3">
      <c r="A110" s="30">
        <v>45369.691342592596</v>
      </c>
      <c r="B110" t="s">
        <v>3142</v>
      </c>
      <c r="C110" t="s">
        <v>1627</v>
      </c>
      <c r="F110" s="30">
        <v>45107.513518518521</v>
      </c>
      <c r="G110" t="s">
        <v>2204</v>
      </c>
      <c r="H110" t="s">
        <v>1606</v>
      </c>
      <c r="I110" t="s">
        <v>2205</v>
      </c>
    </row>
    <row r="111" spans="1:9" x14ac:dyDescent="0.3">
      <c r="A111" s="30">
        <v>45369.695081018515</v>
      </c>
      <c r="B111" t="s">
        <v>3146</v>
      </c>
      <c r="C111" t="s">
        <v>1627</v>
      </c>
      <c r="F111" s="30">
        <v>45119.663414351853</v>
      </c>
      <c r="G111" t="s">
        <v>2326</v>
      </c>
      <c r="H111" t="s">
        <v>1606</v>
      </c>
      <c r="I111" t="s">
        <v>2327</v>
      </c>
    </row>
    <row r="112" spans="1:9" x14ac:dyDescent="0.3">
      <c r="A112" s="30">
        <v>45371.543414351851</v>
      </c>
      <c r="B112" t="s">
        <v>3163</v>
      </c>
      <c r="C112" t="s">
        <v>1627</v>
      </c>
      <c r="F112" s="30">
        <v>45119.670613425929</v>
      </c>
      <c r="G112" t="s">
        <v>2328</v>
      </c>
      <c r="H112" t="s">
        <v>1606</v>
      </c>
      <c r="I112" t="s">
        <v>2329</v>
      </c>
    </row>
    <row r="113" spans="1:9" x14ac:dyDescent="0.3">
      <c r="A113" s="30">
        <v>45371.546759259261</v>
      </c>
      <c r="B113" t="s">
        <v>3166</v>
      </c>
      <c r="C113" t="s">
        <v>1627</v>
      </c>
      <c r="F113" s="30">
        <v>45121.42931712963</v>
      </c>
      <c r="G113" t="s">
        <v>2335</v>
      </c>
      <c r="H113" t="s">
        <v>1627</v>
      </c>
      <c r="I113" t="s">
        <v>2336</v>
      </c>
    </row>
    <row r="114" spans="1:9" x14ac:dyDescent="0.3">
      <c r="A114" s="30">
        <v>45371.548078703701</v>
      </c>
      <c r="B114" t="s">
        <v>3169</v>
      </c>
      <c r="C114" t="s">
        <v>1627</v>
      </c>
      <c r="F114" s="30">
        <v>45121.679062499999</v>
      </c>
      <c r="G114" t="s">
        <v>2341</v>
      </c>
      <c r="H114" t="s">
        <v>1606</v>
      </c>
      <c r="I114" t="s">
        <v>2342</v>
      </c>
    </row>
    <row r="115" spans="1:9" x14ac:dyDescent="0.3">
      <c r="A115" s="30">
        <v>45371.549155092594</v>
      </c>
      <c r="B115" t="s">
        <v>3172</v>
      </c>
      <c r="C115" t="s">
        <v>1627</v>
      </c>
      <c r="F115" s="30">
        <v>45135.757962962962</v>
      </c>
      <c r="G115" t="s">
        <v>2353</v>
      </c>
      <c r="H115" t="s">
        <v>1627</v>
      </c>
      <c r="I115" t="s">
        <v>2354</v>
      </c>
    </row>
    <row r="116" spans="1:9" x14ac:dyDescent="0.3">
      <c r="A116" s="30">
        <v>45371.55027777778</v>
      </c>
      <c r="B116" t="s">
        <v>3176</v>
      </c>
      <c r="C116" t="s">
        <v>1627</v>
      </c>
      <c r="F116" s="30">
        <v>45140.395185185182</v>
      </c>
      <c r="G116" t="s">
        <v>2355</v>
      </c>
      <c r="H116" t="s">
        <v>1627</v>
      </c>
      <c r="I116" t="s">
        <v>2356</v>
      </c>
    </row>
    <row r="117" spans="1:9" x14ac:dyDescent="0.3">
      <c r="A117" s="30">
        <v>45371.553703703707</v>
      </c>
      <c r="B117" t="s">
        <v>3179</v>
      </c>
      <c r="C117" t="s">
        <v>1627</v>
      </c>
      <c r="F117" s="30">
        <v>45140.399189814816</v>
      </c>
      <c r="G117" t="s">
        <v>2357</v>
      </c>
      <c r="H117" t="s">
        <v>1627</v>
      </c>
      <c r="I117" t="s">
        <v>2358</v>
      </c>
    </row>
    <row r="118" spans="1:9" x14ac:dyDescent="0.3">
      <c r="A118" s="30">
        <v>45371.554780092592</v>
      </c>
      <c r="B118" t="s">
        <v>3182</v>
      </c>
      <c r="C118" t="s">
        <v>1627</v>
      </c>
      <c r="F118" s="30">
        <v>45146.293657407405</v>
      </c>
      <c r="G118" t="s">
        <v>2364</v>
      </c>
      <c r="H118" t="s">
        <v>2359</v>
      </c>
      <c r="I118" t="s">
        <v>2365</v>
      </c>
    </row>
    <row r="119" spans="1:9" x14ac:dyDescent="0.3">
      <c r="A119" s="30">
        <v>45371.555636574078</v>
      </c>
      <c r="B119" t="s">
        <v>3186</v>
      </c>
      <c r="C119" t="s">
        <v>1627</v>
      </c>
      <c r="F119" s="30">
        <v>45148.664039351854</v>
      </c>
      <c r="G119" t="s">
        <v>2370</v>
      </c>
      <c r="H119" t="s">
        <v>2359</v>
      </c>
      <c r="I119" t="s">
        <v>2371</v>
      </c>
    </row>
    <row r="120" spans="1:9" x14ac:dyDescent="0.3">
      <c r="A120" s="30">
        <v>45371.55672453704</v>
      </c>
      <c r="B120" t="s">
        <v>3189</v>
      </c>
      <c r="C120" t="s">
        <v>1627</v>
      </c>
      <c r="F120" s="30">
        <v>45158.450821759259</v>
      </c>
      <c r="G120" t="s">
        <v>2397</v>
      </c>
      <c r="H120" t="s">
        <v>2359</v>
      </c>
      <c r="I120" t="s">
        <v>2398</v>
      </c>
    </row>
    <row r="121" spans="1:9" x14ac:dyDescent="0.3">
      <c r="A121" s="30">
        <v>45371.557905092595</v>
      </c>
      <c r="B121" t="s">
        <v>3192</v>
      </c>
      <c r="C121" t="s">
        <v>1627</v>
      </c>
      <c r="F121" s="30">
        <v>45167.384189814817</v>
      </c>
      <c r="G121" t="s">
        <v>2403</v>
      </c>
      <c r="H121" t="s">
        <v>1758</v>
      </c>
      <c r="I121" t="s">
        <v>2404</v>
      </c>
    </row>
    <row r="122" spans="1:9" x14ac:dyDescent="0.3">
      <c r="A122" s="30">
        <v>45371.563958333332</v>
      </c>
      <c r="B122" t="s">
        <v>3195</v>
      </c>
      <c r="C122" t="s">
        <v>1627</v>
      </c>
      <c r="F122" s="30">
        <v>45167.405648148146</v>
      </c>
      <c r="G122" t="s">
        <v>2406</v>
      </c>
      <c r="H122" t="s">
        <v>1758</v>
      </c>
      <c r="I122" t="s">
        <v>1771</v>
      </c>
    </row>
    <row r="123" spans="1:9" x14ac:dyDescent="0.3">
      <c r="A123" s="30">
        <v>45371.564849537041</v>
      </c>
      <c r="B123" t="s">
        <v>3198</v>
      </c>
      <c r="C123" t="s">
        <v>1627</v>
      </c>
      <c r="F123" s="30">
        <v>45168.83902777778</v>
      </c>
      <c r="G123" t="s">
        <v>2407</v>
      </c>
      <c r="H123" t="s">
        <v>2359</v>
      </c>
      <c r="I123" t="s">
        <v>2408</v>
      </c>
    </row>
    <row r="124" spans="1:9" x14ac:dyDescent="0.3">
      <c r="A124" s="30">
        <v>45371.565775462965</v>
      </c>
      <c r="B124" t="s">
        <v>3201</v>
      </c>
      <c r="C124" t="s">
        <v>1627</v>
      </c>
      <c r="F124" s="30">
        <v>45169.637858796297</v>
      </c>
      <c r="G124" t="s">
        <v>2412</v>
      </c>
      <c r="H124" t="s">
        <v>1606</v>
      </c>
      <c r="I124" t="s">
        <v>2413</v>
      </c>
    </row>
    <row r="125" spans="1:9" x14ac:dyDescent="0.3">
      <c r="A125" s="30">
        <v>45371.566840277781</v>
      </c>
      <c r="B125" t="s">
        <v>3204</v>
      </c>
      <c r="C125" t="s">
        <v>1627</v>
      </c>
      <c r="F125" s="30">
        <v>45174.395439814813</v>
      </c>
      <c r="G125" t="s">
        <v>2418</v>
      </c>
      <c r="H125" t="s">
        <v>1606</v>
      </c>
      <c r="I125" t="s">
        <v>2419</v>
      </c>
    </row>
    <row r="126" spans="1:9" x14ac:dyDescent="0.3">
      <c r="A126" s="30">
        <v>45371.567870370367</v>
      </c>
      <c r="B126" t="s">
        <v>3208</v>
      </c>
      <c r="C126" t="s">
        <v>1627</v>
      </c>
      <c r="F126" s="30">
        <v>45174.875949074078</v>
      </c>
      <c r="G126" t="s">
        <v>2421</v>
      </c>
      <c r="H126" t="s">
        <v>1627</v>
      </c>
      <c r="I126" t="s">
        <v>2422</v>
      </c>
    </row>
    <row r="127" spans="1:9" x14ac:dyDescent="0.3">
      <c r="A127" s="30">
        <v>45371.568611111114</v>
      </c>
      <c r="B127" t="s">
        <v>3211</v>
      </c>
      <c r="C127" t="s">
        <v>1627</v>
      </c>
      <c r="F127" s="30">
        <v>45174.876770833333</v>
      </c>
      <c r="G127" t="s">
        <v>2423</v>
      </c>
      <c r="H127" t="s">
        <v>1627</v>
      </c>
      <c r="I127" t="s">
        <v>2422</v>
      </c>
    </row>
    <row r="128" spans="1:9" x14ac:dyDescent="0.3">
      <c r="A128" s="30">
        <v>45371.569895833331</v>
      </c>
      <c r="B128" t="s">
        <v>3214</v>
      </c>
      <c r="C128" t="s">
        <v>1627</v>
      </c>
      <c r="F128" s="30">
        <v>45174.877696759257</v>
      </c>
      <c r="G128" t="s">
        <v>2424</v>
      </c>
      <c r="H128" t="s">
        <v>1627</v>
      </c>
      <c r="I128" t="s">
        <v>2422</v>
      </c>
    </row>
    <row r="129" spans="1:9" x14ac:dyDescent="0.3">
      <c r="A129" s="30">
        <v>45371.570694444446</v>
      </c>
      <c r="B129" t="s">
        <v>3217</v>
      </c>
      <c r="C129" t="s">
        <v>1627</v>
      </c>
      <c r="F129" s="30">
        <v>45175.445902777778</v>
      </c>
      <c r="G129" t="s">
        <v>2425</v>
      </c>
      <c r="H129" t="s">
        <v>2359</v>
      </c>
      <c r="I129" t="s">
        <v>2426</v>
      </c>
    </row>
    <row r="130" spans="1:9" x14ac:dyDescent="0.3">
      <c r="A130" s="30">
        <v>45371.571574074071</v>
      </c>
      <c r="B130" t="s">
        <v>3220</v>
      </c>
      <c r="C130" t="s">
        <v>1627</v>
      </c>
      <c r="F130" s="30">
        <v>45175.447199074071</v>
      </c>
      <c r="G130" t="s">
        <v>2427</v>
      </c>
      <c r="H130" t="s">
        <v>2359</v>
      </c>
      <c r="I130" t="s">
        <v>2426</v>
      </c>
    </row>
    <row r="131" spans="1:9" x14ac:dyDescent="0.3">
      <c r="A131" s="30">
        <v>45371.572395833333</v>
      </c>
      <c r="B131" t="s">
        <v>3223</v>
      </c>
      <c r="C131" t="s">
        <v>1627</v>
      </c>
      <c r="F131" s="30">
        <v>45176.72215277778</v>
      </c>
      <c r="G131" t="s">
        <v>2437</v>
      </c>
      <c r="H131" t="s">
        <v>2359</v>
      </c>
    </row>
    <row r="132" spans="1:9" x14ac:dyDescent="0.3">
      <c r="A132" s="30">
        <v>45371.573263888888</v>
      </c>
      <c r="B132" t="s">
        <v>3226</v>
      </c>
      <c r="C132" t="s">
        <v>1627</v>
      </c>
      <c r="F132" s="30">
        <v>45176.72246527778</v>
      </c>
      <c r="G132" t="s">
        <v>2438</v>
      </c>
      <c r="H132" t="s">
        <v>2359</v>
      </c>
    </row>
    <row r="133" spans="1:9" x14ac:dyDescent="0.3">
      <c r="A133" s="30">
        <v>45371.574305555558</v>
      </c>
      <c r="B133" t="s">
        <v>3229</v>
      </c>
      <c r="C133" t="s">
        <v>1627</v>
      </c>
      <c r="F133" s="30">
        <v>45176.791932870372</v>
      </c>
      <c r="G133" t="s">
        <v>2444</v>
      </c>
      <c r="H133" t="s">
        <v>2359</v>
      </c>
    </row>
    <row r="134" spans="1:9" x14ac:dyDescent="0.3">
      <c r="A134" s="30">
        <v>45371.575358796297</v>
      </c>
      <c r="B134" t="s">
        <v>3232</v>
      </c>
      <c r="C134" t="s">
        <v>1627</v>
      </c>
      <c r="F134" s="30">
        <v>45181.397696759261</v>
      </c>
      <c r="G134" t="s">
        <v>2457</v>
      </c>
      <c r="H134" t="s">
        <v>1606</v>
      </c>
      <c r="I134" t="s">
        <v>2458</v>
      </c>
    </row>
    <row r="135" spans="1:9" x14ac:dyDescent="0.3">
      <c r="A135" s="30">
        <v>45371.576215277775</v>
      </c>
      <c r="B135" t="s">
        <v>3235</v>
      </c>
      <c r="C135" t="s">
        <v>1627</v>
      </c>
      <c r="F135" s="30">
        <v>45182.75644675926</v>
      </c>
      <c r="G135" t="s">
        <v>2440</v>
      </c>
      <c r="H135" t="s">
        <v>2359</v>
      </c>
      <c r="I135" t="s">
        <v>2459</v>
      </c>
    </row>
    <row r="136" spans="1:9" x14ac:dyDescent="0.3">
      <c r="A136" s="30">
        <v>45371.5784375</v>
      </c>
      <c r="B136" t="s">
        <v>3238</v>
      </c>
      <c r="C136" t="s">
        <v>1627</v>
      </c>
      <c r="F136" s="30">
        <v>45182.756851851853</v>
      </c>
      <c r="G136" t="s">
        <v>2439</v>
      </c>
      <c r="H136" t="s">
        <v>2359</v>
      </c>
      <c r="I136" t="s">
        <v>2459</v>
      </c>
    </row>
    <row r="137" spans="1:9" x14ac:dyDescent="0.3">
      <c r="A137" s="30">
        <v>45372.627164351848</v>
      </c>
      <c r="B137" t="s">
        <v>3280</v>
      </c>
      <c r="C137" t="s">
        <v>1627</v>
      </c>
      <c r="F137" s="30">
        <v>45190.300057870372</v>
      </c>
      <c r="G137" t="s">
        <v>2462</v>
      </c>
      <c r="H137" t="s">
        <v>2359</v>
      </c>
      <c r="I137" t="s">
        <v>2463</v>
      </c>
    </row>
    <row r="138" spans="1:9" x14ac:dyDescent="0.3">
      <c r="A138" s="30">
        <v>45372.628750000003</v>
      </c>
      <c r="B138" t="s">
        <v>3283</v>
      </c>
      <c r="C138" t="s">
        <v>1627</v>
      </c>
      <c r="F138" s="30">
        <v>45190.616701388892</v>
      </c>
      <c r="G138" t="s">
        <v>2464</v>
      </c>
      <c r="H138" t="s">
        <v>1627</v>
      </c>
      <c r="I138" t="s">
        <v>2465</v>
      </c>
    </row>
    <row r="139" spans="1:9" x14ac:dyDescent="0.3">
      <c r="A139" s="30">
        <v>45372.631782407407</v>
      </c>
      <c r="B139" t="s">
        <v>3286</v>
      </c>
      <c r="C139" t="s">
        <v>1627</v>
      </c>
      <c r="F139" s="30">
        <v>45194.551168981481</v>
      </c>
      <c r="G139" t="s">
        <v>2469</v>
      </c>
      <c r="H139" t="s">
        <v>2359</v>
      </c>
      <c r="I139" t="s">
        <v>2470</v>
      </c>
    </row>
    <row r="140" spans="1:9" x14ac:dyDescent="0.3">
      <c r="A140" s="30">
        <v>45372.633287037039</v>
      </c>
      <c r="B140" t="s">
        <v>3290</v>
      </c>
      <c r="C140" t="s">
        <v>1627</v>
      </c>
      <c r="F140" s="30">
        <v>45195.421597222223</v>
      </c>
      <c r="G140" t="s">
        <v>2471</v>
      </c>
      <c r="H140" t="s">
        <v>1627</v>
      </c>
      <c r="I140" t="s">
        <v>2472</v>
      </c>
    </row>
    <row r="141" spans="1:9" x14ac:dyDescent="0.3">
      <c r="A141" s="30">
        <v>45372.635601851849</v>
      </c>
      <c r="B141" t="s">
        <v>3293</v>
      </c>
      <c r="C141" t="s">
        <v>1627</v>
      </c>
      <c r="F141" s="30">
        <v>45200.337951388887</v>
      </c>
      <c r="G141" t="s">
        <v>2473</v>
      </c>
      <c r="H141" t="s">
        <v>1627</v>
      </c>
      <c r="I141" t="s">
        <v>1083</v>
      </c>
    </row>
    <row r="142" spans="1:9" x14ac:dyDescent="0.3">
      <c r="F142" s="30">
        <v>45201.83289351852</v>
      </c>
      <c r="G142" t="s">
        <v>2474</v>
      </c>
      <c r="H142" t="s">
        <v>1627</v>
      </c>
      <c r="I142" t="s">
        <v>2475</v>
      </c>
    </row>
    <row r="143" spans="1:9" x14ac:dyDescent="0.3">
      <c r="F143" s="30">
        <v>45212.644305555557</v>
      </c>
      <c r="G143" t="s">
        <v>2487</v>
      </c>
      <c r="H143" t="s">
        <v>1627</v>
      </c>
      <c r="I143" t="s">
        <v>2488</v>
      </c>
    </row>
    <row r="144" spans="1:9" x14ac:dyDescent="0.3">
      <c r="F144" s="30">
        <v>45219.45821759259</v>
      </c>
      <c r="G144" t="s">
        <v>2490</v>
      </c>
      <c r="H144" t="s">
        <v>1606</v>
      </c>
      <c r="I144" t="s">
        <v>2354</v>
      </c>
    </row>
    <row r="145" spans="6:9" x14ac:dyDescent="0.3">
      <c r="F145" s="30">
        <v>45225.685543981483</v>
      </c>
      <c r="G145" t="s">
        <v>2499</v>
      </c>
      <c r="H145" t="s">
        <v>1606</v>
      </c>
      <c r="I145" t="s">
        <v>2500</v>
      </c>
    </row>
    <row r="146" spans="6:9" x14ac:dyDescent="0.3">
      <c r="F146" s="30">
        <v>45235.393611111111</v>
      </c>
      <c r="G146" t="s">
        <v>2513</v>
      </c>
      <c r="H146" t="s">
        <v>2359</v>
      </c>
      <c r="I146" t="s">
        <v>2514</v>
      </c>
    </row>
    <row r="147" spans="6:9" x14ac:dyDescent="0.3">
      <c r="F147" s="30">
        <v>45244.709201388891</v>
      </c>
      <c r="G147" t="s">
        <v>2405</v>
      </c>
      <c r="H147" t="s">
        <v>1627</v>
      </c>
      <c r="I147" t="s">
        <v>2525</v>
      </c>
    </row>
    <row r="148" spans="6:9" x14ac:dyDescent="0.3">
      <c r="F148" s="30">
        <v>45250.572534722225</v>
      </c>
      <c r="G148" t="s">
        <v>2539</v>
      </c>
      <c r="H148" t="s">
        <v>2359</v>
      </c>
      <c r="I148" t="s">
        <v>2540</v>
      </c>
    </row>
    <row r="149" spans="6:9" x14ac:dyDescent="0.3">
      <c r="F149" s="30">
        <v>45258.657696759263</v>
      </c>
      <c r="G149" t="s">
        <v>2484</v>
      </c>
      <c r="H149" t="s">
        <v>1627</v>
      </c>
      <c r="I149" t="s">
        <v>2556</v>
      </c>
    </row>
    <row r="150" spans="6:9" x14ac:dyDescent="0.3">
      <c r="F150" s="30">
        <v>45258.657997685186</v>
      </c>
      <c r="G150" t="s">
        <v>2485</v>
      </c>
      <c r="H150" t="s">
        <v>1627</v>
      </c>
      <c r="I150" t="s">
        <v>2555</v>
      </c>
    </row>
    <row r="151" spans="6:9" x14ac:dyDescent="0.3">
      <c r="F151" s="30">
        <v>45264.750613425924</v>
      </c>
      <c r="G151" t="s">
        <v>2617</v>
      </c>
      <c r="H151" t="s">
        <v>1627</v>
      </c>
      <c r="I151" t="s">
        <v>2618</v>
      </c>
    </row>
    <row r="152" spans="6:9" x14ac:dyDescent="0.3">
      <c r="F152" s="30">
        <v>45265.704872685186</v>
      </c>
      <c r="G152" t="s">
        <v>1828</v>
      </c>
      <c r="H152" t="s">
        <v>2359</v>
      </c>
      <c r="I152" t="s">
        <v>2619</v>
      </c>
    </row>
    <row r="153" spans="6:9" x14ac:dyDescent="0.3">
      <c r="F153" s="30">
        <v>45266.521458333336</v>
      </c>
      <c r="G153" t="s">
        <v>2625</v>
      </c>
      <c r="H153" t="s">
        <v>2359</v>
      </c>
      <c r="I153" t="s">
        <v>2626</v>
      </c>
    </row>
    <row r="154" spans="6:9" x14ac:dyDescent="0.3">
      <c r="F154" s="30">
        <v>45271.515474537038</v>
      </c>
      <c r="G154" t="s">
        <v>2637</v>
      </c>
      <c r="H154" t="s">
        <v>2359</v>
      </c>
      <c r="I154" t="s">
        <v>2638</v>
      </c>
    </row>
    <row r="155" spans="6:9" x14ac:dyDescent="0.3">
      <c r="F155" s="30">
        <v>45271.817928240744</v>
      </c>
      <c r="G155" t="s">
        <v>2642</v>
      </c>
      <c r="H155" t="s">
        <v>1606</v>
      </c>
      <c r="I155" t="s">
        <v>2643</v>
      </c>
    </row>
    <row r="156" spans="6:9" x14ac:dyDescent="0.3">
      <c r="F156" s="30">
        <v>45280.408171296294</v>
      </c>
      <c r="G156" t="s">
        <v>2655</v>
      </c>
      <c r="H156" t="s">
        <v>2359</v>
      </c>
      <c r="I156" t="s">
        <v>2656</v>
      </c>
    </row>
    <row r="157" spans="6:9" x14ac:dyDescent="0.3">
      <c r="F157" s="30">
        <v>45293.389189814814</v>
      </c>
      <c r="G157" t="s">
        <v>2708</v>
      </c>
      <c r="H157" t="s">
        <v>1627</v>
      </c>
      <c r="I157" t="s">
        <v>2709</v>
      </c>
    </row>
    <row r="158" spans="6:9" x14ac:dyDescent="0.3">
      <c r="F158" s="30">
        <v>45293.390219907407</v>
      </c>
      <c r="G158" t="s">
        <v>2710</v>
      </c>
      <c r="H158" t="s">
        <v>1627</v>
      </c>
      <c r="I158" t="s">
        <v>2711</v>
      </c>
    </row>
    <row r="159" spans="6:9" x14ac:dyDescent="0.3">
      <c r="F159" s="30">
        <v>45293.39298611111</v>
      </c>
      <c r="G159" t="s">
        <v>2712</v>
      </c>
      <c r="H159" t="s">
        <v>1627</v>
      </c>
      <c r="I159" t="s">
        <v>2713</v>
      </c>
    </row>
    <row r="160" spans="6:9" x14ac:dyDescent="0.3">
      <c r="F160" s="30">
        <v>45293.393900462965</v>
      </c>
      <c r="G160" t="s">
        <v>2714</v>
      </c>
      <c r="H160" t="s">
        <v>1627</v>
      </c>
      <c r="I160" t="s">
        <v>2715</v>
      </c>
    </row>
    <row r="161" spans="6:9" x14ac:dyDescent="0.3">
      <c r="F161" s="30">
        <v>45293.397337962961</v>
      </c>
      <c r="G161" t="s">
        <v>2716</v>
      </c>
      <c r="H161" t="s">
        <v>1627</v>
      </c>
      <c r="I161" t="s">
        <v>2717</v>
      </c>
    </row>
    <row r="162" spans="6:9" x14ac:dyDescent="0.3">
      <c r="F162" s="30">
        <v>45293.483680555553</v>
      </c>
      <c r="G162" t="s">
        <v>2718</v>
      </c>
      <c r="H162" t="s">
        <v>1627</v>
      </c>
      <c r="I162" t="s">
        <v>2719</v>
      </c>
    </row>
    <row r="163" spans="6:9" x14ac:dyDescent="0.3">
      <c r="F163" s="30">
        <v>45293.572824074072</v>
      </c>
      <c r="G163" t="s">
        <v>2720</v>
      </c>
      <c r="H163" t="s">
        <v>1627</v>
      </c>
      <c r="I163" t="s">
        <v>2721</v>
      </c>
    </row>
    <row r="164" spans="6:9" x14ac:dyDescent="0.3">
      <c r="F164" s="30">
        <v>45293.702453703707</v>
      </c>
      <c r="G164" t="s">
        <v>2722</v>
      </c>
      <c r="H164" t="s">
        <v>2359</v>
      </c>
      <c r="I164" t="s">
        <v>2555</v>
      </c>
    </row>
    <row r="165" spans="6:9" x14ac:dyDescent="0.3">
      <c r="F165" s="30">
        <v>45294.298298611109</v>
      </c>
      <c r="G165" t="s">
        <v>2723</v>
      </c>
      <c r="H165" t="s">
        <v>2359</v>
      </c>
      <c r="I165" t="s">
        <v>2724</v>
      </c>
    </row>
    <row r="166" spans="6:9" x14ac:dyDescent="0.3">
      <c r="F166" s="30">
        <v>45294.438761574071</v>
      </c>
      <c r="G166" t="s">
        <v>2725</v>
      </c>
      <c r="H166" t="s">
        <v>2359</v>
      </c>
      <c r="I166" t="s">
        <v>2726</v>
      </c>
    </row>
    <row r="167" spans="6:9" x14ac:dyDescent="0.3">
      <c r="F167" s="30">
        <v>45294.439305555556</v>
      </c>
      <c r="G167" t="s">
        <v>2727</v>
      </c>
      <c r="H167" t="s">
        <v>2359</v>
      </c>
      <c r="I167" t="s">
        <v>2726</v>
      </c>
    </row>
    <row r="168" spans="6:9" x14ac:dyDescent="0.3">
      <c r="F168" s="30">
        <v>45294.439930555556</v>
      </c>
      <c r="G168" t="s">
        <v>2728</v>
      </c>
      <c r="H168" t="s">
        <v>2359</v>
      </c>
      <c r="I168" t="s">
        <v>2729</v>
      </c>
    </row>
    <row r="169" spans="6:9" x14ac:dyDescent="0.3">
      <c r="F169" s="30">
        <v>45294.462245370371</v>
      </c>
      <c r="G169" t="s">
        <v>2730</v>
      </c>
      <c r="H169" t="s">
        <v>2359</v>
      </c>
      <c r="I169" t="s">
        <v>2731</v>
      </c>
    </row>
    <row r="170" spans="6:9" x14ac:dyDescent="0.3">
      <c r="F170" s="30">
        <v>45294.462847222225</v>
      </c>
      <c r="G170" t="s">
        <v>2732</v>
      </c>
      <c r="H170" t="s">
        <v>2359</v>
      </c>
      <c r="I170" t="s">
        <v>2733</v>
      </c>
    </row>
    <row r="171" spans="6:9" x14ac:dyDescent="0.3">
      <c r="F171" s="30">
        <v>45294.463599537034</v>
      </c>
      <c r="G171" t="s">
        <v>2734</v>
      </c>
      <c r="H171" t="s">
        <v>2359</v>
      </c>
      <c r="I171" t="s">
        <v>2735</v>
      </c>
    </row>
    <row r="172" spans="6:9" x14ac:dyDescent="0.3">
      <c r="F172" s="30">
        <v>45294.464189814818</v>
      </c>
      <c r="G172" t="s">
        <v>2736</v>
      </c>
      <c r="H172" t="s">
        <v>2359</v>
      </c>
      <c r="I172" t="s">
        <v>2735</v>
      </c>
    </row>
    <row r="173" spans="6:9" x14ac:dyDescent="0.3">
      <c r="F173" s="30">
        <v>45294.464803240742</v>
      </c>
      <c r="G173" t="s">
        <v>2737</v>
      </c>
      <c r="H173" t="s">
        <v>2359</v>
      </c>
      <c r="I173" t="s">
        <v>2735</v>
      </c>
    </row>
    <row r="174" spans="6:9" x14ac:dyDescent="0.3">
      <c r="F174" s="30">
        <v>45294.465416666666</v>
      </c>
      <c r="G174" t="s">
        <v>2738</v>
      </c>
      <c r="H174" t="s">
        <v>2359</v>
      </c>
      <c r="I174" t="s">
        <v>2735</v>
      </c>
    </row>
    <row r="175" spans="6:9" x14ac:dyDescent="0.3">
      <c r="F175" s="30">
        <v>45294.46597222222</v>
      </c>
      <c r="G175" t="s">
        <v>2739</v>
      </c>
      <c r="H175" t="s">
        <v>2359</v>
      </c>
      <c r="I175" t="s">
        <v>2735</v>
      </c>
    </row>
    <row r="176" spans="6:9" x14ac:dyDescent="0.3">
      <c r="F176" s="30">
        <v>45294.467002314814</v>
      </c>
      <c r="G176" t="s">
        <v>2740</v>
      </c>
      <c r="H176" t="s">
        <v>2359</v>
      </c>
      <c r="I176" t="s">
        <v>2741</v>
      </c>
    </row>
    <row r="177" spans="6:9" x14ac:dyDescent="0.3">
      <c r="F177" s="30">
        <v>45294.467488425929</v>
      </c>
      <c r="G177" t="s">
        <v>2742</v>
      </c>
      <c r="H177" t="s">
        <v>2359</v>
      </c>
      <c r="I177" t="s">
        <v>2741</v>
      </c>
    </row>
    <row r="178" spans="6:9" x14ac:dyDescent="0.3">
      <c r="F178" s="30">
        <v>45294.468182870369</v>
      </c>
      <c r="G178" t="s">
        <v>2743</v>
      </c>
      <c r="H178" t="s">
        <v>2359</v>
      </c>
      <c r="I178" t="s">
        <v>2741</v>
      </c>
    </row>
    <row r="179" spans="6:9" x14ac:dyDescent="0.3">
      <c r="F179" s="30">
        <v>45294.468645833331</v>
      </c>
      <c r="G179" t="s">
        <v>2744</v>
      </c>
      <c r="H179" t="s">
        <v>2359</v>
      </c>
      <c r="I179" t="s">
        <v>2741</v>
      </c>
    </row>
    <row r="180" spans="6:9" x14ac:dyDescent="0.3">
      <c r="F180" s="30">
        <v>45294.469189814816</v>
      </c>
      <c r="G180" t="s">
        <v>2745</v>
      </c>
      <c r="H180" t="s">
        <v>2359</v>
      </c>
      <c r="I180" t="s">
        <v>2741</v>
      </c>
    </row>
    <row r="181" spans="6:9" x14ac:dyDescent="0.3">
      <c r="F181" s="30">
        <v>45294.470486111109</v>
      </c>
      <c r="G181" t="s">
        <v>2746</v>
      </c>
      <c r="H181" t="s">
        <v>2359</v>
      </c>
      <c r="I181" t="s">
        <v>2747</v>
      </c>
    </row>
    <row r="182" spans="6:9" x14ac:dyDescent="0.3">
      <c r="F182" s="30">
        <v>45294.646087962959</v>
      </c>
      <c r="G182" t="s">
        <v>2748</v>
      </c>
      <c r="H182" t="s">
        <v>1627</v>
      </c>
      <c r="I182" t="s">
        <v>2749</v>
      </c>
    </row>
    <row r="183" spans="6:9" x14ac:dyDescent="0.3">
      <c r="F183" s="30">
        <v>45295.724826388891</v>
      </c>
      <c r="G183" t="s">
        <v>2751</v>
      </c>
      <c r="H183" t="s">
        <v>2359</v>
      </c>
      <c r="I183" t="s">
        <v>2752</v>
      </c>
    </row>
    <row r="184" spans="6:9" x14ac:dyDescent="0.3">
      <c r="F184" s="30">
        <v>45295.759444444448</v>
      </c>
      <c r="G184" t="s">
        <v>2753</v>
      </c>
      <c r="H184" t="s">
        <v>2359</v>
      </c>
      <c r="I184" t="s">
        <v>2754</v>
      </c>
    </row>
    <row r="185" spans="6:9" x14ac:dyDescent="0.3">
      <c r="F185" s="30">
        <v>45295.76053240741</v>
      </c>
      <c r="G185" t="s">
        <v>2755</v>
      </c>
      <c r="H185" t="s">
        <v>2359</v>
      </c>
      <c r="I185" t="s">
        <v>2756</v>
      </c>
    </row>
    <row r="186" spans="6:9" x14ac:dyDescent="0.3">
      <c r="F186" s="30">
        <v>45296.686053240737</v>
      </c>
      <c r="G186" t="s">
        <v>2758</v>
      </c>
      <c r="H186" t="s">
        <v>1606</v>
      </c>
      <c r="I186" t="s">
        <v>2759</v>
      </c>
    </row>
    <row r="187" spans="6:9" x14ac:dyDescent="0.3">
      <c r="F187" s="30">
        <v>45299.404965277776</v>
      </c>
      <c r="G187" t="s">
        <v>2436</v>
      </c>
      <c r="H187" t="s">
        <v>2359</v>
      </c>
      <c r="I187" t="s">
        <v>2761</v>
      </c>
    </row>
    <row r="188" spans="6:9" x14ac:dyDescent="0.3">
      <c r="F188" s="30">
        <v>45300.755439814813</v>
      </c>
      <c r="G188" t="s">
        <v>2763</v>
      </c>
      <c r="H188" t="s">
        <v>2359</v>
      </c>
      <c r="I188" t="s">
        <v>2764</v>
      </c>
    </row>
    <row r="189" spans="6:9" x14ac:dyDescent="0.3">
      <c r="F189" s="30">
        <v>45301.458668981482</v>
      </c>
      <c r="G189" t="s">
        <v>2766</v>
      </c>
      <c r="H189" t="s">
        <v>2359</v>
      </c>
      <c r="I189" t="s">
        <v>2767</v>
      </c>
    </row>
    <row r="190" spans="6:9" x14ac:dyDescent="0.3">
      <c r="F190" s="30">
        <v>45309.735509259262</v>
      </c>
      <c r="G190" t="s">
        <v>2785</v>
      </c>
      <c r="H190" t="s">
        <v>1627</v>
      </c>
      <c r="I190" t="s">
        <v>2786</v>
      </c>
    </row>
    <row r="191" spans="6:9" x14ac:dyDescent="0.3">
      <c r="F191" s="30">
        <v>45309.840219907404</v>
      </c>
      <c r="G191" t="s">
        <v>2787</v>
      </c>
      <c r="H191" t="s">
        <v>1627</v>
      </c>
      <c r="I191" t="s">
        <v>2788</v>
      </c>
    </row>
    <row r="192" spans="6:9" x14ac:dyDescent="0.3">
      <c r="F192" s="30">
        <v>45310.563101851854</v>
      </c>
      <c r="G192" t="s">
        <v>2790</v>
      </c>
      <c r="H192" t="s">
        <v>1627</v>
      </c>
      <c r="I192" t="s">
        <v>2791</v>
      </c>
    </row>
    <row r="193" spans="6:9" x14ac:dyDescent="0.3">
      <c r="F193" s="30">
        <v>45311.485590277778</v>
      </c>
      <c r="G193" t="s">
        <v>2792</v>
      </c>
      <c r="H193" t="s">
        <v>1627</v>
      </c>
      <c r="I193" t="s">
        <v>2793</v>
      </c>
    </row>
    <row r="194" spans="6:9" x14ac:dyDescent="0.3">
      <c r="F194" s="30">
        <v>45313.462013888886</v>
      </c>
      <c r="G194" t="s">
        <v>2804</v>
      </c>
      <c r="H194" t="s">
        <v>1627</v>
      </c>
      <c r="I194" t="s">
        <v>2805</v>
      </c>
    </row>
    <row r="195" spans="6:9" x14ac:dyDescent="0.3">
      <c r="F195" s="30">
        <v>45313.463206018518</v>
      </c>
      <c r="G195" t="s">
        <v>2806</v>
      </c>
      <c r="H195" t="s">
        <v>1627</v>
      </c>
      <c r="I195" t="s">
        <v>2805</v>
      </c>
    </row>
    <row r="196" spans="6:9" x14ac:dyDescent="0.3">
      <c r="F196" s="30">
        <v>45313.832754629628</v>
      </c>
      <c r="G196" t="s">
        <v>2808</v>
      </c>
      <c r="H196" t="s">
        <v>1627</v>
      </c>
      <c r="I196" t="s">
        <v>2555</v>
      </c>
    </row>
    <row r="197" spans="6:9" x14ac:dyDescent="0.3">
      <c r="F197" s="30">
        <v>45314.363703703704</v>
      </c>
      <c r="G197" t="s">
        <v>2810</v>
      </c>
      <c r="H197" t="s">
        <v>1627</v>
      </c>
      <c r="I197" t="s">
        <v>2811</v>
      </c>
    </row>
    <row r="198" spans="6:9" x14ac:dyDescent="0.3">
      <c r="F198" s="30">
        <v>45314.493032407408</v>
      </c>
      <c r="G198" t="s">
        <v>2812</v>
      </c>
      <c r="H198" t="s">
        <v>1627</v>
      </c>
      <c r="I198" t="s">
        <v>2813</v>
      </c>
    </row>
    <row r="199" spans="6:9" x14ac:dyDescent="0.3">
      <c r="F199" s="30">
        <v>45321.711574074077</v>
      </c>
      <c r="G199" t="s">
        <v>2817</v>
      </c>
      <c r="H199" t="s">
        <v>1627</v>
      </c>
      <c r="I199" t="s">
        <v>2818</v>
      </c>
    </row>
    <row r="200" spans="6:9" x14ac:dyDescent="0.3">
      <c r="F200" s="30">
        <v>45324.491076388891</v>
      </c>
      <c r="G200" t="s">
        <v>2839</v>
      </c>
      <c r="H200" t="s">
        <v>1627</v>
      </c>
      <c r="I200" t="s">
        <v>2840</v>
      </c>
    </row>
    <row r="201" spans="6:9" x14ac:dyDescent="0.3">
      <c r="F201" s="30">
        <v>45324.4919212963</v>
      </c>
      <c r="G201" t="s">
        <v>2841</v>
      </c>
      <c r="H201" t="s">
        <v>1627</v>
      </c>
      <c r="I201" t="s">
        <v>2842</v>
      </c>
    </row>
    <row r="202" spans="6:9" x14ac:dyDescent="0.3">
      <c r="F202" s="30">
        <v>45324.492824074077</v>
      </c>
      <c r="G202" t="s">
        <v>2843</v>
      </c>
      <c r="H202" t="s">
        <v>1627</v>
      </c>
      <c r="I202" t="s">
        <v>2844</v>
      </c>
    </row>
    <row r="203" spans="6:9" x14ac:dyDescent="0.3">
      <c r="F203" s="30">
        <v>45362.412060185183</v>
      </c>
      <c r="G203" t="s">
        <v>3065</v>
      </c>
      <c r="H203" t="s">
        <v>1606</v>
      </c>
      <c r="I203" t="s">
        <v>3066</v>
      </c>
    </row>
    <row r="204" spans="6:9" x14ac:dyDescent="0.3">
      <c r="F204" s="30">
        <v>45365.316782407404</v>
      </c>
      <c r="G204" t="s">
        <v>3091</v>
      </c>
      <c r="H204" t="s">
        <v>1627</v>
      </c>
      <c r="I204" t="s">
        <v>3092</v>
      </c>
    </row>
    <row r="205" spans="6:9" x14ac:dyDescent="0.3">
      <c r="F205" s="30">
        <v>45370.52443287037</v>
      </c>
      <c r="G205" t="s">
        <v>3153</v>
      </c>
      <c r="H205" t="s">
        <v>3154</v>
      </c>
      <c r="I205" t="s">
        <v>3155</v>
      </c>
    </row>
    <row r="206" spans="6:9" x14ac:dyDescent="0.3">
      <c r="F206" s="30">
        <v>45377.570057870369</v>
      </c>
      <c r="G206" t="s">
        <v>3346</v>
      </c>
      <c r="H206" t="s">
        <v>3154</v>
      </c>
      <c r="I206" t="s">
        <v>3347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VolverDistribucion">
                <anchor moveWithCells="1" sizeWithCells="1">
                  <from>
                    <xdr:col>0</xdr:col>
                    <xdr:colOff>152400</xdr:colOff>
                    <xdr:row>0</xdr:row>
                    <xdr:rowOff>114300</xdr:rowOff>
                  </from>
                  <to>
                    <xdr:col>1</xdr:col>
                    <xdr:colOff>762000</xdr:colOff>
                    <xdr:row>0</xdr:row>
                    <xdr:rowOff>480060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3"/>
  <dimension ref="A1:C22"/>
  <sheetViews>
    <sheetView topLeftCell="A10" zoomScale="120" zoomScaleNormal="120" workbookViewId="0">
      <selection activeCell="B20" sqref="B20"/>
    </sheetView>
  </sheetViews>
  <sheetFormatPr baseColWidth="10" defaultColWidth="11.5546875" defaultRowHeight="13.8" x14ac:dyDescent="0.25"/>
  <cols>
    <col min="1" max="1" width="27.33203125" style="36" bestFit="1" customWidth="1"/>
    <col min="2" max="2" width="38.33203125" style="38" customWidth="1"/>
    <col min="3" max="16384" width="11.5546875" style="35"/>
  </cols>
  <sheetData>
    <row r="1" spans="1:3" ht="25.2" customHeight="1" x14ac:dyDescent="0.35">
      <c r="A1" s="33"/>
      <c r="B1" s="34" t="s">
        <v>1193</v>
      </c>
      <c r="C1" s="33"/>
    </row>
    <row r="2" spans="1:3" ht="27.6" customHeight="1" x14ac:dyDescent="0.25">
      <c r="A2" s="36" t="s">
        <v>1205</v>
      </c>
      <c r="B2" s="35"/>
      <c r="C2" s="33"/>
    </row>
    <row r="4" spans="1:3" x14ac:dyDescent="0.25">
      <c r="A4" s="36" t="s">
        <v>1196</v>
      </c>
      <c r="B4" s="39"/>
      <c r="C4" s="35" t="s">
        <v>1191</v>
      </c>
    </row>
    <row r="5" spans="1:3" x14ac:dyDescent="0.25">
      <c r="B5" s="37" t="s">
        <v>1195</v>
      </c>
    </row>
    <row r="6" spans="1:3" x14ac:dyDescent="0.25">
      <c r="A6" s="36" t="s">
        <v>1197</v>
      </c>
      <c r="B6" s="39"/>
      <c r="C6" s="35" t="s">
        <v>1192</v>
      </c>
    </row>
    <row r="7" spans="1:3" x14ac:dyDescent="0.25">
      <c r="B7" s="37" t="s">
        <v>1195</v>
      </c>
    </row>
    <row r="8" spans="1:3" x14ac:dyDescent="0.25">
      <c r="A8" s="36" t="s">
        <v>1198</v>
      </c>
      <c r="B8" s="39"/>
    </row>
    <row r="9" spans="1:3" x14ac:dyDescent="0.25">
      <c r="B9" s="37" t="s">
        <v>1195</v>
      </c>
    </row>
    <row r="10" spans="1:3" x14ac:dyDescent="0.25">
      <c r="A10" s="36" t="s">
        <v>1199</v>
      </c>
      <c r="B10" s="39"/>
    </row>
    <row r="11" spans="1:3" x14ac:dyDescent="0.25">
      <c r="A11" s="35"/>
      <c r="B11" s="37" t="s">
        <v>1195</v>
      </c>
    </row>
    <row r="12" spans="1:3" x14ac:dyDescent="0.25">
      <c r="A12" s="36" t="s">
        <v>1200</v>
      </c>
      <c r="B12" s="39"/>
    </row>
    <row r="13" spans="1:3" x14ac:dyDescent="0.25">
      <c r="A13" s="35"/>
      <c r="B13" s="37" t="s">
        <v>1195</v>
      </c>
    </row>
    <row r="14" spans="1:3" x14ac:dyDescent="0.25">
      <c r="A14" s="36" t="s">
        <v>1201</v>
      </c>
      <c r="B14" s="39"/>
    </row>
    <row r="15" spans="1:3" x14ac:dyDescent="0.25">
      <c r="B15" s="37" t="s">
        <v>1195</v>
      </c>
    </row>
    <row r="16" spans="1:3" x14ac:dyDescent="0.25">
      <c r="A16" s="36" t="s">
        <v>1202</v>
      </c>
      <c r="B16" s="39"/>
    </row>
    <row r="17" spans="1:3" x14ac:dyDescent="0.25">
      <c r="B17" s="37" t="s">
        <v>1195</v>
      </c>
    </row>
    <row r="18" spans="1:3" x14ac:dyDescent="0.25">
      <c r="A18" s="36" t="s">
        <v>1203</v>
      </c>
      <c r="B18" s="39"/>
    </row>
    <row r="19" spans="1:3" x14ac:dyDescent="0.25">
      <c r="B19" s="37" t="s">
        <v>1195</v>
      </c>
    </row>
    <row r="20" spans="1:3" x14ac:dyDescent="0.25">
      <c r="A20" s="36" t="s">
        <v>1204</v>
      </c>
      <c r="B20" s="32"/>
    </row>
    <row r="22" spans="1:3" x14ac:dyDescent="0.25">
      <c r="A22" s="36" t="s">
        <v>1718</v>
      </c>
      <c r="B22" s="455">
        <v>32401</v>
      </c>
      <c r="C22" s="35" t="s">
        <v>1719</v>
      </c>
    </row>
  </sheetData>
  <sheetProtection algorithmName="SHA-512" hashValue="/jBYP/4tN4W24mziudslXGcf8yNJAvdj0X78hVqa7itzY0Kmdxn2d8ksMgcZbgXtqXZQeXQq3BALNMNbHCNdqg==" saltValue="8oAjKEaxQPM8mFjaRetKcw==" spinCount="100000" sheet="1" objects="1" scenarios="1" selectLockedCells="1"/>
  <dataValidations count="3">
    <dataValidation type="list" allowBlank="1" showInputMessage="1" showErrorMessage="1" sqref="B14" xr:uid="{00000000-0002-0000-1200-000000000000}">
      <formula1>GENERO</formula1>
    </dataValidation>
    <dataValidation type="list" allowBlank="1" showInputMessage="1" showErrorMessage="1" sqref="B16" xr:uid="{00000000-0002-0000-1200-000001000000}">
      <formula1>REPARTICION</formula1>
    </dataValidation>
    <dataValidation type="list" allowBlank="1" showInputMessage="1" showErrorMessage="1" sqref="B18" xr:uid="{00000000-0002-0000-1200-000002000000}">
      <formula1>DESTINACIONES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4" r:id="rId4" name="Button 4">
              <controlPr defaultSize="0" print="0" autoFill="0" autoPict="0" macro="[0]!AgregarFuncionarioPART2">
                <anchor moveWithCells="1" sizeWithCells="1">
                  <from>
                    <xdr:col>1</xdr:col>
                    <xdr:colOff>1051560</xdr:colOff>
                    <xdr:row>22</xdr:row>
                    <xdr:rowOff>106680</xdr:rowOff>
                  </from>
                  <to>
                    <xdr:col>1</xdr:col>
                    <xdr:colOff>2628900</xdr:colOff>
                    <xdr:row>25</xdr:row>
                    <xdr:rowOff>38100</xdr:rowOff>
                  </to>
                </anchor>
              </controlPr>
            </control>
          </mc:Choice>
        </mc:AlternateContent>
        <mc:AlternateContent xmlns:mc="http://schemas.openxmlformats.org/markup-compatibility/2006">
          <mc:Choice Requires="x14">
            <control shapeId="51206" r:id="rId5" name="Button 6">
              <controlPr defaultSize="0" print="0" autoFill="0" autoPict="0" macro="[0]!AgregarFuncionarioCancelar">
                <anchor moveWithCells="1" sizeWithCells="1">
                  <from>
                    <xdr:col>0</xdr:col>
                    <xdr:colOff>1866900</xdr:colOff>
                    <xdr:row>22</xdr:row>
                    <xdr:rowOff>106680</xdr:rowOff>
                  </from>
                  <to>
                    <xdr:col>1</xdr:col>
                    <xdr:colOff>944880</xdr:colOff>
                    <xdr:row>25</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200-000003000000}">
          <x14:formula1>
            <xm:f>Datos!$C$3:$C$17</xm:f>
          </x14:formula1>
          <xm:sqref>B8</xm:sqref>
        </x14:dataValidation>
        <x14:dataValidation type="list" allowBlank="1" showInputMessage="1" showErrorMessage="1" xr:uid="{00000000-0002-0000-1200-000004000000}">
          <x14:formula1>
            <xm:f>Datos!$Q$3:$Q$9</xm:f>
          </x14:formula1>
          <xm:sqref>B10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7" filterMode="1">
    <pageSetUpPr fitToPage="1"/>
  </sheetPr>
  <dimension ref="A1:M87"/>
  <sheetViews>
    <sheetView view="pageBreakPreview" topLeftCell="A28" zoomScale="40" zoomScaleNormal="40" zoomScaleSheetLayoutView="40" workbookViewId="0">
      <selection activeCell="D452" sqref="D452"/>
    </sheetView>
  </sheetViews>
  <sheetFormatPr baseColWidth="10" defaultColWidth="11.5546875" defaultRowHeight="14.4" x14ac:dyDescent="0.3"/>
  <cols>
    <col min="1" max="1" width="11.5546875" style="42"/>
    <col min="2" max="2" width="16.33203125" style="42" customWidth="1"/>
    <col min="3" max="3" width="22.6640625" style="42" bestFit="1" customWidth="1"/>
    <col min="4" max="4" width="9.5546875" style="42" bestFit="1" customWidth="1"/>
    <col min="5" max="5" width="56.109375" style="42" customWidth="1"/>
    <col min="6" max="6" width="9.5546875" style="42" bestFit="1" customWidth="1"/>
    <col min="7" max="7" width="56.109375" style="42" customWidth="1"/>
    <col min="8" max="8" width="9.5546875" style="42" bestFit="1" customWidth="1"/>
    <col min="9" max="9" width="56.109375" style="42" customWidth="1"/>
    <col min="10" max="10" width="9.5546875" style="42" bestFit="1" customWidth="1"/>
    <col min="11" max="11" width="56.109375" style="42" customWidth="1"/>
    <col min="12" max="12" width="9.5546875" style="42" bestFit="1" customWidth="1"/>
    <col min="13" max="13" width="56.109375" style="42" customWidth="1"/>
    <col min="14" max="16384" width="11.5546875" style="42"/>
  </cols>
  <sheetData>
    <row r="1" spans="1:13" ht="160.94999999999999" customHeight="1" x14ac:dyDescent="0.5">
      <c r="A1" s="380">
        <v>22</v>
      </c>
      <c r="B1" s="380"/>
      <c r="C1" s="1271"/>
      <c r="D1" s="1271"/>
      <c r="E1" s="1271"/>
      <c r="F1" s="1271"/>
      <c r="G1" s="1271"/>
      <c r="H1" s="1271"/>
      <c r="I1" s="1271"/>
      <c r="J1" s="1271"/>
      <c r="K1" s="1271"/>
      <c r="L1" s="1271"/>
    </row>
    <row r="2" spans="1:13" ht="23.4" customHeight="1" x14ac:dyDescent="0.3">
      <c r="A2" s="380">
        <v>22</v>
      </c>
      <c r="B2" s="380"/>
      <c r="C2" s="1272" t="s">
        <v>1692</v>
      </c>
      <c r="D2" s="1272"/>
      <c r="E2" s="1272"/>
      <c r="F2" s="1272"/>
      <c r="G2" s="1272"/>
      <c r="H2" s="1272"/>
      <c r="I2" s="1272"/>
      <c r="J2" s="1272"/>
      <c r="K2" s="1272"/>
      <c r="L2" s="1272"/>
      <c r="M2" s="1272"/>
    </row>
    <row r="3" spans="1:13" ht="23.4" hidden="1" x14ac:dyDescent="0.3">
      <c r="A3" s="380">
        <v>0</v>
      </c>
      <c r="B3" s="380"/>
      <c r="D3" s="388">
        <f>'Tabla de Servicio'!B2</f>
        <v>45388</v>
      </c>
      <c r="E3" s="379"/>
      <c r="F3" s="456">
        <f>D3+1</f>
        <v>45389</v>
      </c>
      <c r="G3" s="457"/>
      <c r="H3" s="456">
        <f>F3+1</f>
        <v>45390</v>
      </c>
      <c r="I3" s="457"/>
      <c r="J3" s="456">
        <f>H3+1</f>
        <v>45391</v>
      </c>
      <c r="K3" s="457"/>
      <c r="L3" s="456">
        <f>J3+1</f>
        <v>45392</v>
      </c>
      <c r="M3" s="457"/>
    </row>
    <row r="4" spans="1:13" ht="23.4" x14ac:dyDescent="0.3">
      <c r="A4" s="380">
        <v>22</v>
      </c>
      <c r="B4" s="380"/>
      <c r="D4" s="1274" t="str">
        <f>TEXT(D3,"DDDD")</f>
        <v>sábado</v>
      </c>
      <c r="E4" s="1274"/>
      <c r="F4" s="1274" t="str">
        <f t="shared" ref="F4:L4" si="0">TEXT(F3,"DDDD")</f>
        <v>domingo</v>
      </c>
      <c r="G4" s="1274"/>
      <c r="H4" s="1274" t="str">
        <f t="shared" si="0"/>
        <v>lunes</v>
      </c>
      <c r="I4" s="1274"/>
      <c r="J4" s="1274" t="str">
        <f t="shared" si="0"/>
        <v>martes</v>
      </c>
      <c r="K4" s="1274"/>
      <c r="L4" s="1274" t="str">
        <f t="shared" si="0"/>
        <v>miércoles</v>
      </c>
      <c r="M4" s="1274"/>
    </row>
    <row r="5" spans="1:13" ht="23.4" x14ac:dyDescent="0.3">
      <c r="A5" s="380">
        <v>22</v>
      </c>
      <c r="B5" s="380"/>
      <c r="D5" s="1274" t="str">
        <f>TEXT(D3,"D")</f>
        <v>6</v>
      </c>
      <c r="E5" s="1274"/>
      <c r="F5" s="1275" t="str">
        <f t="shared" ref="F5:L5" si="1">TEXT(F3,"D")</f>
        <v>7</v>
      </c>
      <c r="G5" s="1275"/>
      <c r="H5" s="1275" t="str">
        <f t="shared" si="1"/>
        <v>8</v>
      </c>
      <c r="I5" s="1275"/>
      <c r="J5" s="1275" t="str">
        <f t="shared" si="1"/>
        <v>9</v>
      </c>
      <c r="K5" s="1275"/>
      <c r="L5" s="1275" t="str">
        <f t="shared" si="1"/>
        <v>10</v>
      </c>
      <c r="M5" s="1275"/>
    </row>
    <row r="6" spans="1:13" ht="17.399999999999999" x14ac:dyDescent="0.3">
      <c r="A6" s="380">
        <v>22</v>
      </c>
      <c r="B6" s="380"/>
      <c r="C6" s="1273" t="s">
        <v>1684</v>
      </c>
      <c r="D6" s="1273"/>
      <c r="E6" s="1273"/>
      <c r="F6" s="1273"/>
      <c r="G6" s="1273"/>
      <c r="H6" s="1273"/>
      <c r="I6" s="1273"/>
      <c r="J6" s="1273"/>
      <c r="K6" s="1273"/>
      <c r="L6" s="1273"/>
      <c r="M6" s="1273"/>
    </row>
    <row r="7" spans="1:13" ht="23.4" x14ac:dyDescent="0.3">
      <c r="A7" s="380">
        <v>22</v>
      </c>
      <c r="C7" s="329" t="s">
        <v>714</v>
      </c>
      <c r="D7" s="330" t="str">
        <f t="shared" ref="D7:D12" si="2">IFERROR(VLOOKUP($C7,TABLA_PARA_ROL,2,FALSE),"")</f>
        <v/>
      </c>
      <c r="E7" s="330" t="str">
        <f t="shared" ref="E7:E12" si="3">IFERROR(VLOOKUP($C7,TABLA_PARA_ROL,3,FALSE),"")</f>
        <v/>
      </c>
      <c r="F7" s="330" t="str">
        <f t="shared" ref="F7:F12" si="4">IFERROR(VLOOKUP($C7,TABLA_PARA_ROL,4,FALSE),"")</f>
        <v/>
      </c>
      <c r="G7" s="330" t="str">
        <f t="shared" ref="G7:G12" si="5">IFERROR(VLOOKUP($C7,TABLA_PARA_ROL,5,FALSE),"")</f>
        <v/>
      </c>
      <c r="H7" s="330" t="str">
        <f t="shared" ref="H7:H12" si="6">IFERROR(VLOOKUP($C7,TABLA_PARA_ROL,6,FALSE),"")</f>
        <v/>
      </c>
      <c r="I7" s="330" t="str">
        <f t="shared" ref="I7:I12" si="7">IFERROR(VLOOKUP($C7,TABLA_PARA_ROL,7,FALSE),"")</f>
        <v/>
      </c>
      <c r="J7" s="330" t="str">
        <f t="shared" ref="J7:J12" si="8">IFERROR(VLOOKUP($C7,TABLA_PARA_ROL,8,FALSE),"")</f>
        <v/>
      </c>
      <c r="K7" s="330" t="str">
        <f t="shared" ref="K7:K12" si="9">IFERROR(VLOOKUP($C7,TABLA_PARA_ROL,9,FALSE),"")</f>
        <v/>
      </c>
      <c r="L7" s="330" t="str">
        <f t="shared" ref="L7:L12" si="10">IFERROR(VLOOKUP($C7,TABLA_PARA_ROL,10,FALSE),"")</f>
        <v/>
      </c>
      <c r="M7" s="330" t="str">
        <f t="shared" ref="M7:M12" si="11">IFERROR(VLOOKUP($C7,TABLA_PARA_ROL,11,FALSE),"")</f>
        <v/>
      </c>
    </row>
    <row r="8" spans="1:13" ht="23.4" hidden="1" x14ac:dyDescent="0.3">
      <c r="A8" s="42">
        <f>IF(C8&lt;&gt;0,IF(COUNTIF(C8:M8,"")=10,0,22),0)</f>
        <v>0</v>
      </c>
      <c r="C8" s="329" t="s">
        <v>1235</v>
      </c>
      <c r="D8" s="330" t="str">
        <f t="shared" si="2"/>
        <v/>
      </c>
      <c r="E8" s="330" t="str">
        <f t="shared" si="3"/>
        <v/>
      </c>
      <c r="F8" s="330" t="str">
        <f t="shared" si="4"/>
        <v/>
      </c>
      <c r="G8" s="330" t="str">
        <f t="shared" si="5"/>
        <v/>
      </c>
      <c r="H8" s="330" t="str">
        <f t="shared" si="6"/>
        <v/>
      </c>
      <c r="I8" s="330" t="str">
        <f t="shared" si="7"/>
        <v/>
      </c>
      <c r="J8" s="330" t="str">
        <f t="shared" si="8"/>
        <v/>
      </c>
      <c r="K8" s="330" t="str">
        <f t="shared" si="9"/>
        <v/>
      </c>
      <c r="L8" s="330" t="str">
        <f t="shared" si="10"/>
        <v/>
      </c>
      <c r="M8" s="330" t="str">
        <f t="shared" si="11"/>
        <v/>
      </c>
    </row>
    <row r="9" spans="1:13" ht="23.4" x14ac:dyDescent="0.3">
      <c r="A9" s="380">
        <v>22</v>
      </c>
      <c r="C9" s="330" t="s">
        <v>726</v>
      </c>
      <c r="D9" s="330" t="str">
        <f t="shared" si="2"/>
        <v/>
      </c>
      <c r="E9" s="330" t="str">
        <f t="shared" si="3"/>
        <v/>
      </c>
      <c r="F9" s="330" t="str">
        <f t="shared" si="4"/>
        <v/>
      </c>
      <c r="G9" s="330" t="str">
        <f t="shared" si="5"/>
        <v/>
      </c>
      <c r="H9" s="330" t="str">
        <f t="shared" si="6"/>
        <v/>
      </c>
      <c r="I9" s="330" t="str">
        <f t="shared" si="7"/>
        <v/>
      </c>
      <c r="J9" s="330" t="str">
        <f t="shared" si="8"/>
        <v/>
      </c>
      <c r="K9" s="330" t="str">
        <f t="shared" si="9"/>
        <v/>
      </c>
      <c r="L9" s="330" t="str">
        <f t="shared" si="10"/>
        <v/>
      </c>
      <c r="M9" s="330" t="str">
        <f t="shared" si="11"/>
        <v/>
      </c>
    </row>
    <row r="10" spans="1:13" ht="23.4" hidden="1" x14ac:dyDescent="0.3">
      <c r="A10" s="42">
        <f>IF(C10&lt;&gt;0,IF(COUNTIF(C10:M10,"")=10,0,22),0)</f>
        <v>0</v>
      </c>
      <c r="C10" s="330" t="s">
        <v>1236</v>
      </c>
      <c r="D10" s="330" t="str">
        <f t="shared" si="2"/>
        <v/>
      </c>
      <c r="E10" s="330" t="str">
        <f t="shared" si="3"/>
        <v/>
      </c>
      <c r="F10" s="330" t="str">
        <f t="shared" si="4"/>
        <v/>
      </c>
      <c r="G10" s="330" t="str">
        <f t="shared" si="5"/>
        <v/>
      </c>
      <c r="H10" s="330" t="str">
        <f t="shared" si="6"/>
        <v/>
      </c>
      <c r="I10" s="330" t="str">
        <f t="shared" si="7"/>
        <v/>
      </c>
      <c r="J10" s="330" t="str">
        <f t="shared" si="8"/>
        <v/>
      </c>
      <c r="K10" s="330" t="str">
        <f t="shared" si="9"/>
        <v/>
      </c>
      <c r="L10" s="330" t="str">
        <f t="shared" si="10"/>
        <v/>
      </c>
      <c r="M10" s="330" t="str">
        <f t="shared" si="11"/>
        <v/>
      </c>
    </row>
    <row r="11" spans="1:13" ht="23.4" x14ac:dyDescent="0.3">
      <c r="A11" s="380">
        <v>22</v>
      </c>
      <c r="C11" s="329" t="s">
        <v>713</v>
      </c>
      <c r="D11" s="330" t="str">
        <f t="shared" si="2"/>
        <v/>
      </c>
      <c r="E11" s="330" t="str">
        <f t="shared" si="3"/>
        <v/>
      </c>
      <c r="F11" s="330" t="str">
        <f t="shared" si="4"/>
        <v/>
      </c>
      <c r="G11" s="330" t="str">
        <f t="shared" si="5"/>
        <v/>
      </c>
      <c r="H11" s="330" t="str">
        <f t="shared" si="6"/>
        <v/>
      </c>
      <c r="I11" s="330" t="str">
        <f t="shared" si="7"/>
        <v/>
      </c>
      <c r="J11" s="330" t="str">
        <f t="shared" si="8"/>
        <v/>
      </c>
      <c r="K11" s="330" t="str">
        <f t="shared" si="9"/>
        <v/>
      </c>
      <c r="L11" s="330" t="str">
        <f t="shared" si="10"/>
        <v/>
      </c>
      <c r="M11" s="330" t="str">
        <f t="shared" si="11"/>
        <v/>
      </c>
    </row>
    <row r="12" spans="1:13" ht="23.4" hidden="1" x14ac:dyDescent="0.3">
      <c r="A12" s="42">
        <f>IF(C12&lt;&gt;0,IF(COUNTIF(C12:M12,"")=10,0,22),0)</f>
        <v>0</v>
      </c>
      <c r="C12" s="329" t="s">
        <v>1237</v>
      </c>
      <c r="D12" s="330" t="str">
        <f t="shared" si="2"/>
        <v/>
      </c>
      <c r="E12" s="330" t="str">
        <f t="shared" si="3"/>
        <v/>
      </c>
      <c r="F12" s="330" t="str">
        <f t="shared" si="4"/>
        <v/>
      </c>
      <c r="G12" s="330" t="str">
        <f t="shared" si="5"/>
        <v/>
      </c>
      <c r="H12" s="330" t="str">
        <f t="shared" si="6"/>
        <v/>
      </c>
      <c r="I12" s="330" t="str">
        <f t="shared" si="7"/>
        <v/>
      </c>
      <c r="J12" s="330" t="str">
        <f t="shared" si="8"/>
        <v/>
      </c>
      <c r="K12" s="330" t="str">
        <f t="shared" si="9"/>
        <v/>
      </c>
      <c r="L12" s="330" t="str">
        <f t="shared" si="10"/>
        <v/>
      </c>
      <c r="M12" s="330" t="str">
        <f t="shared" si="11"/>
        <v/>
      </c>
    </row>
    <row r="13" spans="1:13" ht="17.399999999999999" x14ac:dyDescent="0.3">
      <c r="A13" s="380">
        <v>22</v>
      </c>
      <c r="B13" s="380"/>
      <c r="C13" s="1273" t="s">
        <v>1685</v>
      </c>
      <c r="D13" s="1273"/>
      <c r="E13" s="1273"/>
      <c r="F13" s="1273"/>
      <c r="G13" s="1273"/>
      <c r="H13" s="1273"/>
      <c r="I13" s="1273"/>
      <c r="J13" s="1273"/>
      <c r="K13" s="1273"/>
      <c r="L13" s="1273"/>
      <c r="M13" s="1273"/>
    </row>
    <row r="14" spans="1:13" ht="23.4" x14ac:dyDescent="0.3">
      <c r="A14" s="380">
        <v>22</v>
      </c>
      <c r="C14" s="330" t="s">
        <v>740</v>
      </c>
      <c r="D14" s="330" t="str">
        <f t="shared" ref="D14:D19" si="12">IFERROR(VLOOKUP($C14,TABLA_PARA_ROL,2,FALSE),"")</f>
        <v/>
      </c>
      <c r="E14" s="330" t="str">
        <f t="shared" ref="E14:E19" si="13">IFERROR(VLOOKUP($C14,TABLA_PARA_ROL,3,FALSE),"")</f>
        <v/>
      </c>
      <c r="F14" s="330" t="str">
        <f t="shared" ref="F14:F19" si="14">IFERROR(VLOOKUP($C14,TABLA_PARA_ROL,4,FALSE),"")</f>
        <v/>
      </c>
      <c r="G14" s="330" t="str">
        <f t="shared" ref="G14:G19" si="15">IFERROR(VLOOKUP($C14,TABLA_PARA_ROL,5,FALSE),"")</f>
        <v/>
      </c>
      <c r="H14" s="330" t="str">
        <f t="shared" ref="H14:H19" si="16">IFERROR(VLOOKUP($C14,TABLA_PARA_ROL,6,FALSE),"")</f>
        <v/>
      </c>
      <c r="I14" s="330" t="str">
        <f t="shared" ref="I14:I19" si="17">IFERROR(VLOOKUP($C14,TABLA_PARA_ROL,7,FALSE),"")</f>
        <v/>
      </c>
      <c r="J14" s="330" t="str">
        <f t="shared" ref="J14:J19" si="18">IFERROR(VLOOKUP($C14,TABLA_PARA_ROL,8,FALSE),"")</f>
        <v/>
      </c>
      <c r="K14" s="330" t="str">
        <f t="shared" ref="K14:K19" si="19">IFERROR(VLOOKUP($C14,TABLA_PARA_ROL,9,FALSE),"")</f>
        <v/>
      </c>
      <c r="L14" s="330" t="str">
        <f t="shared" ref="L14:L19" si="20">IFERROR(VLOOKUP($C14,TABLA_PARA_ROL,10,FALSE),"")</f>
        <v/>
      </c>
      <c r="M14" s="330" t="str">
        <f t="shared" ref="M14:M19" si="21">IFERROR(VLOOKUP($C14,TABLA_PARA_ROL,11,FALSE),"")</f>
        <v/>
      </c>
    </row>
    <row r="15" spans="1:13" ht="23.4" hidden="1" x14ac:dyDescent="0.3">
      <c r="A15" s="42">
        <f>IF(C15&lt;&gt;0,IF(COUNTIF(C15:M15,"")=10,0,22),0)</f>
        <v>0</v>
      </c>
      <c r="C15" s="330" t="s">
        <v>1238</v>
      </c>
      <c r="D15" s="330" t="str">
        <f t="shared" si="12"/>
        <v/>
      </c>
      <c r="E15" s="330" t="str">
        <f t="shared" si="13"/>
        <v/>
      </c>
      <c r="F15" s="330" t="str">
        <f t="shared" si="14"/>
        <v/>
      </c>
      <c r="G15" s="330" t="str">
        <f t="shared" si="15"/>
        <v/>
      </c>
      <c r="H15" s="330" t="str">
        <f t="shared" si="16"/>
        <v/>
      </c>
      <c r="I15" s="330" t="str">
        <f t="shared" si="17"/>
        <v/>
      </c>
      <c r="J15" s="330" t="str">
        <f t="shared" si="18"/>
        <v/>
      </c>
      <c r="K15" s="330" t="str">
        <f t="shared" si="19"/>
        <v/>
      </c>
      <c r="L15" s="330" t="str">
        <f t="shared" si="20"/>
        <v/>
      </c>
      <c r="M15" s="330" t="str">
        <f t="shared" si="21"/>
        <v/>
      </c>
    </row>
    <row r="16" spans="1:13" ht="23.4" x14ac:dyDescent="0.3">
      <c r="A16" s="380">
        <v>22</v>
      </c>
      <c r="C16" s="329" t="s">
        <v>702</v>
      </c>
      <c r="D16" s="330" t="str">
        <f t="shared" si="12"/>
        <v/>
      </c>
      <c r="E16" s="330" t="str">
        <f t="shared" si="13"/>
        <v/>
      </c>
      <c r="F16" s="330" t="str">
        <f t="shared" si="14"/>
        <v/>
      </c>
      <c r="G16" s="330" t="str">
        <f t="shared" si="15"/>
        <v/>
      </c>
      <c r="H16" s="330" t="str">
        <f t="shared" si="16"/>
        <v/>
      </c>
      <c r="I16" s="330" t="str">
        <f t="shared" si="17"/>
        <v/>
      </c>
      <c r="J16" s="330" t="str">
        <f t="shared" si="18"/>
        <v/>
      </c>
      <c r="K16" s="330" t="str">
        <f t="shared" si="19"/>
        <v/>
      </c>
      <c r="L16" s="330" t="str">
        <f t="shared" si="20"/>
        <v/>
      </c>
      <c r="M16" s="330" t="str">
        <f t="shared" si="21"/>
        <v/>
      </c>
    </row>
    <row r="17" spans="1:13" ht="23.4" hidden="1" x14ac:dyDescent="0.3">
      <c r="A17" s="42">
        <f>IF(C17&lt;&gt;0,IF(COUNTIF(C17:M17,"")=10,0,22),0)</f>
        <v>0</v>
      </c>
      <c r="C17" s="329" t="s">
        <v>1239</v>
      </c>
      <c r="D17" s="330" t="str">
        <f t="shared" si="12"/>
        <v/>
      </c>
      <c r="E17" s="330" t="str">
        <f t="shared" si="13"/>
        <v/>
      </c>
      <c r="F17" s="330" t="str">
        <f t="shared" si="14"/>
        <v/>
      </c>
      <c r="G17" s="330" t="str">
        <f t="shared" si="15"/>
        <v/>
      </c>
      <c r="H17" s="330" t="str">
        <f t="shared" si="16"/>
        <v/>
      </c>
      <c r="I17" s="330" t="str">
        <f t="shared" si="17"/>
        <v/>
      </c>
      <c r="J17" s="330" t="str">
        <f t="shared" si="18"/>
        <v/>
      </c>
      <c r="K17" s="330" t="str">
        <f t="shared" si="19"/>
        <v/>
      </c>
      <c r="L17" s="330" t="str">
        <f t="shared" si="20"/>
        <v/>
      </c>
      <c r="M17" s="330" t="str">
        <f t="shared" si="21"/>
        <v/>
      </c>
    </row>
    <row r="18" spans="1:13" ht="23.4" x14ac:dyDescent="0.3">
      <c r="A18" s="380">
        <v>22</v>
      </c>
      <c r="C18" s="330" t="s">
        <v>742</v>
      </c>
      <c r="D18" s="330" t="str">
        <f t="shared" si="12"/>
        <v/>
      </c>
      <c r="E18" s="330" t="str">
        <f t="shared" si="13"/>
        <v/>
      </c>
      <c r="F18" s="330" t="str">
        <f t="shared" si="14"/>
        <v/>
      </c>
      <c r="G18" s="330" t="str">
        <f t="shared" si="15"/>
        <v/>
      </c>
      <c r="H18" s="330" t="str">
        <f t="shared" si="16"/>
        <v/>
      </c>
      <c r="I18" s="330" t="str">
        <f t="shared" si="17"/>
        <v/>
      </c>
      <c r="J18" s="330" t="str">
        <f t="shared" si="18"/>
        <v/>
      </c>
      <c r="K18" s="330" t="str">
        <f t="shared" si="19"/>
        <v/>
      </c>
      <c r="L18" s="330" t="str">
        <f t="shared" si="20"/>
        <v/>
      </c>
      <c r="M18" s="330" t="str">
        <f t="shared" si="21"/>
        <v/>
      </c>
    </row>
    <row r="19" spans="1:13" ht="23.4" x14ac:dyDescent="0.3">
      <c r="A19" s="42">
        <f>IF(C19&lt;&gt;0,IF(COUNTIF(C19:M19,"")=10,0,22),0)</f>
        <v>0</v>
      </c>
      <c r="C19" s="330" t="s">
        <v>1240</v>
      </c>
      <c r="D19" s="330" t="str">
        <f t="shared" si="12"/>
        <v/>
      </c>
      <c r="E19" s="330" t="str">
        <f t="shared" si="13"/>
        <v/>
      </c>
      <c r="F19" s="330" t="str">
        <f t="shared" si="14"/>
        <v/>
      </c>
      <c r="G19" s="330" t="str">
        <f t="shared" si="15"/>
        <v/>
      </c>
      <c r="H19" s="330" t="str">
        <f t="shared" si="16"/>
        <v/>
      </c>
      <c r="I19" s="330" t="str">
        <f t="shared" si="17"/>
        <v/>
      </c>
      <c r="J19" s="330" t="str">
        <f t="shared" si="18"/>
        <v/>
      </c>
      <c r="K19" s="330" t="str">
        <f t="shared" si="19"/>
        <v/>
      </c>
      <c r="L19" s="330" t="str">
        <f t="shared" si="20"/>
        <v/>
      </c>
      <c r="M19" s="330" t="str">
        <f t="shared" si="21"/>
        <v/>
      </c>
    </row>
    <row r="20" spans="1:13" ht="17.399999999999999" x14ac:dyDescent="0.3">
      <c r="A20" s="380">
        <v>22</v>
      </c>
      <c r="B20" s="380"/>
      <c r="C20" s="1273" t="s">
        <v>1686</v>
      </c>
      <c r="D20" s="1273"/>
      <c r="E20" s="1273"/>
      <c r="F20" s="1273"/>
      <c r="G20" s="1273"/>
      <c r="H20" s="1273"/>
      <c r="I20" s="1273"/>
      <c r="J20" s="1273"/>
      <c r="K20" s="1273"/>
      <c r="L20" s="1273"/>
      <c r="M20" s="1273"/>
    </row>
    <row r="21" spans="1:13" ht="23.4" x14ac:dyDescent="0.3">
      <c r="A21" s="380">
        <v>22</v>
      </c>
      <c r="C21" s="329" t="s">
        <v>712</v>
      </c>
      <c r="D21" s="330" t="str">
        <f t="shared" ref="D21:D26" si="22">IFERROR(VLOOKUP($C21,TABLA_PARA_ROL,2,FALSE),"")</f>
        <v/>
      </c>
      <c r="E21" s="330" t="str">
        <f t="shared" ref="E21:E26" si="23">IFERROR(VLOOKUP($C21,TABLA_PARA_ROL,3,FALSE),"")</f>
        <v/>
      </c>
      <c r="F21" s="330" t="str">
        <f t="shared" ref="F21:F26" si="24">IFERROR(VLOOKUP($C21,TABLA_PARA_ROL,4,FALSE),"")</f>
        <v/>
      </c>
      <c r="G21" s="330" t="str">
        <f t="shared" ref="G21:G26" si="25">IFERROR(VLOOKUP($C21,TABLA_PARA_ROL,5,FALSE),"")</f>
        <v/>
      </c>
      <c r="H21" s="330" t="str">
        <f t="shared" ref="H21:H26" si="26">IFERROR(VLOOKUP($C21,TABLA_PARA_ROL,6,FALSE),"")</f>
        <v/>
      </c>
      <c r="I21" s="330" t="str">
        <f t="shared" ref="I21:I26" si="27">IFERROR(VLOOKUP($C21,TABLA_PARA_ROL,7,FALSE),"")</f>
        <v/>
      </c>
      <c r="J21" s="330" t="str">
        <f t="shared" ref="J21:J26" si="28">IFERROR(VLOOKUP($C21,TABLA_PARA_ROL,8,FALSE),"")</f>
        <v/>
      </c>
      <c r="K21" s="330" t="str">
        <f t="shared" ref="K21:K26" si="29">IFERROR(VLOOKUP($C21,TABLA_PARA_ROL,9,FALSE),"")</f>
        <v/>
      </c>
      <c r="L21" s="330" t="str">
        <f t="shared" ref="L21:L26" si="30">IFERROR(VLOOKUP($C21,TABLA_PARA_ROL,10,FALSE),"")</f>
        <v/>
      </c>
      <c r="M21" s="330" t="str">
        <f t="shared" ref="M21:M26" si="31">IFERROR(VLOOKUP($C21,TABLA_PARA_ROL,11,FALSE),"")</f>
        <v/>
      </c>
    </row>
    <row r="22" spans="1:13" ht="23.4" x14ac:dyDescent="0.3">
      <c r="A22" s="42">
        <f>IF(C22&lt;&gt;0,IF(COUNTIF(C22:M22,"")=10,0,22),0)</f>
        <v>0</v>
      </c>
      <c r="C22" s="329" t="s">
        <v>1241</v>
      </c>
      <c r="D22" s="330" t="str">
        <f t="shared" si="22"/>
        <v/>
      </c>
      <c r="E22" s="330" t="str">
        <f t="shared" si="23"/>
        <v/>
      </c>
      <c r="F22" s="330" t="str">
        <f t="shared" si="24"/>
        <v/>
      </c>
      <c r="G22" s="330" t="str">
        <f t="shared" si="25"/>
        <v/>
      </c>
      <c r="H22" s="330" t="str">
        <f t="shared" si="26"/>
        <v/>
      </c>
      <c r="I22" s="330" t="str">
        <f t="shared" si="27"/>
        <v/>
      </c>
      <c r="J22" s="330" t="str">
        <f t="shared" si="28"/>
        <v/>
      </c>
      <c r="K22" s="330" t="str">
        <f t="shared" si="29"/>
        <v/>
      </c>
      <c r="L22" s="330" t="str">
        <f t="shared" si="30"/>
        <v/>
      </c>
      <c r="M22" s="330" t="str">
        <f t="shared" si="31"/>
        <v/>
      </c>
    </row>
    <row r="23" spans="1:13" ht="23.4" x14ac:dyDescent="0.3">
      <c r="A23" s="380">
        <v>22</v>
      </c>
      <c r="C23" s="330" t="s">
        <v>701</v>
      </c>
      <c r="D23" s="330" t="str">
        <f t="shared" si="22"/>
        <v/>
      </c>
      <c r="E23" s="330" t="str">
        <f t="shared" si="23"/>
        <v/>
      </c>
      <c r="F23" s="330" t="str">
        <f t="shared" si="24"/>
        <v/>
      </c>
      <c r="G23" s="330" t="str">
        <f t="shared" si="25"/>
        <v/>
      </c>
      <c r="H23" s="330" t="str">
        <f t="shared" si="26"/>
        <v/>
      </c>
      <c r="I23" s="330" t="str">
        <f t="shared" si="27"/>
        <v/>
      </c>
      <c r="J23" s="330" t="str">
        <f t="shared" si="28"/>
        <v/>
      </c>
      <c r="K23" s="330" t="str">
        <f t="shared" si="29"/>
        <v/>
      </c>
      <c r="L23" s="330" t="str">
        <f t="shared" si="30"/>
        <v/>
      </c>
      <c r="M23" s="330" t="str">
        <f t="shared" si="31"/>
        <v/>
      </c>
    </row>
    <row r="24" spans="1:13" ht="23.4" hidden="1" x14ac:dyDescent="0.3">
      <c r="A24" s="42">
        <f>IF(C24&lt;&gt;0,IF(COUNTIF(C24:M24,"")=10,0,22),0)</f>
        <v>0</v>
      </c>
      <c r="C24" s="330" t="s">
        <v>1242</v>
      </c>
      <c r="D24" s="330" t="str">
        <f t="shared" si="22"/>
        <v/>
      </c>
      <c r="E24" s="330" t="str">
        <f t="shared" si="23"/>
        <v/>
      </c>
      <c r="F24" s="330" t="str">
        <f t="shared" si="24"/>
        <v/>
      </c>
      <c r="G24" s="330" t="str">
        <f t="shared" si="25"/>
        <v/>
      </c>
      <c r="H24" s="330" t="str">
        <f t="shared" si="26"/>
        <v/>
      </c>
      <c r="I24" s="330" t="str">
        <f t="shared" si="27"/>
        <v/>
      </c>
      <c r="J24" s="330" t="str">
        <f t="shared" si="28"/>
        <v/>
      </c>
      <c r="K24" s="330" t="str">
        <f t="shared" si="29"/>
        <v/>
      </c>
      <c r="L24" s="330" t="str">
        <f t="shared" si="30"/>
        <v/>
      </c>
      <c r="M24" s="330" t="str">
        <f t="shared" si="31"/>
        <v/>
      </c>
    </row>
    <row r="25" spans="1:13" ht="23.4" x14ac:dyDescent="0.3">
      <c r="A25" s="380">
        <v>22</v>
      </c>
      <c r="C25" s="329" t="s">
        <v>704</v>
      </c>
      <c r="D25" s="330" t="str">
        <f t="shared" si="22"/>
        <v/>
      </c>
      <c r="E25" s="330" t="str">
        <f t="shared" si="23"/>
        <v/>
      </c>
      <c r="F25" s="330" t="str">
        <f t="shared" si="24"/>
        <v/>
      </c>
      <c r="G25" s="330" t="str">
        <f t="shared" si="25"/>
        <v/>
      </c>
      <c r="H25" s="330" t="str">
        <f t="shared" si="26"/>
        <v/>
      </c>
      <c r="I25" s="330" t="str">
        <f t="shared" si="27"/>
        <v/>
      </c>
      <c r="J25" s="330" t="str">
        <f t="shared" si="28"/>
        <v/>
      </c>
      <c r="K25" s="330" t="str">
        <f t="shared" si="29"/>
        <v/>
      </c>
      <c r="L25" s="330" t="str">
        <f t="shared" si="30"/>
        <v/>
      </c>
      <c r="M25" s="330" t="str">
        <f t="shared" si="31"/>
        <v/>
      </c>
    </row>
    <row r="26" spans="1:13" ht="23.4" hidden="1" x14ac:dyDescent="0.3">
      <c r="A26" s="42">
        <f>IF(C26&lt;&gt;0,IF(COUNTIF(C26:M26,"")=10,0,22),0)</f>
        <v>0</v>
      </c>
      <c r="C26" s="329" t="s">
        <v>1243</v>
      </c>
      <c r="D26" s="330" t="str">
        <f t="shared" si="22"/>
        <v/>
      </c>
      <c r="E26" s="330" t="str">
        <f t="shared" si="23"/>
        <v/>
      </c>
      <c r="F26" s="330" t="str">
        <f t="shared" si="24"/>
        <v/>
      </c>
      <c r="G26" s="330" t="str">
        <f t="shared" si="25"/>
        <v/>
      </c>
      <c r="H26" s="330" t="str">
        <f t="shared" si="26"/>
        <v/>
      </c>
      <c r="I26" s="330" t="str">
        <f t="shared" si="27"/>
        <v/>
      </c>
      <c r="J26" s="330" t="str">
        <f t="shared" si="28"/>
        <v/>
      </c>
      <c r="K26" s="330" t="str">
        <f t="shared" si="29"/>
        <v/>
      </c>
      <c r="L26" s="330" t="str">
        <f t="shared" si="30"/>
        <v/>
      </c>
      <c r="M26" s="330" t="str">
        <f t="shared" si="31"/>
        <v/>
      </c>
    </row>
    <row r="27" spans="1:13" ht="17.399999999999999" x14ac:dyDescent="0.3">
      <c r="A27" s="380">
        <v>22</v>
      </c>
      <c r="B27" s="380"/>
      <c r="C27" s="1273" t="s">
        <v>1687</v>
      </c>
      <c r="D27" s="1273"/>
      <c r="E27" s="1273"/>
      <c r="F27" s="1273"/>
      <c r="G27" s="1273"/>
      <c r="H27" s="1273"/>
      <c r="I27" s="1273"/>
      <c r="J27" s="1273"/>
      <c r="K27" s="1273"/>
      <c r="L27" s="1273"/>
      <c r="M27" s="1273"/>
    </row>
    <row r="28" spans="1:13" ht="23.4" x14ac:dyDescent="0.3">
      <c r="A28" s="380">
        <v>22</v>
      </c>
      <c r="C28" s="330" t="s">
        <v>750</v>
      </c>
      <c r="D28" s="330" t="str">
        <f t="shared" ref="D28:D33" si="32">IFERROR(VLOOKUP($C28,TABLA_PARA_ROL,2,FALSE),"")</f>
        <v/>
      </c>
      <c r="E28" s="330" t="str">
        <f t="shared" ref="E28:E33" si="33">IFERROR(VLOOKUP($C28,TABLA_PARA_ROL,3,FALSE),"")</f>
        <v/>
      </c>
      <c r="F28" s="330" t="str">
        <f t="shared" ref="F28:F33" si="34">IFERROR(VLOOKUP($C28,TABLA_PARA_ROL,4,FALSE),"")</f>
        <v/>
      </c>
      <c r="G28" s="330" t="str">
        <f t="shared" ref="G28:G33" si="35">IFERROR(VLOOKUP($C28,TABLA_PARA_ROL,5,FALSE),"")</f>
        <v/>
      </c>
      <c r="H28" s="330" t="str">
        <f t="shared" ref="H28:H33" si="36">IFERROR(VLOOKUP($C28,TABLA_PARA_ROL,6,FALSE),"")</f>
        <v/>
      </c>
      <c r="I28" s="330" t="str">
        <f t="shared" ref="I28:I33" si="37">IFERROR(VLOOKUP($C28,TABLA_PARA_ROL,7,FALSE),"")</f>
        <v/>
      </c>
      <c r="J28" s="330" t="str">
        <f t="shared" ref="J28:J33" si="38">IFERROR(VLOOKUP($C28,TABLA_PARA_ROL,8,FALSE),"")</f>
        <v/>
      </c>
      <c r="K28" s="330" t="str">
        <f t="shared" ref="K28:K33" si="39">IFERROR(VLOOKUP($C28,TABLA_PARA_ROL,9,FALSE),"")</f>
        <v/>
      </c>
      <c r="L28" s="330" t="str">
        <f t="shared" ref="L28:L33" si="40">IFERROR(VLOOKUP($C28,TABLA_PARA_ROL,10,FALSE),"")</f>
        <v/>
      </c>
      <c r="M28" s="330" t="str">
        <f t="shared" ref="M28:M33" si="41">IFERROR(VLOOKUP($C28,TABLA_PARA_ROL,11,FALSE),"")</f>
        <v/>
      </c>
    </row>
    <row r="29" spans="1:13" ht="23.4" hidden="1" x14ac:dyDescent="0.3">
      <c r="A29" s="42">
        <f>IF(C29&lt;&gt;0,IF(COUNTIF(C29:M29,"")=10,0,22),0)</f>
        <v>0</v>
      </c>
      <c r="C29" s="330" t="s">
        <v>1244</v>
      </c>
      <c r="D29" s="330" t="str">
        <f t="shared" si="32"/>
        <v/>
      </c>
      <c r="E29" s="330" t="str">
        <f t="shared" si="33"/>
        <v/>
      </c>
      <c r="F29" s="330" t="str">
        <f t="shared" si="34"/>
        <v/>
      </c>
      <c r="G29" s="330" t="str">
        <f t="shared" si="35"/>
        <v/>
      </c>
      <c r="H29" s="330" t="str">
        <f t="shared" si="36"/>
        <v/>
      </c>
      <c r="I29" s="330" t="str">
        <f t="shared" si="37"/>
        <v/>
      </c>
      <c r="J29" s="330" t="str">
        <f t="shared" si="38"/>
        <v/>
      </c>
      <c r="K29" s="330" t="str">
        <f t="shared" si="39"/>
        <v/>
      </c>
      <c r="L29" s="330" t="str">
        <f t="shared" si="40"/>
        <v/>
      </c>
      <c r="M29" s="330" t="str">
        <f t="shared" si="41"/>
        <v/>
      </c>
    </row>
    <row r="30" spans="1:13" ht="23.4" x14ac:dyDescent="0.3">
      <c r="A30" s="380">
        <v>22</v>
      </c>
      <c r="C30" s="329" t="s">
        <v>715</v>
      </c>
      <c r="D30" s="330" t="str">
        <f t="shared" si="32"/>
        <v/>
      </c>
      <c r="E30" s="330" t="str">
        <f t="shared" si="33"/>
        <v/>
      </c>
      <c r="F30" s="330" t="str">
        <f t="shared" si="34"/>
        <v/>
      </c>
      <c r="G30" s="330" t="str">
        <f t="shared" si="35"/>
        <v/>
      </c>
      <c r="H30" s="330" t="str">
        <f t="shared" si="36"/>
        <v/>
      </c>
      <c r="I30" s="330" t="str">
        <f t="shared" si="37"/>
        <v/>
      </c>
      <c r="J30" s="330" t="str">
        <f t="shared" si="38"/>
        <v/>
      </c>
      <c r="K30" s="330" t="str">
        <f t="shared" si="39"/>
        <v/>
      </c>
      <c r="L30" s="330" t="str">
        <f t="shared" si="40"/>
        <v/>
      </c>
      <c r="M30" s="330" t="str">
        <f t="shared" si="41"/>
        <v/>
      </c>
    </row>
    <row r="31" spans="1:13" ht="23.4" hidden="1" x14ac:dyDescent="0.3">
      <c r="A31" s="42">
        <f>IF(C31&lt;&gt;0,IF(COUNTIF(C31:M31,"")=10,0,22),0)</f>
        <v>0</v>
      </c>
      <c r="C31" s="329" t="s">
        <v>1245</v>
      </c>
      <c r="D31" s="330" t="str">
        <f t="shared" si="32"/>
        <v/>
      </c>
      <c r="E31" s="330" t="str">
        <f t="shared" si="33"/>
        <v/>
      </c>
      <c r="F31" s="330" t="str">
        <f t="shared" si="34"/>
        <v/>
      </c>
      <c r="G31" s="330" t="str">
        <f t="shared" si="35"/>
        <v/>
      </c>
      <c r="H31" s="330" t="str">
        <f t="shared" si="36"/>
        <v/>
      </c>
      <c r="I31" s="330" t="str">
        <f t="shared" si="37"/>
        <v/>
      </c>
      <c r="J31" s="330" t="str">
        <f t="shared" si="38"/>
        <v/>
      </c>
      <c r="K31" s="330" t="str">
        <f t="shared" si="39"/>
        <v/>
      </c>
      <c r="L31" s="330" t="str">
        <f t="shared" si="40"/>
        <v/>
      </c>
      <c r="M31" s="330" t="str">
        <f t="shared" si="41"/>
        <v/>
      </c>
    </row>
    <row r="32" spans="1:13" ht="23.4" x14ac:dyDescent="0.3">
      <c r="A32" s="380">
        <v>22</v>
      </c>
      <c r="C32" s="330" t="s">
        <v>711</v>
      </c>
      <c r="D32" s="330" t="str">
        <f t="shared" si="32"/>
        <v/>
      </c>
      <c r="E32" s="330" t="str">
        <f t="shared" si="33"/>
        <v/>
      </c>
      <c r="F32" s="330" t="str">
        <f t="shared" si="34"/>
        <v/>
      </c>
      <c r="G32" s="330" t="str">
        <f t="shared" si="35"/>
        <v/>
      </c>
      <c r="H32" s="330" t="str">
        <f t="shared" si="36"/>
        <v/>
      </c>
      <c r="I32" s="330" t="str">
        <f t="shared" si="37"/>
        <v/>
      </c>
      <c r="J32" s="330" t="str">
        <f t="shared" si="38"/>
        <v/>
      </c>
      <c r="K32" s="330" t="str">
        <f t="shared" si="39"/>
        <v/>
      </c>
      <c r="L32" s="330" t="str">
        <f t="shared" si="40"/>
        <v/>
      </c>
      <c r="M32" s="330" t="str">
        <f t="shared" si="41"/>
        <v/>
      </c>
    </row>
    <row r="33" spans="1:13" ht="23.4" x14ac:dyDescent="0.3">
      <c r="A33" s="42">
        <f>IF(C33&lt;&gt;0,IF(COUNTIF(C33:M33,"")=10,0,22),0)</f>
        <v>0</v>
      </c>
      <c r="C33" s="330" t="s">
        <v>1246</v>
      </c>
      <c r="D33" s="330" t="str">
        <f t="shared" si="32"/>
        <v/>
      </c>
      <c r="E33" s="330" t="str">
        <f t="shared" si="33"/>
        <v/>
      </c>
      <c r="F33" s="330" t="str">
        <f t="shared" si="34"/>
        <v/>
      </c>
      <c r="G33" s="330" t="str">
        <f t="shared" si="35"/>
        <v/>
      </c>
      <c r="H33" s="330" t="str">
        <f t="shared" si="36"/>
        <v/>
      </c>
      <c r="I33" s="330" t="str">
        <f t="shared" si="37"/>
        <v/>
      </c>
      <c r="J33" s="330" t="str">
        <f t="shared" si="38"/>
        <v/>
      </c>
      <c r="K33" s="330" t="str">
        <f t="shared" si="39"/>
        <v/>
      </c>
      <c r="L33" s="330" t="str">
        <f t="shared" si="40"/>
        <v/>
      </c>
      <c r="M33" s="330" t="str">
        <f t="shared" si="41"/>
        <v/>
      </c>
    </row>
    <row r="34" spans="1:13" ht="17.399999999999999" x14ac:dyDescent="0.3">
      <c r="A34" s="380">
        <v>22</v>
      </c>
      <c r="B34" s="380"/>
      <c r="C34" s="1273" t="s">
        <v>1688</v>
      </c>
      <c r="D34" s="1273"/>
      <c r="E34" s="1273"/>
      <c r="F34" s="1273"/>
      <c r="G34" s="1273"/>
      <c r="H34" s="1273"/>
      <c r="I34" s="1273"/>
      <c r="J34" s="1273"/>
      <c r="K34" s="1273"/>
      <c r="L34" s="1273"/>
      <c r="M34" s="1273"/>
    </row>
    <row r="35" spans="1:13" ht="23.4" x14ac:dyDescent="0.3">
      <c r="A35" s="380">
        <v>22</v>
      </c>
      <c r="C35" s="329" t="s">
        <v>700</v>
      </c>
      <c r="D35" s="330" t="str">
        <f t="shared" ref="D35:D40" si="42">IFERROR(VLOOKUP($C35,TABLA_PARA_ROL,2,FALSE),"")</f>
        <v/>
      </c>
      <c r="E35" s="330" t="str">
        <f t="shared" ref="E35:E40" si="43">IFERROR(VLOOKUP($C35,TABLA_PARA_ROL,3,FALSE),"")</f>
        <v/>
      </c>
      <c r="F35" s="330" t="str">
        <f t="shared" ref="F35:F40" si="44">IFERROR(VLOOKUP($C35,TABLA_PARA_ROL,4,FALSE),"")</f>
        <v/>
      </c>
      <c r="G35" s="330" t="str">
        <f t="shared" ref="G35:G40" si="45">IFERROR(VLOOKUP($C35,TABLA_PARA_ROL,5,FALSE),"")</f>
        <v/>
      </c>
      <c r="H35" s="330" t="str">
        <f t="shared" ref="H35:H40" si="46">IFERROR(VLOOKUP($C35,TABLA_PARA_ROL,6,FALSE),"")</f>
        <v/>
      </c>
      <c r="I35" s="330" t="str">
        <f t="shared" ref="I35:I40" si="47">IFERROR(VLOOKUP($C35,TABLA_PARA_ROL,7,FALSE),"")</f>
        <v/>
      </c>
      <c r="J35" s="330" t="str">
        <f t="shared" ref="J35:J40" si="48">IFERROR(VLOOKUP($C35,TABLA_PARA_ROL,8,FALSE),"")</f>
        <v/>
      </c>
      <c r="K35" s="330" t="str">
        <f t="shared" ref="K35:K40" si="49">IFERROR(VLOOKUP($C35,TABLA_PARA_ROL,9,FALSE),"")</f>
        <v/>
      </c>
      <c r="L35" s="330" t="str">
        <f t="shared" ref="L35:L40" si="50">IFERROR(VLOOKUP($C35,TABLA_PARA_ROL,10,FALSE),"")</f>
        <v/>
      </c>
      <c r="M35" s="330" t="str">
        <f t="shared" ref="M35:M40" si="51">IFERROR(VLOOKUP($C35,TABLA_PARA_ROL,11,FALSE),"")</f>
        <v/>
      </c>
    </row>
    <row r="36" spans="1:13" ht="23.4" hidden="1" x14ac:dyDescent="0.3">
      <c r="A36" s="42">
        <f>IF(C36&lt;&gt;0,IF(COUNTIF(C36:M36,"")=10,0,22),0)</f>
        <v>0</v>
      </c>
      <c r="C36" s="329" t="s">
        <v>1247</v>
      </c>
      <c r="D36" s="330" t="str">
        <f t="shared" si="42"/>
        <v/>
      </c>
      <c r="E36" s="330" t="str">
        <f t="shared" si="43"/>
        <v/>
      </c>
      <c r="F36" s="330" t="str">
        <f t="shared" si="44"/>
        <v/>
      </c>
      <c r="G36" s="330" t="str">
        <f t="shared" si="45"/>
        <v/>
      </c>
      <c r="H36" s="330" t="str">
        <f t="shared" si="46"/>
        <v/>
      </c>
      <c r="I36" s="330" t="str">
        <f t="shared" si="47"/>
        <v/>
      </c>
      <c r="J36" s="330" t="str">
        <f t="shared" si="48"/>
        <v/>
      </c>
      <c r="K36" s="330" t="str">
        <f t="shared" si="49"/>
        <v/>
      </c>
      <c r="L36" s="330" t="str">
        <f t="shared" si="50"/>
        <v/>
      </c>
      <c r="M36" s="330" t="str">
        <f t="shared" si="51"/>
        <v/>
      </c>
    </row>
    <row r="37" spans="1:13" ht="23.4" x14ac:dyDescent="0.3">
      <c r="A37" s="380">
        <v>22</v>
      </c>
      <c r="C37" s="330" t="s">
        <v>716</v>
      </c>
      <c r="D37" s="330" t="str">
        <f t="shared" si="42"/>
        <v/>
      </c>
      <c r="E37" s="330" t="str">
        <f t="shared" si="43"/>
        <v/>
      </c>
      <c r="F37" s="330" t="str">
        <f t="shared" si="44"/>
        <v/>
      </c>
      <c r="G37" s="330" t="str">
        <f t="shared" si="45"/>
        <v/>
      </c>
      <c r="H37" s="330" t="str">
        <f t="shared" si="46"/>
        <v/>
      </c>
      <c r="I37" s="330" t="str">
        <f t="shared" si="47"/>
        <v/>
      </c>
      <c r="J37" s="330" t="str">
        <f t="shared" si="48"/>
        <v/>
      </c>
      <c r="K37" s="330" t="str">
        <f t="shared" si="49"/>
        <v/>
      </c>
      <c r="L37" s="330" t="str">
        <f t="shared" si="50"/>
        <v/>
      </c>
      <c r="M37" s="330" t="str">
        <f t="shared" si="51"/>
        <v/>
      </c>
    </row>
    <row r="38" spans="1:13" ht="23.4" x14ac:dyDescent="0.3">
      <c r="A38" s="42">
        <f>IF(C38&lt;&gt;0,IF(COUNTIF(C38:M38,"")=10,0,22),0)</f>
        <v>0</v>
      </c>
      <c r="C38" s="330" t="s">
        <v>1248</v>
      </c>
      <c r="D38" s="330" t="str">
        <f t="shared" si="42"/>
        <v/>
      </c>
      <c r="E38" s="330" t="str">
        <f t="shared" si="43"/>
        <v/>
      </c>
      <c r="F38" s="330" t="str">
        <f t="shared" si="44"/>
        <v/>
      </c>
      <c r="G38" s="330" t="str">
        <f t="shared" si="45"/>
        <v/>
      </c>
      <c r="H38" s="330" t="str">
        <f t="shared" si="46"/>
        <v/>
      </c>
      <c r="I38" s="330" t="str">
        <f t="shared" si="47"/>
        <v/>
      </c>
      <c r="J38" s="330" t="str">
        <f t="shared" si="48"/>
        <v/>
      </c>
      <c r="K38" s="330" t="str">
        <f t="shared" si="49"/>
        <v/>
      </c>
      <c r="L38" s="330" t="str">
        <f t="shared" si="50"/>
        <v/>
      </c>
      <c r="M38" s="330" t="str">
        <f t="shared" si="51"/>
        <v/>
      </c>
    </row>
    <row r="39" spans="1:13" ht="23.4" x14ac:dyDescent="0.3">
      <c r="A39" s="380">
        <v>22</v>
      </c>
      <c r="C39" s="329" t="s">
        <v>752</v>
      </c>
      <c r="D39" s="330" t="str">
        <f t="shared" si="42"/>
        <v/>
      </c>
      <c r="E39" s="330" t="str">
        <f t="shared" si="43"/>
        <v/>
      </c>
      <c r="F39" s="330" t="str">
        <f t="shared" si="44"/>
        <v/>
      </c>
      <c r="G39" s="330" t="str">
        <f t="shared" si="45"/>
        <v/>
      </c>
      <c r="H39" s="330" t="str">
        <f t="shared" si="46"/>
        <v/>
      </c>
      <c r="I39" s="330" t="str">
        <f t="shared" si="47"/>
        <v/>
      </c>
      <c r="J39" s="330" t="str">
        <f t="shared" si="48"/>
        <v/>
      </c>
      <c r="K39" s="330" t="str">
        <f t="shared" si="49"/>
        <v/>
      </c>
      <c r="L39" s="330" t="str">
        <f t="shared" si="50"/>
        <v/>
      </c>
      <c r="M39" s="330" t="str">
        <f t="shared" si="51"/>
        <v/>
      </c>
    </row>
    <row r="40" spans="1:13" ht="23.4" x14ac:dyDescent="0.3">
      <c r="A40" s="42">
        <f>IF(C40&lt;&gt;0,IF(COUNTIF(C40:M40,"")=10,0,22),0)</f>
        <v>0</v>
      </c>
      <c r="C40" s="329" t="s">
        <v>1249</v>
      </c>
      <c r="D40" s="330" t="str">
        <f t="shared" si="42"/>
        <v/>
      </c>
      <c r="E40" s="330" t="str">
        <f t="shared" si="43"/>
        <v/>
      </c>
      <c r="F40" s="330" t="str">
        <f t="shared" si="44"/>
        <v/>
      </c>
      <c r="G40" s="330" t="str">
        <f t="shared" si="45"/>
        <v/>
      </c>
      <c r="H40" s="330" t="str">
        <f t="shared" si="46"/>
        <v/>
      </c>
      <c r="I40" s="330" t="str">
        <f t="shared" si="47"/>
        <v/>
      </c>
      <c r="J40" s="330" t="str">
        <f t="shared" si="48"/>
        <v/>
      </c>
      <c r="K40" s="330" t="str">
        <f t="shared" si="49"/>
        <v/>
      </c>
      <c r="L40" s="330" t="str">
        <f t="shared" si="50"/>
        <v/>
      </c>
      <c r="M40" s="330" t="str">
        <f t="shared" si="51"/>
        <v/>
      </c>
    </row>
    <row r="41" spans="1:13" ht="17.399999999999999" x14ac:dyDescent="0.3">
      <c r="A41" s="380">
        <v>22</v>
      </c>
      <c r="B41" s="380"/>
      <c r="C41" s="1273" t="s">
        <v>1689</v>
      </c>
      <c r="D41" s="1273"/>
      <c r="E41" s="1273"/>
      <c r="F41" s="1273"/>
      <c r="G41" s="1273"/>
      <c r="H41" s="1273"/>
      <c r="I41" s="1273"/>
      <c r="J41" s="1273"/>
      <c r="K41" s="1273"/>
      <c r="L41" s="1273"/>
      <c r="M41" s="1273"/>
    </row>
    <row r="42" spans="1:13" ht="23.4" x14ac:dyDescent="0.3">
      <c r="A42" s="380">
        <v>22</v>
      </c>
      <c r="C42" s="330" t="s">
        <v>731</v>
      </c>
      <c r="D42" s="330" t="str">
        <f t="shared" ref="D42:D47" si="52">IFERROR(VLOOKUP($C42,TABLA_PARA_ROL,2,FALSE),"")</f>
        <v/>
      </c>
      <c r="E42" s="330" t="str">
        <f t="shared" ref="E42:E47" si="53">IFERROR(VLOOKUP($C42,TABLA_PARA_ROL,3,FALSE),"")</f>
        <v/>
      </c>
      <c r="F42" s="330" t="str">
        <f t="shared" ref="F42:F47" si="54">IFERROR(VLOOKUP($C42,TABLA_PARA_ROL,4,FALSE),"")</f>
        <v/>
      </c>
      <c r="G42" s="330" t="str">
        <f t="shared" ref="G42:G47" si="55">IFERROR(VLOOKUP($C42,TABLA_PARA_ROL,5,FALSE),"")</f>
        <v/>
      </c>
      <c r="H42" s="330" t="str">
        <f t="shared" ref="H42:H47" si="56">IFERROR(VLOOKUP($C42,TABLA_PARA_ROL,6,FALSE),"")</f>
        <v/>
      </c>
      <c r="I42" s="330" t="str">
        <f t="shared" ref="I42:I47" si="57">IFERROR(VLOOKUP($C42,TABLA_PARA_ROL,7,FALSE),"")</f>
        <v/>
      </c>
      <c r="J42" s="330" t="str">
        <f t="shared" ref="J42:J47" si="58">IFERROR(VLOOKUP($C42,TABLA_PARA_ROL,8,FALSE),"")</f>
        <v/>
      </c>
      <c r="K42" s="330" t="str">
        <f t="shared" ref="K42:K47" si="59">IFERROR(VLOOKUP($C42,TABLA_PARA_ROL,9,FALSE),"")</f>
        <v/>
      </c>
      <c r="L42" s="330" t="str">
        <f t="shared" ref="L42:L47" si="60">IFERROR(VLOOKUP($C42,TABLA_PARA_ROL,10,FALSE),"")</f>
        <v/>
      </c>
      <c r="M42" s="330" t="str">
        <f t="shared" ref="M42:M47" si="61">IFERROR(VLOOKUP($C42,TABLA_PARA_ROL,11,FALSE),"")</f>
        <v/>
      </c>
    </row>
    <row r="43" spans="1:13" ht="23.4" hidden="1" x14ac:dyDescent="0.3">
      <c r="A43" s="42">
        <f>IF(C43&lt;&gt;0,IF(COUNTIF(C43:M43,"")=10,0,22),0)</f>
        <v>0</v>
      </c>
      <c r="C43" s="330" t="s">
        <v>1250</v>
      </c>
      <c r="D43" s="330" t="str">
        <f t="shared" si="52"/>
        <v/>
      </c>
      <c r="E43" s="330" t="str">
        <f t="shared" si="53"/>
        <v/>
      </c>
      <c r="F43" s="330" t="str">
        <f t="shared" si="54"/>
        <v/>
      </c>
      <c r="G43" s="330" t="str">
        <f t="shared" si="55"/>
        <v/>
      </c>
      <c r="H43" s="330" t="str">
        <f t="shared" si="56"/>
        <v/>
      </c>
      <c r="I43" s="330" t="str">
        <f t="shared" si="57"/>
        <v/>
      </c>
      <c r="J43" s="330" t="str">
        <f t="shared" si="58"/>
        <v/>
      </c>
      <c r="K43" s="330" t="str">
        <f t="shared" si="59"/>
        <v/>
      </c>
      <c r="L43" s="330" t="str">
        <f t="shared" si="60"/>
        <v/>
      </c>
      <c r="M43" s="330" t="str">
        <f t="shared" si="61"/>
        <v/>
      </c>
    </row>
    <row r="44" spans="1:13" ht="23.4" x14ac:dyDescent="0.3">
      <c r="A44" s="380">
        <v>22</v>
      </c>
      <c r="C44" s="329" t="s">
        <v>717</v>
      </c>
      <c r="D44" s="330" t="str">
        <f t="shared" si="52"/>
        <v/>
      </c>
      <c r="E44" s="330" t="str">
        <f t="shared" si="53"/>
        <v/>
      </c>
      <c r="F44" s="330" t="str">
        <f t="shared" si="54"/>
        <v/>
      </c>
      <c r="G44" s="330" t="str">
        <f t="shared" si="55"/>
        <v/>
      </c>
      <c r="H44" s="330" t="str">
        <f t="shared" si="56"/>
        <v/>
      </c>
      <c r="I44" s="330" t="str">
        <f t="shared" si="57"/>
        <v/>
      </c>
      <c r="J44" s="330" t="str">
        <f t="shared" si="58"/>
        <v/>
      </c>
      <c r="K44" s="330" t="str">
        <f t="shared" si="59"/>
        <v/>
      </c>
      <c r="L44" s="330" t="str">
        <f t="shared" si="60"/>
        <v/>
      </c>
      <c r="M44" s="330" t="str">
        <f t="shared" si="61"/>
        <v/>
      </c>
    </row>
    <row r="45" spans="1:13" ht="23.4" hidden="1" x14ac:dyDescent="0.3">
      <c r="A45" s="42">
        <f>IF(C45&lt;&gt;0,IF(COUNTIF(C45:M45,"")=10,0,22),0)</f>
        <v>0</v>
      </c>
      <c r="C45" s="329" t="s">
        <v>1251</v>
      </c>
      <c r="D45" s="330" t="str">
        <f t="shared" si="52"/>
        <v/>
      </c>
      <c r="E45" s="330" t="str">
        <f t="shared" si="53"/>
        <v/>
      </c>
      <c r="F45" s="330" t="str">
        <f t="shared" si="54"/>
        <v/>
      </c>
      <c r="G45" s="330" t="str">
        <f t="shared" si="55"/>
        <v/>
      </c>
      <c r="H45" s="330" t="str">
        <f t="shared" si="56"/>
        <v/>
      </c>
      <c r="I45" s="330" t="str">
        <f t="shared" si="57"/>
        <v/>
      </c>
      <c r="J45" s="330" t="str">
        <f t="shared" si="58"/>
        <v/>
      </c>
      <c r="K45" s="330" t="str">
        <f t="shared" si="59"/>
        <v/>
      </c>
      <c r="L45" s="330" t="str">
        <f t="shared" si="60"/>
        <v/>
      </c>
      <c r="M45" s="330" t="str">
        <f t="shared" si="61"/>
        <v/>
      </c>
    </row>
    <row r="46" spans="1:13" ht="23.4" x14ac:dyDescent="0.3">
      <c r="A46" s="380">
        <v>22</v>
      </c>
      <c r="C46" s="330" t="s">
        <v>703</v>
      </c>
      <c r="D46" s="330" t="str">
        <f t="shared" si="52"/>
        <v/>
      </c>
      <c r="E46" s="330" t="str">
        <f t="shared" si="53"/>
        <v/>
      </c>
      <c r="F46" s="330" t="str">
        <f t="shared" si="54"/>
        <v/>
      </c>
      <c r="G46" s="330" t="str">
        <f t="shared" si="55"/>
        <v/>
      </c>
      <c r="H46" s="330" t="str">
        <f t="shared" si="56"/>
        <v/>
      </c>
      <c r="I46" s="330" t="str">
        <f t="shared" si="57"/>
        <v/>
      </c>
      <c r="J46" s="330" t="str">
        <f t="shared" si="58"/>
        <v/>
      </c>
      <c r="K46" s="330" t="str">
        <f t="shared" si="59"/>
        <v/>
      </c>
      <c r="L46" s="330" t="str">
        <f t="shared" si="60"/>
        <v/>
      </c>
      <c r="M46" s="330" t="str">
        <f t="shared" si="61"/>
        <v/>
      </c>
    </row>
    <row r="47" spans="1:13" ht="23.4" hidden="1" x14ac:dyDescent="0.3">
      <c r="A47" s="42">
        <f>IF(C47&lt;&gt;0,IF(COUNTIF(C47:M47,"")=10,0,22),0)</f>
        <v>0</v>
      </c>
      <c r="C47" s="330" t="s">
        <v>1252</v>
      </c>
      <c r="D47" s="330" t="str">
        <f t="shared" si="52"/>
        <v/>
      </c>
      <c r="E47" s="330" t="str">
        <f t="shared" si="53"/>
        <v/>
      </c>
      <c r="F47" s="330" t="str">
        <f t="shared" si="54"/>
        <v/>
      </c>
      <c r="G47" s="330" t="str">
        <f t="shared" si="55"/>
        <v/>
      </c>
      <c r="H47" s="330" t="str">
        <f t="shared" si="56"/>
        <v/>
      </c>
      <c r="I47" s="330" t="str">
        <f t="shared" si="57"/>
        <v/>
      </c>
      <c r="J47" s="330" t="str">
        <f t="shared" si="58"/>
        <v/>
      </c>
      <c r="K47" s="330" t="str">
        <f t="shared" si="59"/>
        <v/>
      </c>
      <c r="L47" s="330" t="str">
        <f t="shared" si="60"/>
        <v/>
      </c>
      <c r="M47" s="330" t="str">
        <f t="shared" si="61"/>
        <v/>
      </c>
    </row>
    <row r="48" spans="1:13" ht="17.399999999999999" x14ac:dyDescent="0.3">
      <c r="A48" s="380">
        <v>22</v>
      </c>
      <c r="B48" s="380"/>
      <c r="C48" s="1273" t="s">
        <v>1689</v>
      </c>
      <c r="D48" s="1273"/>
      <c r="E48" s="1273"/>
      <c r="F48" s="1273"/>
      <c r="G48" s="1273"/>
      <c r="H48" s="1273"/>
      <c r="I48" s="1273"/>
      <c r="J48" s="1273"/>
      <c r="K48" s="1273"/>
      <c r="L48" s="1273"/>
      <c r="M48" s="1273"/>
    </row>
    <row r="49" spans="1:13" ht="23.4" x14ac:dyDescent="0.3">
      <c r="A49" s="380">
        <v>22</v>
      </c>
      <c r="C49" s="329" t="s">
        <v>730</v>
      </c>
      <c r="D49" s="330" t="str">
        <f t="shared" ref="D49:D54" si="62">IFERROR(VLOOKUP($C49,TABLA_PARA_ROL,2,FALSE),"")</f>
        <v/>
      </c>
      <c r="E49" s="330" t="str">
        <f t="shared" ref="E49:E54" si="63">IFERROR(VLOOKUP($C49,TABLA_PARA_ROL,3,FALSE),"")</f>
        <v/>
      </c>
      <c r="F49" s="330" t="str">
        <f t="shared" ref="F49:F54" si="64">IFERROR(VLOOKUP($C49,TABLA_PARA_ROL,4,FALSE),"")</f>
        <v/>
      </c>
      <c r="G49" s="330" t="str">
        <f t="shared" ref="G49:G54" si="65">IFERROR(VLOOKUP($C49,TABLA_PARA_ROL,5,FALSE),"")</f>
        <v/>
      </c>
      <c r="H49" s="330" t="str">
        <f t="shared" ref="H49:H54" si="66">IFERROR(VLOOKUP($C49,TABLA_PARA_ROL,6,FALSE),"")</f>
        <v/>
      </c>
      <c r="I49" s="330" t="str">
        <f t="shared" ref="I49:I54" si="67">IFERROR(VLOOKUP($C49,TABLA_PARA_ROL,7,FALSE),"")</f>
        <v/>
      </c>
      <c r="J49" s="330" t="str">
        <f t="shared" ref="J49:J54" si="68">IFERROR(VLOOKUP($C49,TABLA_PARA_ROL,8,FALSE),"")</f>
        <v/>
      </c>
      <c r="K49" s="330" t="str">
        <f t="shared" ref="K49:K54" si="69">IFERROR(VLOOKUP($C49,TABLA_PARA_ROL,9,FALSE),"")</f>
        <v/>
      </c>
      <c r="L49" s="330" t="str">
        <f t="shared" ref="L49:L54" si="70">IFERROR(VLOOKUP($C49,TABLA_PARA_ROL,10,FALSE),"")</f>
        <v/>
      </c>
      <c r="M49" s="330" t="str">
        <f t="shared" ref="M49:M54" si="71">IFERROR(VLOOKUP($C49,TABLA_PARA_ROL,11,FALSE),"")</f>
        <v/>
      </c>
    </row>
    <row r="50" spans="1:13" ht="23.4" hidden="1" x14ac:dyDescent="0.3">
      <c r="A50" s="42">
        <f>IF(C50&lt;&gt;0,IF(COUNTIF(C50:M50,"")=10,0,22),0)</f>
        <v>0</v>
      </c>
      <c r="C50" s="329" t="s">
        <v>1253</v>
      </c>
      <c r="D50" s="330" t="str">
        <f t="shared" si="62"/>
        <v/>
      </c>
      <c r="E50" s="330" t="str">
        <f t="shared" si="63"/>
        <v/>
      </c>
      <c r="F50" s="330" t="str">
        <f t="shared" si="64"/>
        <v/>
      </c>
      <c r="G50" s="330" t="str">
        <f t="shared" si="65"/>
        <v/>
      </c>
      <c r="H50" s="330" t="str">
        <f t="shared" si="66"/>
        <v/>
      </c>
      <c r="I50" s="330" t="str">
        <f t="shared" si="67"/>
        <v/>
      </c>
      <c r="J50" s="330" t="str">
        <f t="shared" si="68"/>
        <v/>
      </c>
      <c r="K50" s="330" t="str">
        <f t="shared" si="69"/>
        <v/>
      </c>
      <c r="L50" s="330" t="str">
        <f t="shared" si="70"/>
        <v/>
      </c>
      <c r="M50" s="330" t="str">
        <f t="shared" si="71"/>
        <v/>
      </c>
    </row>
    <row r="51" spans="1:13" ht="23.4" x14ac:dyDescent="0.3">
      <c r="A51" s="380">
        <v>22</v>
      </c>
      <c r="C51" s="330" t="s">
        <v>757</v>
      </c>
      <c r="D51" s="330" t="str">
        <f t="shared" si="62"/>
        <v/>
      </c>
      <c r="E51" s="330" t="str">
        <f t="shared" si="63"/>
        <v/>
      </c>
      <c r="F51" s="330" t="str">
        <f t="shared" si="64"/>
        <v/>
      </c>
      <c r="G51" s="330" t="str">
        <f t="shared" si="65"/>
        <v/>
      </c>
      <c r="H51" s="330" t="str">
        <f t="shared" si="66"/>
        <v/>
      </c>
      <c r="I51" s="330" t="str">
        <f t="shared" si="67"/>
        <v/>
      </c>
      <c r="J51" s="330" t="str">
        <f t="shared" si="68"/>
        <v/>
      </c>
      <c r="K51" s="330" t="str">
        <f t="shared" si="69"/>
        <v/>
      </c>
      <c r="L51" s="330" t="str">
        <f t="shared" si="70"/>
        <v/>
      </c>
      <c r="M51" s="330" t="str">
        <f t="shared" si="71"/>
        <v/>
      </c>
    </row>
    <row r="52" spans="1:13" ht="23.4" hidden="1" x14ac:dyDescent="0.3">
      <c r="A52" s="42">
        <f>IF(C52&lt;&gt;0,IF(COUNTIF(C52:M52,"")=10,0,22),0)</f>
        <v>0</v>
      </c>
      <c r="C52" s="330" t="s">
        <v>1254</v>
      </c>
      <c r="D52" s="330" t="str">
        <f t="shared" si="62"/>
        <v/>
      </c>
      <c r="E52" s="330" t="str">
        <f t="shared" si="63"/>
        <v/>
      </c>
      <c r="F52" s="330" t="str">
        <f t="shared" si="64"/>
        <v/>
      </c>
      <c r="G52" s="330" t="str">
        <f t="shared" si="65"/>
        <v/>
      </c>
      <c r="H52" s="330" t="str">
        <f t="shared" si="66"/>
        <v/>
      </c>
      <c r="I52" s="330" t="str">
        <f t="shared" si="67"/>
        <v/>
      </c>
      <c r="J52" s="330" t="str">
        <f t="shared" si="68"/>
        <v/>
      </c>
      <c r="K52" s="330" t="str">
        <f t="shared" si="69"/>
        <v/>
      </c>
      <c r="L52" s="330" t="str">
        <f t="shared" si="70"/>
        <v/>
      </c>
      <c r="M52" s="330" t="str">
        <f t="shared" si="71"/>
        <v/>
      </c>
    </row>
    <row r="53" spans="1:13" ht="23.4" x14ac:dyDescent="0.3">
      <c r="A53" s="380">
        <v>22</v>
      </c>
      <c r="C53" s="329" t="s">
        <v>1832</v>
      </c>
      <c r="D53" s="330" t="str">
        <f t="shared" si="62"/>
        <v/>
      </c>
      <c r="E53" s="330" t="str">
        <f t="shared" si="63"/>
        <v/>
      </c>
      <c r="F53" s="330" t="str">
        <f t="shared" si="64"/>
        <v/>
      </c>
      <c r="G53" s="330" t="str">
        <f t="shared" si="65"/>
        <v/>
      </c>
      <c r="H53" s="330" t="str">
        <f t="shared" si="66"/>
        <v/>
      </c>
      <c r="I53" s="330" t="str">
        <f t="shared" si="67"/>
        <v/>
      </c>
      <c r="J53" s="330" t="str">
        <f t="shared" si="68"/>
        <v/>
      </c>
      <c r="K53" s="330" t="str">
        <f t="shared" si="69"/>
        <v/>
      </c>
      <c r="L53" s="330" t="str">
        <f t="shared" si="70"/>
        <v/>
      </c>
      <c r="M53" s="330" t="str">
        <f t="shared" si="71"/>
        <v/>
      </c>
    </row>
    <row r="54" spans="1:13" ht="23.4" hidden="1" x14ac:dyDescent="0.3">
      <c r="A54" s="42">
        <f>IF(C54&lt;&gt;0,IF(COUNTIF(C54:M54,"")=10,0,22),0)</f>
        <v>0</v>
      </c>
      <c r="C54" s="329" t="s">
        <v>1833</v>
      </c>
      <c r="D54" s="330" t="str">
        <f t="shared" si="62"/>
        <v/>
      </c>
      <c r="E54" s="330" t="str">
        <f t="shared" si="63"/>
        <v/>
      </c>
      <c r="F54" s="330" t="str">
        <f t="shared" si="64"/>
        <v/>
      </c>
      <c r="G54" s="330" t="str">
        <f t="shared" si="65"/>
        <v/>
      </c>
      <c r="H54" s="330" t="str">
        <f t="shared" si="66"/>
        <v/>
      </c>
      <c r="I54" s="330" t="str">
        <f t="shared" si="67"/>
        <v/>
      </c>
      <c r="J54" s="330" t="str">
        <f t="shared" si="68"/>
        <v/>
      </c>
      <c r="K54" s="330" t="str">
        <f t="shared" si="69"/>
        <v/>
      </c>
      <c r="L54" s="330" t="str">
        <f t="shared" si="70"/>
        <v/>
      </c>
      <c r="M54" s="330" t="str">
        <f t="shared" si="71"/>
        <v/>
      </c>
    </row>
    <row r="55" spans="1:13" ht="17.399999999999999" hidden="1" customHeight="1" x14ac:dyDescent="0.3">
      <c r="A55" s="380">
        <f>IF(SUM(A56:A59)&gt;0,22,0)</f>
        <v>22</v>
      </c>
      <c r="B55" s="380"/>
      <c r="C55" s="1273" t="s">
        <v>1714</v>
      </c>
      <c r="D55" s="1273"/>
      <c r="E55" s="1273"/>
      <c r="F55" s="1273"/>
      <c r="G55" s="1273"/>
      <c r="H55" s="1273"/>
      <c r="I55" s="1273"/>
      <c r="J55" s="1273"/>
      <c r="K55" s="1273"/>
      <c r="L55" s="1273"/>
      <c r="M55" s="1273"/>
    </row>
    <row r="56" spans="1:13" ht="23.4" hidden="1" x14ac:dyDescent="0.3">
      <c r="A56" s="42">
        <f>IF(C56&lt;&gt;0,IF(COUNTIF(D56:M56,"")=10,0,22),0)</f>
        <v>22</v>
      </c>
      <c r="C56" s="329" t="s">
        <v>772</v>
      </c>
      <c r="D56" s="330" t="e">
        <f>VLOOKUP($C56,TABLA_PARA_ROL,2,FALSE)</f>
        <v>#N/A</v>
      </c>
      <c r="E56" s="330" t="e">
        <f>VLOOKUP($C56,TABLA_PARA_ROL,3,FALSE)</f>
        <v>#N/A</v>
      </c>
      <c r="F56" s="330" t="e">
        <f>VLOOKUP($C56,TABLA_PARA_ROL,4,FALSE)</f>
        <v>#N/A</v>
      </c>
      <c r="G56" s="330" t="e">
        <f>VLOOKUP($C56,TABLA_PARA_ROL,5,FALSE)</f>
        <v>#N/A</v>
      </c>
      <c r="H56" s="330" t="e">
        <f>VLOOKUP($C56,TABLA_PARA_ROL,6,FALSE)</f>
        <v>#N/A</v>
      </c>
      <c r="I56" s="330" t="e">
        <f>VLOOKUP($C56,TABLA_PARA_ROL,7,FALSE)</f>
        <v>#N/A</v>
      </c>
      <c r="J56" s="330" t="e">
        <f>VLOOKUP($C56,TABLA_PARA_ROL,8,FALSE)</f>
        <v>#N/A</v>
      </c>
      <c r="K56" s="330" t="e">
        <f>VLOOKUP($C56,TABLA_PARA_ROL,9,FALSE)</f>
        <v>#N/A</v>
      </c>
      <c r="L56" s="330" t="e">
        <f>VLOOKUP($C56,TABLA_PARA_ROL,10,FALSE)</f>
        <v>#N/A</v>
      </c>
      <c r="M56" s="330" t="e">
        <f>VLOOKUP($C56,TABLA_PARA_ROL,11,FALSE)</f>
        <v>#N/A</v>
      </c>
    </row>
    <row r="57" spans="1:13" ht="23.4" hidden="1" x14ac:dyDescent="0.3">
      <c r="A57" s="42">
        <f>IF(C57&lt;&gt;0,IF(COUNTIF(D57:M57,"")=10,0,22),0)</f>
        <v>22</v>
      </c>
      <c r="C57" s="329" t="s">
        <v>856</v>
      </c>
      <c r="D57" s="330" t="e">
        <f>VLOOKUP($C57,TABLA_PARA_ROL,2,FALSE)</f>
        <v>#N/A</v>
      </c>
      <c r="E57" s="330" t="e">
        <f>VLOOKUP($C57,TABLA_PARA_ROL,3,FALSE)</f>
        <v>#N/A</v>
      </c>
      <c r="F57" s="330" t="e">
        <f>VLOOKUP($C57,TABLA_PARA_ROL,4,FALSE)</f>
        <v>#N/A</v>
      </c>
      <c r="G57" s="330" t="e">
        <f>VLOOKUP($C57,TABLA_PARA_ROL,5,FALSE)</f>
        <v>#N/A</v>
      </c>
      <c r="H57" s="330" t="e">
        <f>VLOOKUP($C57,TABLA_PARA_ROL,6,FALSE)</f>
        <v>#N/A</v>
      </c>
      <c r="I57" s="330" t="e">
        <f>VLOOKUP($C57,TABLA_PARA_ROL,7,FALSE)</f>
        <v>#N/A</v>
      </c>
      <c r="J57" s="330" t="e">
        <f>VLOOKUP($C57,TABLA_PARA_ROL,8,FALSE)</f>
        <v>#N/A</v>
      </c>
      <c r="K57" s="330" t="e">
        <f>VLOOKUP($C57,TABLA_PARA_ROL,9,FALSE)</f>
        <v>#N/A</v>
      </c>
      <c r="L57" s="330" t="e">
        <f>VLOOKUP($C57,TABLA_PARA_ROL,10,FALSE)</f>
        <v>#N/A</v>
      </c>
      <c r="M57" s="330" t="e">
        <f>VLOOKUP($C57,TABLA_PARA_ROL,11,FALSE)</f>
        <v>#N/A</v>
      </c>
    </row>
    <row r="58" spans="1:13" ht="23.4" hidden="1" x14ac:dyDescent="0.3">
      <c r="A58" s="42">
        <f>IF(C58&lt;&gt;0,IF(COUNTIF(D58:M58,"")=10,0,22),0)</f>
        <v>22</v>
      </c>
      <c r="C58" s="329" t="s">
        <v>1675</v>
      </c>
      <c r="D58" s="330" t="e">
        <f>VLOOKUP($C58,TABLA_PARA_ROL,2,FALSE)</f>
        <v>#N/A</v>
      </c>
      <c r="E58" s="330" t="e">
        <f>VLOOKUP($C58,TABLA_PARA_ROL,3,FALSE)</f>
        <v>#N/A</v>
      </c>
      <c r="F58" s="330" t="e">
        <f>VLOOKUP($C58,TABLA_PARA_ROL,4,FALSE)</f>
        <v>#N/A</v>
      </c>
      <c r="G58" s="330" t="e">
        <f>VLOOKUP($C58,TABLA_PARA_ROL,5,FALSE)</f>
        <v>#N/A</v>
      </c>
      <c r="H58" s="330" t="e">
        <f>VLOOKUP($C58,TABLA_PARA_ROL,6,FALSE)</f>
        <v>#N/A</v>
      </c>
      <c r="I58" s="330" t="e">
        <f>VLOOKUP($C58,TABLA_PARA_ROL,7,FALSE)</f>
        <v>#N/A</v>
      </c>
      <c r="J58" s="330" t="e">
        <f>VLOOKUP($C58,TABLA_PARA_ROL,8,FALSE)</f>
        <v>#N/A</v>
      </c>
      <c r="K58" s="330" t="e">
        <f>VLOOKUP($C58,TABLA_PARA_ROL,9,FALSE)</f>
        <v>#N/A</v>
      </c>
      <c r="L58" s="330" t="e">
        <f>VLOOKUP($C58,TABLA_PARA_ROL,10,FALSE)</f>
        <v>#N/A</v>
      </c>
      <c r="M58" s="330" t="e">
        <f>VLOOKUP($C58,TABLA_PARA_ROL,11,FALSE)</f>
        <v>#N/A</v>
      </c>
    </row>
    <row r="59" spans="1:13" ht="23.4" hidden="1" x14ac:dyDescent="0.3">
      <c r="A59" s="42">
        <f>IF(C59&lt;&gt;0,IF(COUNTIF(D59:M59,"")=10,0,22),0)</f>
        <v>22</v>
      </c>
      <c r="C59" s="329" t="s">
        <v>1676</v>
      </c>
      <c r="D59" s="330" t="e">
        <f>VLOOKUP($C59,TABLA_PARA_ROL,2,FALSE)</f>
        <v>#N/A</v>
      </c>
      <c r="E59" s="330" t="e">
        <f>VLOOKUP($C59,TABLA_PARA_ROL,3,FALSE)</f>
        <v>#N/A</v>
      </c>
      <c r="F59" s="330" t="e">
        <f>VLOOKUP($C59,TABLA_PARA_ROL,4,FALSE)</f>
        <v>#N/A</v>
      </c>
      <c r="G59" s="330" t="e">
        <f>VLOOKUP($C59,TABLA_PARA_ROL,5,FALSE)</f>
        <v>#N/A</v>
      </c>
      <c r="H59" s="330" t="e">
        <f>VLOOKUP($C59,TABLA_PARA_ROL,6,FALSE)</f>
        <v>#N/A</v>
      </c>
      <c r="I59" s="330" t="e">
        <f>VLOOKUP($C59,TABLA_PARA_ROL,7,FALSE)</f>
        <v>#N/A</v>
      </c>
      <c r="J59" s="330" t="e">
        <f>VLOOKUP($C59,TABLA_PARA_ROL,8,FALSE)</f>
        <v>#N/A</v>
      </c>
      <c r="K59" s="330" t="e">
        <f>VLOOKUP($C59,TABLA_PARA_ROL,9,FALSE)</f>
        <v>#N/A</v>
      </c>
      <c r="L59" s="330" t="e">
        <f>VLOOKUP($C59,TABLA_PARA_ROL,10,FALSE)</f>
        <v>#N/A</v>
      </c>
      <c r="M59" s="330" t="e">
        <f>VLOOKUP($C59,TABLA_PARA_ROL,11,FALSE)</f>
        <v>#N/A</v>
      </c>
    </row>
    <row r="60" spans="1:13" ht="17.399999999999999" customHeight="1" x14ac:dyDescent="0.3">
      <c r="A60" s="380">
        <v>22</v>
      </c>
      <c r="B60" s="380"/>
      <c r="C60" s="1273" t="s">
        <v>859</v>
      </c>
      <c r="D60" s="1273"/>
      <c r="E60" s="1273"/>
      <c r="F60" s="1273"/>
      <c r="G60" s="1273"/>
      <c r="H60" s="1273"/>
      <c r="I60" s="1273"/>
      <c r="J60" s="1273"/>
      <c r="K60" s="1273"/>
      <c r="L60" s="1273"/>
      <c r="M60" s="1273"/>
    </row>
    <row r="61" spans="1:13" ht="23.4" x14ac:dyDescent="0.3">
      <c r="A61" s="42">
        <v>22</v>
      </c>
      <c r="C61" s="329" t="s">
        <v>67</v>
      </c>
      <c r="D61" s="330" t="e">
        <f t="shared" ref="D61:D75" si="72">VLOOKUP($C61,TABLA_PARA_ROL,2,FALSE)</f>
        <v>#N/A</v>
      </c>
      <c r="E61" s="330" t="e">
        <f t="shared" ref="E61:E75" si="73">VLOOKUP($C61,TABLA_PARA_ROL,3,FALSE)</f>
        <v>#N/A</v>
      </c>
      <c r="F61" s="330" t="e">
        <f t="shared" ref="F61:F75" si="74">VLOOKUP($C61,TABLA_PARA_ROL,4,FALSE)</f>
        <v>#N/A</v>
      </c>
      <c r="G61" s="330" t="e">
        <f t="shared" ref="G61:G75" si="75">VLOOKUP($C61,TABLA_PARA_ROL,5,FALSE)</f>
        <v>#N/A</v>
      </c>
      <c r="H61" s="330" t="e">
        <f t="shared" ref="H61:H75" si="76">VLOOKUP($C61,TABLA_PARA_ROL,6,FALSE)</f>
        <v>#N/A</v>
      </c>
      <c r="I61" s="330" t="e">
        <f t="shared" ref="I61:I75" si="77">VLOOKUP($C61,TABLA_PARA_ROL,7,FALSE)</f>
        <v>#N/A</v>
      </c>
      <c r="J61" s="330" t="e">
        <f t="shared" ref="J61:J75" si="78">VLOOKUP($C61,TABLA_PARA_ROL,8,FALSE)</f>
        <v>#N/A</v>
      </c>
      <c r="K61" s="330" t="e">
        <f t="shared" ref="K61:K75" si="79">VLOOKUP($C61,TABLA_PARA_ROL,9,FALSE)</f>
        <v>#N/A</v>
      </c>
      <c r="L61" s="330" t="e">
        <f t="shared" ref="L61:L75" si="80">VLOOKUP($C61,TABLA_PARA_ROL,10,FALSE)</f>
        <v>#N/A</v>
      </c>
      <c r="M61" s="330" t="e">
        <f t="shared" ref="M61:M75" si="81">VLOOKUP($C61,TABLA_PARA_ROL,11,FALSE)</f>
        <v>#N/A</v>
      </c>
    </row>
    <row r="62" spans="1:13" ht="23.4" x14ac:dyDescent="0.3">
      <c r="A62" s="42">
        <v>22</v>
      </c>
      <c r="C62" s="330" t="s">
        <v>66</v>
      </c>
      <c r="D62" s="330" t="e">
        <f t="shared" si="72"/>
        <v>#N/A</v>
      </c>
      <c r="E62" s="330" t="e">
        <f t="shared" si="73"/>
        <v>#N/A</v>
      </c>
      <c r="F62" s="330" t="e">
        <f t="shared" si="74"/>
        <v>#N/A</v>
      </c>
      <c r="G62" s="330" t="e">
        <f t="shared" si="75"/>
        <v>#N/A</v>
      </c>
      <c r="H62" s="330" t="e">
        <f t="shared" si="76"/>
        <v>#N/A</v>
      </c>
      <c r="I62" s="330" t="e">
        <f t="shared" si="77"/>
        <v>#N/A</v>
      </c>
      <c r="J62" s="330" t="e">
        <f t="shared" si="78"/>
        <v>#N/A</v>
      </c>
      <c r="K62" s="330" t="e">
        <f t="shared" si="79"/>
        <v>#N/A</v>
      </c>
      <c r="L62" s="330" t="e">
        <f t="shared" si="80"/>
        <v>#N/A</v>
      </c>
      <c r="M62" s="330" t="e">
        <f t="shared" si="81"/>
        <v>#N/A</v>
      </c>
    </row>
    <row r="63" spans="1:13" ht="23.4" x14ac:dyDescent="0.3">
      <c r="A63" s="42">
        <v>22</v>
      </c>
      <c r="C63" s="329" t="s">
        <v>194</v>
      </c>
      <c r="D63" s="330" t="e">
        <f t="shared" si="72"/>
        <v>#N/A</v>
      </c>
      <c r="E63" s="330" t="e">
        <f t="shared" si="73"/>
        <v>#N/A</v>
      </c>
      <c r="F63" s="330" t="e">
        <f t="shared" si="74"/>
        <v>#N/A</v>
      </c>
      <c r="G63" s="330" t="e">
        <f t="shared" si="75"/>
        <v>#N/A</v>
      </c>
      <c r="H63" s="330" t="e">
        <f t="shared" si="76"/>
        <v>#N/A</v>
      </c>
      <c r="I63" s="330" t="e">
        <f t="shared" si="77"/>
        <v>#N/A</v>
      </c>
      <c r="J63" s="330" t="e">
        <f t="shared" si="78"/>
        <v>#N/A</v>
      </c>
      <c r="K63" s="330" t="e">
        <f t="shared" si="79"/>
        <v>#N/A</v>
      </c>
      <c r="L63" s="330" t="e">
        <f t="shared" si="80"/>
        <v>#N/A</v>
      </c>
      <c r="M63" s="330" t="e">
        <f t="shared" si="81"/>
        <v>#N/A</v>
      </c>
    </row>
    <row r="64" spans="1:13" ht="23.4" x14ac:dyDescent="0.3">
      <c r="A64" s="42">
        <v>22</v>
      </c>
      <c r="C64" s="330" t="s">
        <v>113</v>
      </c>
      <c r="D64" s="330" t="e">
        <f t="shared" si="72"/>
        <v>#N/A</v>
      </c>
      <c r="E64" s="330" t="e">
        <f t="shared" si="73"/>
        <v>#N/A</v>
      </c>
      <c r="F64" s="330" t="e">
        <f t="shared" si="74"/>
        <v>#N/A</v>
      </c>
      <c r="G64" s="330" t="e">
        <f t="shared" si="75"/>
        <v>#N/A</v>
      </c>
      <c r="H64" s="330" t="e">
        <f t="shared" si="76"/>
        <v>#N/A</v>
      </c>
      <c r="I64" s="330" t="e">
        <f t="shared" si="77"/>
        <v>#N/A</v>
      </c>
      <c r="J64" s="330" t="e">
        <f t="shared" si="78"/>
        <v>#N/A</v>
      </c>
      <c r="K64" s="330" t="e">
        <f t="shared" si="79"/>
        <v>#N/A</v>
      </c>
      <c r="L64" s="330" t="e">
        <f t="shared" si="80"/>
        <v>#N/A</v>
      </c>
      <c r="M64" s="330" t="e">
        <f t="shared" si="81"/>
        <v>#N/A</v>
      </c>
    </row>
    <row r="65" spans="1:13" ht="23.4" x14ac:dyDescent="0.3">
      <c r="A65" s="42">
        <v>22</v>
      </c>
      <c r="C65" s="329" t="s">
        <v>195</v>
      </c>
      <c r="D65" s="330" t="e">
        <f t="shared" si="72"/>
        <v>#N/A</v>
      </c>
      <c r="E65" s="330" t="e">
        <f t="shared" si="73"/>
        <v>#N/A</v>
      </c>
      <c r="F65" s="330" t="e">
        <f t="shared" si="74"/>
        <v>#N/A</v>
      </c>
      <c r="G65" s="330" t="e">
        <f t="shared" si="75"/>
        <v>#N/A</v>
      </c>
      <c r="H65" s="330" t="e">
        <f t="shared" si="76"/>
        <v>#N/A</v>
      </c>
      <c r="I65" s="330" t="e">
        <f t="shared" si="77"/>
        <v>#N/A</v>
      </c>
      <c r="J65" s="330" t="e">
        <f t="shared" si="78"/>
        <v>#N/A</v>
      </c>
      <c r="K65" s="330" t="e">
        <f t="shared" si="79"/>
        <v>#N/A</v>
      </c>
      <c r="L65" s="330" t="e">
        <f t="shared" si="80"/>
        <v>#N/A</v>
      </c>
      <c r="M65" s="330" t="e">
        <f t="shared" si="81"/>
        <v>#N/A</v>
      </c>
    </row>
    <row r="66" spans="1:13" ht="23.4" x14ac:dyDescent="0.3">
      <c r="A66" s="42">
        <v>22</v>
      </c>
      <c r="C66" s="330" t="s">
        <v>196</v>
      </c>
      <c r="D66" s="330" t="e">
        <f t="shared" si="72"/>
        <v>#N/A</v>
      </c>
      <c r="E66" s="330" t="e">
        <f t="shared" si="73"/>
        <v>#N/A</v>
      </c>
      <c r="F66" s="330" t="e">
        <f t="shared" si="74"/>
        <v>#N/A</v>
      </c>
      <c r="G66" s="330" t="e">
        <f t="shared" si="75"/>
        <v>#N/A</v>
      </c>
      <c r="H66" s="330" t="e">
        <f t="shared" si="76"/>
        <v>#N/A</v>
      </c>
      <c r="I66" s="330" t="e">
        <f t="shared" si="77"/>
        <v>#N/A</v>
      </c>
      <c r="J66" s="330" t="e">
        <f t="shared" si="78"/>
        <v>#N/A</v>
      </c>
      <c r="K66" s="330" t="e">
        <f t="shared" si="79"/>
        <v>#N/A</v>
      </c>
      <c r="L66" s="330" t="e">
        <f t="shared" si="80"/>
        <v>#N/A</v>
      </c>
      <c r="M66" s="330" t="e">
        <f t="shared" si="81"/>
        <v>#N/A</v>
      </c>
    </row>
    <row r="67" spans="1:13" ht="23.4" x14ac:dyDescent="0.3">
      <c r="A67" s="42">
        <v>22</v>
      </c>
      <c r="C67" s="329" t="s">
        <v>197</v>
      </c>
      <c r="D67" s="330" t="e">
        <f t="shared" si="72"/>
        <v>#N/A</v>
      </c>
      <c r="E67" s="330" t="e">
        <f t="shared" si="73"/>
        <v>#N/A</v>
      </c>
      <c r="F67" s="330" t="e">
        <f t="shared" si="74"/>
        <v>#N/A</v>
      </c>
      <c r="G67" s="330" t="e">
        <f t="shared" si="75"/>
        <v>#N/A</v>
      </c>
      <c r="H67" s="330" t="e">
        <f t="shared" si="76"/>
        <v>#N/A</v>
      </c>
      <c r="I67" s="330" t="e">
        <f t="shared" si="77"/>
        <v>#N/A</v>
      </c>
      <c r="J67" s="330" t="e">
        <f t="shared" si="78"/>
        <v>#N/A</v>
      </c>
      <c r="K67" s="330" t="e">
        <f t="shared" si="79"/>
        <v>#N/A</v>
      </c>
      <c r="L67" s="330" t="e">
        <f t="shared" si="80"/>
        <v>#N/A</v>
      </c>
      <c r="M67" s="330" t="e">
        <f t="shared" si="81"/>
        <v>#N/A</v>
      </c>
    </row>
    <row r="68" spans="1:13" ht="23.4" x14ac:dyDescent="0.3">
      <c r="A68" s="42">
        <v>22</v>
      </c>
      <c r="C68" s="330" t="s">
        <v>198</v>
      </c>
      <c r="D68" s="330" t="e">
        <f t="shared" si="72"/>
        <v>#N/A</v>
      </c>
      <c r="E68" s="330" t="e">
        <f t="shared" si="73"/>
        <v>#N/A</v>
      </c>
      <c r="F68" s="330" t="e">
        <f t="shared" si="74"/>
        <v>#N/A</v>
      </c>
      <c r="G68" s="330" t="e">
        <f t="shared" si="75"/>
        <v>#N/A</v>
      </c>
      <c r="H68" s="330" t="e">
        <f t="shared" si="76"/>
        <v>#N/A</v>
      </c>
      <c r="I68" s="330" t="e">
        <f t="shared" si="77"/>
        <v>#N/A</v>
      </c>
      <c r="J68" s="330" t="e">
        <f t="shared" si="78"/>
        <v>#N/A</v>
      </c>
      <c r="K68" s="330" t="e">
        <f t="shared" si="79"/>
        <v>#N/A</v>
      </c>
      <c r="L68" s="330" t="e">
        <f t="shared" si="80"/>
        <v>#N/A</v>
      </c>
      <c r="M68" s="330" t="e">
        <f t="shared" si="81"/>
        <v>#N/A</v>
      </c>
    </row>
    <row r="69" spans="1:13" ht="23.4" x14ac:dyDescent="0.3">
      <c r="A69" s="42">
        <v>22</v>
      </c>
      <c r="C69" s="329" t="s">
        <v>769</v>
      </c>
      <c r="D69" s="330" t="e">
        <f t="shared" si="72"/>
        <v>#N/A</v>
      </c>
      <c r="E69" s="330" t="e">
        <f t="shared" si="73"/>
        <v>#N/A</v>
      </c>
      <c r="F69" s="330" t="e">
        <f t="shared" si="74"/>
        <v>#N/A</v>
      </c>
      <c r="G69" s="330" t="e">
        <f t="shared" si="75"/>
        <v>#N/A</v>
      </c>
      <c r="H69" s="330" t="e">
        <f t="shared" si="76"/>
        <v>#N/A</v>
      </c>
      <c r="I69" s="330" t="e">
        <f t="shared" si="77"/>
        <v>#N/A</v>
      </c>
      <c r="J69" s="330" t="e">
        <f t="shared" si="78"/>
        <v>#N/A</v>
      </c>
      <c r="K69" s="330" t="e">
        <f t="shared" si="79"/>
        <v>#N/A</v>
      </c>
      <c r="L69" s="330" t="e">
        <f t="shared" si="80"/>
        <v>#N/A</v>
      </c>
      <c r="M69" s="330" t="e">
        <f t="shared" si="81"/>
        <v>#N/A</v>
      </c>
    </row>
    <row r="70" spans="1:13" ht="23.4" x14ac:dyDescent="0.3">
      <c r="A70" s="42">
        <v>22</v>
      </c>
      <c r="C70" s="330" t="s">
        <v>767</v>
      </c>
      <c r="D70" s="330" t="e">
        <f t="shared" si="72"/>
        <v>#N/A</v>
      </c>
      <c r="E70" s="330" t="e">
        <f t="shared" si="73"/>
        <v>#N/A</v>
      </c>
      <c r="F70" s="330" t="e">
        <f t="shared" si="74"/>
        <v>#N/A</v>
      </c>
      <c r="G70" s="330" t="e">
        <f t="shared" si="75"/>
        <v>#N/A</v>
      </c>
      <c r="H70" s="330" t="e">
        <f t="shared" si="76"/>
        <v>#N/A</v>
      </c>
      <c r="I70" s="330" t="e">
        <f t="shared" si="77"/>
        <v>#N/A</v>
      </c>
      <c r="J70" s="330" t="e">
        <f t="shared" si="78"/>
        <v>#N/A</v>
      </c>
      <c r="K70" s="330" t="e">
        <f t="shared" si="79"/>
        <v>#N/A</v>
      </c>
      <c r="L70" s="330" t="e">
        <f t="shared" si="80"/>
        <v>#N/A</v>
      </c>
      <c r="M70" s="330" t="e">
        <f t="shared" si="81"/>
        <v>#N/A</v>
      </c>
    </row>
    <row r="71" spans="1:13" ht="23.4" x14ac:dyDescent="0.3">
      <c r="A71" s="42">
        <v>22</v>
      </c>
      <c r="C71" s="329" t="s">
        <v>680</v>
      </c>
      <c r="D71" s="330" t="e">
        <f t="shared" si="72"/>
        <v>#N/A</v>
      </c>
      <c r="E71" s="330" t="e">
        <f t="shared" si="73"/>
        <v>#N/A</v>
      </c>
      <c r="F71" s="330" t="e">
        <f t="shared" si="74"/>
        <v>#N/A</v>
      </c>
      <c r="G71" s="330" t="e">
        <f t="shared" si="75"/>
        <v>#N/A</v>
      </c>
      <c r="H71" s="330" t="e">
        <f t="shared" si="76"/>
        <v>#N/A</v>
      </c>
      <c r="I71" s="330" t="e">
        <f t="shared" si="77"/>
        <v>#N/A</v>
      </c>
      <c r="J71" s="330" t="e">
        <f t="shared" si="78"/>
        <v>#N/A</v>
      </c>
      <c r="K71" s="330" t="e">
        <f t="shared" si="79"/>
        <v>#N/A</v>
      </c>
      <c r="L71" s="330" t="e">
        <f t="shared" si="80"/>
        <v>#N/A</v>
      </c>
      <c r="M71" s="330" t="e">
        <f t="shared" si="81"/>
        <v>#N/A</v>
      </c>
    </row>
    <row r="72" spans="1:13" ht="23.4" x14ac:dyDescent="0.3">
      <c r="A72" s="42">
        <v>22</v>
      </c>
      <c r="C72" s="330" t="s">
        <v>754</v>
      </c>
      <c r="D72" s="330" t="e">
        <f t="shared" si="72"/>
        <v>#N/A</v>
      </c>
      <c r="E72" s="330" t="e">
        <f t="shared" si="73"/>
        <v>#N/A</v>
      </c>
      <c r="F72" s="330" t="e">
        <f t="shared" si="74"/>
        <v>#N/A</v>
      </c>
      <c r="G72" s="330" t="e">
        <f t="shared" si="75"/>
        <v>#N/A</v>
      </c>
      <c r="H72" s="330" t="e">
        <f t="shared" si="76"/>
        <v>#N/A</v>
      </c>
      <c r="I72" s="330" t="e">
        <f t="shared" si="77"/>
        <v>#N/A</v>
      </c>
      <c r="J72" s="330" t="e">
        <f t="shared" si="78"/>
        <v>#N/A</v>
      </c>
      <c r="K72" s="330" t="e">
        <f t="shared" si="79"/>
        <v>#N/A</v>
      </c>
      <c r="L72" s="330" t="e">
        <f t="shared" si="80"/>
        <v>#N/A</v>
      </c>
      <c r="M72" s="330" t="e">
        <f t="shared" si="81"/>
        <v>#N/A</v>
      </c>
    </row>
    <row r="73" spans="1:13" ht="23.4" x14ac:dyDescent="0.3">
      <c r="A73" s="42">
        <v>22</v>
      </c>
      <c r="C73" s="329" t="s">
        <v>2015</v>
      </c>
      <c r="D73" s="330" t="e">
        <f t="shared" si="72"/>
        <v>#N/A</v>
      </c>
      <c r="E73" s="330" t="e">
        <f t="shared" si="73"/>
        <v>#N/A</v>
      </c>
      <c r="F73" s="330" t="e">
        <f t="shared" si="74"/>
        <v>#N/A</v>
      </c>
      <c r="G73" s="330" t="e">
        <f t="shared" si="75"/>
        <v>#N/A</v>
      </c>
      <c r="H73" s="330" t="e">
        <f t="shared" si="76"/>
        <v>#N/A</v>
      </c>
      <c r="I73" s="330" t="e">
        <f t="shared" si="77"/>
        <v>#N/A</v>
      </c>
      <c r="J73" s="330" t="e">
        <f t="shared" si="78"/>
        <v>#N/A</v>
      </c>
      <c r="K73" s="330" t="e">
        <f t="shared" si="79"/>
        <v>#N/A</v>
      </c>
      <c r="L73" s="330" t="e">
        <f t="shared" si="80"/>
        <v>#N/A</v>
      </c>
      <c r="M73" s="330" t="e">
        <f t="shared" si="81"/>
        <v>#N/A</v>
      </c>
    </row>
    <row r="74" spans="1:13" ht="23.4" hidden="1" x14ac:dyDescent="0.3">
      <c r="A74" s="42">
        <f>IF(C74&lt;&gt;0,IF(COUNTIF(D74:M74,"")=10,0,22),0)</f>
        <v>22</v>
      </c>
      <c r="C74" s="330" t="s">
        <v>857</v>
      </c>
      <c r="D74" s="330" t="e">
        <f t="shared" si="72"/>
        <v>#N/A</v>
      </c>
      <c r="E74" s="330" t="e">
        <f t="shared" si="73"/>
        <v>#N/A</v>
      </c>
      <c r="F74" s="330" t="e">
        <f t="shared" si="74"/>
        <v>#N/A</v>
      </c>
      <c r="G74" s="330" t="e">
        <f t="shared" si="75"/>
        <v>#N/A</v>
      </c>
      <c r="H74" s="330" t="e">
        <f t="shared" si="76"/>
        <v>#N/A</v>
      </c>
      <c r="I74" s="330" t="e">
        <f t="shared" si="77"/>
        <v>#N/A</v>
      </c>
      <c r="J74" s="330" t="e">
        <f t="shared" si="78"/>
        <v>#N/A</v>
      </c>
      <c r="K74" s="330" t="e">
        <f t="shared" si="79"/>
        <v>#N/A</v>
      </c>
      <c r="L74" s="330" t="e">
        <f t="shared" si="80"/>
        <v>#N/A</v>
      </c>
      <c r="M74" s="330" t="e">
        <f t="shared" si="81"/>
        <v>#N/A</v>
      </c>
    </row>
    <row r="75" spans="1:13" ht="23.4" hidden="1" x14ac:dyDescent="0.3">
      <c r="A75" s="42">
        <f>IF(C75&lt;&gt;0,IF(COUNTIF(D75:M75,"")=10,0,22),0)</f>
        <v>22</v>
      </c>
      <c r="C75" s="329" t="s">
        <v>858</v>
      </c>
      <c r="D75" s="330" t="e">
        <f t="shared" si="72"/>
        <v>#N/A</v>
      </c>
      <c r="E75" s="330" t="e">
        <f t="shared" si="73"/>
        <v>#N/A</v>
      </c>
      <c r="F75" s="330" t="e">
        <f t="shared" si="74"/>
        <v>#N/A</v>
      </c>
      <c r="G75" s="330" t="e">
        <f t="shared" si="75"/>
        <v>#N/A</v>
      </c>
      <c r="H75" s="330" t="e">
        <f t="shared" si="76"/>
        <v>#N/A</v>
      </c>
      <c r="I75" s="330" t="e">
        <f t="shared" si="77"/>
        <v>#N/A</v>
      </c>
      <c r="J75" s="330" t="e">
        <f t="shared" si="78"/>
        <v>#N/A</v>
      </c>
      <c r="K75" s="330" t="e">
        <f t="shared" si="79"/>
        <v>#N/A</v>
      </c>
      <c r="L75" s="330" t="e">
        <f t="shared" si="80"/>
        <v>#N/A</v>
      </c>
      <c r="M75" s="330" t="e">
        <f t="shared" si="81"/>
        <v>#N/A</v>
      </c>
    </row>
    <row r="76" spans="1:13" ht="17.399999999999999" x14ac:dyDescent="0.3">
      <c r="A76" s="380">
        <v>22</v>
      </c>
      <c r="B76" s="380"/>
      <c r="C76" s="1273" t="s">
        <v>949</v>
      </c>
      <c r="D76" s="1273"/>
      <c r="E76" s="1273"/>
      <c r="F76" s="1273"/>
      <c r="G76" s="1273"/>
      <c r="H76" s="1273"/>
      <c r="I76" s="1273"/>
      <c r="J76" s="1273"/>
      <c r="K76" s="1273"/>
      <c r="L76" s="1273"/>
      <c r="M76" s="1273"/>
    </row>
    <row r="77" spans="1:13" ht="46.8" x14ac:dyDescent="0.3">
      <c r="A77" s="42">
        <f t="shared" ref="A77:A84" si="82">IF(C77&lt;&gt;0,IF(COUNTIF(D77:M77,"")=10,0,22),0)</f>
        <v>22</v>
      </c>
      <c r="C77" s="329" t="s">
        <v>793</v>
      </c>
      <c r="D77" s="330" t="e">
        <f t="shared" ref="D77:D84" si="83">VLOOKUP($C77,TABLA_PARA_ROL,2,FALSE)</f>
        <v>#N/A</v>
      </c>
      <c r="E77" s="330" t="e">
        <f t="array" ref="E77">IFERROR(_xlfn.IFS(D77="1G","1RA. GUARDIA",D77="2G","2DA. GUARDIA",D77="F","FRANCO",D77="1P","1ER. PATRULLAJE",D77="2P","2DO. PATRULLAJE",D77="1T","1ER. TURNO",D77="2T","2DO. TURNO",D77="3T","3ER. TURNO"),IF(D77="","",""))</f>
        <v>#N/A</v>
      </c>
      <c r="F77" s="330" t="e">
        <f t="shared" ref="F77:F84" si="84">VLOOKUP($C77,TABLA_PARA_ROL,4,FALSE)</f>
        <v>#N/A</v>
      </c>
      <c r="G77" s="330" t="e">
        <f t="array" ref="G77">IFERROR(_xlfn.IFS(F77="1G","1RA. GUARDIA",F77="2G","2DA. GUARDIA",F77="F","FRANCO",F77="1P","1ER. PATRULLAJE",F77="2P","2DO. PATRULLAJE",F77="1T","1ER. TURNO",F77="2T","2DO. TURNO",F77="3T","3ER. TURNO"),IF(F77="","",""))</f>
        <v>#N/A</v>
      </c>
      <c r="H77" s="330" t="e">
        <f t="shared" ref="H77:H84" si="85">VLOOKUP($C77,TABLA_PARA_ROL,6,FALSE)</f>
        <v>#N/A</v>
      </c>
      <c r="I77" s="330" t="e">
        <f t="array" ref="I77">IFERROR(_xlfn.IFS(H77="1G","1RA. GUARDIA",H77="2G","2DA. GUARDIA",H77="F","FRANCO",H77="1P","1ER. PATRULLAJE",H77="2P","2DO. PATRULLAJE",H77="1T","1ER. TURNO",H77="2T","2DO. TURNO",H77="3T","3ER. TURNO"),IF(H77="","",""))</f>
        <v>#N/A</v>
      </c>
      <c r="J77" s="330" t="e">
        <f t="shared" ref="J77:J84" si="86">VLOOKUP($C77,TABLA_PARA_ROL,8,FALSE)</f>
        <v>#N/A</v>
      </c>
      <c r="K77" s="330" t="e">
        <f t="array" ref="K77">IFERROR(_xlfn.IFS(J77="1G","1RA. GUARDIA",J77="2G","2DA. GUARDIA",J77="F","FRANCO",J77="1P","1ER. PATRULLAJE",J77="2P","2DO. PATRULLAJE",J77="1T","1ER. TURNO",J77="2T","2DO. TURNO",J77="3T","3ER. TURNO"),IF(J77="","",""))</f>
        <v>#N/A</v>
      </c>
      <c r="L77" s="330" t="e">
        <f t="shared" ref="L77:L84" si="87">VLOOKUP($C77,TABLA_PARA_ROL,10,FALSE)</f>
        <v>#N/A</v>
      </c>
      <c r="M77" s="330" t="e">
        <f t="array" ref="M77">IFERROR(_xlfn.IFS(L77="1G","1RA. GUARDIA",L77="2G","2DA. GUARDIA",L77="F","FRANCO",L77="1P","1ER. PATRULLAJE",L77="2P","2DO. PATRULLAJE",L77="1T","1ER. TURNO",L77="2T","2DO. TURNO",L77="3T","3ER. TURNO"),IF(L77="","",""))</f>
        <v>#N/A</v>
      </c>
    </row>
    <row r="78" spans="1:13" ht="46.8" x14ac:dyDescent="0.3">
      <c r="A78" s="42">
        <f t="shared" si="82"/>
        <v>22</v>
      </c>
      <c r="C78" s="329" t="s">
        <v>794</v>
      </c>
      <c r="D78" s="330" t="e">
        <f t="shared" si="83"/>
        <v>#N/A</v>
      </c>
      <c r="E78" s="330" t="e">
        <f t="array" ref="E78">IFERROR(_xlfn.IFS(D78="1G","1RA. GUARDIA",D78="2G","2DA. GUARDIA",D78="F","FRANCO",D78="1P","1ER. PATRULLAJE",D78="2P","2DO. PATRULLAJE",D78="1T","1ER. TURNO",D78="2T","2DO. TURNO",D78="3T","3ER. TURNO"),IF(D78="","",""))</f>
        <v>#N/A</v>
      </c>
      <c r="F78" s="330" t="e">
        <f t="shared" si="84"/>
        <v>#N/A</v>
      </c>
      <c r="G78" s="330" t="e">
        <f t="array" ref="G78">IFERROR(_xlfn.IFS(F78="1G","1RA. GUARDIA",F78="2G","2DA. GUARDIA",F78="F","FRANCO",F78="1P","1ER. PATRULLAJE",F78="2P","2DO. PATRULLAJE",F78="1T","1ER. TURNO",F78="2T","2DO. TURNO",F78="3T","3ER. TURNO"),IF(F78="","",""))</f>
        <v>#N/A</v>
      </c>
      <c r="H78" s="330" t="e">
        <f t="shared" si="85"/>
        <v>#N/A</v>
      </c>
      <c r="I78" s="330" t="e">
        <f t="array" ref="I78">IFERROR(_xlfn.IFS(H78="1G","1RA. GUARDIA",H78="2G","2DA. GUARDIA",H78="F","FRANCO",H78="1P","1ER. PATRULLAJE",H78="2P","2DO. PATRULLAJE",H78="1T","1ER. TURNO",H78="2T","2DO. TURNO",H78="3T","3ER. TURNO"),IF(H78="","",""))</f>
        <v>#N/A</v>
      </c>
      <c r="J78" s="330" t="e">
        <f t="shared" si="86"/>
        <v>#N/A</v>
      </c>
      <c r="K78" s="330" t="e">
        <f t="array" ref="K78">IFERROR(_xlfn.IFS(J78="1G","1RA. GUARDIA",J78="2G","2DA. GUARDIA",J78="F","FRANCO",J78="1P","1ER. PATRULLAJE",J78="2P","2DO. PATRULLAJE",J78="1T","1ER. TURNO",J78="2T","2DO. TURNO",J78="3T","3ER. TURNO"),IF(J78="","",""))</f>
        <v>#N/A</v>
      </c>
      <c r="L78" s="330" t="e">
        <f t="shared" si="87"/>
        <v>#N/A</v>
      </c>
      <c r="M78" s="330" t="e">
        <f t="array" ref="M78">IFERROR(_xlfn.IFS(L78="1G","1RA. GUARDIA",L78="2G","2DA. GUARDIA",L78="F","FRANCO",L78="1P","1ER. PATRULLAJE",L78="2P","2DO. PATRULLAJE",L78="1T","1ER. TURNO",L78="2T","2DO. TURNO",L78="3T","3ER. TURNO"),IF(L78="","",""))</f>
        <v>#N/A</v>
      </c>
    </row>
    <row r="79" spans="1:13" ht="46.8" x14ac:dyDescent="0.3">
      <c r="A79" s="42">
        <f t="shared" si="82"/>
        <v>22</v>
      </c>
      <c r="C79" s="329" t="s">
        <v>795</v>
      </c>
      <c r="D79" s="330" t="e">
        <f t="shared" si="83"/>
        <v>#N/A</v>
      </c>
      <c r="E79" s="330" t="e">
        <f t="array" ref="E79">IFERROR(_xlfn.IFS(D79="1G","1RA. GUARDIA",D79="2G","2DA. GUARDIA",D79="F","FRANCO",D79="1P","1ER. PATRULLAJE",D79="2P","2DO. PATRULLAJE",D79="1T","1ER. TURNO",D79="2T","2DO. TURNO",D79="3T","3ER. TURNO"),IF(D79="","",""))</f>
        <v>#N/A</v>
      </c>
      <c r="F79" s="330" t="e">
        <f t="shared" si="84"/>
        <v>#N/A</v>
      </c>
      <c r="G79" s="330" t="e">
        <f t="array" ref="G79">IFERROR(_xlfn.IFS(F79="1G","1RA. GUARDIA",F79="2G","2DA. GUARDIA",F79="F","FRANCO",F79="1P","1ER. PATRULLAJE",F79="2P","2DO. PATRULLAJE",F79="1T","1ER. TURNO",F79="2T","2DO. TURNO",F79="3T","3ER. TURNO"),IF(F79="","",""))</f>
        <v>#N/A</v>
      </c>
      <c r="H79" s="330" t="e">
        <f t="shared" si="85"/>
        <v>#N/A</v>
      </c>
      <c r="I79" s="330" t="e">
        <f t="array" ref="I79">IFERROR(_xlfn.IFS(H79="1G","1RA. GUARDIA",H79="2G","2DA. GUARDIA",H79="F","FRANCO",H79="1P","1ER. PATRULLAJE",H79="2P","2DO. PATRULLAJE",H79="1T","1ER. TURNO",H79="2T","2DO. TURNO",H79="3T","3ER. TURNO"),IF(H79="","",""))</f>
        <v>#N/A</v>
      </c>
      <c r="J79" s="330" t="e">
        <f t="shared" si="86"/>
        <v>#N/A</v>
      </c>
      <c r="K79" s="330" t="e">
        <f t="array" ref="K79">IFERROR(_xlfn.IFS(J79="1G","1RA. GUARDIA",J79="2G","2DA. GUARDIA",J79="F","FRANCO",J79="1P","1ER. PATRULLAJE",J79="2P","2DO. PATRULLAJE",J79="1T","1ER. TURNO",J79="2T","2DO. TURNO",J79="3T","3ER. TURNO"),IF(J79="","",""))</f>
        <v>#N/A</v>
      </c>
      <c r="L79" s="330" t="e">
        <f t="shared" si="87"/>
        <v>#N/A</v>
      </c>
      <c r="M79" s="330" t="e">
        <f t="array" ref="M79">IFERROR(_xlfn.IFS(L79="1G","1RA. GUARDIA",L79="2G","2DA. GUARDIA",L79="F","FRANCO",L79="1P","1ER. PATRULLAJE",L79="2P","2DO. PATRULLAJE",L79="1T","1ER. TURNO",L79="2T","2DO. TURNO",L79="3T","3ER. TURNO"),IF(L79="","",""))</f>
        <v>#N/A</v>
      </c>
    </row>
    <row r="80" spans="1:13" ht="46.8" x14ac:dyDescent="0.3">
      <c r="A80" s="42">
        <f t="shared" si="82"/>
        <v>22</v>
      </c>
      <c r="C80" s="329" t="s">
        <v>820</v>
      </c>
      <c r="D80" s="330" t="e">
        <f t="shared" si="83"/>
        <v>#N/A</v>
      </c>
      <c r="E80" s="330" t="e">
        <f t="array" ref="E80">IFERROR(_xlfn.IFS(D80="1G","1RA. GUARDIA",D80="2G","2DA. GUARDIA",D80="F","FRANCO",D80="1P","1ER. PATRULLAJE",D80="2P","2DO. PATRULLAJE",D80="1T","1ER. TURNO",D80="2T","2DO. TURNO",D80="3T","3ER. TURNO"),IF(D80="","",""))</f>
        <v>#N/A</v>
      </c>
      <c r="F80" s="330" t="e">
        <f t="shared" si="84"/>
        <v>#N/A</v>
      </c>
      <c r="G80" s="330" t="e">
        <f t="array" ref="G80">IFERROR(_xlfn.IFS(F80="1G","1RA. GUARDIA",F80="2G","2DA. GUARDIA",F80="F","FRANCO",F80="1P","1ER. PATRULLAJE",F80="2P","2DO. PATRULLAJE",F80="1T","1ER. TURNO",F80="2T","2DO. TURNO",F80="3T","3ER. TURNO"),IF(F80="","",""))</f>
        <v>#N/A</v>
      </c>
      <c r="H80" s="330" t="e">
        <f t="shared" si="85"/>
        <v>#N/A</v>
      </c>
      <c r="I80" s="330" t="e">
        <f t="array" ref="I80">IFERROR(_xlfn.IFS(H80="1G","1RA. GUARDIA",H80="2G","2DA. GUARDIA",H80="F","FRANCO",H80="1P","1ER. PATRULLAJE",H80="2P","2DO. PATRULLAJE",H80="1T","1ER. TURNO",H80="2T","2DO. TURNO",H80="3T","3ER. TURNO"),IF(H80="","",""))</f>
        <v>#N/A</v>
      </c>
      <c r="J80" s="330" t="e">
        <f t="shared" si="86"/>
        <v>#N/A</v>
      </c>
      <c r="K80" s="330" t="e">
        <f t="array" ref="K80">IFERROR(_xlfn.IFS(J80="1G","1RA. GUARDIA",J80="2G","2DA. GUARDIA",J80="F","FRANCO",J80="1P","1ER. PATRULLAJE",J80="2P","2DO. PATRULLAJE",J80="1T","1ER. TURNO",J80="2T","2DO. TURNO",J80="3T","3ER. TURNO"),IF(J80="","",""))</f>
        <v>#N/A</v>
      </c>
      <c r="L80" s="330" t="e">
        <f t="shared" si="87"/>
        <v>#N/A</v>
      </c>
      <c r="M80" s="330" t="e">
        <f t="array" ref="M80">IFERROR(_xlfn.IFS(L80="1G","1RA. GUARDIA",L80="2G","2DA. GUARDIA",L80="F","FRANCO",L80="1P","1ER. PATRULLAJE",L80="2P","2DO. PATRULLAJE",L80="1T","1ER. TURNO",L80="2T","2DO. TURNO",L80="3T","3ER. TURNO"),IF(L80="","",""))</f>
        <v>#N/A</v>
      </c>
    </row>
    <row r="81" spans="1:13" ht="23.4" x14ac:dyDescent="0.3">
      <c r="A81" s="42">
        <f t="shared" si="82"/>
        <v>22</v>
      </c>
      <c r="C81" s="329" t="s">
        <v>708</v>
      </c>
      <c r="D81" s="330" t="e">
        <f t="shared" si="83"/>
        <v>#N/A</v>
      </c>
      <c r="E81" s="330" t="e">
        <f t="array" ref="E81">IFERROR(_xlfn.IFS(D81="1G","1RA. GUARDIA",D81="2G","2DA. GUARDIA",D81="F","FRANCO",D81="1P","1ER. PATRULLAJE",D81="2P","2DO. PATRULLAJE",D81="1T","1ER. TURNO",D81="2T","2DO. TURNO",D81="3T","3ER. TURNO"),IF(D81="","",""))</f>
        <v>#N/A</v>
      </c>
      <c r="F81" s="330" t="e">
        <f t="shared" si="84"/>
        <v>#N/A</v>
      </c>
      <c r="G81" s="330" t="e">
        <f t="array" ref="G81">IFERROR(_xlfn.IFS(F81="1G","1RA. GUARDIA",F81="2G","2DA. GUARDIA",F81="F","FRANCO",F81="1P","1ER. PATRULLAJE",F81="2P","2DO. PATRULLAJE",F81="1T","1ER. TURNO",F81="2T","2DO. TURNO",F81="3T","3ER. TURNO"),IF(F81="","",""))</f>
        <v>#N/A</v>
      </c>
      <c r="H81" s="330" t="e">
        <f t="shared" si="85"/>
        <v>#N/A</v>
      </c>
      <c r="I81" s="330" t="e">
        <f t="array" ref="I81">IFERROR(_xlfn.IFS(H81="1G","1RA. GUARDIA",H81="2G","2DA. GUARDIA",H81="F","FRANCO",H81="1P","1ER. PATRULLAJE",H81="2P","2DO. PATRULLAJE",H81="1T","1ER. TURNO",H81="2T","2DO. TURNO",H81="3T","3ER. TURNO"),IF(H81="","",""))</f>
        <v>#N/A</v>
      </c>
      <c r="J81" s="330" t="e">
        <f t="shared" si="86"/>
        <v>#N/A</v>
      </c>
      <c r="K81" s="330" t="e">
        <f t="array" ref="K81">IFERROR(_xlfn.IFS(J81="1G","1RA. GUARDIA",J81="2G","2DA. GUARDIA",J81="F","FRANCO",J81="1P","1ER. PATRULLAJE",J81="2P","2DO. PATRULLAJE",J81="1T","1ER. TURNO",J81="2T","2DO. TURNO",J81="3T","3ER. TURNO"),IF(J81="","",""))</f>
        <v>#N/A</v>
      </c>
      <c r="L81" s="330" t="e">
        <f t="shared" si="87"/>
        <v>#N/A</v>
      </c>
      <c r="M81" s="330" t="e">
        <f t="array" ref="M81">IFERROR(_xlfn.IFS(L81="1G","1RA. GUARDIA",L81="2G","2DA. GUARDIA",L81="F","FRANCO",L81="1P","1ER. PATRULLAJE",L81="2P","2DO. PATRULLAJE",L81="1T","1ER. TURNO",L81="2T","2DO. TURNO",L81="3T","3ER. TURNO"),IF(L81="","",""))</f>
        <v>#N/A</v>
      </c>
    </row>
    <row r="82" spans="1:13" ht="23.4" x14ac:dyDescent="0.3">
      <c r="A82" s="42">
        <f t="shared" si="82"/>
        <v>22</v>
      </c>
      <c r="C82" s="329" t="s">
        <v>705</v>
      </c>
      <c r="D82" s="330" t="e">
        <f t="shared" si="83"/>
        <v>#N/A</v>
      </c>
      <c r="E82" s="330" t="e">
        <f t="array" ref="E82">IFERROR(_xlfn.IFS(D82="1G","1RA. GUARDIA",D82="2G","2DA. GUARDIA",D82="F","FRANCO",D82="1P","1ER. PATRULLAJE",D82="2P","2DO. PATRULLAJE",D82="1T","1ER. TURNO",D82="2T","2DO. TURNO",D82="3T","3ER. TURNO"),IF(D82="","",""))</f>
        <v>#N/A</v>
      </c>
      <c r="F82" s="330" t="e">
        <f t="shared" si="84"/>
        <v>#N/A</v>
      </c>
      <c r="G82" s="330" t="e">
        <f t="array" ref="G82">IFERROR(_xlfn.IFS(F82="1G","1RA. GUARDIA",F82="2G","2DA. GUARDIA",F82="F","FRANCO",F82="1P","1ER. PATRULLAJE",F82="2P","2DO. PATRULLAJE",F82="1T","1ER. TURNO",F82="2T","2DO. TURNO",F82="3T","3ER. TURNO"),IF(F82="","",""))</f>
        <v>#N/A</v>
      </c>
      <c r="H82" s="330" t="e">
        <f t="shared" si="85"/>
        <v>#N/A</v>
      </c>
      <c r="I82" s="330" t="e">
        <f t="array" ref="I82">IFERROR(_xlfn.IFS(H82="1G","1RA. GUARDIA",H82="2G","2DA. GUARDIA",H82="F","FRANCO",H82="1P","1ER. PATRULLAJE",H82="2P","2DO. PATRULLAJE",H82="1T","1ER. TURNO",H82="2T","2DO. TURNO",H82="3T","3ER. TURNO"),IF(H82="","",""))</f>
        <v>#N/A</v>
      </c>
      <c r="J82" s="330" t="e">
        <f t="shared" si="86"/>
        <v>#N/A</v>
      </c>
      <c r="K82" s="330" t="e">
        <f t="array" ref="K82">IFERROR(_xlfn.IFS(J82="1G","1RA. GUARDIA",J82="2G","2DA. GUARDIA",J82="F","FRANCO",J82="1P","1ER. PATRULLAJE",J82="2P","2DO. PATRULLAJE",J82="1T","1ER. TURNO",J82="2T","2DO. TURNO",J82="3T","3ER. TURNO"),IF(J82="","",""))</f>
        <v>#N/A</v>
      </c>
      <c r="L82" s="330" t="e">
        <f t="shared" si="87"/>
        <v>#N/A</v>
      </c>
      <c r="M82" s="330" t="e">
        <f t="array" ref="M82">IFERROR(_xlfn.IFS(L82="1G","1RA. GUARDIA",L82="2G","2DA. GUARDIA",L82="F","FRANCO",L82="1P","1ER. PATRULLAJE",L82="2P","2DO. PATRULLAJE",L82="1T","1ER. TURNO",L82="2T","2DO. TURNO",L82="3T","3ER. TURNO"),IF(L82="","",""))</f>
        <v>#N/A</v>
      </c>
    </row>
    <row r="83" spans="1:13" ht="23.4" x14ac:dyDescent="0.3">
      <c r="A83" s="42">
        <f t="shared" si="82"/>
        <v>22</v>
      </c>
      <c r="C83" s="329" t="s">
        <v>706</v>
      </c>
      <c r="D83" s="330" t="e">
        <f t="shared" si="83"/>
        <v>#N/A</v>
      </c>
      <c r="E83" s="330" t="e">
        <f t="array" ref="E83">IFERROR(_xlfn.IFS(D83="1G","1RA. GUARDIA",D83="2G","2DA. GUARDIA",D83="F","FRANCO",D83="1P","1ER. PATRULLAJE",D83="2P","2DO. PATRULLAJE",D83="1T","1ER. TURNO",D83="2T","2DO. TURNO",D83="3T","3ER. TURNO"),IF(D83="","",""))</f>
        <v>#N/A</v>
      </c>
      <c r="F83" s="330" t="e">
        <f t="shared" si="84"/>
        <v>#N/A</v>
      </c>
      <c r="G83" s="330" t="e">
        <f t="array" ref="G83">IFERROR(_xlfn.IFS(F83="1G","1RA. GUARDIA",F83="2G","2DA. GUARDIA",F83="F","FRANCO",F83="1P","1ER. PATRULLAJE",F83="2P","2DO. PATRULLAJE",F83="1T","1ER. TURNO",F83="2T","2DO. TURNO",F83="3T","3ER. TURNO"),IF(F83="","",""))</f>
        <v>#N/A</v>
      </c>
      <c r="H83" s="330" t="e">
        <f t="shared" si="85"/>
        <v>#N/A</v>
      </c>
      <c r="I83" s="330" t="e">
        <f t="array" ref="I83">IFERROR(_xlfn.IFS(H83="1G","1RA. GUARDIA",H83="2G","2DA. GUARDIA",H83="F","FRANCO",H83="1P","1ER. PATRULLAJE",H83="2P","2DO. PATRULLAJE",H83="1T","1ER. TURNO",H83="2T","2DO. TURNO",H83="3T","3ER. TURNO"),IF(H83="","",""))</f>
        <v>#N/A</v>
      </c>
      <c r="J83" s="330" t="e">
        <f t="shared" si="86"/>
        <v>#N/A</v>
      </c>
      <c r="K83" s="330" t="e">
        <f t="array" ref="K83">IFERROR(_xlfn.IFS(J83="1G","1RA. GUARDIA",J83="2G","2DA. GUARDIA",J83="F","FRANCO",J83="1P","1ER. PATRULLAJE",J83="2P","2DO. PATRULLAJE",J83="1T","1ER. TURNO",J83="2T","2DO. TURNO",J83="3T","3ER. TURNO"),IF(J83="","",""))</f>
        <v>#N/A</v>
      </c>
      <c r="L83" s="330" t="e">
        <f t="shared" si="87"/>
        <v>#N/A</v>
      </c>
      <c r="M83" s="330" t="e">
        <f t="array" ref="M83">IFERROR(_xlfn.IFS(L83="1G","1RA. GUARDIA",L83="2G","2DA. GUARDIA",L83="F","FRANCO",L83="1P","1ER. PATRULLAJE",L83="2P","2DO. PATRULLAJE",L83="1T","1ER. TURNO",L83="2T","2DO. TURNO",L83="3T","3ER. TURNO"),IF(L83="","",""))</f>
        <v>#N/A</v>
      </c>
    </row>
    <row r="84" spans="1:13" ht="23.4" x14ac:dyDescent="0.3">
      <c r="A84" s="42">
        <f t="shared" si="82"/>
        <v>22</v>
      </c>
      <c r="C84" s="329" t="s">
        <v>707</v>
      </c>
      <c r="D84" s="330" t="e">
        <f t="shared" si="83"/>
        <v>#N/A</v>
      </c>
      <c r="E84" s="330" t="e">
        <f t="array" ref="E84">IFERROR(_xlfn.IFS(D84="1G","1RA. GUARDIA",D84="2G","2DA. GUARDIA",D84="F","FRANCO",D84="1P","1ER. PATRULLAJE",D84="2P","2DO. PATRULLAJE",D84="1T","1ER. TURNO",D84="2T","2DO. TURNO",D84="3T","3ER. TURNO"),IF(D84="","",""))</f>
        <v>#N/A</v>
      </c>
      <c r="F84" s="330" t="e">
        <f t="shared" si="84"/>
        <v>#N/A</v>
      </c>
      <c r="G84" s="330" t="e">
        <f t="array" ref="G84">IFERROR(_xlfn.IFS(F84="1G","1RA. GUARDIA",F84="2G","2DA. GUARDIA",F84="F","FRANCO",F84="1P","1ER. PATRULLAJE",F84="2P","2DO. PATRULLAJE",F84="1T","1ER. TURNO",F84="2T","2DO. TURNO",F84="3T","3ER. TURNO"),IF(F84="","",""))</f>
        <v>#N/A</v>
      </c>
      <c r="H84" s="330" t="e">
        <f t="shared" si="85"/>
        <v>#N/A</v>
      </c>
      <c r="I84" s="330" t="e">
        <f t="array" ref="I84">IFERROR(_xlfn.IFS(H84="1G","1RA. GUARDIA",H84="2G","2DA. GUARDIA",H84="F","FRANCO",H84="1P","1ER. PATRULLAJE",H84="2P","2DO. PATRULLAJE",H84="1T","1ER. TURNO",H84="2T","2DO. TURNO",H84="3T","3ER. TURNO"),IF(H84="","",""))</f>
        <v>#N/A</v>
      </c>
      <c r="J84" s="330" t="e">
        <f t="shared" si="86"/>
        <v>#N/A</v>
      </c>
      <c r="K84" s="330" t="e">
        <f t="array" ref="K84">IFERROR(_xlfn.IFS(J84="1G","1RA. GUARDIA",J84="2G","2DA. GUARDIA",J84="F","FRANCO",J84="1P","1ER. PATRULLAJE",J84="2P","2DO. PATRULLAJE",J84="1T","1ER. TURNO",J84="2T","2DO. TURNO",J84="3T","3ER. TURNO"),IF(J84="","",""))</f>
        <v>#N/A</v>
      </c>
      <c r="L84" s="330" t="e">
        <f t="shared" si="87"/>
        <v>#N/A</v>
      </c>
      <c r="M84" s="330" t="e">
        <f t="array" ref="M84">IFERROR(_xlfn.IFS(L84="1G","1RA. GUARDIA",L84="2G","2DA. GUARDIA",L84="F","FRANCO",L84="1P","1ER. PATRULLAJE",L84="2P","2DO. PATRULLAJE",L84="1T","1ER. TURNO",L84="2T","2DO. TURNO",L84="3T","3ER. TURNO"),IF(L84="","",""))</f>
        <v>#N/A</v>
      </c>
    </row>
    <row r="85" spans="1:13" ht="17.399999999999999" x14ac:dyDescent="0.3">
      <c r="A85" s="380">
        <v>22</v>
      </c>
      <c r="B85" s="380"/>
      <c r="C85" s="1273"/>
      <c r="D85" s="1273"/>
      <c r="E85" s="1273"/>
      <c r="F85" s="1273"/>
      <c r="G85" s="1273"/>
      <c r="H85" s="1273"/>
      <c r="I85" s="1273"/>
      <c r="J85" s="1273"/>
      <c r="K85" s="1273"/>
      <c r="L85" s="1273"/>
      <c r="M85" s="1273"/>
    </row>
    <row r="86" spans="1:13" ht="23.4" customHeight="1" x14ac:dyDescent="0.3">
      <c r="A86" s="380">
        <v>22</v>
      </c>
      <c r="B86" s="380"/>
      <c r="C86" s="1276" t="s">
        <v>1692</v>
      </c>
      <c r="D86" s="1276"/>
      <c r="E86" s="1276"/>
      <c r="F86" s="1276"/>
      <c r="G86" s="1276"/>
      <c r="H86" s="1276"/>
      <c r="I86" s="1276"/>
      <c r="J86" s="1276"/>
      <c r="K86" s="1276"/>
      <c r="L86" s="1276"/>
      <c r="M86" s="1276"/>
    </row>
    <row r="87" spans="1:13" ht="21" x14ac:dyDescent="0.35">
      <c r="A87" s="380">
        <v>22</v>
      </c>
      <c r="B87" s="380"/>
      <c r="C87" s="1277" t="str">
        <f ca="1">CONCATENATE("Última actualización: ",TEXT(TODAY(),"dddd"),", ",TEXT(TODAY(),"dd")," ",TEXT(TODAY(),"mmmm")," del año ",TEXT(TODAY(),"yyyyy"),", ",TEXT(NOW(),"hh:mm")," Horas.")</f>
        <v>Última actualización: viernes, 05 abril del año 2024, 16:01 Horas.</v>
      </c>
      <c r="D87" s="1277"/>
      <c r="E87" s="1277"/>
      <c r="F87" s="1277"/>
      <c r="G87" s="1277"/>
      <c r="H87" s="1277"/>
      <c r="I87" s="1277"/>
      <c r="J87" s="1277"/>
      <c r="K87" s="1277"/>
      <c r="L87" s="1277"/>
      <c r="M87" s="1277"/>
    </row>
  </sheetData>
  <autoFilter ref="A1:M87" xr:uid="{00000000-0009-0000-0000-000013000000}">
    <filterColumn colId="0">
      <filters>
        <filter val="22"/>
      </filters>
    </filterColumn>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autoFilter>
  <mergeCells count="25">
    <mergeCell ref="C86:M86"/>
    <mergeCell ref="C87:M87"/>
    <mergeCell ref="C20:M20"/>
    <mergeCell ref="C27:M27"/>
    <mergeCell ref="C34:M34"/>
    <mergeCell ref="C48:M48"/>
    <mergeCell ref="C55:M55"/>
    <mergeCell ref="C60:M60"/>
    <mergeCell ref="C76:M76"/>
    <mergeCell ref="C85:M85"/>
    <mergeCell ref="C41:M41"/>
    <mergeCell ref="C1:L1"/>
    <mergeCell ref="C2:M2"/>
    <mergeCell ref="C13:M13"/>
    <mergeCell ref="D4:E4"/>
    <mergeCell ref="D5:E5"/>
    <mergeCell ref="F4:G4"/>
    <mergeCell ref="F5:G5"/>
    <mergeCell ref="H4:I4"/>
    <mergeCell ref="H5:I5"/>
    <mergeCell ref="J4:K4"/>
    <mergeCell ref="J5:K5"/>
    <mergeCell ref="L5:M5"/>
    <mergeCell ref="L4:M4"/>
    <mergeCell ref="C6:M6"/>
  </mergeCells>
  <phoneticPr fontId="13" type="noConversion"/>
  <conditionalFormatting sqref="D56:L59 D49:L54 D42:L47 D35:L40 D28:L33 D21:L26 D14:L19 D7:L12 D61:L75">
    <cfRule type="containsText" dxfId="24" priority="27" operator="containsText" text="F">
      <formula>NOT(ISERROR(SEARCH("F",D7)))</formula>
    </cfRule>
  </conditionalFormatting>
  <conditionalFormatting sqref="M61:M75">
    <cfRule type="containsText" dxfId="23" priority="18" operator="containsText" text="F">
      <formula>NOT(ISERROR(SEARCH("F",M61)))</formula>
    </cfRule>
  </conditionalFormatting>
  <conditionalFormatting sqref="D81:D84 F81:F84 H81:H84 J81:J84 L81:L84">
    <cfRule type="containsText" dxfId="22" priority="17" operator="containsText" text="F">
      <formula>NOT(ISERROR(SEARCH("F",D81)))</formula>
    </cfRule>
  </conditionalFormatting>
  <conditionalFormatting sqref="D77:F77 D78:D80 F78:F80 H77:H80 J77:J80 E77:E84 G77:G84 I77:I84 L77:L80 K77:K84">
    <cfRule type="containsText" dxfId="21" priority="15" operator="containsText" text="F">
      <formula>NOT(ISERROR(SEARCH("F",D77)))</formula>
    </cfRule>
  </conditionalFormatting>
  <conditionalFormatting sqref="M77:M84">
    <cfRule type="containsText" dxfId="20" priority="14" operator="containsText" text="F">
      <formula>NOT(ISERROR(SEARCH("F",M77)))</formula>
    </cfRule>
  </conditionalFormatting>
  <conditionalFormatting sqref="M49:M54">
    <cfRule type="containsText" dxfId="19" priority="9" operator="containsText" text="F">
      <formula>NOT(ISERROR(SEARCH("F",M49)))</formula>
    </cfRule>
  </conditionalFormatting>
  <conditionalFormatting sqref="M56:M59">
    <cfRule type="containsText" dxfId="18" priority="8" operator="containsText" text="F">
      <formula>NOT(ISERROR(SEARCH("F",M56)))</formula>
    </cfRule>
  </conditionalFormatting>
  <conditionalFormatting sqref="M42:M47">
    <cfRule type="containsText" dxfId="17" priority="6" operator="containsText" text="F">
      <formula>NOT(ISERROR(SEARCH("F",M42)))</formula>
    </cfRule>
  </conditionalFormatting>
  <conditionalFormatting sqref="M35:M40">
    <cfRule type="containsText" dxfId="16" priority="5" operator="containsText" text="F">
      <formula>NOT(ISERROR(SEARCH("F",M35)))</formula>
    </cfRule>
  </conditionalFormatting>
  <conditionalFormatting sqref="M28:M33">
    <cfRule type="containsText" dxfId="15" priority="4" operator="containsText" text="F">
      <formula>NOT(ISERROR(SEARCH("F",M28)))</formula>
    </cfRule>
  </conditionalFormatting>
  <conditionalFormatting sqref="M21:M26">
    <cfRule type="containsText" dxfId="14" priority="3" operator="containsText" text="F">
      <formula>NOT(ISERROR(SEARCH("F",M21)))</formula>
    </cfRule>
  </conditionalFormatting>
  <conditionalFormatting sqref="M14:M19">
    <cfRule type="containsText" dxfId="13" priority="2" operator="containsText" text="F">
      <formula>NOT(ISERROR(SEARCH("F",M14)))</formula>
    </cfRule>
  </conditionalFormatting>
  <conditionalFormatting sqref="M7:M12">
    <cfRule type="containsText" dxfId="12" priority="1" operator="containsText" text="F">
      <formula>NOT(ISERROR(SEARCH("F",M7)))</formula>
    </cfRule>
  </conditionalFormatting>
  <pageMargins left="0.7" right="0.7" top="0.75" bottom="0.75" header="0.3" footer="0.3"/>
  <pageSetup paperSize="5" scale="45" fitToHeight="0" orientation="landscape" horizontalDpi="300" verticalDpi="3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01DDC56F-DC3F-46AA-842B-C829888E3422}">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95EA20A6-7293-4420-8BBA-DB972CC4726B}">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42</vt:i4>
      </vt:variant>
    </vt:vector>
  </HeadingPairs>
  <TitlesOfParts>
    <vt:vector size="62" baseType="lpstr">
      <vt:lpstr>VEHICULO BLINDADOS</vt:lpstr>
      <vt:lpstr>TABLAS DINAMICAS</vt:lpstr>
      <vt:lpstr>COP ESTE</vt:lpstr>
      <vt:lpstr>ESCUADRONES OPERATIVOS</vt:lpstr>
      <vt:lpstr>13</vt:lpstr>
      <vt:lpstr>Panel de Trabajo</vt:lpstr>
      <vt:lpstr>PROYECTIVO</vt:lpstr>
      <vt:lpstr>DISTRIBUCION DIARIA</vt:lpstr>
      <vt:lpstr>Actividades</vt:lpstr>
      <vt:lpstr>Tabla de Servicio</vt:lpstr>
      <vt:lpstr>TABLA DE SERVICIO FUN</vt:lpstr>
      <vt:lpstr>ULTIMO FORM. F.E</vt:lpstr>
      <vt:lpstr>DESP.OPER.</vt:lpstr>
      <vt:lpstr>Ingreso</vt:lpstr>
      <vt:lpstr>Inicio</vt:lpstr>
      <vt:lpstr>Datos</vt:lpstr>
      <vt:lpstr>DISTRIBUCION PDF</vt:lpstr>
      <vt:lpstr>Registros</vt:lpstr>
      <vt:lpstr>Agregar Funcionario</vt:lpstr>
      <vt:lpstr>PROYECTIVO_SEMANAL</vt:lpstr>
      <vt:lpstr>'13'!Área_de_impresión</vt:lpstr>
      <vt:lpstr>Actividades!Área_de_impresión</vt:lpstr>
      <vt:lpstr>DESP.OPER.!Área_de_impresión</vt:lpstr>
      <vt:lpstr>'DISTRIBUCION PDF'!Área_de_impresión</vt:lpstr>
      <vt:lpstr>'ESCUADRONES OPERATIVOS'!Área_de_impresión</vt:lpstr>
      <vt:lpstr>'Panel de Trabajo'!Área_de_impresión</vt:lpstr>
      <vt:lpstr>PROYECTIVO!Área_de_impresión</vt:lpstr>
      <vt:lpstr>PROYECTIVO_SEMANAL!Área_de_impresión</vt:lpstr>
      <vt:lpstr>'TABLA DE SERVICIO FUN'!Área_de_impresión</vt:lpstr>
      <vt:lpstr>'ULTIMO FORM. F.E'!Área_de_impresión</vt:lpstr>
      <vt:lpstr>DESTINACIONES</vt:lpstr>
      <vt:lpstr>'13'!DISPOSITIVOS</vt:lpstr>
      <vt:lpstr>DISPOSITIVOS</vt:lpstr>
      <vt:lpstr>ENCUADRE_DISPOSITIVOS_MENORES</vt:lpstr>
      <vt:lpstr>ENCUADRE_ESCALAFON</vt:lpstr>
      <vt:lpstr>ENCUADRE_PTR</vt:lpstr>
      <vt:lpstr>ENCUADRE_PTR_A_JEFES</vt:lpstr>
      <vt:lpstr>ESCUADRONES</vt:lpstr>
      <vt:lpstr>GENERO</vt:lpstr>
      <vt:lpstr>HORA</vt:lpstr>
      <vt:lpstr>'13'!JEFES_1</vt:lpstr>
      <vt:lpstr>JEFES_1</vt:lpstr>
      <vt:lpstr>'13'!JEFES_2</vt:lpstr>
      <vt:lpstr>JEFES_2</vt:lpstr>
      <vt:lpstr>LICENCIAS_FERIADO_PERMISO</vt:lpstr>
      <vt:lpstr>ORDEN1</vt:lpstr>
      <vt:lpstr>ORDEN2</vt:lpstr>
      <vt:lpstr>ORDEN3</vt:lpstr>
      <vt:lpstr>ORDENYPINTURA</vt:lpstr>
      <vt:lpstr>PANELDETRABAJO</vt:lpstr>
      <vt:lpstr>PROYECTO_CHARLY</vt:lpstr>
      <vt:lpstr>PROYECTO_DELTA</vt:lpstr>
      <vt:lpstr>PROYECTO_PINO</vt:lpstr>
      <vt:lpstr>REPARTICION</vt:lpstr>
      <vt:lpstr>TABLA_PARA_ROL</vt:lpstr>
      <vt:lpstr>TabladeServicio</vt:lpstr>
      <vt:lpstr>TIPO</vt:lpstr>
      <vt:lpstr>TURNOS</vt:lpstr>
      <vt:lpstr>TURNOS_OPERATIVIDAD</vt:lpstr>
      <vt:lpstr>TURNOS_SERVICIOS</vt:lpstr>
      <vt:lpstr>VEH.</vt:lpstr>
      <vt:lpstr>VEHICULOS_BLINDADOS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Alarcón Lagos</dc:creator>
  <cp:lastModifiedBy>OPERACIONES</cp:lastModifiedBy>
  <cp:lastPrinted>2024-04-05T00:06:24Z</cp:lastPrinted>
  <dcterms:created xsi:type="dcterms:W3CDTF">2019-05-17T19:11:14Z</dcterms:created>
  <dcterms:modified xsi:type="dcterms:W3CDTF">2024-04-05T19:01:40Z</dcterms:modified>
</cp:coreProperties>
</file>