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jfedubr-my.sharepoint.com/personal/heloisa_bernardo_ufjf_edu_br/Documents/aulas ufjf/finanças engenharia/2020_1/FIN014_20_1/aulas FIN014/aulas 2020 fin014/"/>
    </mc:Choice>
  </mc:AlternateContent>
  <xr:revisionPtr revIDLastSave="154" documentId="8_{EE654475-2E47-4CC6-8DD0-62E181BDFD1C}" xr6:coauthVersionLast="45" xr6:coauthVersionMax="45" xr10:uidLastSave="{095DA5AB-6423-45EF-B646-492CC98D37E1}"/>
  <bookViews>
    <workbookView xWindow="780" yWindow="780" windowWidth="17565" windowHeight="10650" xr2:uid="{A2939FD4-F81F-449C-BDC6-519542E72BD4}"/>
  </bookViews>
  <sheets>
    <sheet name="caso 1" sheetId="1" r:id="rId1"/>
    <sheet name="caso 2" sheetId="2" r:id="rId2"/>
    <sheet name="empréstimos" sheetId="3" r:id="rId3"/>
    <sheet name="proporcionalidade" sheetId="5" r:id="rId4"/>
    <sheet name="capitalizção simplesxcomposta" sheetId="15" r:id="rId5"/>
    <sheet name="Planilha1" sheetId="16" r:id="rId6"/>
    <sheet name="equivalência" sheetId="4" r:id="rId7"/>
    <sheet name="taxa over" sheetId="6" r:id="rId8"/>
    <sheet name="taxas variáveis e taxa real" sheetId="7" r:id="rId9"/>
    <sheet name="PGTO" sheetId="8" r:id="rId10"/>
    <sheet name="perpetuidade" sheetId="9" r:id="rId11"/>
    <sheet name="PRICE" sheetId="13" r:id="rId12"/>
    <sheet name="SAC" sheetId="11" r:id="rId13"/>
    <sheet name="SAC X PRICE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1" l="1"/>
  <c r="E9" i="11" s="1"/>
  <c r="F9" i="11"/>
  <c r="F10" i="11" s="1"/>
  <c r="D10" i="11"/>
  <c r="E10" i="11" s="1"/>
  <c r="F8" i="11"/>
  <c r="E8" i="11"/>
  <c r="D8" i="11"/>
  <c r="F7" i="11"/>
  <c r="E7" i="11"/>
  <c r="D7" i="11"/>
  <c r="C8" i="11"/>
  <c r="C9" i="11"/>
  <c r="C10" i="11"/>
  <c r="C11" i="11"/>
  <c r="C12" i="11"/>
  <c r="C13" i="11"/>
  <c r="C14" i="11"/>
  <c r="C15" i="11"/>
  <c r="C16" i="11"/>
  <c r="C17" i="11"/>
  <c r="C18" i="11"/>
  <c r="C7" i="11"/>
  <c r="C10" i="13"/>
  <c r="D10" i="13"/>
  <c r="F10" i="13"/>
  <c r="F9" i="13"/>
  <c r="C9" i="13"/>
  <c r="D9" i="13"/>
  <c r="F8" i="13"/>
  <c r="C8" i="13"/>
  <c r="D8" i="13"/>
  <c r="F7" i="13"/>
  <c r="C7" i="13"/>
  <c r="D7" i="13"/>
  <c r="E9" i="13"/>
  <c r="E10" i="13"/>
  <c r="E11" i="13"/>
  <c r="E12" i="13"/>
  <c r="E13" i="13" s="1"/>
  <c r="E14" i="13" s="1"/>
  <c r="E15" i="13" s="1"/>
  <c r="E16" i="13" s="1"/>
  <c r="E17" i="13" s="1"/>
  <c r="E18" i="13" s="1"/>
  <c r="E8" i="13"/>
  <c r="E7" i="13"/>
  <c r="E26" i="9"/>
  <c r="E27" i="9"/>
  <c r="D26" i="9"/>
  <c r="C26" i="9"/>
  <c r="F6" i="8"/>
  <c r="E8" i="8"/>
  <c r="D8" i="8"/>
  <c r="C6" i="8"/>
  <c r="B6" i="8"/>
  <c r="B21" i="7"/>
  <c r="B20" i="7"/>
  <c r="B19" i="7"/>
  <c r="G17" i="7"/>
  <c r="H15" i="7"/>
  <c r="H8" i="7"/>
  <c r="H9" i="7" s="1"/>
  <c r="H10" i="7" s="1"/>
  <c r="H11" i="7" s="1"/>
  <c r="H12" i="7" s="1"/>
  <c r="H13" i="7" s="1"/>
  <c r="H7" i="7"/>
  <c r="H6" i="7"/>
  <c r="B17" i="7"/>
  <c r="C15" i="7"/>
  <c r="C9" i="7"/>
  <c r="C10" i="7" s="1"/>
  <c r="C11" i="7" s="1"/>
  <c r="C12" i="7" s="1"/>
  <c r="C13" i="7" s="1"/>
  <c r="C8" i="7"/>
  <c r="C7" i="7"/>
  <c r="C6" i="7"/>
  <c r="F11" i="11" l="1"/>
  <c r="D11" i="11"/>
  <c r="E11" i="11" s="1"/>
  <c r="D11" i="13"/>
  <c r="C11" i="13" s="1"/>
  <c r="F11" i="13" s="1"/>
  <c r="F22" i="2"/>
  <c r="F23" i="2"/>
  <c r="F24" i="2"/>
  <c r="F25" i="2"/>
  <c r="F26" i="2"/>
  <c r="F21" i="2"/>
  <c r="F27" i="2" s="1"/>
  <c r="F28" i="2" s="1"/>
  <c r="D12" i="11" l="1"/>
  <c r="E12" i="11" s="1"/>
  <c r="F12" i="11"/>
  <c r="D12" i="13"/>
  <c r="C12" i="13" s="1"/>
  <c r="F12" i="13" s="1"/>
  <c r="B10" i="15"/>
  <c r="C10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C11" i="15"/>
  <c r="B11" i="15"/>
  <c r="D13" i="11" l="1"/>
  <c r="E13" i="11" s="1"/>
  <c r="F13" i="11"/>
  <c r="D13" i="13"/>
  <c r="C13" i="13" s="1"/>
  <c r="F13" i="13" s="1"/>
  <c r="J5" i="14"/>
  <c r="F6" i="13"/>
  <c r="I5" i="14" s="1"/>
  <c r="F6" i="11"/>
  <c r="B6" i="14" s="1"/>
  <c r="Q16" i="9"/>
  <c r="S16" i="9" s="1"/>
  <c r="R16" i="9"/>
  <c r="L6" i="7"/>
  <c r="D13" i="6"/>
  <c r="D12" i="6"/>
  <c r="C4" i="4"/>
  <c r="C10" i="4" s="1"/>
  <c r="C12" i="4" s="1"/>
  <c r="B4" i="4"/>
  <c r="B10" i="4" s="1"/>
  <c r="B12" i="4" s="1"/>
  <c r="D6" i="5"/>
  <c r="C6" i="5"/>
  <c r="D12" i="5"/>
  <c r="D14" i="5" s="1"/>
  <c r="C12" i="5"/>
  <c r="C14" i="5" s="1"/>
  <c r="B12" i="5"/>
  <c r="B14" i="5" s="1"/>
  <c r="B6" i="5"/>
  <c r="D9" i="3"/>
  <c r="C9" i="3"/>
  <c r="D6" i="3"/>
  <c r="C6" i="3"/>
  <c r="F15" i="2"/>
  <c r="F14" i="2"/>
  <c r="F13" i="2"/>
  <c r="F11" i="2"/>
  <c r="F10" i="2"/>
  <c r="E9" i="1"/>
  <c r="D9" i="1"/>
  <c r="C9" i="1"/>
  <c r="D14" i="11" l="1"/>
  <c r="E14" i="11" s="1"/>
  <c r="F14" i="11"/>
  <c r="D14" i="13"/>
  <c r="C14" i="13" s="1"/>
  <c r="F14" i="13" s="1"/>
  <c r="F16" i="2"/>
  <c r="E4" i="14"/>
  <c r="S17" i="9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T52" i="9" s="1"/>
  <c r="T16" i="9"/>
  <c r="Q17" i="9"/>
  <c r="K4" i="14"/>
  <c r="H5" i="14"/>
  <c r="B8" i="14"/>
  <c r="B5" i="14"/>
  <c r="B9" i="14"/>
  <c r="B16" i="14"/>
  <c r="B13" i="14"/>
  <c r="B12" i="14"/>
  <c r="B15" i="14"/>
  <c r="B11" i="14"/>
  <c r="B7" i="14"/>
  <c r="C5" i="14"/>
  <c r="B14" i="14"/>
  <c r="B10" i="14"/>
  <c r="L7" i="7"/>
  <c r="L8" i="7" s="1"/>
  <c r="L9" i="7" s="1"/>
  <c r="L10" i="7" s="1"/>
  <c r="L11" i="7" s="1"/>
  <c r="L12" i="7" s="1"/>
  <c r="L13" i="7" s="1"/>
  <c r="B22" i="7" s="1"/>
  <c r="F15" i="11" l="1"/>
  <c r="D15" i="11"/>
  <c r="E15" i="11" s="1"/>
  <c r="F15" i="13"/>
  <c r="D15" i="13"/>
  <c r="C15" i="13" s="1"/>
  <c r="T17" i="9"/>
  <c r="T21" i="9"/>
  <c r="T20" i="9"/>
  <c r="T26" i="9"/>
  <c r="T24" i="9"/>
  <c r="T19" i="9"/>
  <c r="T27" i="9"/>
  <c r="T49" i="9"/>
  <c r="T42" i="9"/>
  <c r="T36" i="9"/>
  <c r="T33" i="9"/>
  <c r="T23" i="9"/>
  <c r="T40" i="9"/>
  <c r="T37" i="9"/>
  <c r="T18" i="9"/>
  <c r="T22" i="9"/>
  <c r="K5" i="14"/>
  <c r="T28" i="9"/>
  <c r="T44" i="9"/>
  <c r="T25" i="9"/>
  <c r="T41" i="9"/>
  <c r="T34" i="9"/>
  <c r="T50" i="9"/>
  <c r="T31" i="9"/>
  <c r="T35" i="9"/>
  <c r="T39" i="9"/>
  <c r="S53" i="9"/>
  <c r="S54" i="9" s="1"/>
  <c r="T46" i="9"/>
  <c r="T43" i="9"/>
  <c r="L15" i="7"/>
  <c r="K17" i="7"/>
  <c r="T32" i="9"/>
  <c r="T48" i="9"/>
  <c r="T29" i="9"/>
  <c r="T45" i="9"/>
  <c r="T38" i="9"/>
  <c r="T47" i="9"/>
  <c r="T51" i="9"/>
  <c r="T30" i="9"/>
  <c r="E5" i="14"/>
  <c r="Q18" i="9"/>
  <c r="R17" i="9"/>
  <c r="J6" i="14"/>
  <c r="C20" i="11"/>
  <c r="B18" i="14" s="1"/>
  <c r="D5" i="14"/>
  <c r="I6" i="14"/>
  <c r="D16" i="11" l="1"/>
  <c r="E16" i="11" s="1"/>
  <c r="F16" i="11"/>
  <c r="D16" i="13"/>
  <c r="C16" i="13" s="1"/>
  <c r="F16" i="13" s="1"/>
  <c r="E6" i="14"/>
  <c r="T53" i="9"/>
  <c r="Q19" i="9"/>
  <c r="R18" i="9"/>
  <c r="J7" i="14"/>
  <c r="E7" i="14"/>
  <c r="S55" i="9"/>
  <c r="T54" i="9"/>
  <c r="D17" i="11" l="1"/>
  <c r="E17" i="11" s="1"/>
  <c r="F17" i="11"/>
  <c r="D17" i="13"/>
  <c r="C17" i="13" s="1"/>
  <c r="F17" i="13" s="1"/>
  <c r="D7" i="14"/>
  <c r="C7" i="14"/>
  <c r="D6" i="14"/>
  <c r="C6" i="14"/>
  <c r="R19" i="9"/>
  <c r="Q20" i="9"/>
  <c r="J8" i="14"/>
  <c r="H6" i="14"/>
  <c r="E8" i="14"/>
  <c r="S56" i="9"/>
  <c r="T55" i="9"/>
  <c r="F18" i="11" l="1"/>
  <c r="D18" i="11"/>
  <c r="E18" i="11" s="1"/>
  <c r="D18" i="13"/>
  <c r="C18" i="13" s="1"/>
  <c r="F18" i="13" s="1"/>
  <c r="D8" i="14"/>
  <c r="C8" i="14"/>
  <c r="Q21" i="9"/>
  <c r="R20" i="9"/>
  <c r="K6" i="14"/>
  <c r="J9" i="14"/>
  <c r="E9" i="14"/>
  <c r="C9" i="14"/>
  <c r="S57" i="9"/>
  <c r="T56" i="9"/>
  <c r="Q22" i="9" l="1"/>
  <c r="R21" i="9"/>
  <c r="J10" i="14"/>
  <c r="I7" i="14"/>
  <c r="D9" i="14"/>
  <c r="E10" i="14"/>
  <c r="S58" i="9"/>
  <c r="T57" i="9"/>
  <c r="D10" i="14" l="1"/>
  <c r="C10" i="14"/>
  <c r="Q23" i="9"/>
  <c r="R22" i="9"/>
  <c r="H7" i="14"/>
  <c r="J11" i="14"/>
  <c r="E11" i="14"/>
  <c r="S59" i="9"/>
  <c r="T58" i="9"/>
  <c r="Q24" i="9" l="1"/>
  <c r="R23" i="9"/>
  <c r="D11" i="14"/>
  <c r="C11" i="14"/>
  <c r="K7" i="14"/>
  <c r="J12" i="14"/>
  <c r="E12" i="14"/>
  <c r="S60" i="9"/>
  <c r="T59" i="9"/>
  <c r="D12" i="14" l="1"/>
  <c r="C12" i="14"/>
  <c r="R24" i="9"/>
  <c r="Q25" i="9"/>
  <c r="J13" i="14"/>
  <c r="I8" i="14"/>
  <c r="E13" i="14"/>
  <c r="S61" i="9"/>
  <c r="T60" i="9"/>
  <c r="Q26" i="9" l="1"/>
  <c r="R25" i="9"/>
  <c r="D13" i="14"/>
  <c r="C13" i="14"/>
  <c r="H8" i="14"/>
  <c r="J14" i="14"/>
  <c r="E14" i="14"/>
  <c r="S62" i="9"/>
  <c r="T61" i="9"/>
  <c r="D14" i="14" l="1"/>
  <c r="C14" i="14"/>
  <c r="Q27" i="9"/>
  <c r="R26" i="9"/>
  <c r="K8" i="14"/>
  <c r="J16" i="14"/>
  <c r="J15" i="14"/>
  <c r="E15" i="14"/>
  <c r="S63" i="9"/>
  <c r="T62" i="9"/>
  <c r="Q28" i="9" l="1"/>
  <c r="R27" i="9"/>
  <c r="D15" i="14"/>
  <c r="C15" i="14"/>
  <c r="I9" i="14"/>
  <c r="E16" i="14"/>
  <c r="C16" i="14"/>
  <c r="S64" i="9"/>
  <c r="T63" i="9"/>
  <c r="Q29" i="9" l="1"/>
  <c r="R28" i="9"/>
  <c r="H9" i="14"/>
  <c r="D20" i="11"/>
  <c r="C18" i="14" s="1"/>
  <c r="E20" i="13"/>
  <c r="J18" i="14" s="1"/>
  <c r="S65" i="9"/>
  <c r="T64" i="9"/>
  <c r="E20" i="11" l="1"/>
  <c r="D18" i="14" s="1"/>
  <c r="D16" i="14"/>
  <c r="Q30" i="9"/>
  <c r="R29" i="9"/>
  <c r="K9" i="14"/>
  <c r="S66" i="9"/>
  <c r="T65" i="9"/>
  <c r="Q31" i="9" l="1"/>
  <c r="R30" i="9"/>
  <c r="I10" i="14"/>
  <c r="S67" i="9"/>
  <c r="T66" i="9"/>
  <c r="R31" i="9" l="1"/>
  <c r="Q32" i="9"/>
  <c r="H10" i="14"/>
  <c r="S68" i="9"/>
  <c r="T67" i="9"/>
  <c r="Q33" i="9" l="1"/>
  <c r="R32" i="9"/>
  <c r="K10" i="14"/>
  <c r="S69" i="9"/>
  <c r="T68" i="9"/>
  <c r="Q34" i="9" l="1"/>
  <c r="R33" i="9"/>
  <c r="I11" i="14"/>
  <c r="S70" i="9"/>
  <c r="T69" i="9"/>
  <c r="Q35" i="9" l="1"/>
  <c r="R34" i="9"/>
  <c r="H11" i="14"/>
  <c r="S71" i="9"/>
  <c r="T70" i="9"/>
  <c r="Q36" i="9" l="1"/>
  <c r="R35" i="9"/>
  <c r="K11" i="14"/>
  <c r="T71" i="9"/>
  <c r="S72" i="9"/>
  <c r="R36" i="9" l="1"/>
  <c r="Q37" i="9"/>
  <c r="I12" i="14"/>
  <c r="T72" i="9"/>
  <c r="S73" i="9"/>
  <c r="Q38" i="9" l="1"/>
  <c r="R37" i="9"/>
  <c r="H12" i="14"/>
  <c r="S74" i="9"/>
  <c r="T73" i="9"/>
  <c r="Q39" i="9" l="1"/>
  <c r="R38" i="9"/>
  <c r="K12" i="14"/>
  <c r="S75" i="9"/>
  <c r="T74" i="9"/>
  <c r="Q40" i="9" l="1"/>
  <c r="R39" i="9"/>
  <c r="I13" i="14"/>
  <c r="S76" i="9"/>
  <c r="T75" i="9"/>
  <c r="Q41" i="9" l="1"/>
  <c r="R40" i="9"/>
  <c r="H13" i="14"/>
  <c r="S77" i="9"/>
  <c r="T76" i="9"/>
  <c r="Q42" i="9" l="1"/>
  <c r="R41" i="9"/>
  <c r="K13" i="14"/>
  <c r="S78" i="9"/>
  <c r="T77" i="9"/>
  <c r="Q43" i="9" l="1"/>
  <c r="R42" i="9"/>
  <c r="I14" i="14"/>
  <c r="S79" i="9"/>
  <c r="T78" i="9"/>
  <c r="Q44" i="9" l="1"/>
  <c r="R43" i="9"/>
  <c r="H14" i="14"/>
  <c r="S80" i="9"/>
  <c r="T79" i="9"/>
  <c r="R44" i="9" l="1"/>
  <c r="Q45" i="9"/>
  <c r="K14" i="14"/>
  <c r="S81" i="9"/>
  <c r="T80" i="9"/>
  <c r="Q46" i="9" l="1"/>
  <c r="R45" i="9"/>
  <c r="I15" i="14"/>
  <c r="S82" i="9"/>
  <c r="T81" i="9"/>
  <c r="Q47" i="9" l="1"/>
  <c r="R46" i="9"/>
  <c r="H15" i="14"/>
  <c r="S83" i="9"/>
  <c r="T82" i="9"/>
  <c r="Q48" i="9" l="1"/>
  <c r="R47" i="9"/>
  <c r="K15" i="14"/>
  <c r="S84" i="9"/>
  <c r="T83" i="9"/>
  <c r="R48" i="9" l="1"/>
  <c r="Q49" i="9"/>
  <c r="I16" i="14"/>
  <c r="D20" i="13"/>
  <c r="I18" i="14" s="1"/>
  <c r="S85" i="9"/>
  <c r="T84" i="9"/>
  <c r="Q50" i="9" l="1"/>
  <c r="R49" i="9"/>
  <c r="C20" i="13"/>
  <c r="H18" i="14" s="1"/>
  <c r="H16" i="14"/>
  <c r="K16" i="14"/>
  <c r="S86" i="9"/>
  <c r="T85" i="9"/>
  <c r="Q51" i="9" l="1"/>
  <c r="R50" i="9"/>
  <c r="S87" i="9"/>
  <c r="T86" i="9"/>
  <c r="Q52" i="9" l="1"/>
  <c r="R51" i="9"/>
  <c r="S88" i="9"/>
  <c r="T87" i="9"/>
  <c r="R52" i="9" l="1"/>
  <c r="Q53" i="9"/>
  <c r="T88" i="9"/>
  <c r="S89" i="9"/>
  <c r="Q54" i="9" l="1"/>
  <c r="R53" i="9"/>
  <c r="T89" i="9"/>
  <c r="S90" i="9"/>
  <c r="Q55" i="9" l="1"/>
  <c r="R54" i="9"/>
  <c r="S91" i="9"/>
  <c r="T90" i="9"/>
  <c r="Q56" i="9" l="1"/>
  <c r="R55" i="9"/>
  <c r="S92" i="9"/>
  <c r="T91" i="9"/>
  <c r="R56" i="9" l="1"/>
  <c r="Q57" i="9"/>
  <c r="S93" i="9"/>
  <c r="T92" i="9"/>
  <c r="Q58" i="9" l="1"/>
  <c r="R57" i="9"/>
  <c r="S94" i="9"/>
  <c r="T93" i="9"/>
  <c r="R58" i="9" l="1"/>
  <c r="Q59" i="9"/>
  <c r="S95" i="9"/>
  <c r="T94" i="9"/>
  <c r="R59" i="9" l="1"/>
  <c r="Q60" i="9"/>
  <c r="S96" i="9"/>
  <c r="T95" i="9"/>
  <c r="R60" i="9" l="1"/>
  <c r="Q61" i="9"/>
  <c r="S97" i="9"/>
  <c r="T96" i="9"/>
  <c r="Q62" i="9" l="1"/>
  <c r="R61" i="9"/>
  <c r="S98" i="9"/>
  <c r="T97" i="9"/>
  <c r="Q63" i="9" l="1"/>
  <c r="R62" i="9"/>
  <c r="S99" i="9"/>
  <c r="T98" i="9"/>
  <c r="Q64" i="9" l="1"/>
  <c r="R63" i="9"/>
  <c r="S100" i="9"/>
  <c r="T99" i="9"/>
  <c r="R64" i="9" l="1"/>
  <c r="Q65" i="9"/>
  <c r="S101" i="9"/>
  <c r="T100" i="9"/>
  <c r="R65" i="9" l="1"/>
  <c r="Q66" i="9"/>
  <c r="T101" i="9"/>
  <c r="S102" i="9"/>
  <c r="R66" i="9" l="1"/>
  <c r="Q67" i="9"/>
  <c r="T102" i="9"/>
  <c r="S103" i="9"/>
  <c r="Q68" i="9" l="1"/>
  <c r="R67" i="9"/>
  <c r="T103" i="9"/>
  <c r="S104" i="9"/>
  <c r="R68" i="9" l="1"/>
  <c r="Q69" i="9"/>
  <c r="T104" i="9"/>
  <c r="S105" i="9"/>
  <c r="Q70" i="9" l="1"/>
  <c r="R69" i="9"/>
  <c r="T105" i="9"/>
  <c r="S106" i="9"/>
  <c r="R70" i="9" l="1"/>
  <c r="Q71" i="9"/>
  <c r="T106" i="9"/>
  <c r="S107" i="9"/>
  <c r="Q72" i="9" l="1"/>
  <c r="R71" i="9"/>
  <c r="T107" i="9"/>
  <c r="S108" i="9"/>
  <c r="R72" i="9" l="1"/>
  <c r="Q73" i="9"/>
  <c r="T108" i="9"/>
  <c r="S109" i="9"/>
  <c r="Q74" i="9" l="1"/>
  <c r="R73" i="9"/>
  <c r="S110" i="9"/>
  <c r="T109" i="9"/>
  <c r="Q75" i="9" l="1"/>
  <c r="R74" i="9"/>
  <c r="S111" i="9"/>
  <c r="T110" i="9"/>
  <c r="R75" i="9" l="1"/>
  <c r="Q76" i="9"/>
  <c r="T111" i="9"/>
  <c r="S112" i="9"/>
  <c r="Q77" i="9" l="1"/>
  <c r="R76" i="9"/>
  <c r="T112" i="9"/>
  <c r="S113" i="9"/>
  <c r="R77" i="9" l="1"/>
  <c r="Q78" i="9"/>
  <c r="S114" i="9"/>
  <c r="T113" i="9"/>
  <c r="Q79" i="9" l="1"/>
  <c r="R78" i="9"/>
  <c r="T114" i="9"/>
  <c r="S115" i="9"/>
  <c r="Q80" i="9" l="1"/>
  <c r="R79" i="9"/>
  <c r="T115" i="9"/>
  <c r="S116" i="9"/>
  <c r="R80" i="9" l="1"/>
  <c r="Q81" i="9"/>
  <c r="S117" i="9"/>
  <c r="T116" i="9"/>
  <c r="R81" i="9" l="1"/>
  <c r="Q82" i="9"/>
  <c r="T117" i="9"/>
  <c r="S118" i="9"/>
  <c r="R82" i="9" l="1"/>
  <c r="Q83" i="9"/>
  <c r="S119" i="9"/>
  <c r="T118" i="9"/>
  <c r="R83" i="9" l="1"/>
  <c r="Q84" i="9"/>
  <c r="T119" i="9"/>
  <c r="S120" i="9"/>
  <c r="R84" i="9" l="1"/>
  <c r="Q85" i="9"/>
  <c r="T120" i="9"/>
  <c r="S121" i="9"/>
  <c r="Q86" i="9" l="1"/>
  <c r="R85" i="9"/>
  <c r="S122" i="9"/>
  <c r="T121" i="9"/>
  <c r="Q87" i="9" l="1"/>
  <c r="R86" i="9"/>
  <c r="S123" i="9"/>
  <c r="T122" i="9"/>
  <c r="R87" i="9" l="1"/>
  <c r="Q88" i="9"/>
  <c r="S124" i="9"/>
  <c r="T123" i="9"/>
  <c r="R88" i="9" l="1"/>
  <c r="Q89" i="9"/>
  <c r="T124" i="9"/>
  <c r="S125" i="9"/>
  <c r="R89" i="9" l="1"/>
  <c r="Q90" i="9"/>
  <c r="S126" i="9"/>
  <c r="T125" i="9"/>
  <c r="Q91" i="9" l="1"/>
  <c r="R90" i="9"/>
  <c r="T126" i="9"/>
  <c r="S127" i="9"/>
  <c r="Q92" i="9" l="1"/>
  <c r="R91" i="9"/>
  <c r="S128" i="9"/>
  <c r="T127" i="9"/>
  <c r="R92" i="9" l="1"/>
  <c r="Q93" i="9"/>
  <c r="T128" i="9"/>
  <c r="S129" i="9"/>
  <c r="Q94" i="9" l="1"/>
  <c r="R93" i="9"/>
  <c r="S130" i="9"/>
  <c r="T129" i="9"/>
  <c r="Q95" i="9" l="1"/>
  <c r="R94" i="9"/>
  <c r="S131" i="9"/>
  <c r="T130" i="9"/>
  <c r="Q96" i="9" l="1"/>
  <c r="R95" i="9"/>
  <c r="T131" i="9"/>
  <c r="S132" i="9"/>
  <c r="Q97" i="9" l="1"/>
  <c r="R96" i="9"/>
  <c r="T132" i="9"/>
  <c r="S133" i="9"/>
  <c r="Q98" i="9" l="1"/>
  <c r="R97" i="9"/>
  <c r="S134" i="9"/>
  <c r="T133" i="9"/>
  <c r="Q99" i="9" l="1"/>
  <c r="R98" i="9"/>
  <c r="S135" i="9"/>
  <c r="T134" i="9"/>
  <c r="Q100" i="9" l="1"/>
  <c r="R99" i="9"/>
  <c r="T135" i="9"/>
  <c r="S136" i="9"/>
  <c r="R100" i="9" l="1"/>
  <c r="Q101" i="9"/>
  <c r="S137" i="9"/>
  <c r="T136" i="9"/>
  <c r="R101" i="9" l="1"/>
  <c r="Q102" i="9"/>
  <c r="S138" i="9"/>
  <c r="T137" i="9"/>
  <c r="Q103" i="9" l="1"/>
  <c r="R102" i="9"/>
  <c r="T138" i="9"/>
  <c r="S139" i="9"/>
  <c r="T139" i="9" s="1"/>
  <c r="T15" i="9" s="1"/>
  <c r="Q104" i="9" l="1"/>
  <c r="R103" i="9"/>
  <c r="R104" i="9" l="1"/>
  <c r="Q105" i="9"/>
  <c r="Q106" i="9" l="1"/>
  <c r="R105" i="9"/>
  <c r="Q107" i="9" l="1"/>
  <c r="R106" i="9"/>
  <c r="Q108" i="9" l="1"/>
  <c r="R107" i="9"/>
  <c r="Q109" i="9" l="1"/>
  <c r="R108" i="9"/>
  <c r="R109" i="9" l="1"/>
  <c r="Q110" i="9"/>
  <c r="Q111" i="9" l="1"/>
  <c r="R110" i="9"/>
  <c r="Q112" i="9" l="1"/>
  <c r="R111" i="9"/>
  <c r="Q113" i="9" l="1"/>
  <c r="R112" i="9"/>
  <c r="Q114" i="9" l="1"/>
  <c r="R113" i="9"/>
  <c r="Q115" i="9" l="1"/>
  <c r="R114" i="9"/>
  <c r="Q116" i="9" l="1"/>
  <c r="R115" i="9"/>
  <c r="Q117" i="9" l="1"/>
  <c r="R116" i="9"/>
  <c r="Q118" i="9" l="1"/>
  <c r="R117" i="9"/>
  <c r="Q119" i="9" l="1"/>
  <c r="R118" i="9"/>
  <c r="Q120" i="9" l="1"/>
  <c r="R119" i="9"/>
  <c r="Q121" i="9" l="1"/>
  <c r="R120" i="9"/>
  <c r="R121" i="9" l="1"/>
  <c r="Q122" i="9"/>
  <c r="Q123" i="9" l="1"/>
  <c r="R122" i="9"/>
  <c r="Q124" i="9" l="1"/>
  <c r="R123" i="9"/>
  <c r="Q125" i="9" l="1"/>
  <c r="R124" i="9"/>
  <c r="Q126" i="9" l="1"/>
  <c r="R125" i="9"/>
  <c r="R126" i="9" l="1"/>
  <c r="Q127" i="9"/>
  <c r="Q128" i="9" l="1"/>
  <c r="R127" i="9"/>
  <c r="Q129" i="9" l="1"/>
  <c r="R128" i="9"/>
  <c r="Q130" i="9" l="1"/>
  <c r="R129" i="9"/>
  <c r="Q131" i="9" l="1"/>
  <c r="R130" i="9"/>
  <c r="Q132" i="9" l="1"/>
  <c r="R131" i="9"/>
  <c r="Q133" i="9" l="1"/>
  <c r="R132" i="9"/>
  <c r="Q134" i="9" l="1"/>
  <c r="R133" i="9"/>
  <c r="Q135" i="9" l="1"/>
  <c r="R134" i="9"/>
  <c r="Q136" i="9" l="1"/>
  <c r="R135" i="9"/>
  <c r="Q137" i="9" l="1"/>
  <c r="R136" i="9"/>
  <c r="Q138" i="9" l="1"/>
  <c r="R137" i="9"/>
  <c r="Q139" i="9" l="1"/>
  <c r="R139" i="9" s="1"/>
  <c r="R15" i="9" s="1"/>
  <c r="R138" i="9"/>
</calcChain>
</file>

<file path=xl/sharedStrings.xml><?xml version="1.0" encoding="utf-8"?>
<sst xmlns="http://schemas.openxmlformats.org/spreadsheetml/2006/main" count="312" uniqueCount="223">
  <si>
    <t>n</t>
  </si>
  <si>
    <t>situações</t>
  </si>
  <si>
    <t>???</t>
  </si>
  <si>
    <t>n (anos)</t>
  </si>
  <si>
    <t>i (% ao ano)</t>
  </si>
  <si>
    <t>??</t>
  </si>
  <si>
    <t>VP</t>
  </si>
  <si>
    <t>VF</t>
  </si>
  <si>
    <t>Cálculo</t>
  </si>
  <si>
    <t>TAXA</t>
  </si>
  <si>
    <t>FC1</t>
  </si>
  <si>
    <t>FC2</t>
  </si>
  <si>
    <t>FC3</t>
  </si>
  <si>
    <t>FC4</t>
  </si>
  <si>
    <t>FC5</t>
  </si>
  <si>
    <t>FC6</t>
  </si>
  <si>
    <t>FC7</t>
  </si>
  <si>
    <t>FC8</t>
  </si>
  <si>
    <t>FC9</t>
  </si>
  <si>
    <t>FC10</t>
  </si>
  <si>
    <t>FC0</t>
  </si>
  <si>
    <t>em t=</t>
  </si>
  <si>
    <t>t'</t>
  </si>
  <si>
    <t>X</t>
  </si>
  <si>
    <t>Valor em t'=0</t>
  </si>
  <si>
    <t>taxa</t>
  </si>
  <si>
    <t>Total</t>
  </si>
  <si>
    <t>Valor presente</t>
  </si>
  <si>
    <t>Quitação do empréstimo</t>
  </si>
  <si>
    <t>Alternativa</t>
  </si>
  <si>
    <t>nr períodos</t>
  </si>
  <si>
    <t>Abertura de crédito</t>
  </si>
  <si>
    <t>FC0 adicional</t>
  </si>
  <si>
    <t>Total captado no banco</t>
  </si>
  <si>
    <t>Valor disponibilizado para a empresa</t>
  </si>
  <si>
    <t>funciona como um custo financeiro</t>
  </si>
  <si>
    <t>situação</t>
  </si>
  <si>
    <t>mensal</t>
  </si>
  <si>
    <t>anual</t>
  </si>
  <si>
    <t xml:space="preserve">converter para </t>
  </si>
  <si>
    <t>periodicidade da taxa</t>
  </si>
  <si>
    <t>diária</t>
  </si>
  <si>
    <t>trimestral</t>
  </si>
  <si>
    <t>Conferindo</t>
  </si>
  <si>
    <t xml:space="preserve">ou </t>
  </si>
  <si>
    <t>Taxa over</t>
  </si>
  <si>
    <t>Taxa para n dias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</si>
  <si>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</si>
  <si>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</si>
  <si>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</si>
  <si>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</si>
  <si>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</si>
  <si>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</si>
  <si>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</si>
  <si>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</si>
  <si>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https://blog.nubank.com.br/cdi-2020/</t>
  </si>
  <si>
    <t>Mês/ano</t>
  </si>
  <si>
    <t>Índice  (em %)</t>
  </si>
  <si>
    <t>CDI</t>
  </si>
  <si>
    <t>IGPM</t>
  </si>
  <si>
    <t>https://www.portalbrasil.net/igpm/</t>
  </si>
  <si>
    <t>Acumulada +1</t>
  </si>
  <si>
    <t>Taxa acumulada</t>
  </si>
  <si>
    <t>https://www.ibge.gov.br/estatisticas/economicas/precos-e-custos</t>
  </si>
  <si>
    <t>IPCA</t>
  </si>
  <si>
    <t>Taxa Real (inflação pelo IPCA)</t>
  </si>
  <si>
    <t>Taxa Real (inflação pelo IGPM)</t>
  </si>
  <si>
    <t>Taxa Média</t>
  </si>
  <si>
    <t>n (nr de meses)</t>
  </si>
  <si>
    <t>Taxa real média (IGPM)</t>
  </si>
  <si>
    <t>Taxa real média (IPCA)</t>
  </si>
  <si>
    <t>PGTO</t>
  </si>
  <si>
    <t>N</t>
  </si>
  <si>
    <t>TIPO</t>
  </si>
  <si>
    <t>Postecipado</t>
  </si>
  <si>
    <t>a)</t>
  </si>
  <si>
    <t>b)</t>
  </si>
  <si>
    <t>Antecipado</t>
  </si>
  <si>
    <t>c)</t>
  </si>
  <si>
    <t>d)</t>
  </si>
  <si>
    <t>e)</t>
  </si>
  <si>
    <t>g</t>
  </si>
  <si>
    <t>FC11</t>
  </si>
  <si>
    <t>FC12</t>
  </si>
  <si>
    <t>FC13</t>
  </si>
  <si>
    <t>FC14</t>
  </si>
  <si>
    <t>FC15</t>
  </si>
  <si>
    <t>FC16</t>
  </si>
  <si>
    <t>FC17</t>
  </si>
  <si>
    <t>FC18</t>
  </si>
  <si>
    <t>FC19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</si>
  <si>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</si>
  <si>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</si>
  <si>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</si>
  <si>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</si>
  <si>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</si>
  <si>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</si>
  <si>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</si>
  <si>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</si>
  <si>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</si>
  <si>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FC29</t>
  </si>
  <si>
    <t>FC30</t>
  </si>
  <si>
    <t>FC31</t>
  </si>
  <si>
    <t>FC32</t>
  </si>
  <si>
    <t>FC33</t>
  </si>
  <si>
    <t>FC34</t>
  </si>
  <si>
    <t>FC35</t>
  </si>
  <si>
    <t>FC36</t>
  </si>
  <si>
    <t>FC37</t>
  </si>
  <si>
    <t>A)</t>
  </si>
  <si>
    <t>sem crescimento</t>
  </si>
  <si>
    <t>com crescimento</t>
  </si>
  <si>
    <t>Valor Presente</t>
  </si>
  <si>
    <t>FC38</t>
  </si>
  <si>
    <t>FC39</t>
  </si>
  <si>
    <t>FC40</t>
  </si>
  <si>
    <t>FC41</t>
  </si>
  <si>
    <t>FC42</t>
  </si>
  <si>
    <t>FC43</t>
  </si>
  <si>
    <t>FC44</t>
  </si>
  <si>
    <t>FC45</t>
  </si>
  <si>
    <t>FC46</t>
  </si>
  <si>
    <t>FC47</t>
  </si>
  <si>
    <t>FC48</t>
  </si>
  <si>
    <t>FC49</t>
  </si>
  <si>
    <t>FC50</t>
  </si>
  <si>
    <t>FC51</t>
  </si>
  <si>
    <t>FC52</t>
  </si>
  <si>
    <t>FC53</t>
  </si>
  <si>
    <t>FC54</t>
  </si>
  <si>
    <t>FC55</t>
  </si>
  <si>
    <t>FC56</t>
  </si>
  <si>
    <t>FC57</t>
  </si>
  <si>
    <t>FC58</t>
  </si>
  <si>
    <t>FC59</t>
  </si>
  <si>
    <t>FC60</t>
  </si>
  <si>
    <t>FC61</t>
  </si>
  <si>
    <t>FC62</t>
  </si>
  <si>
    <t>FC63</t>
  </si>
  <si>
    <t>FC64</t>
  </si>
  <si>
    <t>FC65</t>
  </si>
  <si>
    <t>FC66</t>
  </si>
  <si>
    <t>FC67</t>
  </si>
  <si>
    <t>FC68</t>
  </si>
  <si>
    <t>FC69</t>
  </si>
  <si>
    <t>FC70</t>
  </si>
  <si>
    <t>FC71</t>
  </si>
  <si>
    <t>FC72</t>
  </si>
  <si>
    <t>FC73</t>
  </si>
  <si>
    <t>FC74</t>
  </si>
  <si>
    <t>FC75</t>
  </si>
  <si>
    <t>FC76</t>
  </si>
  <si>
    <t>FC77</t>
  </si>
  <si>
    <t>FC78</t>
  </si>
  <si>
    <t>FC79</t>
  </si>
  <si>
    <t>FC80</t>
  </si>
  <si>
    <t>FC81</t>
  </si>
  <si>
    <t>FC82</t>
  </si>
  <si>
    <t>FC83</t>
  </si>
  <si>
    <t>FC84</t>
  </si>
  <si>
    <t>FC85</t>
  </si>
  <si>
    <t>FC86</t>
  </si>
  <si>
    <t>VP do fluxo</t>
  </si>
  <si>
    <t>FC87</t>
  </si>
  <si>
    <t>FC88</t>
  </si>
  <si>
    <t>FC89</t>
  </si>
  <si>
    <t>FC90</t>
  </si>
  <si>
    <t>FC91</t>
  </si>
  <si>
    <t>FC92</t>
  </si>
  <si>
    <t>FC93</t>
  </si>
  <si>
    <t>FC94</t>
  </si>
  <si>
    <t>FC95</t>
  </si>
  <si>
    <t>FC96</t>
  </si>
  <si>
    <t>FC97</t>
  </si>
  <si>
    <t>FC98</t>
  </si>
  <si>
    <t>FC99</t>
  </si>
  <si>
    <t>FC100</t>
  </si>
  <si>
    <t>FC101</t>
  </si>
  <si>
    <t>FC102</t>
  </si>
  <si>
    <t>FC103</t>
  </si>
  <si>
    <t>FC104</t>
  </si>
  <si>
    <t>FC105</t>
  </si>
  <si>
    <t>FC106</t>
  </si>
  <si>
    <t>FC107</t>
  </si>
  <si>
    <t>FC108</t>
  </si>
  <si>
    <t>FC109</t>
  </si>
  <si>
    <t>FC110</t>
  </si>
  <si>
    <t>FC111</t>
  </si>
  <si>
    <t>FC112</t>
  </si>
  <si>
    <t>FC113</t>
  </si>
  <si>
    <t>FC114</t>
  </si>
  <si>
    <t>FC115</t>
  </si>
  <si>
    <t>FC116</t>
  </si>
  <si>
    <t>FC117</t>
  </si>
  <si>
    <t>FC118</t>
  </si>
  <si>
    <t>FC119</t>
  </si>
  <si>
    <t>FC120</t>
  </si>
  <si>
    <t>FC121</t>
  </si>
  <si>
    <t>FC122</t>
  </si>
  <si>
    <t>FC123</t>
  </si>
  <si>
    <t>FC124</t>
  </si>
  <si>
    <t>Período</t>
  </si>
  <si>
    <t>B)</t>
  </si>
  <si>
    <t>C)</t>
  </si>
  <si>
    <t>VP em t2</t>
  </si>
  <si>
    <t>Mês</t>
  </si>
  <si>
    <t>amortização</t>
  </si>
  <si>
    <t>juros</t>
  </si>
  <si>
    <t>prestação</t>
  </si>
  <si>
    <t>saldo devedor</t>
  </si>
  <si>
    <t>Prazo:</t>
  </si>
  <si>
    <t>Taxa de juros :</t>
  </si>
  <si>
    <t>ao mês</t>
  </si>
  <si>
    <t xml:space="preserve">Valor do financiamento : </t>
  </si>
  <si>
    <t>meses</t>
  </si>
  <si>
    <t>SAC</t>
  </si>
  <si>
    <t>PRICE</t>
  </si>
  <si>
    <t>t</t>
  </si>
  <si>
    <t>Simples</t>
  </si>
  <si>
    <t>Composta</t>
  </si>
  <si>
    <t>Capital</t>
  </si>
  <si>
    <t>em t=2</t>
  </si>
  <si>
    <t>Total 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</si>
</sst>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R$&quot;#,##0;[Red]\-&quot;R$&quot;#,##0"/>
    <numFmt numFmtId="8" formatCode="&quot;R$&quot;#,##0.00;[Red]\-&quot;R$&quot;#,##0.00"/>
    <numFmt numFmtId="164" formatCode="#,##0.0"/>
    <numFmt numFmtId="165" formatCode="0.0%"/>
    <numFmt numFmtId="166" formatCode="0.000%"/>
    <numFmt numFmtId="167" formatCode="0.00000%"/>
    <numFmt numFmtId="168" formatCode="0.0000000%"/>
    <numFmt numFmtId="169" formatCode="0.000000"/>
    <numFmt numFmtId="170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.9"/>
      <color rgb="FF025C75"/>
      <name val="Times New Roman"/>
      <family val="1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4"/>
      <color rgb="FFFFFFFF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name val="Arial"/>
      <family val="2"/>
    </font>
    <font>
      <b/>
      <sz val="15"/>
      <color rgb="FFFFFFFF"/>
      <name val="Calibri"/>
      <family val="2"/>
    </font>
    <font>
      <sz val="15"/>
      <color theme="1"/>
      <name val="Calibri"/>
      <family val="2"/>
      <scheme val="minor"/>
    </font>
    <font>
      <sz val="15"/>
      <color rgb="FF000000"/>
      <name val="Calibri"/>
      <family val="2"/>
    </font>
    <font>
      <sz val="1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4E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8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8" fontId="0" fillId="0" borderId="1" xfId="0" applyNumberFormat="1" applyBorder="1"/>
    <xf numFmtId="4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8" fontId="0" fillId="0" borderId="5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vertical="center"/>
    </xf>
    <xf numFmtId="0" fontId="0" fillId="0" borderId="0" xfId="0" applyAlignment="1"/>
    <xf numFmtId="10" fontId="0" fillId="0" borderId="1" xfId="1" applyNumberFormat="1" applyFont="1" applyBorder="1"/>
    <xf numFmtId="0" fontId="2" fillId="0" borderId="1" xfId="0" applyFont="1" applyBorder="1"/>
    <xf numFmtId="10" fontId="2" fillId="0" borderId="1" xfId="1" applyNumberFormat="1" applyFont="1" applyBorder="1"/>
    <xf numFmtId="12" fontId="0" fillId="0" borderId="0" xfId="0" applyNumberFormat="1"/>
    <xf numFmtId="13" fontId="0" fillId="0" borderId="1" xfId="0" applyNumberFormat="1" applyBorder="1"/>
    <xf numFmtId="166" fontId="2" fillId="0" borderId="1" xfId="0" applyNumberFormat="1" applyFont="1" applyBorder="1"/>
    <xf numFmtId="0" fontId="0" fillId="2" borderId="0" xfId="0" applyFill="1" applyAlignment="1">
      <alignment vertical="center" wrapText="1"/>
    </xf>
    <xf numFmtId="0" fontId="5" fillId="0" borderId="0" xfId="0" applyFont="1" applyAlignment="1">
      <alignment horizontal="left" vertical="center"/>
    </xf>
    <xf numFmtId="168" fontId="0" fillId="0" borderId="1" xfId="1" applyNumberFormat="1" applyFont="1" applyBorder="1"/>
    <xf numFmtId="0" fontId="0" fillId="0" borderId="1" xfId="0" applyBorder="1" applyAlignment="1"/>
    <xf numFmtId="17" fontId="0" fillId="0" borderId="1" xfId="0" applyNumberFormat="1" applyBorder="1"/>
    <xf numFmtId="169" fontId="2" fillId="0" borderId="1" xfId="0" applyNumberFormat="1" applyFont="1" applyBorder="1"/>
    <xf numFmtId="167" fontId="0" fillId="0" borderId="0" xfId="1" applyNumberFormat="1" applyFont="1"/>
    <xf numFmtId="169" fontId="2" fillId="0" borderId="0" xfId="0" applyNumberFormat="1" applyFont="1" applyBorder="1"/>
    <xf numFmtId="0" fontId="2" fillId="0" borderId="0" xfId="0" applyFont="1"/>
    <xf numFmtId="166" fontId="2" fillId="0" borderId="1" xfId="1" applyNumberFormat="1" applyFont="1" applyBorder="1" applyAlignment="1">
      <alignment vertical="center"/>
    </xf>
    <xf numFmtId="0" fontId="0" fillId="0" borderId="3" xfId="0" applyBorder="1"/>
    <xf numFmtId="10" fontId="0" fillId="0" borderId="3" xfId="0" applyNumberFormat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7" fontId="2" fillId="0" borderId="13" xfId="1" applyNumberFormat="1" applyFont="1" applyBorder="1"/>
    <xf numFmtId="17" fontId="0" fillId="0" borderId="3" xfId="0" applyNumberFormat="1" applyBorder="1"/>
    <xf numFmtId="10" fontId="0" fillId="0" borderId="3" xfId="1" applyNumberFormat="1" applyFont="1" applyBorder="1"/>
    <xf numFmtId="169" fontId="2" fillId="0" borderId="3" xfId="0" applyNumberFormat="1" applyFont="1" applyBorder="1"/>
    <xf numFmtId="167" fontId="0" fillId="0" borderId="13" xfId="1" applyNumberFormat="1" applyFont="1" applyBorder="1"/>
    <xf numFmtId="167" fontId="2" fillId="0" borderId="5" xfId="1" applyNumberFormat="1" applyFont="1" applyBorder="1"/>
    <xf numFmtId="10" fontId="2" fillId="0" borderId="1" xfId="0" applyNumberFormat="1" applyFont="1" applyBorder="1"/>
    <xf numFmtId="0" fontId="3" fillId="0" borderId="1" xfId="0" applyFont="1" applyBorder="1"/>
    <xf numFmtId="0" fontId="3" fillId="0" borderId="3" xfId="0" applyFont="1" applyBorder="1"/>
    <xf numFmtId="164" fontId="3" fillId="0" borderId="3" xfId="0" applyNumberFormat="1" applyFont="1" applyBorder="1"/>
    <xf numFmtId="170" fontId="0" fillId="0" borderId="1" xfId="0" applyNumberFormat="1" applyBorder="1"/>
    <xf numFmtId="8" fontId="2" fillId="2" borderId="1" xfId="0" applyNumberFormat="1" applyFont="1" applyFill="1" applyBorder="1"/>
    <xf numFmtId="8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3" borderId="14" xfId="0" applyFont="1" applyFill="1" applyBorder="1" applyAlignment="1">
      <alignment horizontal="center" wrapText="1" readingOrder="1"/>
    </xf>
    <xf numFmtId="9" fontId="7" fillId="0" borderId="0" xfId="0" applyNumberFormat="1" applyFont="1"/>
    <xf numFmtId="6" fontId="7" fillId="0" borderId="0" xfId="0" applyNumberFormat="1" applyFont="1"/>
    <xf numFmtId="0" fontId="9" fillId="3" borderId="14" xfId="0" applyFont="1" applyFill="1" applyBorder="1" applyAlignment="1">
      <alignment horizontal="center" wrapText="1" readingOrder="1"/>
    </xf>
    <xf numFmtId="0" fontId="10" fillId="0" borderId="0" xfId="0" applyFont="1"/>
    <xf numFmtId="0" fontId="11" fillId="4" borderId="15" xfId="0" applyFont="1" applyFill="1" applyBorder="1" applyAlignment="1">
      <alignment horizontal="center" wrapText="1" readingOrder="1"/>
    </xf>
    <xf numFmtId="0" fontId="12" fillId="4" borderId="15" xfId="0" applyFont="1" applyFill="1" applyBorder="1" applyAlignment="1">
      <alignment horizontal="right" wrapText="1"/>
    </xf>
    <xf numFmtId="0" fontId="12" fillId="4" borderId="15" xfId="0" applyFont="1" applyFill="1" applyBorder="1" applyAlignment="1">
      <alignment wrapText="1"/>
    </xf>
    <xf numFmtId="164" fontId="11" fillId="4" borderId="15" xfId="0" applyNumberFormat="1" applyFont="1" applyFill="1" applyBorder="1" applyAlignment="1">
      <alignment horizontal="right" wrapText="1" readingOrder="1"/>
    </xf>
    <xf numFmtId="0" fontId="11" fillId="4" borderId="16" xfId="0" applyFont="1" applyFill="1" applyBorder="1" applyAlignment="1">
      <alignment horizontal="center" wrapText="1" readingOrder="1"/>
    </xf>
    <xf numFmtId="164" fontId="12" fillId="4" borderId="16" xfId="0" applyNumberFormat="1" applyFont="1" applyFill="1" applyBorder="1" applyAlignment="1">
      <alignment horizontal="right" wrapText="1"/>
    </xf>
    <xf numFmtId="164" fontId="12" fillId="4" borderId="16" xfId="0" applyNumberFormat="1" applyFont="1" applyFill="1" applyBorder="1" applyAlignment="1">
      <alignment wrapText="1"/>
    </xf>
    <xf numFmtId="164" fontId="10" fillId="0" borderId="0" xfId="0" applyNumberFormat="1" applyFont="1"/>
    <xf numFmtId="0" fontId="12" fillId="4" borderId="16" xfId="0" applyFont="1" applyFill="1" applyBorder="1" applyAlignment="1">
      <alignment wrapText="1"/>
    </xf>
    <xf numFmtId="0" fontId="13" fillId="3" borderId="14" xfId="0" applyFont="1" applyFill="1" applyBorder="1" applyAlignment="1">
      <alignment horizontal="center" wrapText="1" readingOrder="1"/>
    </xf>
    <xf numFmtId="0" fontId="14" fillId="0" borderId="0" xfId="0" applyFont="1"/>
    <xf numFmtId="0" fontId="15" fillId="4" borderId="15" xfId="0" applyFont="1" applyFill="1" applyBorder="1" applyAlignment="1">
      <alignment horizontal="center" wrapText="1" readingOrder="1"/>
    </xf>
    <xf numFmtId="0" fontId="16" fillId="4" borderId="15" xfId="0" applyFont="1" applyFill="1" applyBorder="1" applyAlignment="1">
      <alignment horizontal="right" wrapText="1"/>
    </xf>
    <xf numFmtId="0" fontId="16" fillId="4" borderId="15" xfId="0" applyFont="1" applyFill="1" applyBorder="1" applyAlignment="1">
      <alignment wrapText="1"/>
    </xf>
    <xf numFmtId="0" fontId="15" fillId="4" borderId="16" xfId="0" applyFont="1" applyFill="1" applyBorder="1" applyAlignment="1">
      <alignment horizontal="center" wrapText="1" readingOrder="1"/>
    </xf>
    <xf numFmtId="164" fontId="16" fillId="4" borderId="16" xfId="0" applyNumberFormat="1" applyFont="1" applyFill="1" applyBorder="1" applyAlignment="1">
      <alignment horizontal="right" wrapText="1"/>
    </xf>
    <xf numFmtId="164" fontId="16" fillId="4" borderId="16" xfId="0" applyNumberFormat="1" applyFont="1" applyFill="1" applyBorder="1" applyAlignment="1">
      <alignment wrapText="1"/>
    </xf>
    <xf numFmtId="164" fontId="14" fillId="0" borderId="0" xfId="0" applyNumberFormat="1" applyFont="1"/>
    <xf numFmtId="0" fontId="16" fillId="4" borderId="16" xfId="0" applyFont="1" applyFill="1" applyBorder="1" applyAlignment="1">
      <alignment wrapText="1"/>
    </xf>
    <xf numFmtId="170" fontId="12" fillId="4" borderId="16" xfId="0" applyNumberFormat="1" applyFont="1" applyFill="1" applyBorder="1" applyAlignment="1">
      <alignment horizontal="right" wrapText="1"/>
    </xf>
    <xf numFmtId="9" fontId="0" fillId="0" borderId="0" xfId="0" applyNumberFormat="1"/>
    <xf numFmtId="0" fontId="0" fillId="2" borderId="4" xfId="0" applyFill="1" applyBorder="1"/>
    <xf numFmtId="8" fontId="0" fillId="2" borderId="5" xfId="0" applyNumberFormat="1" applyFill="1" applyBorder="1"/>
    <xf numFmtId="17" fontId="0" fillId="0" borderId="0" xfId="0" applyNumberFormat="1"/>
    <xf numFmtId="4" fontId="0" fillId="0" borderId="0" xfId="0" applyNumberFormat="1"/>
    <xf numFmtId="167" fontId="2" fillId="0" borderId="0" xfId="1" applyNumberFormat="1" applyFont="1" applyBorder="1"/>
    <xf numFmtId="0" fontId="0" fillId="0" borderId="0" xfId="0" applyBorder="1" applyAlignment="1">
      <alignment horizontal="center" vertical="center"/>
    </xf>
    <xf numFmtId="4" fontId="0" fillId="0" borderId="0" xfId="0" applyNumberFormat="1" applyBorder="1"/>
    <xf numFmtId="8" fontId="0" fillId="0" borderId="0" xfId="0" applyNumberFormat="1" applyBorder="1"/>
    <xf numFmtId="10" fontId="0" fillId="0" borderId="0" xfId="0" applyNumberFormat="1" applyBorder="1"/>
    <xf numFmtId="0" fontId="0" fillId="0" borderId="0" xfId="0" applyFill="1" applyBorder="1"/>
    <xf numFmtId="9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</a:t>
            </a:r>
            <a:r>
              <a:rPr lang="pt-BR" baseline="0"/>
              <a:t> DE CAPITALIZAÇÃO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'capitalizção simplesxcomposta'!$B$9</c:f>
              <c:strCache>
                <c:ptCount val="1"/>
                <c:pt idx="0">
                  <c:v>Simples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'capitalizção simplesxcomposta'!$A$11:$A$119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'capitalizção simplesxcomposta'!$B$11:$B$119</c:f>
              <c:numCache>
                <c:formatCode>General</c:formatCode>
                <c:ptCount val="109"/>
                <c:pt idx="0">
                  <c:v>1.02</c:v>
                </c:pt>
                <c:pt idx="1">
                  <c:v>1.04</c:v>
                </c:pt>
                <c:pt idx="2">
                  <c:v>1.06</c:v>
                </c:pt>
                <c:pt idx="3">
                  <c:v>1.08</c:v>
                </c:pt>
                <c:pt idx="4">
                  <c:v>1.1000000000000001</c:v>
                </c:pt>
                <c:pt idx="5">
                  <c:v>1.1200000000000001</c:v>
                </c:pt>
                <c:pt idx="6">
                  <c:v>1.1400000000000001</c:v>
                </c:pt>
                <c:pt idx="7">
                  <c:v>1.1599999999999999</c:v>
                </c:pt>
                <c:pt idx="8">
                  <c:v>1.18</c:v>
                </c:pt>
                <c:pt idx="9">
                  <c:v>1.2</c:v>
                </c:pt>
                <c:pt idx="10">
                  <c:v>1.22</c:v>
                </c:pt>
                <c:pt idx="11">
                  <c:v>1.24</c:v>
                </c:pt>
                <c:pt idx="12">
                  <c:v>1.26</c:v>
                </c:pt>
                <c:pt idx="13">
                  <c:v>1.28</c:v>
                </c:pt>
                <c:pt idx="14">
                  <c:v>1.3</c:v>
                </c:pt>
                <c:pt idx="15">
                  <c:v>1.32</c:v>
                </c:pt>
                <c:pt idx="16">
                  <c:v>1.34</c:v>
                </c:pt>
                <c:pt idx="17">
                  <c:v>1.3599999999999999</c:v>
                </c:pt>
                <c:pt idx="18">
                  <c:v>1.38</c:v>
                </c:pt>
                <c:pt idx="19">
                  <c:v>1.4</c:v>
                </c:pt>
                <c:pt idx="20">
                  <c:v>1.42</c:v>
                </c:pt>
                <c:pt idx="21">
                  <c:v>1.44</c:v>
                </c:pt>
                <c:pt idx="22">
                  <c:v>1.46</c:v>
                </c:pt>
                <c:pt idx="23">
                  <c:v>1.48</c:v>
                </c:pt>
                <c:pt idx="24">
                  <c:v>1.5</c:v>
                </c:pt>
                <c:pt idx="25">
                  <c:v>1.52</c:v>
                </c:pt>
                <c:pt idx="26">
                  <c:v>1.54</c:v>
                </c:pt>
                <c:pt idx="27">
                  <c:v>1.56</c:v>
                </c:pt>
                <c:pt idx="28">
                  <c:v>1.58</c:v>
                </c:pt>
                <c:pt idx="29">
                  <c:v>1.6</c:v>
                </c:pt>
                <c:pt idx="30">
                  <c:v>1.62</c:v>
                </c:pt>
                <c:pt idx="31">
                  <c:v>1.6400000000000001</c:v>
                </c:pt>
                <c:pt idx="32">
                  <c:v>1.6600000000000001</c:v>
                </c:pt>
                <c:pt idx="33">
                  <c:v>1.6800000000000002</c:v>
                </c:pt>
                <c:pt idx="34">
                  <c:v>1.7000000000000002</c:v>
                </c:pt>
                <c:pt idx="35">
                  <c:v>1.72</c:v>
                </c:pt>
                <c:pt idx="36">
                  <c:v>1.74</c:v>
                </c:pt>
                <c:pt idx="37">
                  <c:v>1.76</c:v>
                </c:pt>
                <c:pt idx="38">
                  <c:v>1.78</c:v>
                </c:pt>
                <c:pt idx="39">
                  <c:v>1.8</c:v>
                </c:pt>
                <c:pt idx="40">
                  <c:v>1.82</c:v>
                </c:pt>
                <c:pt idx="41">
                  <c:v>1.8399999999999999</c:v>
                </c:pt>
                <c:pt idx="42">
                  <c:v>1.8599999999999999</c:v>
                </c:pt>
                <c:pt idx="43">
                  <c:v>1.88</c:v>
                </c:pt>
                <c:pt idx="44">
                  <c:v>1.9</c:v>
                </c:pt>
                <c:pt idx="45">
                  <c:v>1.92</c:v>
                </c:pt>
                <c:pt idx="46">
                  <c:v>1.94</c:v>
                </c:pt>
                <c:pt idx="47">
                  <c:v>1.96</c:v>
                </c:pt>
                <c:pt idx="48">
                  <c:v>1.98</c:v>
                </c:pt>
                <c:pt idx="49">
                  <c:v>2</c:v>
                </c:pt>
                <c:pt idx="50">
                  <c:v>2.02</c:v>
                </c:pt>
                <c:pt idx="51">
                  <c:v>2.04</c:v>
                </c:pt>
                <c:pt idx="52">
                  <c:v>2.06</c:v>
                </c:pt>
                <c:pt idx="53">
                  <c:v>2.08</c:v>
                </c:pt>
                <c:pt idx="54">
                  <c:v>2.1</c:v>
                </c:pt>
                <c:pt idx="55">
                  <c:v>2.12</c:v>
                </c:pt>
                <c:pt idx="56">
                  <c:v>2.14</c:v>
                </c:pt>
                <c:pt idx="57">
                  <c:v>2.16</c:v>
                </c:pt>
                <c:pt idx="58">
                  <c:v>2.1799999999999997</c:v>
                </c:pt>
                <c:pt idx="59">
                  <c:v>2.2000000000000002</c:v>
                </c:pt>
                <c:pt idx="60">
                  <c:v>2.2199999999999998</c:v>
                </c:pt>
                <c:pt idx="61">
                  <c:v>2.2400000000000002</c:v>
                </c:pt>
                <c:pt idx="62">
                  <c:v>2.2599999999999998</c:v>
                </c:pt>
                <c:pt idx="63">
                  <c:v>2.2800000000000002</c:v>
                </c:pt>
                <c:pt idx="64">
                  <c:v>2.2999999999999998</c:v>
                </c:pt>
                <c:pt idx="65">
                  <c:v>2.3200000000000003</c:v>
                </c:pt>
                <c:pt idx="66">
                  <c:v>2.34</c:v>
                </c:pt>
                <c:pt idx="67">
                  <c:v>2.3600000000000003</c:v>
                </c:pt>
                <c:pt idx="68">
                  <c:v>2.38</c:v>
                </c:pt>
                <c:pt idx="69">
                  <c:v>2.4000000000000004</c:v>
                </c:pt>
                <c:pt idx="70">
                  <c:v>2.42</c:v>
                </c:pt>
                <c:pt idx="71">
                  <c:v>2.44</c:v>
                </c:pt>
                <c:pt idx="72">
                  <c:v>2.46</c:v>
                </c:pt>
                <c:pt idx="73">
                  <c:v>2.48</c:v>
                </c:pt>
                <c:pt idx="74">
                  <c:v>2.5</c:v>
                </c:pt>
                <c:pt idx="75">
                  <c:v>2.52</c:v>
                </c:pt>
                <c:pt idx="76">
                  <c:v>2.54</c:v>
                </c:pt>
                <c:pt idx="77">
                  <c:v>2.56</c:v>
                </c:pt>
                <c:pt idx="78">
                  <c:v>2.58</c:v>
                </c:pt>
                <c:pt idx="79">
                  <c:v>2.6</c:v>
                </c:pt>
                <c:pt idx="80">
                  <c:v>2.62</c:v>
                </c:pt>
                <c:pt idx="81">
                  <c:v>2.64</c:v>
                </c:pt>
                <c:pt idx="82">
                  <c:v>2.66</c:v>
                </c:pt>
                <c:pt idx="83">
                  <c:v>2.6799999999999997</c:v>
                </c:pt>
                <c:pt idx="84">
                  <c:v>2.7</c:v>
                </c:pt>
                <c:pt idx="85">
                  <c:v>2.7199999999999998</c:v>
                </c:pt>
                <c:pt idx="86">
                  <c:v>2.74</c:v>
                </c:pt>
                <c:pt idx="87">
                  <c:v>2.76</c:v>
                </c:pt>
                <c:pt idx="88">
                  <c:v>2.7800000000000002</c:v>
                </c:pt>
                <c:pt idx="89">
                  <c:v>2.8</c:v>
                </c:pt>
                <c:pt idx="90">
                  <c:v>2.8200000000000003</c:v>
                </c:pt>
                <c:pt idx="91">
                  <c:v>2.84</c:v>
                </c:pt>
                <c:pt idx="92">
                  <c:v>2.8600000000000003</c:v>
                </c:pt>
                <c:pt idx="93">
                  <c:v>2.88</c:v>
                </c:pt>
                <c:pt idx="94">
                  <c:v>2.9000000000000004</c:v>
                </c:pt>
                <c:pt idx="95">
                  <c:v>2.92</c:v>
                </c:pt>
                <c:pt idx="96">
                  <c:v>2.94</c:v>
                </c:pt>
                <c:pt idx="97">
                  <c:v>2.96</c:v>
                </c:pt>
                <c:pt idx="98">
                  <c:v>2.98</c:v>
                </c:pt>
                <c:pt idx="99">
                  <c:v>3</c:v>
                </c:pt>
                <c:pt idx="100">
                  <c:v>3.02</c:v>
                </c:pt>
                <c:pt idx="101">
                  <c:v>3.04</c:v>
                </c:pt>
                <c:pt idx="102">
                  <c:v>3.06</c:v>
                </c:pt>
                <c:pt idx="103">
                  <c:v>3.08</c:v>
                </c:pt>
                <c:pt idx="104">
                  <c:v>3.1</c:v>
                </c:pt>
                <c:pt idx="105">
                  <c:v>3.12</c:v>
                </c:pt>
                <c:pt idx="106">
                  <c:v>3.14</c:v>
                </c:pt>
                <c:pt idx="107">
                  <c:v>3.16</c:v>
                </c:pt>
                <c:pt idx="108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1-49F0-90DC-4D922CEC255A}"/>
            </c:ext>
          </c:extLst>
        </c:ser>
        <c:ser>
          <c:idx val="1"/>
          <c:order val="1"/>
          <c:tx>
            <c:strRef>
              <c:f>'capitalizção simplesxcomposta'!$C$9</c:f>
              <c:strCache>
                <c:ptCount val="1"/>
                <c:pt idx="0">
                  <c:v>Composta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'capitalizção simplesxcomposta'!$A$11:$A$119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'capitalizção simplesxcomposta'!$C$11:$C$119</c:f>
              <c:numCache>
                <c:formatCode>General</c:formatCode>
                <c:ptCount val="109"/>
                <c:pt idx="0">
                  <c:v>1.02</c:v>
                </c:pt>
                <c:pt idx="1">
                  <c:v>1.0404</c:v>
                </c:pt>
                <c:pt idx="2">
                  <c:v>1.0612079999999999</c:v>
                </c:pt>
                <c:pt idx="3">
                  <c:v>1.08243216</c:v>
                </c:pt>
                <c:pt idx="4">
                  <c:v>1.1040808032</c:v>
                </c:pt>
                <c:pt idx="5">
                  <c:v>1.1261624192640001</c:v>
                </c:pt>
                <c:pt idx="6">
                  <c:v>1.1486856676492798</c:v>
                </c:pt>
                <c:pt idx="7">
                  <c:v>1.1716593810022655</c:v>
                </c:pt>
                <c:pt idx="8">
                  <c:v>1.1950925686223108</c:v>
                </c:pt>
                <c:pt idx="9">
                  <c:v>1.2189944199947571</c:v>
                </c:pt>
                <c:pt idx="10">
                  <c:v>1.243374308394652</c:v>
                </c:pt>
                <c:pt idx="11">
                  <c:v>1.2682417945625453</c:v>
                </c:pt>
                <c:pt idx="12">
                  <c:v>1.2936066304537961</c:v>
                </c:pt>
                <c:pt idx="13">
                  <c:v>1.3194787630628722</c:v>
                </c:pt>
                <c:pt idx="14">
                  <c:v>1.3458683383241292</c:v>
                </c:pt>
                <c:pt idx="15">
                  <c:v>1.372785705090612</c:v>
                </c:pt>
                <c:pt idx="16">
                  <c:v>1.4002414191924244</c:v>
                </c:pt>
                <c:pt idx="17">
                  <c:v>1.4282462475762727</c:v>
                </c:pt>
                <c:pt idx="18">
                  <c:v>1.4568111725277981</c:v>
                </c:pt>
                <c:pt idx="19">
                  <c:v>1.4859473959783542</c:v>
                </c:pt>
                <c:pt idx="20">
                  <c:v>1.5156663438979212</c:v>
                </c:pt>
                <c:pt idx="21">
                  <c:v>1.5459796707758797</c:v>
                </c:pt>
                <c:pt idx="22">
                  <c:v>1.576899264191397</c:v>
                </c:pt>
                <c:pt idx="23">
                  <c:v>1.608437249475225</c:v>
                </c:pt>
                <c:pt idx="24">
                  <c:v>1.6406059944647295</c:v>
                </c:pt>
                <c:pt idx="25">
                  <c:v>1.6734181143540243</c:v>
                </c:pt>
                <c:pt idx="26">
                  <c:v>1.7068864766411045</c:v>
                </c:pt>
                <c:pt idx="27">
                  <c:v>1.7410242061739269</c:v>
                </c:pt>
                <c:pt idx="28">
                  <c:v>1.7758446902974052</c:v>
                </c:pt>
                <c:pt idx="29">
                  <c:v>1.8113615841033535</c:v>
                </c:pt>
                <c:pt idx="30">
                  <c:v>1.8475888157854201</c:v>
                </c:pt>
                <c:pt idx="31">
                  <c:v>1.8845405921011289</c:v>
                </c:pt>
                <c:pt idx="32">
                  <c:v>1.9222314039431516</c:v>
                </c:pt>
                <c:pt idx="33">
                  <c:v>1.9606760320220145</c:v>
                </c:pt>
                <c:pt idx="34">
                  <c:v>1.9998895526624547</c:v>
                </c:pt>
                <c:pt idx="35">
                  <c:v>2.0398873437157037</c:v>
                </c:pt>
                <c:pt idx="36">
                  <c:v>2.080685090590018</c:v>
                </c:pt>
                <c:pt idx="37">
                  <c:v>2.1222987924018186</c:v>
                </c:pt>
                <c:pt idx="38">
                  <c:v>2.1647447682498542</c:v>
                </c:pt>
                <c:pt idx="39">
                  <c:v>2.2080396636148518</c:v>
                </c:pt>
                <c:pt idx="40">
                  <c:v>2.2522004568871488</c:v>
                </c:pt>
                <c:pt idx="41">
                  <c:v>2.2972444660248916</c:v>
                </c:pt>
                <c:pt idx="42">
                  <c:v>2.3431893553453893</c:v>
                </c:pt>
                <c:pt idx="43">
                  <c:v>2.3900531424522975</c:v>
                </c:pt>
                <c:pt idx="44">
                  <c:v>2.4378542053013432</c:v>
                </c:pt>
                <c:pt idx="45">
                  <c:v>2.4866112894073704</c:v>
                </c:pt>
                <c:pt idx="46">
                  <c:v>2.5363435151955169</c:v>
                </c:pt>
                <c:pt idx="47">
                  <c:v>2.5870703854994277</c:v>
                </c:pt>
                <c:pt idx="48">
                  <c:v>2.6388117932094164</c:v>
                </c:pt>
                <c:pt idx="49">
                  <c:v>2.6915880290736047</c:v>
                </c:pt>
                <c:pt idx="50">
                  <c:v>2.7454197896550765</c:v>
                </c:pt>
                <c:pt idx="51">
                  <c:v>2.8003281854481785</c:v>
                </c:pt>
                <c:pt idx="52">
                  <c:v>2.8563347491571416</c:v>
                </c:pt>
                <c:pt idx="53">
                  <c:v>2.9134614441402849</c:v>
                </c:pt>
                <c:pt idx="54">
                  <c:v>2.9717306730230897</c:v>
                </c:pt>
                <c:pt idx="55">
                  <c:v>3.0311652864835517</c:v>
                </c:pt>
                <c:pt idx="56">
                  <c:v>3.0917885922132227</c:v>
                </c:pt>
                <c:pt idx="57">
                  <c:v>3.1536243640574875</c:v>
                </c:pt>
                <c:pt idx="58">
                  <c:v>3.2166968513386367</c:v>
                </c:pt>
                <c:pt idx="59">
                  <c:v>3.2810307883654102</c:v>
                </c:pt>
                <c:pt idx="60">
                  <c:v>3.346651404132718</c:v>
                </c:pt>
                <c:pt idx="61">
                  <c:v>3.4135844322153726</c:v>
                </c:pt>
                <c:pt idx="62">
                  <c:v>3.4818561208596792</c:v>
                </c:pt>
                <c:pt idx="63">
                  <c:v>3.5514932432768735</c:v>
                </c:pt>
                <c:pt idx="64">
                  <c:v>3.6225231081424112</c:v>
                </c:pt>
                <c:pt idx="65">
                  <c:v>3.6949735703052591</c:v>
                </c:pt>
                <c:pt idx="66">
                  <c:v>3.7688730417113643</c:v>
                </c:pt>
                <c:pt idx="67">
                  <c:v>3.8442505025455915</c:v>
                </c:pt>
                <c:pt idx="68">
                  <c:v>3.9211355125965035</c:v>
                </c:pt>
                <c:pt idx="69">
                  <c:v>3.9995582228484339</c:v>
                </c:pt>
                <c:pt idx="70">
                  <c:v>4.0795493873054021</c:v>
                </c:pt>
                <c:pt idx="71">
                  <c:v>4.1611403750515104</c:v>
                </c:pt>
                <c:pt idx="72">
                  <c:v>4.2443631825525401</c:v>
                </c:pt>
                <c:pt idx="73">
                  <c:v>4.3292504462035915</c:v>
                </c:pt>
                <c:pt idx="74">
                  <c:v>4.4158354551276622</c:v>
                </c:pt>
                <c:pt idx="75">
                  <c:v>4.5041521642302165</c:v>
                </c:pt>
                <c:pt idx="76">
                  <c:v>4.5942352075148207</c:v>
                </c:pt>
                <c:pt idx="77">
                  <c:v>4.6861199116651173</c:v>
                </c:pt>
                <c:pt idx="78">
                  <c:v>4.7798423098984184</c:v>
                </c:pt>
                <c:pt idx="79">
                  <c:v>4.8754391560963874</c:v>
                </c:pt>
                <c:pt idx="80">
                  <c:v>4.9729479392183151</c:v>
                </c:pt>
                <c:pt idx="81">
                  <c:v>5.0724068980026811</c:v>
                </c:pt>
                <c:pt idx="82">
                  <c:v>5.1738550359627347</c:v>
                </c:pt>
                <c:pt idx="83">
                  <c:v>5.2773321366819896</c:v>
                </c:pt>
                <c:pt idx="84">
                  <c:v>5.3828787794156296</c:v>
                </c:pt>
                <c:pt idx="85">
                  <c:v>5.4905363550039423</c:v>
                </c:pt>
                <c:pt idx="86">
                  <c:v>5.6003470821040198</c:v>
                </c:pt>
                <c:pt idx="87">
                  <c:v>5.7123540237461006</c:v>
                </c:pt>
                <c:pt idx="88">
                  <c:v>5.8266011042210231</c:v>
                </c:pt>
                <c:pt idx="89">
                  <c:v>5.9431331263054439</c:v>
                </c:pt>
                <c:pt idx="90">
                  <c:v>6.0619957888315517</c:v>
                </c:pt>
                <c:pt idx="91">
                  <c:v>6.1832357046081841</c:v>
                </c:pt>
                <c:pt idx="92">
                  <c:v>6.306900418700347</c:v>
                </c:pt>
                <c:pt idx="93">
                  <c:v>6.4330384270743544</c:v>
                </c:pt>
                <c:pt idx="94">
                  <c:v>6.5616991956158399</c:v>
                </c:pt>
                <c:pt idx="95">
                  <c:v>6.6929331795281577</c:v>
                </c:pt>
                <c:pt idx="96">
                  <c:v>6.8267918431187216</c:v>
                </c:pt>
                <c:pt idx="97">
                  <c:v>6.963327679981095</c:v>
                </c:pt>
                <c:pt idx="98">
                  <c:v>7.1025942335807173</c:v>
                </c:pt>
                <c:pt idx="99">
                  <c:v>7.244646118252331</c:v>
                </c:pt>
                <c:pt idx="100">
                  <c:v>7.3895390406173789</c:v>
                </c:pt>
                <c:pt idx="101">
                  <c:v>7.5373298214297266</c:v>
                </c:pt>
                <c:pt idx="102">
                  <c:v>7.6880764178583183</c:v>
                </c:pt>
                <c:pt idx="103">
                  <c:v>7.8418379462154872</c:v>
                </c:pt>
                <c:pt idx="104">
                  <c:v>7.9986747051397966</c:v>
                </c:pt>
                <c:pt idx="105">
                  <c:v>8.1586481992425917</c:v>
                </c:pt>
                <c:pt idx="106">
                  <c:v>8.3218211632274439</c:v>
                </c:pt>
                <c:pt idx="107">
                  <c:v>8.4882575864919936</c:v>
                </c:pt>
                <c:pt idx="108">
                  <c:v>8.6580227382218329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1-49F0-90DC-4D922CEC2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72080"/>
        <c:axId val="744169784"/>
      </c:scatterChart>
      <c:valAx>
        <c:axId val="7441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169784"/>
        <c:crosses val="autoZero"/>
        <c:crossBetween val="midCat"/>
      </c:valAx>
      <c:valAx>
        <c:axId val="7441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17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0</xdr:row>
      <xdr:rowOff>148829</xdr:rowOff>
    </xdr:from>
    <xdr:to>
      <xdr:col>13</xdr:col>
      <xdr:colOff>35719</xdr:colOff>
      <xdr:row>11</xdr:row>
      <xdr:rowOff>77391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98C5017-A031-498D-8D59-2EB5E131E944}"/>
            </a:ext>
          </a:extLst>
        </xdr:cNvPr>
        <xdr:cNvSpPr txBox="1"/>
      </xdr:nvSpPr>
      <xdr:spPr>
        <a:xfrm>
          <a:off x="5393531" y="148829"/>
          <a:ext cx="3083719" cy="2024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 investidor pretende obter ao final de 2 anos o valor de R$ 15.000.</a:t>
          </a:r>
          <a:endParaRPr lang="pt-BR">
            <a:effectLst/>
          </a:endParaRPr>
        </a:p>
        <a:p>
          <a:pPr rtl="0" eaLnBrk="1" latinLnBrk="0" hangingPunct="1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1.Se aplicar R$ R$ 10.000 em um CDB que rende 7,5% ao ano, conseguirá obter o valor pretendido?</a:t>
          </a:r>
          <a:endParaRPr lang="pt-BR">
            <a:effectLst/>
          </a:endParaRPr>
        </a:p>
        <a:p>
          <a:pPr rtl="0" eaLnBrk="1" latinLnBrk="0" hangingPunct="1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2.Quanto precisaria investir para obter a quantia pretendida em 2 anos?</a:t>
          </a:r>
          <a:endParaRPr lang="pt-BR">
            <a:effectLst/>
          </a:endParaRPr>
        </a:p>
        <a:p>
          <a:pPr rtl="0" eaLnBrk="1" latinLnBrk="0" hangingPunct="1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3.A que taxa de juros precisaria ser aplicado R$ 10.000 para que fosse obtido R$ 15.000 ao final de 2 anos?</a:t>
          </a:r>
          <a:endParaRPr lang="pt-BR">
            <a:effectLst/>
          </a:endParaRPr>
        </a:p>
        <a:p>
          <a:endParaRPr lang="pt-B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461470</xdr:colOff>
      <xdr:row>2</xdr:row>
      <xdr:rowOff>104774</xdr:rowOff>
    </xdr:from>
    <xdr:to>
      <xdr:col>21</xdr:col>
      <xdr:colOff>166195</xdr:colOff>
      <xdr:row>13</xdr:row>
      <xdr:rowOff>19357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FF68F9B-2231-4A3B-A78A-F722A40E8780}"/>
            </a:ext>
          </a:extLst>
        </xdr:cNvPr>
        <xdr:cNvGrpSpPr/>
      </xdr:nvGrpSpPr>
      <xdr:grpSpPr>
        <a:xfrm>
          <a:off x="9804629" y="485774"/>
          <a:ext cx="3947680" cy="2010083"/>
          <a:chOff x="1738313" y="2395072"/>
          <a:chExt cx="8215312" cy="4009345"/>
        </a:xfrm>
        <a:solidFill>
          <a:sysClr val="window" lastClr="FFFFFF"/>
        </a:solidFill>
      </xdr:grpSpPr>
      <xdr:grpSp>
        <xdr:nvGrpSpPr>
          <xdr:cNvPr id="3" name="Grupo 34">
            <a:extLst>
              <a:ext uri="{FF2B5EF4-FFF2-40B4-BE49-F238E27FC236}">
                <a16:creationId xmlns:a16="http://schemas.microsoft.com/office/drawing/2014/main" id="{73C09B42-879D-476F-89EB-4DA1C106460D}"/>
              </a:ext>
            </a:extLst>
          </xdr:cNvPr>
          <xdr:cNvGrpSpPr>
            <a:grpSpLocks/>
          </xdr:cNvGrpSpPr>
        </xdr:nvGrpSpPr>
        <xdr:grpSpPr bwMode="auto">
          <a:xfrm>
            <a:off x="2452689" y="2838276"/>
            <a:ext cx="6859588" cy="2500313"/>
            <a:chOff x="928688" y="2214563"/>
            <a:chExt cx="6859588" cy="2500313"/>
          </a:xfrm>
          <a:grpFill/>
        </xdr:grpSpPr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004530D9-3127-4AC2-BCC7-BB516D09515B}"/>
                </a:ext>
              </a:extLst>
            </xdr:cNvPr>
            <xdr:cNvCxnSpPr/>
          </xdr:nvCxnSpPr>
          <xdr:spPr>
            <a:xfrm>
              <a:off x="928688" y="2357438"/>
              <a:ext cx="6858000" cy="1587"/>
            </a:xfrm>
            <a:prstGeom prst="line">
              <a:avLst/>
            </a:prstGeom>
            <a:grpFill/>
            <a:ln>
              <a:solidFill>
                <a:srgbClr val="0070C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42EC3608-C41E-4831-BFF5-135F2EC8DF7A}"/>
                </a:ext>
              </a:extLst>
            </xdr:cNvPr>
            <xdr:cNvCxnSpPr/>
          </xdr:nvCxnSpPr>
          <xdr:spPr>
            <a:xfrm flipH="1">
              <a:off x="7786689" y="2357439"/>
              <a:ext cx="1587" cy="2357437"/>
            </a:xfrm>
            <a:prstGeom prst="line">
              <a:avLst/>
            </a:prstGeom>
            <a:grpFill/>
            <a:ln>
              <a:solidFill>
                <a:srgbClr val="0070C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75145C28-1548-4C48-BAA2-ED8F2B7E1298}"/>
                </a:ext>
              </a:extLst>
            </xdr:cNvPr>
            <xdr:cNvCxnSpPr/>
          </xdr:nvCxnSpPr>
          <xdr:spPr>
            <a:xfrm flipH="1">
              <a:off x="6643689" y="2357438"/>
              <a:ext cx="1587" cy="2000250"/>
            </a:xfrm>
            <a:prstGeom prst="line">
              <a:avLst/>
            </a:prstGeom>
            <a:grpFill/>
            <a:ln>
              <a:solidFill>
                <a:srgbClr val="0070C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ector reto 22">
              <a:extLst>
                <a:ext uri="{FF2B5EF4-FFF2-40B4-BE49-F238E27FC236}">
                  <a16:creationId xmlns:a16="http://schemas.microsoft.com/office/drawing/2014/main" id="{104CC422-EC0A-4CEA-A160-329B16A2B1E0}"/>
                </a:ext>
              </a:extLst>
            </xdr:cNvPr>
            <xdr:cNvCxnSpPr/>
          </xdr:nvCxnSpPr>
          <xdr:spPr>
            <a:xfrm flipH="1">
              <a:off x="5429250" y="2357438"/>
              <a:ext cx="1588" cy="1571625"/>
            </a:xfrm>
            <a:prstGeom prst="line">
              <a:avLst/>
            </a:prstGeom>
            <a:grpFill/>
            <a:ln>
              <a:solidFill>
                <a:srgbClr val="0070C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2C992CF6-4366-4BAD-9704-CDC8A4175682}"/>
                </a:ext>
              </a:extLst>
            </xdr:cNvPr>
            <xdr:cNvCxnSpPr/>
          </xdr:nvCxnSpPr>
          <xdr:spPr>
            <a:xfrm flipH="1">
              <a:off x="4143375" y="2357438"/>
              <a:ext cx="1588" cy="1143000"/>
            </a:xfrm>
            <a:prstGeom prst="line">
              <a:avLst/>
            </a:prstGeom>
            <a:grpFill/>
            <a:ln>
              <a:solidFill>
                <a:srgbClr val="0070C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to 24">
              <a:extLst>
                <a:ext uri="{FF2B5EF4-FFF2-40B4-BE49-F238E27FC236}">
                  <a16:creationId xmlns:a16="http://schemas.microsoft.com/office/drawing/2014/main" id="{E425F568-DD02-4CA2-B41F-06D80835B271}"/>
                </a:ext>
              </a:extLst>
            </xdr:cNvPr>
            <xdr:cNvCxnSpPr/>
          </xdr:nvCxnSpPr>
          <xdr:spPr>
            <a:xfrm flipH="1">
              <a:off x="2857499" y="2357439"/>
              <a:ext cx="1588" cy="714374"/>
            </a:xfrm>
            <a:prstGeom prst="line">
              <a:avLst/>
            </a:prstGeom>
            <a:grpFill/>
            <a:ln>
              <a:solidFill>
                <a:srgbClr val="0070C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de seta reta 67">
              <a:extLst>
                <a:ext uri="{FF2B5EF4-FFF2-40B4-BE49-F238E27FC236}">
                  <a16:creationId xmlns:a16="http://schemas.microsoft.com/office/drawing/2014/main" id="{9F1537E5-F117-44A2-B5B2-38ED7AE54D97}"/>
                </a:ext>
              </a:extLst>
            </xdr:cNvPr>
            <xdr:cNvCxnSpPr/>
          </xdr:nvCxnSpPr>
          <xdr:spPr>
            <a:xfrm flipH="1">
              <a:off x="1643064" y="4714875"/>
              <a:ext cx="6143625" cy="0"/>
            </a:xfrm>
            <a:prstGeom prst="straightConnector1">
              <a:avLst/>
            </a:prstGeom>
            <a:grpFill/>
            <a:ln>
              <a:solidFill>
                <a:srgbClr val="0070C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Conector de seta reta 70">
              <a:extLst>
                <a:ext uri="{FF2B5EF4-FFF2-40B4-BE49-F238E27FC236}">
                  <a16:creationId xmlns:a16="http://schemas.microsoft.com/office/drawing/2014/main" id="{9429589C-AEB7-4353-9E8D-8435EAEB6F10}"/>
                </a:ext>
              </a:extLst>
            </xdr:cNvPr>
            <xdr:cNvCxnSpPr/>
          </xdr:nvCxnSpPr>
          <xdr:spPr>
            <a:xfrm flipH="1" flipV="1">
              <a:off x="1643064" y="4357688"/>
              <a:ext cx="5000625" cy="1587"/>
            </a:xfrm>
            <a:prstGeom prst="straightConnector1">
              <a:avLst/>
            </a:prstGeom>
            <a:grpFill/>
            <a:ln>
              <a:solidFill>
                <a:srgbClr val="0070C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de seta reta 72">
              <a:extLst>
                <a:ext uri="{FF2B5EF4-FFF2-40B4-BE49-F238E27FC236}">
                  <a16:creationId xmlns:a16="http://schemas.microsoft.com/office/drawing/2014/main" id="{E803DCFA-3379-4F75-AC0B-E0AF2BF7AFEB}"/>
                </a:ext>
              </a:extLst>
            </xdr:cNvPr>
            <xdr:cNvCxnSpPr/>
          </xdr:nvCxnSpPr>
          <xdr:spPr>
            <a:xfrm flipH="1" flipV="1">
              <a:off x="1643063" y="3929063"/>
              <a:ext cx="3786187" cy="1587"/>
            </a:xfrm>
            <a:prstGeom prst="straightConnector1">
              <a:avLst/>
            </a:prstGeom>
            <a:grpFill/>
            <a:ln>
              <a:solidFill>
                <a:srgbClr val="0070C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ector de seta reta 74">
              <a:extLst>
                <a:ext uri="{FF2B5EF4-FFF2-40B4-BE49-F238E27FC236}">
                  <a16:creationId xmlns:a16="http://schemas.microsoft.com/office/drawing/2014/main" id="{F061A7C8-01D7-46F9-9EEF-04B275463462}"/>
                </a:ext>
              </a:extLst>
            </xdr:cNvPr>
            <xdr:cNvCxnSpPr/>
          </xdr:nvCxnSpPr>
          <xdr:spPr>
            <a:xfrm flipH="1" flipV="1">
              <a:off x="1643063" y="3500438"/>
              <a:ext cx="2500312" cy="1587"/>
            </a:xfrm>
            <a:prstGeom prst="straightConnector1">
              <a:avLst/>
            </a:prstGeom>
            <a:grpFill/>
            <a:ln>
              <a:solidFill>
                <a:srgbClr val="0070C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Conector de seta reta 76">
              <a:extLst>
                <a:ext uri="{FF2B5EF4-FFF2-40B4-BE49-F238E27FC236}">
                  <a16:creationId xmlns:a16="http://schemas.microsoft.com/office/drawing/2014/main" id="{D0DF9C6C-4D5D-49FF-980A-94FF4BAC03EC}"/>
                </a:ext>
              </a:extLst>
            </xdr:cNvPr>
            <xdr:cNvCxnSpPr/>
          </xdr:nvCxnSpPr>
          <xdr:spPr>
            <a:xfrm flipH="1" flipV="1">
              <a:off x="1643063" y="3071814"/>
              <a:ext cx="1214437" cy="1587"/>
            </a:xfrm>
            <a:prstGeom prst="straightConnector1">
              <a:avLst/>
            </a:prstGeom>
            <a:grpFill/>
            <a:ln>
              <a:solidFill>
                <a:srgbClr val="0070C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reto 30">
              <a:extLst>
                <a:ext uri="{FF2B5EF4-FFF2-40B4-BE49-F238E27FC236}">
                  <a16:creationId xmlns:a16="http://schemas.microsoft.com/office/drawing/2014/main" id="{48A5F84B-03D5-4C02-9328-D904A40043CC}"/>
                </a:ext>
              </a:extLst>
            </xdr:cNvPr>
            <xdr:cNvCxnSpPr/>
          </xdr:nvCxnSpPr>
          <xdr:spPr>
            <a:xfrm flipH="1">
              <a:off x="7286625" y="2214563"/>
              <a:ext cx="71438" cy="285750"/>
            </a:xfrm>
            <a:prstGeom prst="line">
              <a:avLst/>
            </a:prstGeom>
            <a:grpFill/>
            <a:ln>
              <a:solidFill>
                <a:srgbClr val="0070C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Conector reto 31">
              <a:extLst>
                <a:ext uri="{FF2B5EF4-FFF2-40B4-BE49-F238E27FC236}">
                  <a16:creationId xmlns:a16="http://schemas.microsoft.com/office/drawing/2014/main" id="{5ACC240B-26F6-41A0-9DCC-32F6B58F6135}"/>
                </a:ext>
              </a:extLst>
            </xdr:cNvPr>
            <xdr:cNvCxnSpPr/>
          </xdr:nvCxnSpPr>
          <xdr:spPr>
            <a:xfrm flipH="1">
              <a:off x="7215189" y="2214563"/>
              <a:ext cx="71437" cy="285750"/>
            </a:xfrm>
            <a:prstGeom prst="line">
              <a:avLst/>
            </a:prstGeom>
            <a:grpFill/>
            <a:ln>
              <a:solidFill>
                <a:srgbClr val="0070C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CaixaDeTexto 89">
            <a:extLst>
              <a:ext uri="{FF2B5EF4-FFF2-40B4-BE49-F238E27FC236}">
                <a16:creationId xmlns:a16="http://schemas.microsoft.com/office/drawing/2014/main" id="{D0260F91-8233-4F32-AF96-234D42EF949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38313" y="3501851"/>
            <a:ext cx="1357313" cy="436654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90,9</a:t>
            </a:r>
          </a:p>
        </xdr:txBody>
      </xdr:sp>
      <xdr:sp macro="" textlink="">
        <xdr:nvSpPr>
          <xdr:cNvPr id="5" name="CaixaDeTexto 90">
            <a:extLst>
              <a:ext uri="{FF2B5EF4-FFF2-40B4-BE49-F238E27FC236}">
                <a16:creationId xmlns:a16="http://schemas.microsoft.com/office/drawing/2014/main" id="{E7901094-DF44-4797-8F54-919AFCE47E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67815" y="2623964"/>
            <a:ext cx="642937" cy="617516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800"/>
              <a:t>X</a:t>
            </a:r>
          </a:p>
        </xdr:txBody>
      </xdr:sp>
      <xdr:sp macro="" textlink="">
        <xdr:nvSpPr>
          <xdr:cNvPr id="6" name="CaixaDeTexto 91">
            <a:extLst>
              <a:ext uri="{FF2B5EF4-FFF2-40B4-BE49-F238E27FC236}">
                <a16:creationId xmlns:a16="http://schemas.microsoft.com/office/drawing/2014/main" id="{7923B520-2089-45D3-AB90-44D6DF6FC90C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96188" y="2395072"/>
            <a:ext cx="1928812" cy="514121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106,12</a:t>
            </a:r>
          </a:p>
        </xdr:txBody>
      </xdr:sp>
      <xdr:sp macro="" textlink="">
        <xdr:nvSpPr>
          <xdr:cNvPr id="7" name="CaixaDeTexto 92">
            <a:extLst>
              <a:ext uri="{FF2B5EF4-FFF2-40B4-BE49-F238E27FC236}">
                <a16:creationId xmlns:a16="http://schemas.microsoft.com/office/drawing/2014/main" id="{DAC55970-F507-4FE0-9D5B-B1EE537CBEF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38563" y="2395072"/>
            <a:ext cx="1928812" cy="514121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100,0</a:t>
            </a:r>
          </a:p>
        </xdr:txBody>
      </xdr:sp>
      <xdr:sp macro="" textlink="">
        <xdr:nvSpPr>
          <xdr:cNvPr id="8" name="CaixaDeTexto 93">
            <a:extLst>
              <a:ext uri="{FF2B5EF4-FFF2-40B4-BE49-F238E27FC236}">
                <a16:creationId xmlns:a16="http://schemas.microsoft.com/office/drawing/2014/main" id="{8E79A2CD-1C53-4D45-B52E-BBD610A537C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53001" y="2395072"/>
            <a:ext cx="1928812" cy="514121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102,0</a:t>
            </a:r>
          </a:p>
        </xdr:txBody>
      </xdr:sp>
      <xdr:sp macro="" textlink="">
        <xdr:nvSpPr>
          <xdr:cNvPr id="9" name="CaixaDeTexto 94">
            <a:extLst>
              <a:ext uri="{FF2B5EF4-FFF2-40B4-BE49-F238E27FC236}">
                <a16:creationId xmlns:a16="http://schemas.microsoft.com/office/drawing/2014/main" id="{9252942F-4553-4CCD-BABE-AAB1735A4363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10314" y="2395072"/>
            <a:ext cx="2114549" cy="514121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104,04</a:t>
            </a:r>
          </a:p>
        </xdr:txBody>
      </xdr:sp>
      <xdr:sp macro="" textlink="">
        <xdr:nvSpPr>
          <xdr:cNvPr id="10" name="CaixaDeTexto 95">
            <a:extLst>
              <a:ext uri="{FF2B5EF4-FFF2-40B4-BE49-F238E27FC236}">
                <a16:creationId xmlns:a16="http://schemas.microsoft.com/office/drawing/2014/main" id="{C555413D-7B3C-4E3E-BB93-168366F4B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38313" y="3930475"/>
            <a:ext cx="1357313" cy="436654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84,3</a:t>
            </a:r>
          </a:p>
        </xdr:txBody>
      </xdr:sp>
      <xdr:sp macro="" textlink="">
        <xdr:nvSpPr>
          <xdr:cNvPr id="11" name="CaixaDeTexto 96">
            <a:extLst>
              <a:ext uri="{FF2B5EF4-FFF2-40B4-BE49-F238E27FC236}">
                <a16:creationId xmlns:a16="http://schemas.microsoft.com/office/drawing/2014/main" id="{EB2B84B5-473E-49E9-B2E7-60552C373E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38313" y="4316240"/>
            <a:ext cx="1357313" cy="436654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78,2</a:t>
            </a:r>
          </a:p>
        </xdr:txBody>
      </xdr:sp>
      <xdr:sp macro="" textlink="">
        <xdr:nvSpPr>
          <xdr:cNvPr id="12" name="CaixaDeTexto 97">
            <a:extLst>
              <a:ext uri="{FF2B5EF4-FFF2-40B4-BE49-F238E27FC236}">
                <a16:creationId xmlns:a16="http://schemas.microsoft.com/office/drawing/2014/main" id="{2BE6F63E-84D2-4EBD-8875-285D2E117CE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38313" y="4744864"/>
            <a:ext cx="1357313" cy="436654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72,5</a:t>
            </a:r>
          </a:p>
        </xdr:txBody>
      </xdr:sp>
      <xdr:sp macro="" textlink="">
        <xdr:nvSpPr>
          <xdr:cNvPr id="13" name="CaixaDeTexto 98">
            <a:extLst>
              <a:ext uri="{FF2B5EF4-FFF2-40B4-BE49-F238E27FC236}">
                <a16:creationId xmlns:a16="http://schemas.microsoft.com/office/drawing/2014/main" id="{FF45A2D8-A9C2-451C-8AE0-FC535A6244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81188" y="5171695"/>
            <a:ext cx="1357313" cy="617516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800"/>
              <a:t>X</a:t>
            </a:r>
          </a:p>
        </xdr:txBody>
      </xdr:sp>
      <xdr:sp macro="" textlink="">
        <xdr:nvSpPr>
          <xdr:cNvPr id="14" name="CaixaDeTexto 100">
            <a:extLst>
              <a:ext uri="{FF2B5EF4-FFF2-40B4-BE49-F238E27FC236}">
                <a16:creationId xmlns:a16="http://schemas.microsoft.com/office/drawing/2014/main" id="{F2983C3B-D438-436A-8A48-2423FFDBA81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67126" y="3458990"/>
            <a:ext cx="1357313" cy="462476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i = 10%</a:t>
            </a:r>
          </a:p>
        </xdr:txBody>
      </xdr:sp>
      <xdr:sp macro="" textlink="">
        <xdr:nvSpPr>
          <xdr:cNvPr id="15" name="CaixaDeTexto 101">
            <a:extLst>
              <a:ext uri="{FF2B5EF4-FFF2-40B4-BE49-F238E27FC236}">
                <a16:creationId xmlns:a16="http://schemas.microsoft.com/office/drawing/2014/main" id="{14742947-F585-438B-89D4-13B935FB7D5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24438" y="3887614"/>
            <a:ext cx="1357312" cy="462476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i = 10%</a:t>
            </a:r>
          </a:p>
        </xdr:txBody>
      </xdr:sp>
      <xdr:sp macro="" textlink="">
        <xdr:nvSpPr>
          <xdr:cNvPr id="16" name="CaixaDeTexto 102">
            <a:extLst>
              <a:ext uri="{FF2B5EF4-FFF2-40B4-BE49-F238E27FC236}">
                <a16:creationId xmlns:a16="http://schemas.microsoft.com/office/drawing/2014/main" id="{5CAC806C-1899-458C-AC9D-E3D3ED8E50E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10314" y="4267027"/>
            <a:ext cx="1357312" cy="462476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i = 10%</a:t>
            </a:r>
          </a:p>
        </xdr:txBody>
      </xdr:sp>
      <xdr:sp macro="" textlink="">
        <xdr:nvSpPr>
          <xdr:cNvPr id="17" name="CaixaDeTexto 103">
            <a:extLst>
              <a:ext uri="{FF2B5EF4-FFF2-40B4-BE49-F238E27FC236}">
                <a16:creationId xmlns:a16="http://schemas.microsoft.com/office/drawing/2014/main" id="{D8DC3A02-71D4-423A-AE38-43CE43AFD6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24751" y="4744864"/>
            <a:ext cx="1357313" cy="462476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i = 10%</a:t>
            </a:r>
          </a:p>
        </xdr:txBody>
      </xdr:sp>
      <xdr:sp macro="" textlink="">
        <xdr:nvSpPr>
          <xdr:cNvPr id="18" name="CaixaDeTexto 104">
            <a:extLst>
              <a:ext uri="{FF2B5EF4-FFF2-40B4-BE49-F238E27FC236}">
                <a16:creationId xmlns:a16="http://schemas.microsoft.com/office/drawing/2014/main" id="{B98800D1-B28E-4CA8-A821-F752FC2862C8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96313" y="5102051"/>
            <a:ext cx="1357312" cy="462476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i = 10%</a:t>
            </a:r>
          </a:p>
        </xdr:txBody>
      </xdr:sp>
      <xdr:sp macro="" textlink="">
        <xdr:nvSpPr>
          <xdr:cNvPr id="19" name="CaixaDeTexto 105">
            <a:extLst>
              <a:ext uri="{FF2B5EF4-FFF2-40B4-BE49-F238E27FC236}">
                <a16:creationId xmlns:a16="http://schemas.microsoft.com/office/drawing/2014/main" id="{1B568E3E-DACA-44C7-A1F3-0E0167A5510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52625" y="5838652"/>
            <a:ext cx="2928938" cy="565765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VPL = 1.250</a:t>
            </a:r>
          </a:p>
        </xdr:txBody>
      </xdr:sp>
    </xdr:grpSp>
    <xdr:clientData/>
  </xdr:twoCellAnchor>
  <xdr:twoCellAnchor>
    <xdr:from>
      <xdr:col>27</xdr:col>
      <xdr:colOff>542925</xdr:colOff>
      <xdr:row>11</xdr:row>
      <xdr:rowOff>95250</xdr:rowOff>
    </xdr:from>
    <xdr:to>
      <xdr:col>31</xdr:col>
      <xdr:colOff>333375</xdr:colOff>
      <xdr:row>14</xdr:row>
      <xdr:rowOff>92752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ixaDeTexto 4">
              <a:extLst>
                <a:ext uri="{FF2B5EF4-FFF2-40B4-BE49-F238E27FC236}">
                  <a16:creationId xmlns:a16="http://schemas.microsoft.com/office/drawing/2014/main" id="{C282BF9E-B1E4-4ABA-8AE9-32E590858125}"/>
                </a:ext>
              </a:extLst>
            </xdr:cNvPr>
            <xdr:cNvSpPr txBox="1"/>
          </xdr:nvSpPr>
          <xdr:spPr>
            <a:xfrm>
              <a:off x="12125325" y="2190750"/>
              <a:ext cx="2228850" cy="5690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𝑉𝑃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𝐹𝐶</m:t>
                            </m:r>
                          </m:e>
                          <m:sub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33" name="CaixaDeTexto 4">
              <a:extLst>
                <a:ext uri="{FF2B5EF4-FFF2-40B4-BE49-F238E27FC236}">
                  <a16:creationId xmlns:a16="http://schemas.microsoft.com/office/drawing/2014/main" id="{C282BF9E-B1E4-4ABA-8AE9-32E590858125}"/>
                </a:ext>
              </a:extLst>
            </xdr:cNvPr>
            <xdr:cNvSpPr txBox="1"/>
          </xdr:nvSpPr>
          <xdr:spPr>
            <a:xfrm>
              <a:off x="12125325" y="2190750"/>
              <a:ext cx="2228850" cy="5690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𝑉𝑃=〖𝐹𝐶〗_1/(𝑖−𝑔)</a:t>
              </a:r>
              <a:endParaRPr lang="pt-BR"/>
            </a:p>
          </xdr:txBody>
        </xdr:sp>
      </mc:Fallback>
    </mc:AlternateContent>
    <xdr:clientData/>
  </xdr:twoCellAnchor>
  <xdr:twoCellAnchor>
    <xdr:from>
      <xdr:col>15</xdr:col>
      <xdr:colOff>73900</xdr:colOff>
      <xdr:row>0</xdr:row>
      <xdr:rowOff>91418</xdr:rowOff>
    </xdr:from>
    <xdr:to>
      <xdr:col>20</xdr:col>
      <xdr:colOff>591755</xdr:colOff>
      <xdr:row>3</xdr:row>
      <xdr:rowOff>22554</xdr:rowOff>
    </xdr:to>
    <xdr:sp macro="" textlink="">
      <xdr:nvSpPr>
        <xdr:cNvPr id="34" name="Rectangle 2">
          <a:extLst>
            <a:ext uri="{FF2B5EF4-FFF2-40B4-BE49-F238E27FC236}">
              <a16:creationId xmlns:a16="http://schemas.microsoft.com/office/drawing/2014/main" id="{CDDEC0B3-298C-404B-8411-75665BD25A1F}"/>
            </a:ext>
          </a:extLst>
        </xdr:cNvPr>
        <xdr:cNvSpPr>
          <a:spLocks noGrp="1" noChangeArrowheads="1"/>
        </xdr:cNvSpPr>
      </xdr:nvSpPr>
      <xdr:spPr>
        <a:xfrm>
          <a:off x="9993038" y="91418"/>
          <a:ext cx="3583372" cy="489498"/>
        </a:xfrm>
        <a:prstGeom prst="rect">
          <a:avLst/>
        </a:prstGeom>
      </xdr:spPr>
      <xdr:txBody>
        <a:bodyPr vert="horz" wrap="square" lIns="91440" tIns="45720" rIns="91440" bIns="45720" rtlCol="0" anchor="b">
          <a:no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4700" i="0" kern="1200" spc="-5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r>
            <a:rPr lang="pt-BR" sz="4000"/>
            <a:t>Perpetuidade</a:t>
          </a:r>
        </a:p>
      </xdr:txBody>
    </xdr:sp>
    <xdr:clientData/>
  </xdr:twoCellAnchor>
  <xdr:twoCellAnchor>
    <xdr:from>
      <xdr:col>23</xdr:col>
      <xdr:colOff>130174</xdr:colOff>
      <xdr:row>16</xdr:row>
      <xdr:rowOff>38100</xdr:rowOff>
    </xdr:from>
    <xdr:to>
      <xdr:col>30</xdr:col>
      <xdr:colOff>317771</xdr:colOff>
      <xdr:row>25</xdr:row>
      <xdr:rowOff>120208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ED0A88DD-AA7A-4038-A660-367ED02704F2}"/>
            </a:ext>
          </a:extLst>
        </xdr:cNvPr>
        <xdr:cNvGrpSpPr/>
      </xdr:nvGrpSpPr>
      <xdr:grpSpPr>
        <a:xfrm>
          <a:off x="14928560" y="3467100"/>
          <a:ext cx="4430552" cy="1796608"/>
          <a:chOff x="1820671" y="1516586"/>
          <a:chExt cx="8292100" cy="4619042"/>
        </a:xfrm>
      </xdr:grpSpPr>
      <xdr:cxnSp macro="">
        <xdr:nvCxnSpPr>
          <xdr:cNvPr id="67" name="Conector reto 66">
            <a:extLst>
              <a:ext uri="{FF2B5EF4-FFF2-40B4-BE49-F238E27FC236}">
                <a16:creationId xmlns:a16="http://schemas.microsoft.com/office/drawing/2014/main" id="{E9BBB0A9-27C4-4B30-88D2-81F3198E153E}"/>
              </a:ext>
            </a:extLst>
          </xdr:cNvPr>
          <xdr:cNvCxnSpPr>
            <a:cxnSpLocks/>
          </xdr:cNvCxnSpPr>
        </xdr:nvCxnSpPr>
        <xdr:spPr>
          <a:xfrm>
            <a:off x="2452688" y="2357439"/>
            <a:ext cx="7200000" cy="253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Conector reto 67">
            <a:extLst>
              <a:ext uri="{FF2B5EF4-FFF2-40B4-BE49-F238E27FC236}">
                <a16:creationId xmlns:a16="http://schemas.microsoft.com/office/drawing/2014/main" id="{21EE10D7-0F4C-488F-8BD8-C4748C6F2E81}"/>
              </a:ext>
            </a:extLst>
          </xdr:cNvPr>
          <xdr:cNvCxnSpPr/>
        </xdr:nvCxnSpPr>
        <xdr:spPr>
          <a:xfrm flipH="1">
            <a:off x="9310690" y="2357439"/>
            <a:ext cx="1587" cy="235743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Conector reto 68">
            <a:extLst>
              <a:ext uri="{FF2B5EF4-FFF2-40B4-BE49-F238E27FC236}">
                <a16:creationId xmlns:a16="http://schemas.microsoft.com/office/drawing/2014/main" id="{30583530-BC1C-4FB7-9F52-E2CDE136B1E5}"/>
              </a:ext>
            </a:extLst>
          </xdr:cNvPr>
          <xdr:cNvCxnSpPr/>
        </xdr:nvCxnSpPr>
        <xdr:spPr>
          <a:xfrm flipH="1">
            <a:off x="8167689" y="2357439"/>
            <a:ext cx="1587" cy="20002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Conector reto 69">
            <a:extLst>
              <a:ext uri="{FF2B5EF4-FFF2-40B4-BE49-F238E27FC236}">
                <a16:creationId xmlns:a16="http://schemas.microsoft.com/office/drawing/2014/main" id="{5F69CFB4-6E7A-413A-9D08-7CCAC8ECABB5}"/>
              </a:ext>
            </a:extLst>
          </xdr:cNvPr>
          <xdr:cNvCxnSpPr/>
        </xdr:nvCxnSpPr>
        <xdr:spPr>
          <a:xfrm flipH="1">
            <a:off x="6953251" y="2357438"/>
            <a:ext cx="1588" cy="1571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Conector reto 70">
            <a:extLst>
              <a:ext uri="{FF2B5EF4-FFF2-40B4-BE49-F238E27FC236}">
                <a16:creationId xmlns:a16="http://schemas.microsoft.com/office/drawing/2014/main" id="{1F6AD425-0E86-4C83-AC4A-EE62B15E76DA}"/>
              </a:ext>
            </a:extLst>
          </xdr:cNvPr>
          <xdr:cNvCxnSpPr/>
        </xdr:nvCxnSpPr>
        <xdr:spPr>
          <a:xfrm flipH="1">
            <a:off x="5667375" y="2357438"/>
            <a:ext cx="1588" cy="1143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Conector reto 71">
            <a:extLst>
              <a:ext uri="{FF2B5EF4-FFF2-40B4-BE49-F238E27FC236}">
                <a16:creationId xmlns:a16="http://schemas.microsoft.com/office/drawing/2014/main" id="{285F1CCD-7921-4EE2-B6EA-DD3CB24CD313}"/>
              </a:ext>
            </a:extLst>
          </xdr:cNvPr>
          <xdr:cNvCxnSpPr/>
        </xdr:nvCxnSpPr>
        <xdr:spPr>
          <a:xfrm flipH="1">
            <a:off x="4381501" y="2357438"/>
            <a:ext cx="1588" cy="7143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Conector de seta reta 67">
            <a:extLst>
              <a:ext uri="{FF2B5EF4-FFF2-40B4-BE49-F238E27FC236}">
                <a16:creationId xmlns:a16="http://schemas.microsoft.com/office/drawing/2014/main" id="{CA781B0F-FAEE-4E80-AFD3-DA1C8ADE5B9F}"/>
              </a:ext>
            </a:extLst>
          </xdr:cNvPr>
          <xdr:cNvCxnSpPr/>
        </xdr:nvCxnSpPr>
        <xdr:spPr>
          <a:xfrm flipH="1">
            <a:off x="3167065" y="4714875"/>
            <a:ext cx="614362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Conector de seta reta 70">
            <a:extLst>
              <a:ext uri="{FF2B5EF4-FFF2-40B4-BE49-F238E27FC236}">
                <a16:creationId xmlns:a16="http://schemas.microsoft.com/office/drawing/2014/main" id="{A6681A98-E74C-4983-82EC-D2AF5D1B3B46}"/>
              </a:ext>
            </a:extLst>
          </xdr:cNvPr>
          <xdr:cNvCxnSpPr/>
        </xdr:nvCxnSpPr>
        <xdr:spPr>
          <a:xfrm flipH="1" flipV="1">
            <a:off x="3167065" y="4357690"/>
            <a:ext cx="5000625" cy="158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Conector de seta reta 72">
            <a:extLst>
              <a:ext uri="{FF2B5EF4-FFF2-40B4-BE49-F238E27FC236}">
                <a16:creationId xmlns:a16="http://schemas.microsoft.com/office/drawing/2014/main" id="{E5D1B4BF-7FDB-4A66-AFB3-3DE6AB8A2E70}"/>
              </a:ext>
            </a:extLst>
          </xdr:cNvPr>
          <xdr:cNvCxnSpPr/>
        </xdr:nvCxnSpPr>
        <xdr:spPr>
          <a:xfrm flipH="1" flipV="1">
            <a:off x="3167065" y="3929065"/>
            <a:ext cx="3786187" cy="158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Conector de seta reta 74">
            <a:extLst>
              <a:ext uri="{FF2B5EF4-FFF2-40B4-BE49-F238E27FC236}">
                <a16:creationId xmlns:a16="http://schemas.microsoft.com/office/drawing/2014/main" id="{096DFDE5-EBB7-4BA5-B50A-FAF71234BF52}"/>
              </a:ext>
            </a:extLst>
          </xdr:cNvPr>
          <xdr:cNvCxnSpPr/>
        </xdr:nvCxnSpPr>
        <xdr:spPr>
          <a:xfrm flipH="1" flipV="1">
            <a:off x="3167063" y="3500440"/>
            <a:ext cx="2500312" cy="158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Conector de seta reta 76">
            <a:extLst>
              <a:ext uri="{FF2B5EF4-FFF2-40B4-BE49-F238E27FC236}">
                <a16:creationId xmlns:a16="http://schemas.microsoft.com/office/drawing/2014/main" id="{ECEF9F7E-04EF-436B-9F61-DA89C6CF4B7C}"/>
              </a:ext>
            </a:extLst>
          </xdr:cNvPr>
          <xdr:cNvCxnSpPr/>
        </xdr:nvCxnSpPr>
        <xdr:spPr>
          <a:xfrm flipH="1" flipV="1">
            <a:off x="3167065" y="3071815"/>
            <a:ext cx="1214437" cy="158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Conector reto 77">
            <a:extLst>
              <a:ext uri="{FF2B5EF4-FFF2-40B4-BE49-F238E27FC236}">
                <a16:creationId xmlns:a16="http://schemas.microsoft.com/office/drawing/2014/main" id="{BEFD2E0C-7A16-4975-B214-8367423D34A2}"/>
              </a:ext>
            </a:extLst>
          </xdr:cNvPr>
          <xdr:cNvCxnSpPr>
            <a:cxnSpLocks/>
          </xdr:cNvCxnSpPr>
        </xdr:nvCxnSpPr>
        <xdr:spPr>
          <a:xfrm flipH="1">
            <a:off x="8810625" y="2214563"/>
            <a:ext cx="71438" cy="2857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ector reto 78">
            <a:extLst>
              <a:ext uri="{FF2B5EF4-FFF2-40B4-BE49-F238E27FC236}">
                <a16:creationId xmlns:a16="http://schemas.microsoft.com/office/drawing/2014/main" id="{A045F84D-B39B-49EE-9624-121B6A22348A}"/>
              </a:ext>
            </a:extLst>
          </xdr:cNvPr>
          <xdr:cNvCxnSpPr>
            <a:cxnSpLocks/>
          </xdr:cNvCxnSpPr>
        </xdr:nvCxnSpPr>
        <xdr:spPr>
          <a:xfrm flipH="1">
            <a:off x="8739191" y="2214563"/>
            <a:ext cx="71437" cy="2857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CaixaDeTexto 89">
            <a:extLst>
              <a:ext uri="{FF2B5EF4-FFF2-40B4-BE49-F238E27FC236}">
                <a16:creationId xmlns:a16="http://schemas.microsoft.com/office/drawing/2014/main" id="{E30757E8-5851-4DC4-BECF-01B405F9BCE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81189" y="2857499"/>
            <a:ext cx="1214438" cy="720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90,9</a:t>
            </a:r>
          </a:p>
        </xdr:txBody>
      </xdr:sp>
      <xdr:sp macro="" textlink="">
        <xdr:nvSpPr>
          <xdr:cNvPr id="81" name="CaixaDeTexto 90">
            <a:extLst>
              <a:ext uri="{FF2B5EF4-FFF2-40B4-BE49-F238E27FC236}">
                <a16:creationId xmlns:a16="http://schemas.microsoft.com/office/drawing/2014/main" id="{E014A25F-67A1-4DAD-84CD-189A0154A943}"/>
              </a:ext>
            </a:extLst>
          </xdr:cNvPr>
          <xdr:cNvSpPr txBox="1">
            <a:spLocks noChangeArrowheads="1"/>
          </xdr:cNvSpPr>
        </xdr:nvSpPr>
        <xdr:spPr bwMode="auto">
          <a:xfrm>
            <a:off x="8865245" y="1516586"/>
            <a:ext cx="1247526" cy="8812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100</a:t>
            </a:r>
          </a:p>
        </xdr:txBody>
      </xdr:sp>
      <xdr:sp macro="" textlink="">
        <xdr:nvSpPr>
          <xdr:cNvPr id="82" name="CaixaDeTexto 91">
            <a:extLst>
              <a:ext uri="{FF2B5EF4-FFF2-40B4-BE49-F238E27FC236}">
                <a16:creationId xmlns:a16="http://schemas.microsoft.com/office/drawing/2014/main" id="{8E8BE389-FCC9-4B77-B3B7-F5573518D618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22245" y="1516586"/>
            <a:ext cx="1247526" cy="8812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100</a:t>
            </a:r>
          </a:p>
        </xdr:txBody>
      </xdr:sp>
      <xdr:sp macro="" textlink="">
        <xdr:nvSpPr>
          <xdr:cNvPr id="83" name="CaixaDeTexto 92">
            <a:extLst>
              <a:ext uri="{FF2B5EF4-FFF2-40B4-BE49-F238E27FC236}">
                <a16:creationId xmlns:a16="http://schemas.microsoft.com/office/drawing/2014/main" id="{67EC2D60-A12A-4A62-AA1B-F3C31225002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936057" y="1516586"/>
            <a:ext cx="1247528" cy="8812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100</a:t>
            </a:r>
          </a:p>
        </xdr:txBody>
      </xdr:sp>
      <xdr:sp macro="" textlink="">
        <xdr:nvSpPr>
          <xdr:cNvPr id="84" name="CaixaDeTexto 93">
            <a:extLst>
              <a:ext uri="{FF2B5EF4-FFF2-40B4-BE49-F238E27FC236}">
                <a16:creationId xmlns:a16="http://schemas.microsoft.com/office/drawing/2014/main" id="{C6DE57D3-F519-4280-8BAA-7CA1DE2DFA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21931" y="1516586"/>
            <a:ext cx="1247528" cy="8812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100</a:t>
            </a:r>
          </a:p>
        </xdr:txBody>
      </xdr:sp>
      <xdr:sp macro="" textlink="">
        <xdr:nvSpPr>
          <xdr:cNvPr id="85" name="CaixaDeTexto 94">
            <a:extLst>
              <a:ext uri="{FF2B5EF4-FFF2-40B4-BE49-F238E27FC236}">
                <a16:creationId xmlns:a16="http://schemas.microsoft.com/office/drawing/2014/main" id="{2B753BCD-1C70-4B4D-B63C-A962D8006E4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07807" y="1516586"/>
            <a:ext cx="1247528" cy="8812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100</a:t>
            </a:r>
          </a:p>
        </xdr:txBody>
      </xdr:sp>
      <xdr:sp macro="" textlink="">
        <xdr:nvSpPr>
          <xdr:cNvPr id="86" name="CaixaDeTexto 95">
            <a:extLst>
              <a:ext uri="{FF2B5EF4-FFF2-40B4-BE49-F238E27FC236}">
                <a16:creationId xmlns:a16="http://schemas.microsoft.com/office/drawing/2014/main" id="{29394B72-1E18-4A15-BCC9-8DCBF5BAC9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20671" y="3286124"/>
            <a:ext cx="1274956" cy="720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82,6</a:t>
            </a:r>
          </a:p>
        </xdr:txBody>
      </xdr:sp>
      <xdr:sp macro="" textlink="">
        <xdr:nvSpPr>
          <xdr:cNvPr id="87" name="CaixaDeTexto 96">
            <a:extLst>
              <a:ext uri="{FF2B5EF4-FFF2-40B4-BE49-F238E27FC236}">
                <a16:creationId xmlns:a16="http://schemas.microsoft.com/office/drawing/2014/main" id="{480A9DA3-C3B2-43CD-9021-F58D2587C14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81189" y="3671888"/>
            <a:ext cx="1214438" cy="720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75,1</a:t>
            </a:r>
          </a:p>
        </xdr:txBody>
      </xdr:sp>
      <xdr:sp macro="" textlink="">
        <xdr:nvSpPr>
          <xdr:cNvPr id="88" name="CaixaDeTexto 97">
            <a:extLst>
              <a:ext uri="{FF2B5EF4-FFF2-40B4-BE49-F238E27FC236}">
                <a16:creationId xmlns:a16="http://schemas.microsoft.com/office/drawing/2014/main" id="{695CBB83-C785-4F19-824A-6D246D4105A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20671" y="4100514"/>
            <a:ext cx="1274956" cy="720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68,3</a:t>
            </a:r>
          </a:p>
        </xdr:txBody>
      </xdr:sp>
      <xdr:sp macro="" textlink="">
        <xdr:nvSpPr>
          <xdr:cNvPr id="89" name="CaixaDeTexto 98">
            <a:extLst>
              <a:ext uri="{FF2B5EF4-FFF2-40B4-BE49-F238E27FC236}">
                <a16:creationId xmlns:a16="http://schemas.microsoft.com/office/drawing/2014/main" id="{FE38EB46-E36C-4074-BB71-A15FA05D83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24065" y="4529139"/>
            <a:ext cx="1214438" cy="720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X</a:t>
            </a:r>
          </a:p>
        </xdr:txBody>
      </xdr:sp>
      <xdr:sp macro="" textlink="">
        <xdr:nvSpPr>
          <xdr:cNvPr id="90" name="CaixaDeTexto 100">
            <a:extLst>
              <a:ext uri="{FF2B5EF4-FFF2-40B4-BE49-F238E27FC236}">
                <a16:creationId xmlns:a16="http://schemas.microsoft.com/office/drawing/2014/main" id="{6A8AFEDD-7735-43C5-9C2D-C9139B2E11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67126" y="2835275"/>
            <a:ext cx="1357313" cy="800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i = 10%</a:t>
            </a:r>
          </a:p>
        </xdr:txBody>
      </xdr:sp>
      <xdr:sp macro="" textlink="">
        <xdr:nvSpPr>
          <xdr:cNvPr id="91" name="CaixaDeTexto 101">
            <a:extLst>
              <a:ext uri="{FF2B5EF4-FFF2-40B4-BE49-F238E27FC236}">
                <a16:creationId xmlns:a16="http://schemas.microsoft.com/office/drawing/2014/main" id="{180BD696-2004-43A9-A8D6-4C3FE528CD76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24437" y="3263901"/>
            <a:ext cx="1357311" cy="800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i = 10%</a:t>
            </a:r>
          </a:p>
        </xdr:txBody>
      </xdr:sp>
      <xdr:sp macro="" textlink="">
        <xdr:nvSpPr>
          <xdr:cNvPr id="92" name="CaixaDeTexto 102">
            <a:extLst>
              <a:ext uri="{FF2B5EF4-FFF2-40B4-BE49-F238E27FC236}">
                <a16:creationId xmlns:a16="http://schemas.microsoft.com/office/drawing/2014/main" id="{8CBA1697-B9B3-46FB-B49E-525A0AC6B2B2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10314" y="3643315"/>
            <a:ext cx="1357311" cy="800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i = 10%</a:t>
            </a:r>
          </a:p>
        </xdr:txBody>
      </xdr:sp>
      <xdr:sp macro="" textlink="">
        <xdr:nvSpPr>
          <xdr:cNvPr id="93" name="CaixaDeTexto 103">
            <a:extLst>
              <a:ext uri="{FF2B5EF4-FFF2-40B4-BE49-F238E27FC236}">
                <a16:creationId xmlns:a16="http://schemas.microsoft.com/office/drawing/2014/main" id="{707D0650-15B4-4529-8A20-9857129CA5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24752" y="4121151"/>
            <a:ext cx="1357313" cy="800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i = 10%</a:t>
            </a:r>
          </a:p>
        </xdr:txBody>
      </xdr:sp>
      <xdr:sp macro="" textlink="">
        <xdr:nvSpPr>
          <xdr:cNvPr id="94" name="CaixaDeTexto 104">
            <a:extLst>
              <a:ext uri="{FF2B5EF4-FFF2-40B4-BE49-F238E27FC236}">
                <a16:creationId xmlns:a16="http://schemas.microsoft.com/office/drawing/2014/main" id="{603F1D6D-86ED-4A05-8C5C-B3F06B80124D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96313" y="4478339"/>
            <a:ext cx="1357311" cy="800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i = 10%</a:t>
            </a:r>
          </a:p>
        </xdr:txBody>
      </xdr:sp>
      <xdr:sp macro="" textlink="">
        <xdr:nvSpPr>
          <xdr:cNvPr id="95" name="CaixaDeTexto 105">
            <a:extLst>
              <a:ext uri="{FF2B5EF4-FFF2-40B4-BE49-F238E27FC236}">
                <a16:creationId xmlns:a16="http://schemas.microsoft.com/office/drawing/2014/main" id="{FDAE157A-0EAE-4636-BD52-9D036017A39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8344" y="5173721"/>
            <a:ext cx="2428874" cy="96190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800"/>
              <a:t>VPL = 1.000</a:t>
            </a:r>
          </a:p>
        </xdr:txBody>
      </xdr:sp>
    </xdr:grpSp>
    <xdr:clientData/>
  </xdr:twoCellAnchor>
  <xdr:twoCellAnchor>
    <xdr:from>
      <xdr:col>20</xdr:col>
      <xdr:colOff>514350</xdr:colOff>
      <xdr:row>4</xdr:row>
      <xdr:rowOff>123825</xdr:rowOff>
    </xdr:from>
    <xdr:to>
      <xdr:col>22</xdr:col>
      <xdr:colOff>23770</xdr:colOff>
      <xdr:row>6</xdr:row>
      <xdr:rowOff>54320</xdr:rowOff>
    </xdr:to>
    <xdr:sp macro="" textlink="">
      <xdr:nvSpPr>
        <xdr:cNvPr id="97" name="CaixaDeTexto 102">
          <a:extLst>
            <a:ext uri="{FF2B5EF4-FFF2-40B4-BE49-F238E27FC236}">
              <a16:creationId xmlns:a16="http://schemas.microsoft.com/office/drawing/2014/main" id="{D4881DB5-4F7C-4FCE-9A49-F00D8DADF532}"/>
            </a:ext>
          </a:extLst>
        </xdr:cNvPr>
        <xdr:cNvSpPr txBox="1">
          <a:spLocks noChangeArrowheads="1"/>
        </xdr:cNvSpPr>
      </xdr:nvSpPr>
      <xdr:spPr bwMode="auto">
        <a:xfrm>
          <a:off x="11487150" y="885825"/>
          <a:ext cx="728620" cy="311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noAutofit/>
        </a:bodyPr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g= 2%</a:t>
          </a:r>
        </a:p>
      </xdr:txBody>
    </xdr:sp>
    <xdr:clientData/>
  </xdr:twoCellAnchor>
  <xdr:twoCellAnchor>
    <xdr:from>
      <xdr:col>0</xdr:col>
      <xdr:colOff>70429</xdr:colOff>
      <xdr:row>5</xdr:row>
      <xdr:rowOff>148166</xdr:rowOff>
    </xdr:from>
    <xdr:to>
      <xdr:col>8</xdr:col>
      <xdr:colOff>290562</xdr:colOff>
      <xdr:row>19</xdr:row>
      <xdr:rowOff>107950</xdr:rowOff>
    </xdr:to>
    <xdr:sp macro="" textlink="">
      <xdr:nvSpPr>
        <xdr:cNvPr id="98" name="Espaço Reservado para Conteúdo 9">
          <a:extLst>
            <a:ext uri="{FF2B5EF4-FFF2-40B4-BE49-F238E27FC236}">
              <a16:creationId xmlns:a16="http://schemas.microsoft.com/office/drawing/2014/main" id="{22EBA1E9-BDC1-44C2-B9A5-BBFCC0D281E1}"/>
            </a:ext>
          </a:extLst>
        </xdr:cNvPr>
        <xdr:cNvSpPr>
          <a:spLocks noGrp="1"/>
        </xdr:cNvSpPr>
      </xdr:nvSpPr>
      <xdr:spPr>
        <a:xfrm>
          <a:off x="70429" y="1100666"/>
          <a:ext cx="5571451" cy="3007784"/>
        </a:xfrm>
        <a:prstGeom prst="rect">
          <a:avLst/>
        </a:prstGeom>
      </xdr:spPr>
      <xdr:txBody>
        <a:bodyPr vert="horz" wrap="square" lIns="0" tIns="45720" rIns="0" bIns="45720" rtlCol="0">
          <a:no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pt-BR" sz="1400"/>
            <a:t>Para todas as situações, considere que o retorno esperado pelo mercado é de 12% ao ano e você deve calcular o preço máximo a pagar nesse investimento para obter no mínimo a rentabilidade esperada pelo mercado.</a:t>
          </a:r>
        </a:p>
        <a:p>
          <a:r>
            <a:rPr lang="en-US" altLang="pt-BR" sz="1400"/>
            <a:t>A) Um determinado ativo apresenta como retorno fluxos de caixa perpétuos no valor de $ 200 a partir do ano 1.</a:t>
          </a:r>
        </a:p>
        <a:p>
          <a:r>
            <a:rPr lang="en-US" altLang="pt-BR" sz="1400"/>
            <a:t> B) Considere agora uma taxa de crescimento de 3% ao ano nos mesmos dados do problema anterior</a:t>
          </a:r>
        </a:p>
        <a:p>
          <a:r>
            <a:rPr lang="en-US" altLang="pt-BR" sz="1400"/>
            <a:t>C) Considere agora que fluxos de caixa perpétuos no valor de $ 200 serão pagos </a:t>
          </a:r>
          <a:r>
            <a:rPr lang="en-US" altLang="pt-BR" sz="1400" b="1"/>
            <a:t>A PARTIR DO TERCEIRO ANO DE INVESTMENTO</a:t>
          </a:r>
          <a:r>
            <a:rPr lang="en-US" altLang="pt-BR" sz="1400"/>
            <a:t>.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2</xdr:row>
      <xdr:rowOff>76200</xdr:rowOff>
    </xdr:from>
    <xdr:to>
      <xdr:col>19</xdr:col>
      <xdr:colOff>58933</xdr:colOff>
      <xdr:row>5</xdr:row>
      <xdr:rowOff>447675</xdr:rowOff>
    </xdr:to>
    <xdr:sp macro="" textlink="">
      <xdr:nvSpPr>
        <xdr:cNvPr id="2" name="Content Placeholder 2">
          <a:extLst>
            <a:ext uri="{FF2B5EF4-FFF2-40B4-BE49-F238E27FC236}">
              <a16:creationId xmlns:a16="http://schemas.microsoft.com/office/drawing/2014/main" id="{FC61A820-DDEE-4230-BC13-B333B791DADB}"/>
            </a:ext>
          </a:extLst>
        </xdr:cNvPr>
        <xdr:cNvSpPr>
          <a:spLocks noGrp="1"/>
        </xdr:cNvSpPr>
      </xdr:nvSpPr>
      <xdr:spPr>
        <a:xfrm>
          <a:off x="7581899" y="609600"/>
          <a:ext cx="6612134" cy="857250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171450" indent="-171450" algn="l" defTabSz="685800" rtl="0" eaLnBrk="1" latinLnBrk="0" hangingPunct="1">
            <a:lnSpc>
              <a:spcPct val="90000"/>
            </a:lnSpc>
            <a:spcBef>
              <a:spcPts val="75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43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572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2001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5430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8859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2288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5717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9146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r>
            <a:rPr lang="en-US" sz="1600"/>
            <a:t>Prestações</a:t>
          </a:r>
          <a:r>
            <a:rPr lang="en-US" sz="1600" baseline="0"/>
            <a:t> iguais e Consecutivas</a:t>
          </a:r>
          <a:br>
            <a:rPr lang="en-US" sz="1600" baseline="0"/>
          </a:br>
          <a:r>
            <a:rPr lang="en-US" sz="1600" baseline="0"/>
            <a:t>Cálculo com base na fórmula de PGTO</a:t>
          </a:r>
          <a:br>
            <a:rPr lang="en-US" sz="1600" baseline="0"/>
          </a:br>
          <a:r>
            <a:rPr lang="en-US" sz="1600" baseline="0"/>
            <a:t>Juros sempre incidem sobre o saldo devedor</a:t>
          </a:r>
          <a:endParaRPr lang="en-US" sz="1600"/>
        </a:p>
      </xdr:txBody>
    </xdr:sp>
    <xdr:clientData/>
  </xdr:twoCellAnchor>
  <xdr:twoCellAnchor>
    <xdr:from>
      <xdr:col>7</xdr:col>
      <xdr:colOff>335188</xdr:colOff>
      <xdr:row>5</xdr:row>
      <xdr:rowOff>231803</xdr:rowOff>
    </xdr:from>
    <xdr:to>
      <xdr:col>15</xdr:col>
      <xdr:colOff>361950</xdr:colOff>
      <xdr:row>6</xdr:row>
      <xdr:rowOff>206031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3">
              <a:extLst>
                <a:ext uri="{FF2B5EF4-FFF2-40B4-BE49-F238E27FC236}">
                  <a16:creationId xmlns:a16="http://schemas.microsoft.com/office/drawing/2014/main" id="{5C57E775-007F-467F-B6D1-88DBFD61FAC2}"/>
                </a:ext>
              </a:extLst>
            </xdr:cNvPr>
            <xdr:cNvSpPr txBox="1"/>
          </xdr:nvSpPr>
          <xdr:spPr>
            <a:xfrm>
              <a:off x="7155088" y="1422428"/>
              <a:ext cx="4903562" cy="2504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𝑠𝑎𝑙𝑑𝑜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𝑑𝑒𝑣𝑒𝑑𝑜𝑟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𝑠𝑎𝑙𝑑𝑜</m:t>
                        </m:r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𝑑𝑒𝑣𝑒𝑑𝑜𝑟</m:t>
                        </m:r>
                      </m:e>
                      <m:sub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𝑎𝑚𝑜𝑟𝑡𝑖𝑧𝑎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çã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𝑜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3">
              <a:extLst>
                <a:ext uri="{FF2B5EF4-FFF2-40B4-BE49-F238E27FC236}">
                  <a16:creationId xmlns:a16="http://schemas.microsoft.com/office/drawing/2014/main" id="{5C57E775-007F-467F-B6D1-88DBFD61FAC2}"/>
                </a:ext>
              </a:extLst>
            </xdr:cNvPr>
            <xdr:cNvSpPr txBox="1"/>
          </xdr:nvSpPr>
          <xdr:spPr>
            <a:xfrm>
              <a:off x="7155088" y="1422428"/>
              <a:ext cx="4903562" cy="2504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i="0">
                  <a:latin typeface="Cambria Math" panose="02040503050406030204" pitchFamily="18" charset="0"/>
                </a:rPr>
                <a:t>〖</a:t>
              </a:r>
              <a:r>
                <a:rPr lang="pt-BR" sz="1600" b="0" i="0">
                  <a:latin typeface="Cambria Math" panose="02040503050406030204" pitchFamily="18" charset="0"/>
                </a:rPr>
                <a:t>𝑠𝑎𝑙𝑑𝑜 𝑑𝑒𝑣𝑒𝑑𝑜𝑟〗_𝑡=</a:t>
              </a:r>
              <a:r>
                <a:rPr lang="pt-BR" sz="1600" i="0">
                  <a:latin typeface="Cambria Math" panose="02040503050406030204" pitchFamily="18" charset="0"/>
                </a:rPr>
                <a:t>〖𝑠𝑎𝑙𝑑𝑜 𝑑𝑒𝑣𝑒𝑑𝑜𝑟〗_(𝑡</a:t>
              </a:r>
              <a:r>
                <a:rPr lang="pt-BR" sz="1600" b="0" i="0">
                  <a:latin typeface="Cambria Math" panose="02040503050406030204" pitchFamily="18" charset="0"/>
                </a:rPr>
                <a:t>−1)−𝑎𝑚𝑜𝑟𝑡𝑖𝑧𝑎çã𝑜</a:t>
              </a:r>
              <a:endParaRPr lang="pt-BR" sz="1600"/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2</xdr:row>
      <xdr:rowOff>180975</xdr:rowOff>
    </xdr:from>
    <xdr:to>
      <xdr:col>18</xdr:col>
      <xdr:colOff>563758</xdr:colOff>
      <xdr:row>6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ontent Placeholder 2">
              <a:extLst>
                <a:ext uri="{FF2B5EF4-FFF2-40B4-BE49-F238E27FC236}">
                  <a16:creationId xmlns:a16="http://schemas.microsoft.com/office/drawing/2014/main" id="{E4EA13A3-3C4A-435F-AC3D-2007299DB572}"/>
                </a:ext>
              </a:extLst>
            </xdr:cNvPr>
            <xdr:cNvSpPr>
              <a:spLocks noGrp="1"/>
            </xdr:cNvSpPr>
          </xdr:nvSpPr>
          <xdr:spPr>
            <a:xfrm>
              <a:off x="7477124" y="714375"/>
              <a:ext cx="6612134" cy="857250"/>
            </a:xfrm>
            <a:prstGeom prst="rect">
              <a:avLst/>
            </a:prstGeom>
          </xdr:spPr>
          <xdr:txBody>
            <a:bodyPr vert="horz" wrap="square" lIns="91440" tIns="45720" rIns="91440" bIns="45720" rtlCol="0">
              <a:normAutofit/>
            </a:bodyPr>
            <a:lstStyle>
              <a:lvl1pPr marL="171450" indent="-171450" algn="l" defTabSz="685800" rtl="0" eaLnBrk="1" latinLnBrk="0" hangingPunct="1">
                <a:lnSpc>
                  <a:spcPct val="90000"/>
                </a:lnSpc>
                <a:spcBef>
                  <a:spcPts val="750"/>
                </a:spcBef>
                <a:buFont typeface="Arial" panose="020B0604020202020204" pitchFamily="34" charset="0"/>
                <a:buChar char="•"/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5143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8572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2001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5430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8859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2288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5717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9146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hangingPunct="1"/>
              <a:r>
                <a:rPr lang="en-US" sz="1600"/>
                <a:t>Amortizações constantes e prestações decrescentes</a:t>
              </a:r>
              <a:br>
                <a:rPr lang="en-US" sz="1600"/>
              </a:br>
              <a:r>
                <a:rPr lang="en-US" sz="1800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Juros sempre incidem sobre o saldo devedor</a:t>
              </a:r>
              <a:endParaRPr lang="en-US" sz="1600"/>
            </a:p>
            <a:p>
              <a:pPr eaLnBrk="1" hangingPunct="1"/>
              <a14:m>
                <m:oMath xmlns:m="http://schemas.openxmlformats.org/officeDocument/2006/math">
                  <m:r>
                    <a:rPr lang="pt-BR" sz="2000" b="0" i="1">
                      <a:latin typeface="Cambria Math" panose="02040503050406030204" pitchFamily="18" charset="0"/>
                    </a:rPr>
                    <m:t>𝐴𝑚𝑜𝑟𝑡𝑖𝑧𝑎</m:t>
                  </m:r>
                  <m:r>
                    <a:rPr lang="pt-BR" sz="2000" b="0" i="1">
                      <a:latin typeface="Cambria Math" panose="02040503050406030204" pitchFamily="18" charset="0"/>
                    </a:rPr>
                    <m:t>çã</m:t>
                  </m:r>
                  <m:r>
                    <a:rPr lang="pt-BR" sz="2000" b="0" i="1">
                      <a:latin typeface="Cambria Math" panose="02040503050406030204" pitchFamily="18" charset="0"/>
                    </a:rPr>
                    <m:t>𝑜</m:t>
                  </m:r>
                  <m:r>
                    <a:rPr lang="pt-BR" sz="20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t-BR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2000" b="0" i="1">
                          <a:latin typeface="Cambria Math" panose="02040503050406030204" pitchFamily="18" charset="0"/>
                        </a:rPr>
                        <m:t>𝑃𝑉</m:t>
                      </m:r>
                    </m:num>
                    <m:den>
                      <m:r>
                        <a:rPr lang="pt-BR" sz="2000" b="0" i="1">
                          <a:latin typeface="Cambria Math" panose="02040503050406030204" pitchFamily="18" charset="0"/>
                        </a:rPr>
                        <m:t>𝑛</m:t>
                      </m:r>
                    </m:den>
                  </m:f>
                </m:oMath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Content Placeholder 2">
              <a:extLst>
                <a:ext uri="{FF2B5EF4-FFF2-40B4-BE49-F238E27FC236}">
                  <a16:creationId xmlns:a16="http://schemas.microsoft.com/office/drawing/2014/main" id="{E4EA13A3-3C4A-435F-AC3D-2007299DB572}"/>
                </a:ext>
              </a:extLst>
            </xdr:cNvPr>
            <xdr:cNvSpPr>
              <a:spLocks noGrp="1"/>
            </xdr:cNvSpPr>
          </xdr:nvSpPr>
          <xdr:spPr>
            <a:xfrm>
              <a:off x="7477124" y="714375"/>
              <a:ext cx="6612134" cy="857250"/>
            </a:xfrm>
            <a:prstGeom prst="rect">
              <a:avLst/>
            </a:prstGeom>
          </xdr:spPr>
          <xdr:txBody>
            <a:bodyPr vert="horz" wrap="square" lIns="91440" tIns="45720" rIns="91440" bIns="45720" rtlCol="0">
              <a:normAutofit/>
            </a:bodyPr>
            <a:lstStyle>
              <a:lvl1pPr marL="171450" indent="-171450" algn="l" defTabSz="685800" rtl="0" eaLnBrk="1" latinLnBrk="0" hangingPunct="1">
                <a:lnSpc>
                  <a:spcPct val="90000"/>
                </a:lnSpc>
                <a:spcBef>
                  <a:spcPts val="750"/>
                </a:spcBef>
                <a:buFont typeface="Arial" panose="020B0604020202020204" pitchFamily="34" charset="0"/>
                <a:buChar char="•"/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5143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8572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2001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5430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8859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2288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5717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914650" indent="-171450" algn="l" defTabSz="685800" rtl="0" eaLnBrk="1" latinLnBrk="0" hangingPunct="1">
                <a:lnSpc>
                  <a:spcPct val="90000"/>
                </a:lnSpc>
                <a:spcBef>
                  <a:spcPts val="375"/>
                </a:spcBef>
                <a:buFont typeface="Arial" panose="020B0604020202020204" pitchFamily="34" charset="0"/>
                <a:buChar char="•"/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hangingPunct="1"/>
              <a:r>
                <a:rPr lang="en-US" sz="1600"/>
                <a:t>Amortizações constantes e prestações decrescentes</a:t>
              </a:r>
              <a:br>
                <a:rPr lang="en-US" sz="1600"/>
              </a:br>
              <a:r>
                <a:rPr lang="en-US" sz="1800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Juros sempre incidem sobre o saldo devedor</a:t>
              </a:r>
              <a:endParaRPr lang="en-US" sz="1600"/>
            </a:p>
            <a:p>
              <a:pPr eaLnBrk="1" hangingPunct="1"/>
              <a:r>
                <a:rPr lang="pt-BR" sz="2000" b="0" i="0">
                  <a:latin typeface="Cambria Math" panose="02040503050406030204" pitchFamily="18" charset="0"/>
                </a:rPr>
                <a:t>𝐴𝑚𝑜𝑟𝑡𝑖𝑧𝑎çã𝑜=𝑃𝑉/𝑛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7</xdr:col>
      <xdr:colOff>583292</xdr:colOff>
      <xdr:row>7</xdr:row>
      <xdr:rowOff>206627</xdr:rowOff>
    </xdr:from>
    <xdr:to>
      <xdr:col>13</xdr:col>
      <xdr:colOff>57150</xdr:colOff>
      <xdr:row>8</xdr:row>
      <xdr:rowOff>248917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2">
              <a:extLst>
                <a:ext uri="{FF2B5EF4-FFF2-40B4-BE49-F238E27FC236}">
                  <a16:creationId xmlns:a16="http://schemas.microsoft.com/office/drawing/2014/main" id="{467DD745-E765-46F7-84E5-D6B65BFA7009}"/>
                </a:ext>
              </a:extLst>
            </xdr:cNvPr>
            <xdr:cNvSpPr txBox="1"/>
          </xdr:nvSpPr>
          <xdr:spPr>
            <a:xfrm>
              <a:off x="7403192" y="2025902"/>
              <a:ext cx="3131458" cy="3851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𝐽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𝑃𝑉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4" name="CaixaDeTexto 2">
              <a:extLst>
                <a:ext uri="{FF2B5EF4-FFF2-40B4-BE49-F238E27FC236}">
                  <a16:creationId xmlns:a16="http://schemas.microsoft.com/office/drawing/2014/main" id="{467DD745-E765-46F7-84E5-D6B65BFA7009}"/>
                </a:ext>
              </a:extLst>
            </xdr:cNvPr>
            <xdr:cNvSpPr txBox="1"/>
          </xdr:nvSpPr>
          <xdr:spPr>
            <a:xfrm>
              <a:off x="7403192" y="2025902"/>
              <a:ext cx="3131458" cy="3851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𝐽_𝑡=𝑃𝑉/𝑛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×(𝑛−𝑡−1)</a:t>
              </a:r>
              <a:endParaRPr lang="pt-BR" sz="1800"/>
            </a:p>
          </xdr:txBody>
        </xdr:sp>
      </mc:Fallback>
    </mc:AlternateContent>
    <xdr:clientData/>
  </xdr:twoCellAnchor>
  <xdr:twoCellAnchor>
    <xdr:from>
      <xdr:col>8</xdr:col>
      <xdr:colOff>46987</xdr:colOff>
      <xdr:row>9</xdr:row>
      <xdr:rowOff>169445</xdr:rowOff>
    </xdr:from>
    <xdr:to>
      <xdr:col>14</xdr:col>
      <xdr:colOff>266700</xdr:colOff>
      <xdr:row>11</xdr:row>
      <xdr:rowOff>2185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9">
              <a:extLst>
                <a:ext uri="{FF2B5EF4-FFF2-40B4-BE49-F238E27FC236}">
                  <a16:creationId xmlns:a16="http://schemas.microsoft.com/office/drawing/2014/main" id="{34781E1E-8829-4CD5-A18F-E0B99AD9944A}"/>
                </a:ext>
              </a:extLst>
            </xdr:cNvPr>
            <xdr:cNvSpPr txBox="1"/>
          </xdr:nvSpPr>
          <xdr:spPr>
            <a:xfrm>
              <a:off x="7476487" y="2674520"/>
              <a:ext cx="3877313" cy="5185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𝑃𝑀𝑇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𝑃𝑉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d>
                      <m:dPr>
                        <m:begChr m:val="["/>
                        <m:endChr m:val="]"/>
                        <m:ctrlP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d>
                          <m:dPr>
                            <m:ctrlP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pt-BR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e>
                    </m: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5" name="CaixaDeTexto 9">
              <a:extLst>
                <a:ext uri="{FF2B5EF4-FFF2-40B4-BE49-F238E27FC236}">
                  <a16:creationId xmlns:a16="http://schemas.microsoft.com/office/drawing/2014/main" id="{34781E1E-8829-4CD5-A18F-E0B99AD9944A}"/>
                </a:ext>
              </a:extLst>
            </xdr:cNvPr>
            <xdr:cNvSpPr txBox="1"/>
          </xdr:nvSpPr>
          <xdr:spPr>
            <a:xfrm>
              <a:off x="7476487" y="2674520"/>
              <a:ext cx="3877313" cy="5185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800" i="0">
                  <a:latin typeface="Cambria Math" panose="02040503050406030204" pitchFamily="18" charset="0"/>
                </a:rPr>
                <a:t>〖</a:t>
              </a:r>
              <a:r>
                <a:rPr lang="pt-BR" sz="1800" b="0" i="0">
                  <a:latin typeface="Cambria Math" panose="02040503050406030204" pitchFamily="18" charset="0"/>
                </a:rPr>
                <a:t>𝑃𝑀𝑇〗_𝑡=𝑃𝑉/𝑛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×[1+(</a:t>
              </a:r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𝑛−𝑡−1)×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𝑖]</a:t>
              </a:r>
              <a:endParaRPr lang="pt-BR" sz="1800"/>
            </a:p>
          </xdr:txBody>
        </xdr:sp>
      </mc:Fallback>
    </mc:AlternateContent>
    <xdr:clientData/>
  </xdr:twoCellAnchor>
  <xdr:twoCellAnchor>
    <xdr:from>
      <xdr:col>7</xdr:col>
      <xdr:colOff>411388</xdr:colOff>
      <xdr:row>11</xdr:row>
      <xdr:rowOff>269903</xdr:rowOff>
    </xdr:from>
    <xdr:to>
      <xdr:col>15</xdr:col>
      <xdr:colOff>438150</xdr:colOff>
      <xdr:row>12</xdr:row>
      <xdr:rowOff>177456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3">
              <a:extLst>
                <a:ext uri="{FF2B5EF4-FFF2-40B4-BE49-F238E27FC236}">
                  <a16:creationId xmlns:a16="http://schemas.microsoft.com/office/drawing/2014/main" id="{C2D1C2FD-9177-409C-884B-0752AC3CFBBD}"/>
                </a:ext>
              </a:extLst>
            </xdr:cNvPr>
            <xdr:cNvSpPr txBox="1"/>
          </xdr:nvSpPr>
          <xdr:spPr>
            <a:xfrm>
              <a:off x="7231288" y="3460778"/>
              <a:ext cx="4903562" cy="2504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𝑠𝑎𝑙𝑑𝑜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𝑑𝑒𝑣𝑒𝑑𝑜𝑟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𝑠𝑎𝑙𝑑𝑜</m:t>
                        </m:r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𝑑𝑒𝑣𝑒𝑑𝑜𝑟</m:t>
                        </m:r>
                      </m:e>
                      <m:sub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𝑎𝑚𝑜𝑟𝑡𝑖𝑧𝑎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çã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𝑜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6" name="CaixaDeTexto 3">
              <a:extLst>
                <a:ext uri="{FF2B5EF4-FFF2-40B4-BE49-F238E27FC236}">
                  <a16:creationId xmlns:a16="http://schemas.microsoft.com/office/drawing/2014/main" id="{C2D1C2FD-9177-409C-884B-0752AC3CFBBD}"/>
                </a:ext>
              </a:extLst>
            </xdr:cNvPr>
            <xdr:cNvSpPr txBox="1"/>
          </xdr:nvSpPr>
          <xdr:spPr>
            <a:xfrm>
              <a:off x="7231288" y="3460778"/>
              <a:ext cx="4903562" cy="2504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i="0">
                  <a:latin typeface="Cambria Math" panose="02040503050406030204" pitchFamily="18" charset="0"/>
                </a:rPr>
                <a:t>〖</a:t>
              </a:r>
              <a:r>
                <a:rPr lang="pt-BR" sz="1600" b="0" i="0">
                  <a:latin typeface="Cambria Math" panose="02040503050406030204" pitchFamily="18" charset="0"/>
                </a:rPr>
                <a:t>𝑠𝑎𝑙𝑑𝑜 𝑑𝑒𝑣𝑒𝑑𝑜𝑟〗_𝑡=</a:t>
              </a:r>
              <a:r>
                <a:rPr lang="pt-BR" sz="1600" i="0">
                  <a:latin typeface="Cambria Math" panose="02040503050406030204" pitchFamily="18" charset="0"/>
                </a:rPr>
                <a:t>〖𝑠𝑎𝑙𝑑𝑜 𝑑𝑒𝑣𝑒𝑑𝑜𝑟〗_(𝑡</a:t>
              </a:r>
              <a:r>
                <a:rPr lang="pt-BR" sz="1600" b="0" i="0">
                  <a:latin typeface="Cambria Math" panose="02040503050406030204" pitchFamily="18" charset="0"/>
                </a:rPr>
                <a:t>−1)−𝑎𝑚𝑜𝑟𝑡𝑖𝑧𝑎çã𝑜</a:t>
              </a:r>
              <a:endParaRPr lang="pt-BR" sz="16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2</xdr:row>
      <xdr:rowOff>85725</xdr:rowOff>
    </xdr:from>
    <xdr:to>
      <xdr:col>23</xdr:col>
      <xdr:colOff>64430</xdr:colOff>
      <xdr:row>9</xdr:row>
      <xdr:rowOff>126296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53E9B40A-2A45-4E8E-83FF-0AA3F8237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466725"/>
          <a:ext cx="7246280" cy="13740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123825</xdr:colOff>
      <xdr:row>1</xdr:row>
      <xdr:rowOff>19050</xdr:rowOff>
    </xdr:from>
    <xdr:to>
      <xdr:col>10</xdr:col>
      <xdr:colOff>409575</xdr:colOff>
      <xdr:row>4</xdr:row>
      <xdr:rowOff>180975</xdr:rowOff>
    </xdr:to>
    <xdr:sp macro="" textlink="">
      <xdr:nvSpPr>
        <xdr:cNvPr id="3" name="Título 1">
          <a:extLst>
            <a:ext uri="{FF2B5EF4-FFF2-40B4-BE49-F238E27FC236}">
              <a16:creationId xmlns:a16="http://schemas.microsoft.com/office/drawing/2014/main" id="{A284C2DC-909B-4F51-B23E-B81081245123}"/>
            </a:ext>
          </a:extLst>
        </xdr:cNvPr>
        <xdr:cNvSpPr>
          <a:spLocks noGrp="1"/>
        </xdr:cNvSpPr>
      </xdr:nvSpPr>
      <xdr:spPr>
        <a:xfrm>
          <a:off x="123825" y="209550"/>
          <a:ext cx="6381750" cy="733425"/>
        </a:xfrm>
        <a:prstGeom prst="rect">
          <a:avLst/>
        </a:prstGeom>
        <a:solidFill>
          <a:schemeClr val="bg1"/>
        </a:solidFill>
      </xdr:spPr>
      <xdr:txBody>
        <a:bodyPr vert="horz" wrap="square" lIns="91440" tIns="45720" rIns="91440" bIns="45720" rtlCol="0" anchor="ctr">
          <a:no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3400" b="0" i="0" kern="1200" spc="-50" baseline="0">
              <a:solidFill>
                <a:srgbClr val="FFFFFF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pt-BR" sz="1800">
              <a:solidFill>
                <a:srgbClr val="FF0000"/>
              </a:solidFill>
            </a:rPr>
            <a:t>Um empréstimo no valor de $ 15.000,00 é concedido à taxa de juro de 2,23% a.m. Os fluxos de caixa da operação são apresentados ao lado. Qual o valor do fluxo de caixa X?</a:t>
          </a:r>
        </a:p>
      </xdr:txBody>
    </xdr:sp>
    <xdr:clientData/>
  </xdr:twoCellAnchor>
  <xdr:twoCellAnchor editAs="oneCell">
    <xdr:from>
      <xdr:col>11</xdr:col>
      <xdr:colOff>133350</xdr:colOff>
      <xdr:row>10</xdr:row>
      <xdr:rowOff>19050</xdr:rowOff>
    </xdr:from>
    <xdr:to>
      <xdr:col>22</xdr:col>
      <xdr:colOff>590550</xdr:colOff>
      <xdr:row>23</xdr:row>
      <xdr:rowOff>132814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43A423DA-EFD1-425D-BE71-D982CB5E8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7550" y="1924050"/>
          <a:ext cx="7162800" cy="2609314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10</xdr:row>
      <xdr:rowOff>75087</xdr:rowOff>
    </xdr:from>
    <xdr:to>
      <xdr:col>21</xdr:col>
      <xdr:colOff>214320</xdr:colOff>
      <xdr:row>15</xdr:row>
      <xdr:rowOff>176650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8C896D96-181B-41F2-B62D-9C52A656C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44225" y="1980087"/>
          <a:ext cx="2490795" cy="1063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260105</xdr:colOff>
      <xdr:row>1</xdr:row>
      <xdr:rowOff>19051</xdr:rowOff>
    </xdr:from>
    <xdr:to>
      <xdr:col>13</xdr:col>
      <xdr:colOff>586154</xdr:colOff>
      <xdr:row>9</xdr:row>
      <xdr:rowOff>43963</xdr:rowOff>
    </xdr:to>
    <xdr:sp macro="" textlink="">
      <xdr:nvSpPr>
        <xdr:cNvPr id="2" name="Espaço Reservado para Conteúdo 2">
          <a:extLst>
            <a:ext uri="{FF2B5EF4-FFF2-40B4-BE49-F238E27FC236}">
              <a16:creationId xmlns:a16="http://schemas.microsoft.com/office/drawing/2014/main" id="{30D46D22-C169-4D21-BABB-70EA571303B0}"/>
            </a:ext>
          </a:extLst>
        </xdr:cNvPr>
        <xdr:cNvSpPr>
          <a:spLocks noGrp="1"/>
        </xdr:cNvSpPr>
      </xdr:nvSpPr>
      <xdr:spPr>
        <a:xfrm>
          <a:off x="5638067" y="209551"/>
          <a:ext cx="5191125" cy="1929912"/>
        </a:xfrm>
        <a:prstGeom prst="rect">
          <a:avLst/>
        </a:prstGeom>
        <a:solidFill>
          <a:sysClr val="window" lastClr="FFFFFF"/>
        </a:solidFill>
      </xdr:spPr>
      <xdr:txBody>
        <a:bodyPr vert="horz" wrap="square" lIns="91440" tIns="45720" rIns="91440" bIns="45720" rtlCol="0">
          <a:noAutofit/>
        </a:bodyPr>
        <a:lstStyle>
          <a:lvl1pPr marL="171450" indent="-171450" algn="l" defTabSz="685800" rtl="0" eaLnBrk="1" latinLnBrk="0" hangingPunct="1">
            <a:lnSpc>
              <a:spcPct val="90000"/>
            </a:lnSpc>
            <a:spcBef>
              <a:spcPts val="75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43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572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2001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5430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8859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2288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5717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9146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buNone/>
          </a:pPr>
          <a:r>
            <a:rPr lang="pt-BR" sz="1400"/>
            <a:t>Uma empresa precisa de R$ 15.000 para capital de giro por 3 meses. O gerente do banco ofereceu duas operações com as seguintes taxas:</a:t>
          </a:r>
        </a:p>
        <a:p>
          <a:pPr marL="0" indent="0">
            <a:buNone/>
          </a:pPr>
          <a:r>
            <a:rPr lang="pt-BR" sz="1400"/>
            <a:t>1) 4% ao mês e não há taxa de abertura de crédito</a:t>
          </a:r>
          <a:r>
            <a:rPr lang="pt-BR" sz="1200">
              <a:solidFill>
                <a:schemeClr val="bg1"/>
              </a:solidFill>
            </a:rPr>
            <a:t>Val </a:t>
          </a:r>
        </a:p>
        <a:p>
          <a:pPr marL="0" indent="0">
            <a:buNone/>
          </a:pPr>
          <a:r>
            <a:rPr lang="pt-BR" sz="1400"/>
            <a:t>2) 3,5% ao mês mas deve ser pago no contrato uma taxa de abertura de crédito no valor de R$ 500</a:t>
          </a:r>
          <a:r>
            <a:rPr lang="pt-BR" sz="1200">
              <a:solidFill>
                <a:schemeClr val="bg1"/>
              </a:solidFill>
            </a:rPr>
            <a:t>or a </a:t>
          </a:r>
        </a:p>
        <a:p>
          <a:pPr marL="0" indent="0">
            <a:buNone/>
          </a:pPr>
          <a:r>
            <a:rPr lang="pt-BR" sz="1400"/>
            <a:t>Qual das duas alternativas é mais vantajosa para a empresa?</a:t>
          </a:r>
        </a:p>
        <a:p>
          <a:pPr lvl="1"/>
          <a:r>
            <a:rPr lang="pt-BR" sz="1200">
              <a:solidFill>
                <a:schemeClr val="bg1"/>
              </a:solidFill>
            </a:rPr>
            <a:t>A primeira alternativa é mais vantajosa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522154</xdr:colOff>
      <xdr:row>0</xdr:row>
      <xdr:rowOff>63116</xdr:rowOff>
    </xdr:from>
    <xdr:to>
      <xdr:col>12</xdr:col>
      <xdr:colOff>74594</xdr:colOff>
      <xdr:row>16</xdr:row>
      <xdr:rowOff>120497</xdr:rowOff>
    </xdr:to>
    <xdr:sp macro="" textlink="">
      <xdr:nvSpPr>
        <xdr:cNvPr id="2" name="Espaço Reservado para Conteúdo 2">
          <a:extLst>
            <a:ext uri="{FF2B5EF4-FFF2-40B4-BE49-F238E27FC236}">
              <a16:creationId xmlns:a16="http://schemas.microsoft.com/office/drawing/2014/main" id="{12D92551-E8F1-45EE-B38A-183015F69093}"/>
            </a:ext>
          </a:extLst>
        </xdr:cNvPr>
        <xdr:cNvSpPr>
          <a:spLocks noGrp="1"/>
        </xdr:cNvSpPr>
      </xdr:nvSpPr>
      <xdr:spPr>
        <a:xfrm>
          <a:off x="4458389" y="63116"/>
          <a:ext cx="3810000" cy="3087020"/>
        </a:xfrm>
        <a:prstGeom prst="rect">
          <a:avLst/>
        </a:prstGeom>
        <a:solidFill>
          <a:sysClr val="window" lastClr="FFFFFF"/>
        </a:solidFill>
      </xdr:spPr>
      <xdr:txBody>
        <a:bodyPr vert="horz" wrap="square" lIns="0" tIns="45720" rIns="0" bIns="45720" rtlCol="0">
          <a:no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36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32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2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2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2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buNone/>
          </a:pPr>
          <a:r>
            <a:rPr lang="pt-BR" sz="1200"/>
            <a:t>Duas taxas de juros, expressas em unidades de tempo diferentes são ditas proporcionais quando, incidindo sobre o mesmo principal produzem um mesmo montante, no regime de capitalização simples.</a:t>
          </a:r>
        </a:p>
        <a:p>
          <a:pPr marL="0" indent="0">
            <a:buNone/>
          </a:pPr>
          <a:r>
            <a:rPr lang="pt-BR" sz="1200" b="1">
              <a:solidFill>
                <a:schemeClr val="accent6">
                  <a:lumMod val="50000"/>
                </a:schemeClr>
              </a:solidFill>
              <a:latin typeface="+mn-lt"/>
            </a:rPr>
            <a:t>O período e a taxa devem estar sempre na mesma unidade!!!!</a:t>
          </a:r>
        </a:p>
        <a:p>
          <a:pPr marL="342900" indent="-342900">
            <a:buFont typeface="+mj-lt"/>
            <a:buAutoNum type="arabicPeriod"/>
          </a:pPr>
          <a:r>
            <a:rPr lang="pt-BR" sz="1100"/>
            <a:t>Determine a taxa trimestral proporcional à 21% a.a.</a:t>
          </a:r>
        </a:p>
        <a:p>
          <a:pPr marL="342900" indent="-342900">
            <a:buFont typeface="+mj-lt"/>
            <a:buAutoNum type="arabicPeriod"/>
          </a:pPr>
          <a:r>
            <a:rPr lang="pt-BR" sz="1100"/>
            <a:t>Determine a taxa mensal proporcional à 36% a.a.</a:t>
          </a:r>
        </a:p>
        <a:p>
          <a:pPr marL="342900" indent="-342900">
            <a:buFont typeface="+mj-lt"/>
            <a:buAutoNum type="arabicPeriod"/>
          </a:pPr>
          <a:r>
            <a:rPr lang="pt-BR" sz="1100"/>
            <a:t>Determine a taxa mensal proporcional à 0,9% a.d (considere</a:t>
          </a:r>
          <a:r>
            <a:rPr lang="pt-BR" sz="1100" baseline="0"/>
            <a:t> um mês de 30 dias)</a:t>
          </a:r>
          <a:endParaRPr lang="pt-BR" sz="1100"/>
        </a:p>
      </xdr:txBody>
    </xdr:sp>
    <xdr:clientData/>
  </xdr:twoCellAnchor>
  <xdr:oneCellAnchor>
    <xdr:from>
      <xdr:col>0</xdr:col>
      <xdr:colOff>314554</xdr:colOff>
      <xdr:row>0</xdr:row>
      <xdr:rowOff>59215</xdr:rowOff>
    </xdr:from>
    <xdr:ext cx="3523080" cy="2156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B8890D9-E50C-40F2-B493-C96EFC0D0A38}"/>
                </a:ext>
              </a:extLst>
            </xdr:cNvPr>
            <xdr:cNvSpPr txBox="1"/>
          </xdr:nvSpPr>
          <xdr:spPr>
            <a:xfrm>
              <a:off x="314554" y="59215"/>
              <a:ext cx="3523080" cy="215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𝑉𝐹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𝑇𝐴𝑋𝐴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groupChr>
                      <m:groupChrPr>
                        <m:chr m:val="→"/>
                        <m:pos m:val="top"/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groupChrPr>
                      <m:e/>
                    </m:groupCh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𝑟𝑒𝑙𝑎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çã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𝑙𝑖𝑛𝑒𝑎𝑟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𝑢𝑠𝑎𝑟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𝑟𝑒𝑔𝑟𝑎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3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B8890D9-E50C-40F2-B493-C96EFC0D0A38}"/>
                </a:ext>
              </a:extLst>
            </xdr:cNvPr>
            <xdr:cNvSpPr txBox="1"/>
          </xdr:nvSpPr>
          <xdr:spPr>
            <a:xfrm>
              <a:off x="314554" y="59215"/>
              <a:ext cx="3523080" cy="215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𝑉𝐹=(1+𝑇𝐴𝑋𝐴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×𝑛)  →┬  𝑟𝑒𝑙𝑎çã𝑜 𝑙𝑖𝑛𝑒𝑎𝑟, 𝑢𝑠𝑎𝑟 𝑟𝑒𝑔𝑟𝑎 𝑑𝑒 3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176212</xdr:rowOff>
    </xdr:from>
    <xdr:to>
      <xdr:col>11</xdr:col>
      <xdr:colOff>309562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CF3F3E-0558-46A1-85DF-AF059B36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176818</xdr:colOff>
      <xdr:row>0</xdr:row>
      <xdr:rowOff>108359</xdr:rowOff>
    </xdr:from>
    <xdr:to>
      <xdr:col>9</xdr:col>
      <xdr:colOff>219396</xdr:colOff>
      <xdr:row>6</xdr:row>
      <xdr:rowOff>101671</xdr:rowOff>
    </xdr:to>
    <xdr:sp macro="" textlink="">
      <xdr:nvSpPr>
        <xdr:cNvPr id="2" name="Espaço Reservado para Conteúdo 2">
          <a:extLst>
            <a:ext uri="{FF2B5EF4-FFF2-40B4-BE49-F238E27FC236}">
              <a16:creationId xmlns:a16="http://schemas.microsoft.com/office/drawing/2014/main" id="{422DF306-40E5-41B9-B54D-6047CC77D3AE}"/>
            </a:ext>
          </a:extLst>
        </xdr:cNvPr>
        <xdr:cNvSpPr>
          <a:spLocks noGrp="1"/>
        </xdr:cNvSpPr>
      </xdr:nvSpPr>
      <xdr:spPr>
        <a:xfrm>
          <a:off x="2782815" y="108359"/>
          <a:ext cx="3702747" cy="1149155"/>
        </a:xfrm>
        <a:prstGeom prst="rect">
          <a:avLst/>
        </a:prstGeom>
        <a:solidFill>
          <a:sysClr val="window" lastClr="FFFFFF"/>
        </a:solidFill>
      </xdr:spPr>
      <xdr:txBody>
        <a:bodyPr vert="horz" wrap="square" lIns="91440" tIns="45720" rIns="91440" bIns="45720" rtlCol="0">
          <a:noAutofit/>
        </a:bodyPr>
        <a:lstStyle>
          <a:lvl1pPr marL="171450" indent="-171450" algn="l" defTabSz="685800" rtl="0" eaLnBrk="1" latinLnBrk="0" hangingPunct="1">
            <a:lnSpc>
              <a:spcPct val="90000"/>
            </a:lnSpc>
            <a:spcBef>
              <a:spcPts val="75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43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572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2001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5430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8859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2288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5717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9146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Duas taxas, expressas em unidades de tempo distintas, são ditas equivalentes quando, incidindo sobre o mesmo capital, produzem um mesmo valor futuro no regime de capitalização composta;</a:t>
          </a:r>
        </a:p>
        <a:p>
          <a:r>
            <a:rPr lang="pt-BR" sz="1200"/>
            <a:t>Exemplo: 5% ao mês equivale a 79,586% ao ano.</a:t>
          </a:r>
        </a:p>
        <a:p>
          <a:endParaRPr lang="pt-BR" sz="1200"/>
        </a:p>
      </xdr:txBody>
    </xdr:sp>
    <xdr:clientData/>
  </xdr:twoCellAnchor>
  <xdr:oneCellAnchor>
    <xdr:from>
      <xdr:col>0</xdr:col>
      <xdr:colOff>275903</xdr:colOff>
      <xdr:row>0</xdr:row>
      <xdr:rowOff>27076</xdr:rowOff>
    </xdr:from>
    <xdr:ext cx="14673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ECE444B-379E-4C90-A478-C3B1DF4120C0}"/>
                </a:ext>
              </a:extLst>
            </xdr:cNvPr>
            <xdr:cNvSpPr txBox="1"/>
          </xdr:nvSpPr>
          <xdr:spPr>
            <a:xfrm>
              <a:off x="275903" y="27076"/>
              <a:ext cx="14673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𝑉𝐹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𝑉𝑃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𝑡𝑎𝑥𝑎</m:t>
                            </m:r>
                          </m:e>
                        </m:d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ECE444B-379E-4C90-A478-C3B1DF4120C0}"/>
                </a:ext>
              </a:extLst>
            </xdr:cNvPr>
            <xdr:cNvSpPr txBox="1"/>
          </xdr:nvSpPr>
          <xdr:spPr>
            <a:xfrm>
              <a:off x="275903" y="27076"/>
              <a:ext cx="14673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𝑉𝐹=𝑉𝑃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×(1+𝑡𝑎𝑥𝑎)^𝑛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3</xdr:col>
      <xdr:colOff>133778</xdr:colOff>
      <xdr:row>7</xdr:row>
      <xdr:rowOff>1</xdr:rowOff>
    </xdr:from>
    <xdr:to>
      <xdr:col>8</xdr:col>
      <xdr:colOff>351748</xdr:colOff>
      <xdr:row>8</xdr:row>
      <xdr:rowOff>76536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6">
              <a:extLst>
                <a:ext uri="{FF2B5EF4-FFF2-40B4-BE49-F238E27FC236}">
                  <a16:creationId xmlns:a16="http://schemas.microsoft.com/office/drawing/2014/main" id="{04F2A9C2-D91B-439E-88FB-C3473C265938}"/>
                </a:ext>
              </a:extLst>
            </xdr:cNvPr>
            <xdr:cNvSpPr txBox="1"/>
          </xdr:nvSpPr>
          <xdr:spPr>
            <a:xfrm>
              <a:off x="2739775" y="1348484"/>
              <a:ext cx="3268111" cy="269176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12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𝑚𝑒𝑠𝑒𝑠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ê</m:t>
                                </m:r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CaixaDeTexto 6">
              <a:extLst>
                <a:ext uri="{FF2B5EF4-FFF2-40B4-BE49-F238E27FC236}">
                  <a16:creationId xmlns:a16="http://schemas.microsoft.com/office/drawing/2014/main" id="{04F2A9C2-D91B-439E-88FB-C3473C265938}"/>
                </a:ext>
              </a:extLst>
            </xdr:cNvPr>
            <xdr:cNvSpPr txBox="1"/>
          </xdr:nvSpPr>
          <xdr:spPr>
            <a:xfrm>
              <a:off x="2739775" y="1348484"/>
              <a:ext cx="3268111" cy="269176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𝑖_12𝑚𝑒𝑠𝑒𝑠=</a:t>
              </a:r>
              <a:r>
                <a:rPr lang="pt-BR" sz="1400" i="0">
                  <a:latin typeface="Cambria Math" panose="02040503050406030204" pitchFamily="18" charset="0"/>
                </a:rPr>
                <a:t>(1+𝑖_</a:t>
              </a:r>
              <a:r>
                <a:rPr lang="pt-BR" sz="1400" b="0" i="0">
                  <a:latin typeface="Cambria Math" panose="02040503050406030204" pitchFamily="18" charset="0"/>
                </a:rPr>
                <a:t>1𝑚ê𝑠 )^(12⁄1)−1</a:t>
              </a:r>
              <a:endParaRPr lang="pt-BR" sz="1400"/>
            </a:p>
          </xdr:txBody>
        </xdr:sp>
      </mc:Fallback>
    </mc:AlternateContent>
    <xdr:clientData/>
  </xdr:twoCellAnchor>
  <xdr:twoCellAnchor>
    <xdr:from>
      <xdr:col>3</xdr:col>
      <xdr:colOff>406685</xdr:colOff>
      <xdr:row>9</xdr:row>
      <xdr:rowOff>26756</xdr:rowOff>
    </xdr:from>
    <xdr:to>
      <xdr:col>9</xdr:col>
      <xdr:colOff>25870</xdr:colOff>
      <xdr:row>14</xdr:row>
      <xdr:rowOff>37458</xdr:rowOff>
    </xdr:to>
    <xdr:sp macro="" textlink="">
      <xdr:nvSpPr>
        <xdr:cNvPr id="5" name="Rectangle 3">
          <a:extLst>
            <a:ext uri="{FF2B5EF4-FFF2-40B4-BE49-F238E27FC236}">
              <a16:creationId xmlns:a16="http://schemas.microsoft.com/office/drawing/2014/main" id="{997B5EC1-EC7E-4EF8-87EE-151D2D4B6F57}"/>
            </a:ext>
          </a:extLst>
        </xdr:cNvPr>
        <xdr:cNvSpPr txBox="1">
          <a:spLocks noChangeArrowheads="1"/>
        </xdr:cNvSpPr>
      </xdr:nvSpPr>
      <xdr:spPr bwMode="auto">
        <a:xfrm>
          <a:off x="3012682" y="1760520"/>
          <a:ext cx="3279354" cy="97390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  <a:headEnd/>
          <a:tailEnd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eaLnBrk="1" hangingPunct="1">
            <a:buNone/>
          </a:pPr>
          <a:r>
            <a:rPr lang="pt-BR" sz="1400" kern="0">
              <a:latin typeface="Candara" panose="020E0502030303020204" pitchFamily="34" charset="0"/>
            </a:rPr>
            <a:t>Convenção:</a:t>
          </a:r>
        </a:p>
        <a:p>
          <a:pPr marL="0" indent="0" eaLnBrk="1" hangingPunct="1">
            <a:buNone/>
          </a:pPr>
          <a:r>
            <a:rPr lang="pt-BR" sz="1400" kern="0">
              <a:latin typeface="Candara" panose="020E0502030303020204" pitchFamily="34" charset="0"/>
            </a:rPr>
            <a:t>Juro Exato: Considera ano com 365 dias</a:t>
          </a:r>
        </a:p>
        <a:p>
          <a:pPr marL="0" indent="0" eaLnBrk="1" hangingPunct="1">
            <a:buNone/>
          </a:pPr>
          <a:r>
            <a:rPr lang="pt-BR" sz="1400" kern="0">
              <a:latin typeface="Candara" panose="020E0502030303020204" pitchFamily="34" charset="0"/>
            </a:rPr>
            <a:t>Juro Comercial: ano com 360 dias e mês com 30 dias</a:t>
          </a:r>
        </a:p>
        <a:p>
          <a:pPr marL="0" indent="0" eaLnBrk="1" hangingPunct="1">
            <a:buNone/>
          </a:pPr>
          <a:endParaRPr lang="pt-BR" sz="1400" kern="0">
            <a:latin typeface="Candara" panose="020E0502030303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9524</xdr:rowOff>
    </xdr:from>
    <xdr:to>
      <xdr:col>12</xdr:col>
      <xdr:colOff>419100</xdr:colOff>
      <xdr:row>4</xdr:row>
      <xdr:rowOff>79157</xdr:rowOff>
    </xdr:to>
    <xdr:sp macro="" textlink="">
      <xdr:nvSpPr>
        <xdr:cNvPr id="2" name="Title 1">
          <a:extLst>
            <a:ext uri="{FF2B5EF4-FFF2-40B4-BE49-F238E27FC236}">
              <a16:creationId xmlns:a16="http://schemas.microsoft.com/office/drawing/2014/main" id="{C51B8B98-AD69-4CBE-BA2B-4D9BBD74DA22}"/>
            </a:ext>
          </a:extLst>
        </xdr:cNvPr>
        <xdr:cNvSpPr>
          <a:spLocks noGrp="1"/>
        </xdr:cNvSpPr>
      </xdr:nvSpPr>
      <xdr:spPr>
        <a:xfrm>
          <a:off x="5000625" y="200024"/>
          <a:ext cx="2733675" cy="641133"/>
        </a:xfrm>
        <a:prstGeom prst="rect">
          <a:avLst/>
        </a:prstGeom>
        <a:solidFill>
          <a:sysClr val="window" lastClr="FFFFFF"/>
        </a:solidFill>
      </xdr:spPr>
      <xdr:txBody>
        <a:bodyPr vert="horz" wrap="square" lIns="91440" tIns="45720" rIns="91440" bIns="45720" rtlCol="0" anchor="b">
          <a:norm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4700" i="0" kern="1200" spc="-5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r>
            <a:rPr lang="en-US" altLang="pt-BR" sz="3200"/>
            <a:t>Taxa Over </a:t>
          </a:r>
        </a:p>
      </xdr:txBody>
    </xdr:sp>
    <xdr:clientData/>
  </xdr:twoCellAnchor>
  <xdr:twoCellAnchor editAs="oneCell">
    <xdr:from>
      <xdr:col>7</xdr:col>
      <xdr:colOff>511981</xdr:colOff>
      <xdr:row>17</xdr:row>
      <xdr:rowOff>78497</xdr:rowOff>
    </xdr:from>
    <xdr:to>
      <xdr:col>11</xdr:col>
      <xdr:colOff>400050</xdr:colOff>
      <xdr:row>20</xdr:row>
      <xdr:rowOff>26250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3C4FDB1-22BE-42D8-9C29-30B06C5BA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9181" y="3316997"/>
          <a:ext cx="2326469" cy="519253"/>
        </a:xfrm>
        <a:prstGeom prst="rect">
          <a:avLst/>
        </a:prstGeom>
        <a:solidFill>
          <a:sysClr val="window" lastClr="FFFFFF"/>
        </a:solidFill>
        <a:ln>
          <a:noFill/>
        </a:ln>
        <a:effectLst/>
      </xdr:spPr>
    </xdr:pic>
    <xdr:clientData/>
  </xdr:twoCellAnchor>
  <xdr:twoCellAnchor>
    <xdr:from>
      <xdr:col>8</xdr:col>
      <xdr:colOff>86747</xdr:colOff>
      <xdr:row>6</xdr:row>
      <xdr:rowOff>38100</xdr:rowOff>
    </xdr:from>
    <xdr:to>
      <xdr:col>18</xdr:col>
      <xdr:colOff>285750</xdr:colOff>
      <xdr:row>11</xdr:row>
      <xdr:rowOff>150122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2">
              <a:extLst>
                <a:ext uri="{FF2B5EF4-FFF2-40B4-BE49-F238E27FC236}">
                  <a16:creationId xmlns:a16="http://schemas.microsoft.com/office/drawing/2014/main" id="{BD0C3200-B3E6-4FEE-BB2A-12D7F73B6BCB}"/>
                </a:ext>
              </a:extLst>
            </xdr:cNvPr>
            <xdr:cNvSpPr txBox="1"/>
          </xdr:nvSpPr>
          <xdr:spPr>
            <a:xfrm>
              <a:off x="4963547" y="1181100"/>
              <a:ext cx="6295003" cy="106452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pt-BR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600" i="1">
                          <a:latin typeface="Cambria Math"/>
                        </a:rPr>
                        <m:t>𝑖</m:t>
                      </m:r>
                    </m:e>
                    <m:sub>
                      <m:r>
                        <a:rPr lang="pt-BR" sz="1600" i="1">
                          <a:latin typeface="Cambria Math"/>
                        </a:rPr>
                        <m:t>𝑑𝑢</m:t>
                      </m:r>
                    </m:sub>
                  </m:sSub>
                </m:oMath>
              </a14:m>
              <a:r>
                <a:rPr lang="pt-BR" sz="1600"/>
                <a:t> </a:t>
              </a:r>
              <a:r>
                <a:rPr lang="pt-BR" sz="1600">
                  <a:latin typeface="Cambria Math" pitchFamily="18" charset="0"/>
                  <a:ea typeface="Cambria Math" pitchFamily="18" charset="0"/>
                </a:rPr>
                <a:t>= taxa eq</a:t>
              </a:r>
              <a:r>
                <a:rPr lang="pt-BR" sz="1600" u="sng">
                  <a:latin typeface="Cambria Math" pitchFamily="18" charset="0"/>
                  <a:ea typeface="Cambria Math" pitchFamily="18" charset="0"/>
                </a:rPr>
                <a:t>uivalente por dia útil</a:t>
              </a:r>
            </a:p>
            <a:p>
              <a:r>
                <a:rPr lang="pt-BR" sz="1600" i="1" u="sng">
                  <a:latin typeface="Cambria Math" pitchFamily="18" charset="0"/>
                  <a:ea typeface="Cambria Math" pitchFamily="18" charset="0"/>
                </a:rPr>
                <a:t>du </a:t>
              </a:r>
              <a:r>
                <a:rPr lang="pt-BR" sz="1600" u="sng">
                  <a:latin typeface="Cambria Math" pitchFamily="18" charset="0"/>
                  <a:ea typeface="Cambria Math" pitchFamily="18" charset="0"/>
                </a:rPr>
                <a:t>=número </a:t>
              </a:r>
              <a:r>
                <a:rPr lang="pt-BR" sz="1600">
                  <a:latin typeface="Cambria Math" pitchFamily="18" charset="0"/>
                  <a:ea typeface="Cambria Math" pitchFamily="18" charset="0"/>
                </a:rPr>
                <a:t>de dias úteis no ano 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pt-BR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600" i="1">
                          <a:latin typeface="Cambria Math"/>
                        </a:rPr>
                        <m:t>𝑜𝑣𝑒𝑟</m:t>
                      </m:r>
                    </m:e>
                    <m:sub>
                      <m:r>
                        <a:rPr lang="pt-BR" sz="1600" i="1">
                          <a:latin typeface="Cambria Math"/>
                        </a:rPr>
                        <m:t>𝑎𝑛𝑜</m:t>
                      </m:r>
                    </m:sub>
                  </m:sSub>
                </m:oMath>
              </a14:m>
              <a:r>
                <a:rPr lang="pt-BR" sz="1600">
                  <a:latin typeface="Cambria Math" pitchFamily="18" charset="0"/>
                  <a:ea typeface="Cambria Math" pitchFamily="18" charset="0"/>
                </a:rPr>
                <a:t>=taxa ano over (taxa ao ano válida para 1 dia útil)</a:t>
              </a:r>
            </a:p>
            <a:p>
              <a:r>
                <a:rPr lang="pt-BR" sz="1600">
                  <a:latin typeface="Cambria Math" pitchFamily="18" charset="0"/>
                  <a:ea typeface="Cambria Math" pitchFamily="18" charset="0"/>
                </a:rPr>
                <a:t>Obs: A taxa Selic é taxa ao ano OVER</a:t>
              </a:r>
            </a:p>
          </xdr:txBody>
        </xdr:sp>
      </mc:Choice>
      <mc:Fallback xmlns="">
        <xdr:sp macro="" textlink="">
          <xdr:nvSpPr>
            <xdr:cNvPr id="5" name="CaixaDeTexto 2">
              <a:extLst>
                <a:ext uri="{FF2B5EF4-FFF2-40B4-BE49-F238E27FC236}">
                  <a16:creationId xmlns:a16="http://schemas.microsoft.com/office/drawing/2014/main" id="{BD0C3200-B3E6-4FEE-BB2A-12D7F73B6BCB}"/>
                </a:ext>
              </a:extLst>
            </xdr:cNvPr>
            <xdr:cNvSpPr txBox="1"/>
          </xdr:nvSpPr>
          <xdr:spPr>
            <a:xfrm>
              <a:off x="4963547" y="1181100"/>
              <a:ext cx="6295003" cy="106452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600" i="0">
                  <a:latin typeface="Cambria Math"/>
                </a:rPr>
                <a:t>𝑖</a:t>
              </a:r>
              <a:r>
                <a:rPr lang="pt-BR" sz="1600" i="0">
                  <a:latin typeface="Cambria Math" panose="02040503050406030204" pitchFamily="18" charset="0"/>
                </a:rPr>
                <a:t>_</a:t>
              </a:r>
              <a:r>
                <a:rPr lang="pt-BR" sz="1600" i="0">
                  <a:latin typeface="Cambria Math"/>
                </a:rPr>
                <a:t>𝑑𝑢</a:t>
              </a:r>
              <a:r>
                <a:rPr lang="pt-BR" sz="1600"/>
                <a:t> </a:t>
              </a:r>
              <a:r>
                <a:rPr lang="pt-BR" sz="1600">
                  <a:latin typeface="Cambria Math" pitchFamily="18" charset="0"/>
                  <a:ea typeface="Cambria Math" pitchFamily="18" charset="0"/>
                </a:rPr>
                <a:t>= taxa eq</a:t>
              </a:r>
              <a:r>
                <a:rPr lang="pt-BR" sz="1600" u="sng">
                  <a:latin typeface="Cambria Math" pitchFamily="18" charset="0"/>
                  <a:ea typeface="Cambria Math" pitchFamily="18" charset="0"/>
                </a:rPr>
                <a:t>uivalente por dia útil</a:t>
              </a:r>
            </a:p>
            <a:p>
              <a:r>
                <a:rPr lang="pt-BR" sz="1600" i="1" u="sng">
                  <a:latin typeface="Cambria Math" pitchFamily="18" charset="0"/>
                  <a:ea typeface="Cambria Math" pitchFamily="18" charset="0"/>
                </a:rPr>
                <a:t>du </a:t>
              </a:r>
              <a:r>
                <a:rPr lang="pt-BR" sz="1600" u="sng">
                  <a:latin typeface="Cambria Math" pitchFamily="18" charset="0"/>
                  <a:ea typeface="Cambria Math" pitchFamily="18" charset="0"/>
                </a:rPr>
                <a:t>=número </a:t>
              </a:r>
              <a:r>
                <a:rPr lang="pt-BR" sz="1600">
                  <a:latin typeface="Cambria Math" pitchFamily="18" charset="0"/>
                  <a:ea typeface="Cambria Math" pitchFamily="18" charset="0"/>
                </a:rPr>
                <a:t>de dias úteis no ano </a:t>
              </a:r>
            </a:p>
            <a:p>
              <a:r>
                <a:rPr lang="pt-BR" sz="1600" i="0">
                  <a:latin typeface="Cambria Math" panose="02040503050406030204" pitchFamily="18" charset="0"/>
                </a:rPr>
                <a:t>〖</a:t>
              </a:r>
              <a:r>
                <a:rPr lang="pt-BR" sz="1600" i="0">
                  <a:latin typeface="Cambria Math"/>
                </a:rPr>
                <a:t>𝑜𝑣𝑒𝑟</a:t>
              </a:r>
              <a:r>
                <a:rPr lang="pt-BR" sz="1600" i="0">
                  <a:latin typeface="Cambria Math" panose="02040503050406030204" pitchFamily="18" charset="0"/>
                </a:rPr>
                <a:t>〗_</a:t>
              </a:r>
              <a:r>
                <a:rPr lang="pt-BR" sz="1600" i="0">
                  <a:latin typeface="Cambria Math"/>
                </a:rPr>
                <a:t>𝑎𝑛𝑜</a:t>
              </a:r>
              <a:r>
                <a:rPr lang="pt-BR" sz="1600">
                  <a:latin typeface="Cambria Math" pitchFamily="18" charset="0"/>
                  <a:ea typeface="Cambria Math" pitchFamily="18" charset="0"/>
                </a:rPr>
                <a:t>=taxa ano over (taxa ao ano válida para 1 dia útil)</a:t>
              </a:r>
            </a:p>
            <a:p>
              <a:r>
                <a:rPr lang="pt-BR" sz="1600">
                  <a:latin typeface="Cambria Math" pitchFamily="18" charset="0"/>
                  <a:ea typeface="Cambria Math" pitchFamily="18" charset="0"/>
                </a:rPr>
                <a:t>Obs: A taxa Selic é taxa ao ano OVER</a:t>
              </a:r>
            </a:p>
          </xdr:txBody>
        </xdr:sp>
      </mc:Fallback>
    </mc:AlternateContent>
    <xdr:clientData/>
  </xdr:twoCellAnchor>
  <xdr:twoCellAnchor>
    <xdr:from>
      <xdr:col>15</xdr:col>
      <xdr:colOff>125623</xdr:colOff>
      <xdr:row>0</xdr:row>
      <xdr:rowOff>16605</xdr:rowOff>
    </xdr:from>
    <xdr:to>
      <xdr:col>23</xdr:col>
      <xdr:colOff>361950</xdr:colOff>
      <xdr:row>7</xdr:row>
      <xdr:rowOff>41624</xdr:rowOff>
    </xdr:to>
    <xdr:sp macro="" textlink="">
      <xdr:nvSpPr>
        <xdr:cNvPr id="6" name="Rectangle 3">
          <a:extLst>
            <a:ext uri="{FF2B5EF4-FFF2-40B4-BE49-F238E27FC236}">
              <a16:creationId xmlns:a16="http://schemas.microsoft.com/office/drawing/2014/main" id="{7740BA0A-B085-4E74-88D4-C4B4446FA864}"/>
            </a:ext>
          </a:extLst>
        </xdr:cNvPr>
        <xdr:cNvSpPr txBox="1">
          <a:spLocks noChangeArrowheads="1"/>
        </xdr:cNvSpPr>
      </xdr:nvSpPr>
      <xdr:spPr bwMode="auto">
        <a:xfrm>
          <a:off x="9269623" y="16605"/>
          <a:ext cx="5113127" cy="135851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headEnd/>
          <a:tailEnd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eaLnBrk="1" hangingPunct="1">
            <a:buNone/>
          </a:pPr>
          <a:r>
            <a:rPr lang="pt-BR" sz="2400" kern="0">
              <a:latin typeface="Candara" panose="020E0502030303020204" pitchFamily="34" charset="0"/>
            </a:rPr>
            <a:t>Convenção:</a:t>
          </a:r>
        </a:p>
        <a:p>
          <a:pPr marL="0" indent="0" eaLnBrk="1" hangingPunct="1">
            <a:buNone/>
          </a:pPr>
          <a:r>
            <a:rPr lang="pt-BR" sz="2400" kern="0">
              <a:latin typeface="Candara" panose="020E0502030303020204" pitchFamily="34" charset="0"/>
            </a:rPr>
            <a:t>Taxa Over: Considera que 1 ano tem 252 dias úteis e 1 mês tem 21 dias úteis</a:t>
          </a:r>
        </a:p>
        <a:p>
          <a:pPr marL="0" indent="0" eaLnBrk="1" hangingPunct="1">
            <a:buNone/>
          </a:pPr>
          <a:endParaRPr lang="pt-BR" sz="2400" kern="0">
            <a:latin typeface="Candara" panose="020E0502030303020204" pitchFamily="34" charset="0"/>
          </a:endParaRPr>
        </a:p>
      </xdr:txBody>
    </xdr:sp>
    <xdr:clientData/>
  </xdr:twoCellAnchor>
  <xdr:twoCellAnchor>
    <xdr:from>
      <xdr:col>8</xdr:col>
      <xdr:colOff>28575</xdr:colOff>
      <xdr:row>12</xdr:row>
      <xdr:rowOff>132107</xdr:rowOff>
    </xdr:from>
    <xdr:to>
      <xdr:col>18</xdr:col>
      <xdr:colOff>438150</xdr:colOff>
      <xdr:row>16</xdr:row>
      <xdr:rowOff>26056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06D64F3-2D92-4B59-BCB0-F9FAE67CDD07}"/>
            </a:ext>
          </a:extLst>
        </xdr:cNvPr>
        <xdr:cNvSpPr/>
      </xdr:nvSpPr>
      <xdr:spPr>
        <a:xfrm>
          <a:off x="4905375" y="2418107"/>
          <a:ext cx="6505575" cy="655949"/>
        </a:xfrm>
        <a:prstGeom prst="rect">
          <a:avLst/>
        </a:prstGeom>
      </xdr:spPr>
      <xdr:txBody>
        <a:bodyPr wrap="square">
          <a:spAutoFit/>
        </a:bodyPr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r>
            <a:rPr lang="en-US" sz="1800" kern="0">
              <a:latin typeface="Candara" panose="020E0502030303020204" pitchFamily="34" charset="0"/>
            </a:rPr>
            <a:t>Usada em: CDB; CDI; Futuros; Operações com títulos públicos ; Meta da Selic (COPOM)</a:t>
          </a:r>
        </a:p>
      </xdr:txBody>
    </xdr:sp>
    <xdr:clientData/>
  </xdr:twoCellAnchor>
  <xdr:twoCellAnchor>
    <xdr:from>
      <xdr:col>12</xdr:col>
      <xdr:colOff>95250</xdr:colOff>
      <xdr:row>16</xdr:row>
      <xdr:rowOff>152400</xdr:rowOff>
    </xdr:from>
    <xdr:to>
      <xdr:col>21</xdr:col>
      <xdr:colOff>104775</xdr:colOff>
      <xdr:row>20</xdr:row>
      <xdr:rowOff>9525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E50F59D-D9EF-46A7-847D-0A3CDFDCDE26}"/>
            </a:ext>
          </a:extLst>
        </xdr:cNvPr>
        <xdr:cNvSpPr txBox="1"/>
      </xdr:nvSpPr>
      <xdr:spPr>
        <a:xfrm>
          <a:off x="7410450" y="3200400"/>
          <a:ext cx="549592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/>
            <a:t>232ª Reunião - 4-5 agosto, 2020 - taxa 2%</a:t>
          </a:r>
        </a:p>
      </xdr:txBody>
    </xdr:sp>
    <xdr:clientData/>
  </xdr:twoCellAnchor>
  <xdr:twoCellAnchor>
    <xdr:from>
      <xdr:col>0</xdr:col>
      <xdr:colOff>0</xdr:colOff>
      <xdr:row>1</xdr:row>
      <xdr:rowOff>19051</xdr:rowOff>
    </xdr:from>
    <xdr:to>
      <xdr:col>7</xdr:col>
      <xdr:colOff>533400</xdr:colOff>
      <xdr:row>7</xdr:row>
      <xdr:rowOff>76201</xdr:rowOff>
    </xdr:to>
    <xdr:sp macro="" textlink="">
      <xdr:nvSpPr>
        <xdr:cNvPr id="9" name="Espaço Reservado para Conteúdo 2">
          <a:extLst>
            <a:ext uri="{FF2B5EF4-FFF2-40B4-BE49-F238E27FC236}">
              <a16:creationId xmlns:a16="http://schemas.microsoft.com/office/drawing/2014/main" id="{F6A29D6D-A573-43A8-A031-DE87EE62B364}"/>
            </a:ext>
          </a:extLst>
        </xdr:cNvPr>
        <xdr:cNvSpPr>
          <a:spLocks noGrp="1"/>
        </xdr:cNvSpPr>
      </xdr:nvSpPr>
      <xdr:spPr>
        <a:xfrm>
          <a:off x="0" y="209551"/>
          <a:ext cx="4800600" cy="1200150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171450" indent="-171450" algn="l" defTabSz="685800" rtl="0" eaLnBrk="1" latinLnBrk="0" hangingPunct="1">
            <a:lnSpc>
              <a:spcPct val="90000"/>
            </a:lnSpc>
            <a:spcBef>
              <a:spcPts val="75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43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572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2001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5430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8859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2288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5717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914650" indent="-171450" algn="l" defTabSz="685800" rtl="0" eaLnBrk="1" latinLnBrk="0" hangingPunct="1">
            <a:lnSpc>
              <a:spcPct val="90000"/>
            </a:lnSpc>
            <a:spcBef>
              <a:spcPts val="375"/>
            </a:spcBef>
            <a:buFont typeface="Arial" panose="020B0604020202020204" pitchFamily="34" charset="0"/>
            <a:buChar char="•"/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628650" lvl="0" indent="-514350">
            <a:buFont typeface="+mj-lt"/>
            <a:buAutoNum type="alphaLcParenR"/>
          </a:pPr>
          <a:r>
            <a:rPr lang="pt-BR" sz="2000"/>
            <a:t>Qual a taxa equivalente ao dia útil?</a:t>
          </a:r>
        </a:p>
        <a:p>
          <a:pPr marL="628650" lvl="0" indent="-514350">
            <a:buFont typeface="+mj-lt"/>
            <a:buAutoNum type="alphaLcParenR"/>
          </a:pPr>
          <a:r>
            <a:rPr lang="pt-BR" sz="2000"/>
            <a:t>Qual a taxa equivalente a um mês que tenha 21 dias úteis?</a:t>
          </a:r>
        </a:p>
        <a:p>
          <a:endParaRPr lang="pt-BR" sz="2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74841</xdr:colOff>
      <xdr:row>5</xdr:row>
      <xdr:rowOff>172641</xdr:rowOff>
    </xdr:from>
    <xdr:to>
      <xdr:col>20</xdr:col>
      <xdr:colOff>289152</xdr:colOff>
      <xdr:row>7</xdr:row>
      <xdr:rowOff>10804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5">
              <a:extLst>
                <a:ext uri="{FF2B5EF4-FFF2-40B4-BE49-F238E27FC236}">
                  <a16:creationId xmlns:a16="http://schemas.microsoft.com/office/drawing/2014/main" id="{3137913E-07A3-454B-AFEB-EB9E6D4976AD}"/>
                </a:ext>
              </a:extLst>
            </xdr:cNvPr>
            <xdr:cNvSpPr txBox="1"/>
          </xdr:nvSpPr>
          <xdr:spPr>
            <a:xfrm>
              <a:off x="12040622" y="1125141"/>
              <a:ext cx="3857624" cy="219163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𝑎𝑐𝑢𝑚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d>
                          <m:d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d>
                          <m:d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×…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2" name="CaixaDeTexto 5">
              <a:extLst>
                <a:ext uri="{FF2B5EF4-FFF2-40B4-BE49-F238E27FC236}">
                  <a16:creationId xmlns:a16="http://schemas.microsoft.com/office/drawing/2014/main" id="{3137913E-07A3-454B-AFEB-EB9E6D4976AD}"/>
                </a:ext>
              </a:extLst>
            </xdr:cNvPr>
            <xdr:cNvSpPr txBox="1"/>
          </xdr:nvSpPr>
          <xdr:spPr>
            <a:xfrm>
              <a:off x="12040622" y="1125141"/>
              <a:ext cx="3857624" cy="219163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𝑖_𝑎𝑐𝑢𝑚=[(</a:t>
              </a:r>
              <a:r>
                <a:rPr lang="pt-BR" sz="1400" i="0">
                  <a:latin typeface="Cambria Math" panose="02040503050406030204" pitchFamily="18" charset="0"/>
                </a:rPr>
                <a:t>1+𝑖_1 )</a:t>
              </a:r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</a:t>
              </a:r>
              <a:r>
                <a:rPr lang="pt-BR" sz="1400" i="0">
                  <a:latin typeface="Cambria Math" panose="02040503050406030204" pitchFamily="18" charset="0"/>
                </a:rPr>
                <a:t>1+𝑖_2 )</a:t>
              </a:r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</a:t>
              </a:r>
              <a:r>
                <a:rPr lang="pt-BR" sz="1400" i="0">
                  <a:latin typeface="Cambria Math" panose="02040503050406030204" pitchFamily="18" charset="0"/>
                </a:rPr>
                <a:t>1+𝑖_3 )</a:t>
              </a:r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×…]</a:t>
              </a:r>
              <a:r>
                <a:rPr lang="pt-BR" sz="1400" b="0" i="0">
                  <a:latin typeface="Cambria Math" panose="02040503050406030204" pitchFamily="18" charset="0"/>
                </a:rPr>
                <a:t>−1</a:t>
              </a:r>
              <a:endParaRPr lang="pt-BR" sz="1400"/>
            </a:p>
          </xdr:txBody>
        </xdr:sp>
      </mc:Fallback>
    </mc:AlternateContent>
    <xdr:clientData/>
  </xdr:twoCellAnchor>
  <xdr:twoCellAnchor>
    <xdr:from>
      <xdr:col>12</xdr:col>
      <xdr:colOff>390524</xdr:colOff>
      <xdr:row>7</xdr:row>
      <xdr:rowOff>171450</xdr:rowOff>
    </xdr:from>
    <xdr:to>
      <xdr:col>20</xdr:col>
      <xdr:colOff>19049</xdr:colOff>
      <xdr:row>9</xdr:row>
      <xdr:rowOff>168117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7">
              <a:extLst>
                <a:ext uri="{FF2B5EF4-FFF2-40B4-BE49-F238E27FC236}">
                  <a16:creationId xmlns:a16="http://schemas.microsoft.com/office/drawing/2014/main" id="{B51AB3EF-30D3-4658-868B-FB9A07AFFC6E}"/>
                </a:ext>
              </a:extLst>
            </xdr:cNvPr>
            <xdr:cNvSpPr txBox="1"/>
          </xdr:nvSpPr>
          <xdr:spPr>
            <a:xfrm>
              <a:off x="7715249" y="1504950"/>
              <a:ext cx="4505325" cy="37766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𝑑𝑖𝑎</m:t>
                        </m:r>
                      </m:sub>
                    </m:sSub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20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200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pt-B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20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pt-BR" sz="20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sup>
                    </m:sSup>
                    <m:r>
                      <a:rPr lang="pt-BR" sz="20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pt-BR" sz="2800"/>
            </a:p>
          </xdr:txBody>
        </xdr:sp>
      </mc:Choice>
      <mc:Fallback xmlns="">
        <xdr:sp macro="" textlink="">
          <xdr:nvSpPr>
            <xdr:cNvPr id="3" name="CaixaDeTexto 7">
              <a:extLst>
                <a:ext uri="{FF2B5EF4-FFF2-40B4-BE49-F238E27FC236}">
                  <a16:creationId xmlns:a16="http://schemas.microsoft.com/office/drawing/2014/main" id="{B51AB3EF-30D3-4658-868B-FB9A07AFFC6E}"/>
                </a:ext>
              </a:extLst>
            </xdr:cNvPr>
            <xdr:cNvSpPr txBox="1"/>
          </xdr:nvSpPr>
          <xdr:spPr>
            <a:xfrm>
              <a:off x="7715249" y="1504950"/>
              <a:ext cx="4505325" cy="37766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000" b="0" i="0">
                  <a:latin typeface="Cambria Math" panose="02040503050406030204" pitchFamily="18" charset="0"/>
                </a:rPr>
                <a:t>𝑖_𝑚é𝑑𝑖𝑎=</a:t>
              </a:r>
              <a:r>
                <a:rPr lang="pt-BR" sz="2000" i="0">
                  <a:latin typeface="Cambria Math" panose="02040503050406030204" pitchFamily="18" charset="0"/>
                </a:rPr>
                <a:t>(1+𝑖_𝑡 )</a:t>
              </a:r>
              <a:r>
                <a:rPr lang="pt-BR" sz="2000" b="0" i="0">
                  <a:latin typeface="Cambria Math" panose="02040503050406030204" pitchFamily="18" charset="0"/>
                </a:rPr>
                <a:t>^(1⁄𝑛)−1</a:t>
              </a:r>
              <a:endParaRPr lang="pt-BR" sz="2800"/>
            </a:p>
          </xdr:txBody>
        </xdr:sp>
      </mc:Fallback>
    </mc:AlternateContent>
    <xdr:clientData/>
  </xdr:twoCellAnchor>
  <xdr:twoCellAnchor>
    <xdr:from>
      <xdr:col>13</xdr:col>
      <xdr:colOff>168218</xdr:colOff>
      <xdr:row>10</xdr:row>
      <xdr:rowOff>121273</xdr:rowOff>
    </xdr:from>
    <xdr:to>
      <xdr:col>19</xdr:col>
      <xdr:colOff>544030</xdr:colOff>
      <xdr:row>14</xdr:row>
      <xdr:rowOff>132451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2">
              <a:extLst>
                <a:ext uri="{FF2B5EF4-FFF2-40B4-BE49-F238E27FC236}">
                  <a16:creationId xmlns:a16="http://schemas.microsoft.com/office/drawing/2014/main" id="{B13DBC89-AAF7-4573-8F5A-90A67ACF51C4}"/>
                </a:ext>
              </a:extLst>
            </xdr:cNvPr>
            <xdr:cNvSpPr txBox="1"/>
          </xdr:nvSpPr>
          <xdr:spPr>
            <a:xfrm>
              <a:off x="11557397" y="2026273"/>
              <a:ext cx="4049740" cy="779982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pt-BR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</a:rPr>
                                  <m:t>𝑒𝑓𝑒𝑡𝑖𝑣𝑎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ctrlPr>
                              <a:rPr lang="pt-BR" sz="20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200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pt-B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20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</a:rPr>
                                  <m:t>𝑖𝑛𝑓𝑙𝑎</m:t>
                                </m:r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</a:rPr>
                                  <m:t>çã</m:t>
                                </m:r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</m:e>
                        </m:d>
                      </m:den>
                    </m:f>
                    <m:r>
                      <a:rPr lang="pt-BR" sz="20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4" name="CaixaDeTexto 2">
              <a:extLst>
                <a:ext uri="{FF2B5EF4-FFF2-40B4-BE49-F238E27FC236}">
                  <a16:creationId xmlns:a16="http://schemas.microsoft.com/office/drawing/2014/main" id="{B13DBC89-AAF7-4573-8F5A-90A67ACF51C4}"/>
                </a:ext>
              </a:extLst>
            </xdr:cNvPr>
            <xdr:cNvSpPr txBox="1"/>
          </xdr:nvSpPr>
          <xdr:spPr>
            <a:xfrm>
              <a:off x="11557397" y="2026273"/>
              <a:ext cx="4049740" cy="779982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000" b="0" i="0">
                  <a:latin typeface="Cambria Math" panose="02040503050406030204" pitchFamily="18" charset="0"/>
                </a:rPr>
                <a:t>𝑟=((1+𝑖_𝑒𝑓𝑒𝑡𝑖𝑣𝑎 ))/((</a:t>
              </a:r>
              <a:r>
                <a:rPr lang="pt-BR" sz="2000" i="0">
                  <a:latin typeface="Cambria Math" panose="02040503050406030204" pitchFamily="18" charset="0"/>
                </a:rPr>
                <a:t>1+𝑖_</a:t>
              </a:r>
              <a:r>
                <a:rPr lang="pt-BR" sz="2000" b="0" i="0">
                  <a:latin typeface="Cambria Math" panose="02040503050406030204" pitchFamily="18" charset="0"/>
                </a:rPr>
                <a:t>𝑖𝑛𝑓𝑙𝑎çã𝑜 ) )−1</a:t>
              </a:r>
              <a:endParaRPr lang="pt-BR" sz="2000"/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101304</xdr:colOff>
      <xdr:row>0</xdr:row>
      <xdr:rowOff>70757</xdr:rowOff>
    </xdr:from>
    <xdr:to>
      <xdr:col>16</xdr:col>
      <xdr:colOff>137560</xdr:colOff>
      <xdr:row>4</xdr:row>
      <xdr:rowOff>149243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054E9FF-8B8D-4FD2-973D-0BA33CD2E66A}"/>
            </a:ext>
          </a:extLst>
        </xdr:cNvPr>
        <xdr:cNvSpPr/>
      </xdr:nvSpPr>
      <xdr:spPr>
        <a:xfrm>
          <a:off x="4999875" y="70757"/>
          <a:ext cx="4934828" cy="840486"/>
        </a:xfrm>
        <a:prstGeom prst="rect">
          <a:avLst/>
        </a:prstGeom>
        <a:solidFill>
          <a:sysClr val="window" lastClr="FFFFFF"/>
        </a:solidFill>
      </xdr:spPr>
      <xdr:txBody>
        <a:bodyPr wrap="square">
          <a:spAutoFit/>
        </a:bodyPr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2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Um banco financia uma máquina a taxa de juros de 3,1% a.m. em 35 parcelas iguais sem entrada. Se a máquina custa à vista R$ 50.000 </a:t>
          </a:r>
          <a:br>
            <a:rPr lang="pt-BR" sz="12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</a:br>
          <a:endParaRPr lang="pt-BR" sz="1200">
            <a:latin typeface="DejaVu Sans Condensed" panose="020B0606030804020204" pitchFamily="34" charset="0"/>
            <a:ea typeface="DejaVu Sans Condensed" panose="020B0606030804020204" pitchFamily="34" charset="0"/>
            <a:cs typeface="DejaVu Sans Condensed" panose="020B0606030804020204" pitchFamily="34" charset="0"/>
          </a:endParaRPr>
        </a:p>
      </xdr:txBody>
    </xdr:sp>
    <xdr:clientData/>
  </xdr:twoCellAnchor>
  <xdr:twoCellAnchor>
    <xdr:from>
      <xdr:col>8</xdr:col>
      <xdr:colOff>578112</xdr:colOff>
      <xdr:row>5</xdr:row>
      <xdr:rowOff>161470</xdr:rowOff>
    </xdr:from>
    <xdr:to>
      <xdr:col>14</xdr:col>
      <xdr:colOff>13804</xdr:colOff>
      <xdr:row>10</xdr:row>
      <xdr:rowOff>118847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22C588-E4C2-48CF-8C95-42E47BEDB499}"/>
            </a:ext>
          </a:extLst>
        </xdr:cNvPr>
        <xdr:cNvGrpSpPr/>
      </xdr:nvGrpSpPr>
      <xdr:grpSpPr>
        <a:xfrm>
          <a:off x="6432324" y="1113970"/>
          <a:ext cx="3084499" cy="909877"/>
          <a:chOff x="980436" y="2411879"/>
          <a:chExt cx="6553199" cy="1676249"/>
        </a:xfrm>
      </xdr:grpSpPr>
      <xdr:grpSp>
        <xdr:nvGrpSpPr>
          <xdr:cNvPr id="14" name="Grupo 20">
            <a:extLst>
              <a:ext uri="{FF2B5EF4-FFF2-40B4-BE49-F238E27FC236}">
                <a16:creationId xmlns:a16="http://schemas.microsoft.com/office/drawing/2014/main" id="{AEE4A3FD-8764-4EF1-9031-6D8D5DD11AF0}"/>
              </a:ext>
            </a:extLst>
          </xdr:cNvPr>
          <xdr:cNvGrpSpPr>
            <a:grpSpLocks/>
          </xdr:cNvGrpSpPr>
        </xdr:nvGrpSpPr>
        <xdr:grpSpPr bwMode="auto">
          <a:xfrm>
            <a:off x="980436" y="2520177"/>
            <a:ext cx="6553199" cy="1334734"/>
            <a:chOff x="1358085" y="2570399"/>
            <a:chExt cx="6552405" cy="1334568"/>
          </a:xfrm>
        </xdr:grpSpPr>
        <xdr:grpSp>
          <xdr:nvGrpSpPr>
            <xdr:cNvPr id="17" name="Grupo 19">
              <a:extLst>
                <a:ext uri="{FF2B5EF4-FFF2-40B4-BE49-F238E27FC236}">
                  <a16:creationId xmlns:a16="http://schemas.microsoft.com/office/drawing/2014/main" id="{EF030011-F108-48CF-86D9-94D509B59BA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59671" y="3447349"/>
              <a:ext cx="6550819" cy="457618"/>
              <a:chOff x="1359671" y="3447349"/>
              <a:chExt cx="6550819" cy="457618"/>
            </a:xfrm>
          </xdr:grpSpPr>
          <xdr:sp macro="" textlink="">
            <xdr:nvSpPr>
              <xdr:cNvPr id="19" name="Line 5">
                <a:extLst>
                  <a:ext uri="{FF2B5EF4-FFF2-40B4-BE49-F238E27FC236}">
                    <a16:creationId xmlns:a16="http://schemas.microsoft.com/office/drawing/2014/main" id="{38B84EBC-1653-4C86-9B80-0D5A3118A00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359671" y="3471159"/>
                <a:ext cx="6550819" cy="0"/>
              </a:xfrm>
              <a:prstGeom prst="line">
                <a:avLst/>
              </a:prstGeom>
              <a:ln w="28575">
                <a:headEnd/>
                <a:tailEnd type="triangle" w="med" len="med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wrap="square"/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>
                  <a:defRPr/>
                </a:pPr>
                <a:endParaRPr lang="en-US" sz="1000"/>
              </a:p>
            </xdr:txBody>
          </xdr:sp>
          <xdr:sp macro="" textlink="">
            <xdr:nvSpPr>
              <xdr:cNvPr id="20" name="Line 6">
                <a:extLst>
                  <a:ext uri="{FF2B5EF4-FFF2-40B4-BE49-F238E27FC236}">
                    <a16:creationId xmlns:a16="http://schemas.microsoft.com/office/drawing/2014/main" id="{3F49CED3-D342-491D-B92D-14EE0BBE6E4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2000943" y="3471159"/>
                <a:ext cx="2353" cy="433808"/>
              </a:xfrm>
              <a:prstGeom prst="line">
                <a:avLst/>
              </a:prstGeom>
              <a:ln w="28575">
                <a:headEnd/>
                <a:tailEnd type="triangle" w="med" len="med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wrap="square"/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>
                  <a:defRPr/>
                </a:pPr>
                <a:endParaRPr lang="en-US" sz="1000"/>
              </a:p>
            </xdr:txBody>
          </xdr:sp>
          <xdr:sp macro="" textlink="">
            <xdr:nvSpPr>
              <xdr:cNvPr id="21" name="Line 8">
                <a:extLst>
                  <a:ext uri="{FF2B5EF4-FFF2-40B4-BE49-F238E27FC236}">
                    <a16:creationId xmlns:a16="http://schemas.microsoft.com/office/drawing/2014/main" id="{B78E03DE-D6A5-4B96-B2F8-63ACA4D9CFF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7408135" y="3447349"/>
                <a:ext cx="2353" cy="433808"/>
              </a:xfrm>
              <a:prstGeom prst="line">
                <a:avLst/>
              </a:prstGeom>
              <a:ln w="28575">
                <a:headEnd/>
                <a:tailEnd type="triangle" w="med" len="med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wrap="square"/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>
                  <a:defRPr/>
                </a:pPr>
                <a:endParaRPr lang="en-US" sz="1000"/>
              </a:p>
            </xdr:txBody>
          </xdr:sp>
          <xdr:cxnSp macro="">
            <xdr:nvCxnSpPr>
              <xdr:cNvPr id="22" name="Conector reto 21">
                <a:extLst>
                  <a:ext uri="{FF2B5EF4-FFF2-40B4-BE49-F238E27FC236}">
                    <a16:creationId xmlns:a16="http://schemas.microsoft.com/office/drawing/2014/main" id="{86C5EBE0-DD9A-4608-8CD7-4858532553D4}"/>
                  </a:ext>
                </a:extLst>
              </xdr:cNvPr>
              <xdr:cNvCxnSpPr/>
            </xdr:nvCxnSpPr>
            <xdr:spPr>
              <a:xfrm>
                <a:off x="2000943" y="3881157"/>
                <a:ext cx="5357164" cy="1588"/>
              </a:xfrm>
              <a:prstGeom prst="line">
                <a:avLst/>
              </a:prstGeom>
              <a:ln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18" name="Conector de seta reta 5">
              <a:extLst>
                <a:ext uri="{FF2B5EF4-FFF2-40B4-BE49-F238E27FC236}">
                  <a16:creationId xmlns:a16="http://schemas.microsoft.com/office/drawing/2014/main" id="{FBC46C71-BE8E-4971-84DA-4F505744CFD2}"/>
                </a:ext>
              </a:extLst>
            </xdr:cNvPr>
            <xdr:cNvCxnSpPr>
              <a:cxnSpLocks/>
              <a:stCxn id="19" idx="0"/>
            </xdr:cNvCxnSpPr>
          </xdr:nvCxnSpPr>
          <xdr:spPr>
            <a:xfrm flipH="1" flipV="1">
              <a:off x="1358085" y="2570399"/>
              <a:ext cx="1586" cy="900760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CaixaDeTexto 11">
            <a:extLst>
              <a:ext uri="{FF2B5EF4-FFF2-40B4-BE49-F238E27FC236}">
                <a16:creationId xmlns:a16="http://schemas.microsoft.com/office/drawing/2014/main" id="{75B15E8B-3471-4F56-8A61-3E0015FB2F1C}"/>
              </a:ext>
            </a:extLst>
          </xdr:cNvPr>
          <xdr:cNvSpPr txBox="1"/>
        </xdr:nvSpPr>
        <xdr:spPr>
          <a:xfrm>
            <a:off x="3167786" y="3458510"/>
            <a:ext cx="2373488" cy="629618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900"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rPr>
              <a:t>35 parcelas</a:t>
            </a:r>
          </a:p>
          <a:p>
            <a:pPr algn="ctr"/>
            <a:r>
              <a:rPr lang="pt-BR" sz="700"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rPr>
              <a:t>PGTO</a:t>
            </a:r>
            <a:endParaRPr lang="pt-BR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45C9D124-C634-4A36-97F6-C0C00E884890}"/>
              </a:ext>
            </a:extLst>
          </xdr:cNvPr>
          <xdr:cNvSpPr txBox="1"/>
        </xdr:nvSpPr>
        <xdr:spPr>
          <a:xfrm>
            <a:off x="1243168" y="2411879"/>
            <a:ext cx="705300" cy="42856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900"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rPr>
              <a:t>PV</a:t>
            </a:r>
          </a:p>
        </xdr:txBody>
      </xdr:sp>
    </xdr:grpSp>
    <xdr:clientData/>
  </xdr:twoCellAnchor>
  <xdr:twoCellAnchor>
    <xdr:from>
      <xdr:col>0</xdr:col>
      <xdr:colOff>17845</xdr:colOff>
      <xdr:row>12</xdr:row>
      <xdr:rowOff>79149</xdr:rowOff>
    </xdr:from>
    <xdr:to>
      <xdr:col>6</xdr:col>
      <xdr:colOff>238125</xdr:colOff>
      <xdr:row>22</xdr:row>
      <xdr:rowOff>145907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B9903B6-57CA-42CB-9E83-8571CF82C50F}"/>
            </a:ext>
          </a:extLst>
        </xdr:cNvPr>
        <xdr:cNvSpPr/>
      </xdr:nvSpPr>
      <xdr:spPr>
        <a:xfrm>
          <a:off x="17845" y="2365149"/>
          <a:ext cx="4491876" cy="1971758"/>
        </a:xfrm>
        <a:prstGeom prst="rect">
          <a:avLst/>
        </a:prstGeom>
        <a:solidFill>
          <a:sysClr val="window" lastClr="FFFFFF"/>
        </a:solidFill>
      </xdr:spPr>
      <xdr:txBody>
        <a:bodyPr wrap="square" anchor="t">
          <a:spAutoFit/>
        </a:bodyPr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200" kern="1200" baseline="0">
              <a:solidFill>
                <a:schemeClr val="tx1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a) qual o valor de cada parcela?</a:t>
          </a:r>
          <a:br>
            <a:rPr lang="pt-B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b)Qual</a:t>
          </a:r>
          <a:r>
            <a:rPr lang="pt-BR" sz="1200" baseline="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 o valor da parcela se o primeiro pagamento fosse na data </a:t>
          </a:r>
          <a:r>
            <a:rPr lang="pt-BR" sz="1200" kern="1200" baseline="0">
              <a:solidFill>
                <a:schemeClr val="tx1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da compra</a:t>
          </a:r>
          <a:br>
            <a:rPr lang="pt-BR" sz="1200" kern="1200" baseline="0">
              <a:solidFill>
                <a:schemeClr val="tx1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</a:br>
          <a:r>
            <a:rPr lang="pt-BR" sz="1200" kern="1200" baseline="0">
              <a:solidFill>
                <a:schemeClr val="tx1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c) Se a prestação for de $3.000, qual a taxa de juros do empréstimo (Postecipado)</a:t>
          </a:r>
          <a:br>
            <a:rPr lang="pt-BR" sz="1200" kern="1200" baseline="0">
              <a:solidFill>
                <a:schemeClr val="tx1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</a:br>
          <a:r>
            <a:rPr lang="pt-BR" sz="1200" kern="1200" baseline="0">
              <a:solidFill>
                <a:schemeClr val="tx1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d)Se a prestação for de $3.000, qual a taxa de juros do empréstimo (antecipado)</a:t>
          </a:r>
          <a:br>
            <a:rPr lang="pt-BR" sz="1200" kern="1200" baseline="0">
              <a:solidFill>
                <a:schemeClr val="tx1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</a:br>
          <a:r>
            <a:rPr lang="pt-BR" sz="1200" kern="1200" baseline="0">
              <a:solidFill>
                <a:schemeClr val="tx1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e)Qual o valor da parcela se o valor residual (VF) for de $5.000 (postecipado)?</a:t>
          </a:r>
          <a:br>
            <a:rPr lang="pt-BR" sz="1200" kern="1200" baseline="0">
              <a:solidFill>
                <a:schemeClr val="tx1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</a:br>
          <a:endParaRPr lang="pt-BR" sz="1200" kern="1200" baseline="0">
            <a:solidFill>
              <a:schemeClr val="tx1"/>
            </a:solidFill>
            <a:latin typeface="DejaVu Sans Condensed" panose="020B0606030804020204" pitchFamily="34" charset="0"/>
            <a:ea typeface="DejaVu Sans Condensed" panose="020B0606030804020204" pitchFamily="34" charset="0"/>
            <a:cs typeface="DejaVu Sans Condensed" panose="020B0606030804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AB1A-AFFC-41DC-A9B7-7FD3DB2FA775}">
  <dimension ref="B2:E9"/>
  <sheetViews>
    <sheetView tabSelected="1" topLeftCell="C1" zoomScale="130" zoomScaleNormal="130" workbookViewId="0">
      <selection activeCell="D4" sqref="D4"/>
    </sheetView>
  </sheetViews>
  <sheetFormatPr defaultRowHeight="15" x14ac:dyDescent="0.25"/>
  <cols>
    <col min="2" max="2" width="11.28515625" bestFit="1" customWidth="1"/>
    <col min="3" max="3" width="12.28515625" bestFit="1" customWidth="1"/>
    <col min="4" max="4" width="12.7109375" bestFit="1" customWidth="1"/>
    <col min="5" max="5" width="10.42578125" bestFit="1" customWidth="1"/>
  </cols>
  <sheetData>
    <row r="2" spans="2:5" x14ac:dyDescent="0.25">
      <c r="B2" s="2"/>
      <c r="C2" s="99" t="s">
        <v>1</v>
      </c>
      <c r="D2" s="99"/>
      <c r="E2" s="99"/>
    </row>
    <row r="3" spans="2:5" x14ac:dyDescent="0.25">
      <c r="B3" s="2"/>
      <c r="C3" s="2">
        <v>1</v>
      </c>
      <c r="D3" s="2">
        <v>2</v>
      </c>
      <c r="E3" s="2">
        <v>3</v>
      </c>
    </row>
    <row r="4" spans="2:5" x14ac:dyDescent="0.25">
      <c r="B4" s="2" t="s">
        <v>6</v>
      </c>
      <c r="C4" s="6">
        <v>-10000</v>
      </c>
      <c r="D4" s="6" t="s">
        <v>2</v>
      </c>
      <c r="E4" s="6">
        <v>-10000</v>
      </c>
    </row>
    <row r="5" spans="2:5" x14ac:dyDescent="0.25">
      <c r="B5" s="2" t="s">
        <v>7</v>
      </c>
      <c r="C5" s="6" t="s">
        <v>2</v>
      </c>
      <c r="D5" s="6">
        <v>15000</v>
      </c>
      <c r="E5" s="6">
        <v>15000</v>
      </c>
    </row>
    <row r="6" spans="2:5" x14ac:dyDescent="0.25">
      <c r="B6" s="2" t="s">
        <v>3</v>
      </c>
      <c r="C6" s="2">
        <v>2</v>
      </c>
      <c r="D6" s="2">
        <v>2</v>
      </c>
      <c r="E6" s="2">
        <v>2</v>
      </c>
    </row>
    <row r="7" spans="2:5" x14ac:dyDescent="0.25">
      <c r="B7" s="2" t="s">
        <v>4</v>
      </c>
      <c r="C7" s="3">
        <v>7.4999999999999997E-2</v>
      </c>
      <c r="D7" s="3">
        <v>7.4999999999999997E-2</v>
      </c>
      <c r="E7" s="2" t="s">
        <v>5</v>
      </c>
    </row>
    <row r="8" spans="2:5" x14ac:dyDescent="0.25">
      <c r="B8" s="2"/>
      <c r="C8" s="4" t="s">
        <v>7</v>
      </c>
      <c r="D8" s="4" t="s">
        <v>6</v>
      </c>
      <c r="E8" s="4" t="s">
        <v>9</v>
      </c>
    </row>
    <row r="9" spans="2:5" x14ac:dyDescent="0.25">
      <c r="B9" s="2" t="s">
        <v>8</v>
      </c>
      <c r="C9" s="5">
        <f>FV(C7,C6,,C4)</f>
        <v>11556.249999999998</v>
      </c>
      <c r="D9" s="5">
        <f>+PV(D7,D6,,D5)</f>
        <v>-12979.989183342348</v>
      </c>
      <c r="E9" s="8">
        <f>+RATE(E6,,E4,E5)</f>
        <v>0.22474487139158894</v>
      </c>
    </row>
  </sheetData>
  <mergeCells count="1">
    <mergeCell ref="C2:E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748B-6521-4EDF-8B03-800543CCBDF3}">
  <dimension ref="A3:H10"/>
  <sheetViews>
    <sheetView showGridLines="0" zoomScale="130" zoomScaleNormal="130" workbookViewId="0">
      <selection activeCell="F7" sqref="F7"/>
    </sheetView>
  </sheetViews>
  <sheetFormatPr defaultRowHeight="15" x14ac:dyDescent="0.25"/>
  <cols>
    <col min="1" max="1" width="5.85546875" bestFit="1" customWidth="1"/>
    <col min="2" max="2" width="11.5703125" bestFit="1" customWidth="1"/>
    <col min="3" max="4" width="11.85546875" bestFit="1" customWidth="1"/>
    <col min="5" max="5" width="11.140625" bestFit="1" customWidth="1"/>
    <col min="6" max="6" width="11.85546875" bestFit="1" customWidth="1"/>
    <col min="7" max="8" width="11.85546875" customWidth="1"/>
  </cols>
  <sheetData>
    <row r="3" spans="1:8" x14ac:dyDescent="0.25">
      <c r="B3" s="10" t="s">
        <v>75</v>
      </c>
      <c r="C3" s="10" t="s">
        <v>76</v>
      </c>
      <c r="D3" s="10" t="s">
        <v>78</v>
      </c>
      <c r="E3" s="10" t="s">
        <v>79</v>
      </c>
      <c r="F3" s="10" t="s">
        <v>80</v>
      </c>
      <c r="G3" s="93"/>
      <c r="H3" s="93"/>
    </row>
    <row r="4" spans="1:8" x14ac:dyDescent="0.25">
      <c r="A4" s="2" t="s">
        <v>6</v>
      </c>
      <c r="B4" s="6">
        <v>50000</v>
      </c>
      <c r="C4" s="6">
        <v>50000</v>
      </c>
      <c r="D4" s="6">
        <v>50000</v>
      </c>
      <c r="E4" s="6">
        <v>50000</v>
      </c>
      <c r="F4" s="6">
        <v>50000</v>
      </c>
      <c r="G4" s="94"/>
      <c r="H4" s="94"/>
    </row>
    <row r="5" spans="1:8" x14ac:dyDescent="0.25">
      <c r="A5" s="2" t="s">
        <v>7</v>
      </c>
      <c r="B5" s="2">
        <v>0</v>
      </c>
      <c r="C5" s="2">
        <v>0</v>
      </c>
      <c r="D5" s="2">
        <v>0</v>
      </c>
      <c r="E5" s="2">
        <v>0</v>
      </c>
      <c r="F5" s="6">
        <v>-5000</v>
      </c>
      <c r="G5" s="94"/>
      <c r="H5" s="94"/>
    </row>
    <row r="6" spans="1:8" x14ac:dyDescent="0.25">
      <c r="A6" s="2" t="s">
        <v>71</v>
      </c>
      <c r="B6" s="5">
        <f>+PMT(B8,B7,B4,B5,B9)</f>
        <v>-2361.0621489465289</v>
      </c>
      <c r="C6" s="5">
        <f>+PMT(C8,C7,C4,C5,C9)</f>
        <v>-2290.0699795795626</v>
      </c>
      <c r="D6" s="6">
        <v>-3000</v>
      </c>
      <c r="E6" s="6">
        <v>-3000</v>
      </c>
      <c r="F6" s="5">
        <f>+PMT(F8,F7,F4,F5,F9)</f>
        <v>-2279.9559340518758</v>
      </c>
      <c r="G6" s="95"/>
      <c r="H6" s="95"/>
    </row>
    <row r="7" spans="1:8" x14ac:dyDescent="0.25">
      <c r="A7" s="2" t="s">
        <v>72</v>
      </c>
      <c r="B7" s="2">
        <v>35</v>
      </c>
      <c r="C7" s="2">
        <v>35</v>
      </c>
      <c r="D7" s="2">
        <v>35</v>
      </c>
      <c r="E7" s="2">
        <v>35</v>
      </c>
      <c r="F7" s="2">
        <v>35</v>
      </c>
      <c r="G7" s="12"/>
      <c r="H7" s="12"/>
    </row>
    <row r="8" spans="1:8" x14ac:dyDescent="0.25">
      <c r="A8" s="2" t="s">
        <v>9</v>
      </c>
      <c r="B8" s="3">
        <v>3.1E-2</v>
      </c>
      <c r="C8" s="3">
        <v>3.1E-2</v>
      </c>
      <c r="D8" s="52">
        <f>+RATE(D7,D6,D4,D5,D9)</f>
        <v>4.8604171150588675E-2</v>
      </c>
      <c r="E8" s="52">
        <f>+RATE(E7,E6,E4,E5,E9)</f>
        <v>5.2692820487412001E-2</v>
      </c>
      <c r="F8" s="3">
        <v>3.1E-2</v>
      </c>
      <c r="G8" s="96"/>
      <c r="H8" s="96"/>
    </row>
    <row r="9" spans="1:8" x14ac:dyDescent="0.25">
      <c r="A9" s="2" t="s">
        <v>73</v>
      </c>
      <c r="B9" s="2">
        <v>0</v>
      </c>
      <c r="C9" s="2">
        <v>1</v>
      </c>
      <c r="D9" s="2">
        <v>0</v>
      </c>
      <c r="E9" s="2">
        <v>1</v>
      </c>
      <c r="F9" s="2">
        <v>0</v>
      </c>
      <c r="G9" s="12"/>
      <c r="H9" s="12"/>
    </row>
    <row r="10" spans="1:8" x14ac:dyDescent="0.25">
      <c r="B10" s="11" t="s">
        <v>74</v>
      </c>
      <c r="C10" s="11" t="s">
        <v>77</v>
      </c>
      <c r="D10" s="11" t="s">
        <v>74</v>
      </c>
      <c r="E10" s="11" t="s">
        <v>77</v>
      </c>
      <c r="F10" s="11" t="s">
        <v>74</v>
      </c>
      <c r="G10" s="97"/>
      <c r="H10" s="97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7A59-CEEF-4370-B6FE-7B5C5908FF19}">
  <dimension ref="B14:U139"/>
  <sheetViews>
    <sheetView showGridLines="0" topLeftCell="A6" zoomScale="110" zoomScaleNormal="110" workbookViewId="0">
      <selection activeCell="E27" sqref="E27"/>
    </sheetView>
  </sheetViews>
  <sheetFormatPr defaultRowHeight="15" x14ac:dyDescent="0.25"/>
  <cols>
    <col min="3" max="5" width="11.28515625" bestFit="1" customWidth="1"/>
    <col min="7" max="7" width="7.85546875" bestFit="1" customWidth="1"/>
    <col min="8" max="8" width="11.140625" bestFit="1" customWidth="1"/>
    <col min="9" max="9" width="11.85546875" bestFit="1" customWidth="1"/>
    <col min="10" max="10" width="9" bestFit="1" customWidth="1"/>
    <col min="11" max="11" width="11.85546875" bestFit="1" customWidth="1"/>
  </cols>
  <sheetData>
    <row r="14" spans="8:21" ht="45" x14ac:dyDescent="0.25">
      <c r="H14" s="93"/>
      <c r="I14" s="93"/>
      <c r="J14" s="93"/>
      <c r="K14" s="93"/>
      <c r="L14" s="93"/>
      <c r="M14" s="93"/>
      <c r="O14" s="9"/>
      <c r="P14" s="53"/>
      <c r="Q14" s="59" t="s">
        <v>110</v>
      </c>
      <c r="R14" s="59" t="s">
        <v>112</v>
      </c>
      <c r="S14" s="59" t="s">
        <v>111</v>
      </c>
      <c r="T14" s="59" t="s">
        <v>112</v>
      </c>
      <c r="U14" s="9"/>
    </row>
    <row r="15" spans="8:21" x14ac:dyDescent="0.25">
      <c r="H15" s="12"/>
      <c r="I15" s="12"/>
      <c r="J15" s="12"/>
      <c r="K15" s="12"/>
      <c r="L15" s="12"/>
      <c r="M15" s="12"/>
      <c r="O15" s="10" t="s">
        <v>201</v>
      </c>
      <c r="P15" s="54" t="s">
        <v>162</v>
      </c>
      <c r="Q15" s="54"/>
      <c r="R15" s="55">
        <f>SUM(J16:J152)</f>
        <v>0</v>
      </c>
      <c r="S15" s="55"/>
      <c r="T15" s="55">
        <f>SUM(L16:L152)</f>
        <v>0</v>
      </c>
    </row>
    <row r="16" spans="8:21" x14ac:dyDescent="0.25">
      <c r="H16" s="98"/>
      <c r="I16" s="98"/>
      <c r="J16" s="98"/>
      <c r="K16" s="98"/>
      <c r="L16" s="98"/>
      <c r="M16" s="98"/>
      <c r="O16" s="10">
        <v>1</v>
      </c>
      <c r="P16" s="2" t="s">
        <v>10</v>
      </c>
      <c r="Q16" s="2">
        <f>+C23</f>
        <v>200</v>
      </c>
      <c r="R16" s="56">
        <f t="shared" ref="R16:R47" si="0">+Q16/(1+$C$25)^O16</f>
        <v>178.57142857142856</v>
      </c>
      <c r="S16" s="2">
        <f>+Q16</f>
        <v>200</v>
      </c>
      <c r="T16" s="56">
        <f t="shared" ref="T16:T47" si="1">+S16/(1+$C$25)^O16</f>
        <v>178.57142857142856</v>
      </c>
    </row>
    <row r="17" spans="2:20" x14ac:dyDescent="0.25">
      <c r="H17" s="12"/>
      <c r="I17" s="12"/>
      <c r="J17" s="12"/>
      <c r="K17" s="12"/>
      <c r="L17" s="12"/>
      <c r="M17" s="12"/>
      <c r="O17" s="10">
        <v>2</v>
      </c>
      <c r="P17" s="2" t="s">
        <v>11</v>
      </c>
      <c r="Q17" s="2">
        <f>+Q16</f>
        <v>200</v>
      </c>
      <c r="R17" s="56">
        <f t="shared" si="0"/>
        <v>159.43877551020407</v>
      </c>
      <c r="S17" s="56">
        <f t="shared" ref="S17:S48" si="2">+S16*(1+$D$24)</f>
        <v>206</v>
      </c>
      <c r="T17" s="56">
        <f t="shared" si="1"/>
        <v>164.22193877551018</v>
      </c>
    </row>
    <row r="18" spans="2:20" x14ac:dyDescent="0.25">
      <c r="H18" s="98"/>
      <c r="I18" s="98"/>
      <c r="J18" s="98"/>
      <c r="K18" s="98"/>
      <c r="L18" s="98"/>
      <c r="M18" s="98"/>
      <c r="O18" s="10">
        <v>3</v>
      </c>
      <c r="P18" s="2" t="s">
        <v>12</v>
      </c>
      <c r="Q18" s="2">
        <f t="shared" ref="Q18:Q81" si="3">+Q17</f>
        <v>200</v>
      </c>
      <c r="R18" s="56">
        <f t="shared" si="0"/>
        <v>142.35604956268219</v>
      </c>
      <c r="S18" s="56">
        <f t="shared" si="2"/>
        <v>212.18</v>
      </c>
      <c r="T18" s="56">
        <f t="shared" si="1"/>
        <v>151.02553298104954</v>
      </c>
    </row>
    <row r="19" spans="2:20" x14ac:dyDescent="0.25">
      <c r="H19" s="12"/>
      <c r="I19" s="12"/>
      <c r="J19" s="12"/>
      <c r="K19" s="12"/>
      <c r="L19" s="12"/>
      <c r="M19" s="12"/>
      <c r="O19" s="10">
        <v>4</v>
      </c>
      <c r="P19" s="2" t="s">
        <v>13</v>
      </c>
      <c r="Q19" s="2">
        <f t="shared" si="3"/>
        <v>200</v>
      </c>
      <c r="R19" s="56">
        <f t="shared" si="0"/>
        <v>127.10361568096623</v>
      </c>
      <c r="S19" s="56">
        <f t="shared" si="2"/>
        <v>218.5454</v>
      </c>
      <c r="T19" s="56">
        <f t="shared" si="1"/>
        <v>138.8895526522152</v>
      </c>
    </row>
    <row r="20" spans="2:20" x14ac:dyDescent="0.25">
      <c r="O20" s="10">
        <v>5</v>
      </c>
      <c r="P20" s="2" t="s">
        <v>14</v>
      </c>
      <c r="Q20" s="2">
        <f t="shared" si="3"/>
        <v>200</v>
      </c>
      <c r="R20" s="56">
        <f t="shared" si="0"/>
        <v>113.48537114371985</v>
      </c>
      <c r="S20" s="56">
        <f t="shared" si="2"/>
        <v>225.10176200000001</v>
      </c>
      <c r="T20" s="56">
        <f t="shared" si="1"/>
        <v>127.72878502837646</v>
      </c>
    </row>
    <row r="21" spans="2:20" x14ac:dyDescent="0.25">
      <c r="O21" s="10">
        <v>6</v>
      </c>
      <c r="P21" s="2" t="s">
        <v>15</v>
      </c>
      <c r="Q21" s="2">
        <f t="shared" si="3"/>
        <v>200</v>
      </c>
      <c r="R21" s="56">
        <f t="shared" si="0"/>
        <v>101.32622423546414</v>
      </c>
      <c r="S21" s="56">
        <f t="shared" si="2"/>
        <v>231.85481486</v>
      </c>
      <c r="T21" s="56">
        <f t="shared" si="1"/>
        <v>117.46486480288191</v>
      </c>
    </row>
    <row r="22" spans="2:20" x14ac:dyDescent="0.25">
      <c r="C22" s="10" t="s">
        <v>109</v>
      </c>
      <c r="D22" s="10" t="s">
        <v>202</v>
      </c>
      <c r="E22" s="10" t="s">
        <v>203</v>
      </c>
      <c r="F22" s="93"/>
      <c r="G22" s="93"/>
      <c r="O22" s="10">
        <v>7</v>
      </c>
      <c r="P22" s="2" t="s">
        <v>16</v>
      </c>
      <c r="Q22" s="2">
        <f t="shared" si="3"/>
        <v>200</v>
      </c>
      <c r="R22" s="56">
        <f t="shared" si="0"/>
        <v>90.46984306737869</v>
      </c>
      <c r="S22" s="56">
        <f t="shared" si="2"/>
        <v>238.81045930580001</v>
      </c>
      <c r="T22" s="56">
        <f t="shared" si="1"/>
        <v>108.02572388122175</v>
      </c>
    </row>
    <row r="23" spans="2:20" x14ac:dyDescent="0.25">
      <c r="B23" s="2" t="s">
        <v>10</v>
      </c>
      <c r="C23" s="2">
        <v>200</v>
      </c>
      <c r="D23" s="2">
        <v>200</v>
      </c>
      <c r="E23" s="2">
        <v>200</v>
      </c>
      <c r="F23" s="12"/>
      <c r="G23" s="12"/>
      <c r="O23" s="10">
        <v>8</v>
      </c>
      <c r="P23" s="2" t="s">
        <v>17</v>
      </c>
      <c r="Q23" s="2">
        <f t="shared" si="3"/>
        <v>200</v>
      </c>
      <c r="R23" s="56">
        <f t="shared" si="0"/>
        <v>80.776645595873831</v>
      </c>
      <c r="S23" s="56">
        <f t="shared" si="2"/>
        <v>245.974773084974</v>
      </c>
      <c r="T23" s="56">
        <f t="shared" si="1"/>
        <v>99.345085355052149</v>
      </c>
    </row>
    <row r="24" spans="2:20" x14ac:dyDescent="0.25">
      <c r="B24" s="2" t="s">
        <v>81</v>
      </c>
      <c r="C24" s="2">
        <v>0</v>
      </c>
      <c r="D24" s="7">
        <v>0.03</v>
      </c>
      <c r="E24" s="7">
        <v>0</v>
      </c>
      <c r="F24" s="12"/>
      <c r="G24" s="98"/>
      <c r="O24" s="10">
        <v>9</v>
      </c>
      <c r="P24" s="2" t="s">
        <v>18</v>
      </c>
      <c r="Q24" s="2">
        <f t="shared" si="3"/>
        <v>200</v>
      </c>
      <c r="R24" s="56">
        <f t="shared" si="0"/>
        <v>72.122004996315908</v>
      </c>
      <c r="S24" s="56">
        <f t="shared" si="2"/>
        <v>253.35401627752324</v>
      </c>
      <c r="T24" s="56">
        <f t="shared" si="1"/>
        <v>91.361998139021168</v>
      </c>
    </row>
    <row r="25" spans="2:20" x14ac:dyDescent="0.25">
      <c r="B25" s="2" t="s">
        <v>25</v>
      </c>
      <c r="C25" s="7">
        <v>0.12</v>
      </c>
      <c r="D25" s="7">
        <v>0.12</v>
      </c>
      <c r="E25" s="7">
        <v>0.12</v>
      </c>
      <c r="F25" s="12"/>
      <c r="G25" s="12"/>
      <c r="O25" s="10">
        <v>10</v>
      </c>
      <c r="P25" s="2" t="s">
        <v>19</v>
      </c>
      <c r="Q25" s="2">
        <f t="shared" si="3"/>
        <v>200</v>
      </c>
      <c r="R25" s="56">
        <f t="shared" si="0"/>
        <v>64.394647318139207</v>
      </c>
      <c r="S25" s="56">
        <f t="shared" si="2"/>
        <v>260.95463676584893</v>
      </c>
      <c r="T25" s="56">
        <f t="shared" si="1"/>
        <v>84.020409002849817</v>
      </c>
    </row>
    <row r="26" spans="2:20" x14ac:dyDescent="0.25">
      <c r="B26" s="2" t="s">
        <v>6</v>
      </c>
      <c r="C26" s="58">
        <f>+C23/(C25-C24)</f>
        <v>1666.6666666666667</v>
      </c>
      <c r="D26" s="58">
        <f>+D23/(D25-D24)</f>
        <v>2222.2222222222222</v>
      </c>
      <c r="E26" s="57">
        <f>-PV(E25,2,0,E27,)</f>
        <v>1328.656462585034</v>
      </c>
      <c r="F26" s="12"/>
      <c r="G26" s="98"/>
      <c r="O26" s="10">
        <v>11</v>
      </c>
      <c r="P26" s="2" t="s">
        <v>82</v>
      </c>
      <c r="Q26" s="2">
        <f t="shared" si="3"/>
        <v>200</v>
      </c>
      <c r="R26" s="56">
        <f t="shared" si="0"/>
        <v>57.495220819767134</v>
      </c>
      <c r="S26" s="56">
        <f t="shared" si="2"/>
        <v>268.78327586882443</v>
      </c>
      <c r="T26" s="56">
        <f t="shared" si="1"/>
        <v>77.268768993692234</v>
      </c>
    </row>
    <row r="27" spans="2:20" x14ac:dyDescent="0.25">
      <c r="B27" s="2" t="s">
        <v>204</v>
      </c>
      <c r="C27" s="2"/>
      <c r="D27" s="2"/>
      <c r="E27" s="58">
        <f>+E23/(E25-E24)</f>
        <v>1666.6666666666667</v>
      </c>
      <c r="F27" s="12"/>
      <c r="G27" s="12"/>
      <c r="O27" s="10">
        <v>12</v>
      </c>
      <c r="P27" s="2" t="s">
        <v>83</v>
      </c>
      <c r="Q27" s="2">
        <f t="shared" si="3"/>
        <v>200</v>
      </c>
      <c r="R27" s="56">
        <f t="shared" si="0"/>
        <v>51.335018589077805</v>
      </c>
      <c r="S27" s="56">
        <f t="shared" si="2"/>
        <v>276.8467741448892</v>
      </c>
      <c r="T27" s="56">
        <f t="shared" si="1"/>
        <v>71.059671485270556</v>
      </c>
    </row>
    <row r="28" spans="2:20" x14ac:dyDescent="0.25">
      <c r="F28" s="12"/>
      <c r="O28" s="10">
        <v>13</v>
      </c>
      <c r="P28" s="2" t="s">
        <v>84</v>
      </c>
      <c r="Q28" s="2">
        <f t="shared" si="3"/>
        <v>200</v>
      </c>
      <c r="R28" s="56">
        <f t="shared" si="0"/>
        <v>45.834838025962313</v>
      </c>
      <c r="S28" s="56">
        <f t="shared" si="2"/>
        <v>285.15217736923586</v>
      </c>
      <c r="T28" s="56">
        <f t="shared" si="1"/>
        <v>65.349519312347013</v>
      </c>
    </row>
    <row r="29" spans="2:20" x14ac:dyDescent="0.25">
      <c r="F29" s="12"/>
      <c r="O29" s="10">
        <v>14</v>
      </c>
      <c r="P29" s="2" t="s">
        <v>85</v>
      </c>
      <c r="Q29" s="2">
        <f t="shared" si="3"/>
        <v>200</v>
      </c>
      <c r="R29" s="56">
        <f t="shared" si="0"/>
        <v>40.923962523180634</v>
      </c>
      <c r="S29" s="56">
        <f t="shared" si="2"/>
        <v>293.70674269031292</v>
      </c>
      <c r="T29" s="56">
        <f t="shared" si="1"/>
        <v>60.098218653319122</v>
      </c>
    </row>
    <row r="30" spans="2:20" x14ac:dyDescent="0.25">
      <c r="O30" s="10">
        <v>15</v>
      </c>
      <c r="P30" s="2" t="s">
        <v>86</v>
      </c>
      <c r="Q30" s="2">
        <f t="shared" si="3"/>
        <v>200</v>
      </c>
      <c r="R30" s="56">
        <f t="shared" si="0"/>
        <v>36.539252252839859</v>
      </c>
      <c r="S30" s="56">
        <f t="shared" si="2"/>
        <v>302.5179449710223</v>
      </c>
      <c r="T30" s="56">
        <f t="shared" si="1"/>
        <v>55.268897511534554</v>
      </c>
    </row>
    <row r="31" spans="2:20" x14ac:dyDescent="0.25">
      <c r="O31" s="10">
        <v>16</v>
      </c>
      <c r="P31" s="2" t="s">
        <v>87</v>
      </c>
      <c r="Q31" s="2">
        <f t="shared" si="3"/>
        <v>200</v>
      </c>
      <c r="R31" s="56">
        <f t="shared" si="0"/>
        <v>32.624332368607007</v>
      </c>
      <c r="S31" s="56">
        <f t="shared" si="2"/>
        <v>311.59348332015298</v>
      </c>
      <c r="T31" s="56">
        <f t="shared" si="1"/>
        <v>50.827646818643373</v>
      </c>
    </row>
    <row r="32" spans="2:20" x14ac:dyDescent="0.25">
      <c r="O32" s="10">
        <v>17</v>
      </c>
      <c r="P32" s="2" t="s">
        <v>88</v>
      </c>
      <c r="Q32" s="2">
        <f t="shared" si="3"/>
        <v>200</v>
      </c>
      <c r="R32" s="56">
        <f t="shared" si="0"/>
        <v>29.128868186256256</v>
      </c>
      <c r="S32" s="56">
        <f t="shared" si="2"/>
        <v>320.94128781975758</v>
      </c>
      <c r="T32" s="56">
        <f t="shared" si="1"/>
        <v>46.743282342145243</v>
      </c>
    </row>
    <row r="33" spans="15:20" x14ac:dyDescent="0.25">
      <c r="O33" s="10">
        <v>18</v>
      </c>
      <c r="P33" s="2" t="s">
        <v>89</v>
      </c>
      <c r="Q33" s="2">
        <f t="shared" si="3"/>
        <v>200</v>
      </c>
      <c r="R33" s="56">
        <f t="shared" si="0"/>
        <v>26.007918023443082</v>
      </c>
      <c r="S33" s="56">
        <f t="shared" si="2"/>
        <v>330.5695264543503</v>
      </c>
      <c r="T33" s="56">
        <f t="shared" si="1"/>
        <v>42.987125725365708</v>
      </c>
    </row>
    <row r="34" spans="15:20" x14ac:dyDescent="0.25">
      <c r="O34" s="10">
        <v>19</v>
      </c>
      <c r="P34" s="2" t="s">
        <v>90</v>
      </c>
      <c r="Q34" s="2">
        <f t="shared" si="3"/>
        <v>200</v>
      </c>
      <c r="R34" s="56">
        <f t="shared" si="0"/>
        <v>23.221355378074179</v>
      </c>
      <c r="S34" s="56">
        <f t="shared" si="2"/>
        <v>340.48661224798082</v>
      </c>
      <c r="T34" s="56">
        <f t="shared" si="1"/>
        <v>39.532803122434537</v>
      </c>
    </row>
    <row r="35" spans="15:20" x14ac:dyDescent="0.25">
      <c r="O35" s="10">
        <v>20</v>
      </c>
      <c r="P35" s="2" t="s">
        <v>91</v>
      </c>
      <c r="Q35" s="2">
        <f t="shared" si="3"/>
        <v>200</v>
      </c>
      <c r="R35" s="56">
        <f t="shared" si="0"/>
        <v>20.733353016137659</v>
      </c>
      <c r="S35" s="56">
        <f t="shared" si="2"/>
        <v>350.70121061542022</v>
      </c>
      <c r="T35" s="56">
        <f t="shared" si="1"/>
        <v>36.356060014381761</v>
      </c>
    </row>
    <row r="36" spans="15:20" x14ac:dyDescent="0.25">
      <c r="O36" s="10">
        <v>21</v>
      </c>
      <c r="P36" s="2" t="s">
        <v>92</v>
      </c>
      <c r="Q36" s="2">
        <f t="shared" si="3"/>
        <v>200</v>
      </c>
      <c r="R36" s="56">
        <f t="shared" si="0"/>
        <v>18.511922335837195</v>
      </c>
      <c r="S36" s="56">
        <f t="shared" si="2"/>
        <v>361.22224693388284</v>
      </c>
      <c r="T36" s="56">
        <f t="shared" si="1"/>
        <v>33.434590906083223</v>
      </c>
    </row>
    <row r="37" spans="15:20" x14ac:dyDescent="0.25">
      <c r="O37" s="10">
        <v>22</v>
      </c>
      <c r="P37" s="2" t="s">
        <v>93</v>
      </c>
      <c r="Q37" s="2">
        <f t="shared" si="3"/>
        <v>200</v>
      </c>
      <c r="R37" s="56">
        <f t="shared" si="0"/>
        <v>16.52850208556892</v>
      </c>
      <c r="S37" s="56">
        <f t="shared" si="2"/>
        <v>372.05891434189931</v>
      </c>
      <c r="T37" s="56">
        <f t="shared" si="1"/>
        <v>30.747882708272957</v>
      </c>
    </row>
    <row r="38" spans="15:20" x14ac:dyDescent="0.25">
      <c r="O38" s="10">
        <v>23</v>
      </c>
      <c r="P38" s="2" t="s">
        <v>94</v>
      </c>
      <c r="Q38" s="2">
        <f t="shared" si="3"/>
        <v>200</v>
      </c>
      <c r="R38" s="56">
        <f t="shared" si="0"/>
        <v>14.757591147829396</v>
      </c>
      <c r="S38" s="56">
        <f t="shared" si="2"/>
        <v>383.2206817721563</v>
      </c>
      <c r="T38" s="56">
        <f t="shared" si="1"/>
        <v>28.277070704929599</v>
      </c>
    </row>
    <row r="39" spans="15:20" x14ac:dyDescent="0.25">
      <c r="O39" s="10">
        <v>24</v>
      </c>
      <c r="P39" s="2" t="s">
        <v>95</v>
      </c>
      <c r="Q39" s="2">
        <f t="shared" si="3"/>
        <v>200</v>
      </c>
      <c r="R39" s="56">
        <f t="shared" si="0"/>
        <v>13.176420667704816</v>
      </c>
      <c r="S39" s="56">
        <f t="shared" si="2"/>
        <v>394.71730222532102</v>
      </c>
      <c r="T39" s="56">
        <f t="shared" si="1"/>
        <v>26.004806094712041</v>
      </c>
    </row>
    <row r="40" spans="15:20" x14ac:dyDescent="0.25">
      <c r="O40" s="10">
        <v>25</v>
      </c>
      <c r="P40" s="2" t="s">
        <v>96</v>
      </c>
      <c r="Q40" s="2">
        <f t="shared" si="3"/>
        <v>200</v>
      </c>
      <c r="R40" s="56">
        <f t="shared" si="0"/>
        <v>11.764661310450727</v>
      </c>
      <c r="S40" s="56">
        <f t="shared" si="2"/>
        <v>406.55882129208067</v>
      </c>
      <c r="T40" s="56">
        <f t="shared" si="1"/>
        <v>23.915134176386964</v>
      </c>
    </row>
    <row r="41" spans="15:20" x14ac:dyDescent="0.25">
      <c r="O41" s="10">
        <v>26</v>
      </c>
      <c r="P41" s="2" t="s">
        <v>97</v>
      </c>
      <c r="Q41" s="2">
        <f t="shared" si="3"/>
        <v>200</v>
      </c>
      <c r="R41" s="56">
        <f t="shared" si="0"/>
        <v>10.504161884331007</v>
      </c>
      <c r="S41" s="56">
        <f t="shared" si="2"/>
        <v>418.7555859308431</v>
      </c>
      <c r="T41" s="56">
        <f t="shared" si="1"/>
        <v>21.9933823229273</v>
      </c>
    </row>
    <row r="42" spans="15:20" x14ac:dyDescent="0.25">
      <c r="O42" s="10">
        <v>27</v>
      </c>
      <c r="P42" s="2" t="s">
        <v>98</v>
      </c>
      <c r="Q42" s="2">
        <f t="shared" si="3"/>
        <v>200</v>
      </c>
      <c r="R42" s="56">
        <f t="shared" si="0"/>
        <v>9.378715968152683</v>
      </c>
      <c r="S42" s="56">
        <f t="shared" si="2"/>
        <v>431.31825350876841</v>
      </c>
      <c r="T42" s="56">
        <f t="shared" si="1"/>
        <v>20.226056957692066</v>
      </c>
    </row>
    <row r="43" spans="15:20" x14ac:dyDescent="0.25">
      <c r="O43" s="10">
        <v>28</v>
      </c>
      <c r="P43" s="2" t="s">
        <v>99</v>
      </c>
      <c r="Q43" s="2">
        <f t="shared" si="3"/>
        <v>200</v>
      </c>
      <c r="R43" s="56">
        <f t="shared" si="0"/>
        <v>8.3738535429934675</v>
      </c>
      <c r="S43" s="56">
        <f t="shared" si="2"/>
        <v>444.25780111403145</v>
      </c>
      <c r="T43" s="56">
        <f t="shared" si="1"/>
        <v>18.600748809306097</v>
      </c>
    </row>
    <row r="44" spans="15:20" x14ac:dyDescent="0.25">
      <c r="O44" s="10">
        <v>29</v>
      </c>
      <c r="P44" s="2" t="s">
        <v>100</v>
      </c>
      <c r="Q44" s="2">
        <f t="shared" si="3"/>
        <v>200</v>
      </c>
      <c r="R44" s="56">
        <f t="shared" si="0"/>
        <v>7.4766549491013086</v>
      </c>
      <c r="S44" s="56">
        <f t="shared" si="2"/>
        <v>457.58553514745239</v>
      </c>
      <c r="T44" s="56">
        <f t="shared" si="1"/>
        <v>17.106045779986854</v>
      </c>
    </row>
    <row r="45" spans="15:20" x14ac:dyDescent="0.25">
      <c r="O45" s="10">
        <v>30</v>
      </c>
      <c r="P45" s="2" t="s">
        <v>101</v>
      </c>
      <c r="Q45" s="2">
        <f t="shared" si="3"/>
        <v>200</v>
      </c>
      <c r="R45" s="56">
        <f t="shared" si="0"/>
        <v>6.6755847759833111</v>
      </c>
      <c r="S45" s="56">
        <f t="shared" si="2"/>
        <v>471.31310120187595</v>
      </c>
      <c r="T45" s="56">
        <f t="shared" si="1"/>
        <v>15.731452815523623</v>
      </c>
    </row>
    <row r="46" spans="15:20" x14ac:dyDescent="0.25">
      <c r="O46" s="10">
        <v>31</v>
      </c>
      <c r="P46" s="2" t="s">
        <v>102</v>
      </c>
      <c r="Q46" s="2">
        <f t="shared" si="3"/>
        <v>200</v>
      </c>
      <c r="R46" s="56">
        <f t="shared" si="0"/>
        <v>5.9603435499850992</v>
      </c>
      <c r="S46" s="56">
        <f t="shared" si="2"/>
        <v>485.45249423793223</v>
      </c>
      <c r="T46" s="56">
        <f t="shared" si="1"/>
        <v>14.46731821427619</v>
      </c>
    </row>
    <row r="47" spans="15:20" x14ac:dyDescent="0.25">
      <c r="O47" s="10">
        <v>32</v>
      </c>
      <c r="P47" s="2" t="s">
        <v>103</v>
      </c>
      <c r="Q47" s="2">
        <f t="shared" si="3"/>
        <v>200</v>
      </c>
      <c r="R47" s="56">
        <f t="shared" si="0"/>
        <v>5.3217353124866946</v>
      </c>
      <c r="S47" s="56">
        <f t="shared" si="2"/>
        <v>500.01606906507021</v>
      </c>
      <c r="T47" s="56">
        <f t="shared" si="1"/>
        <v>13.304765857771852</v>
      </c>
    </row>
    <row r="48" spans="15:20" x14ac:dyDescent="0.25">
      <c r="O48" s="10">
        <v>33</v>
      </c>
      <c r="P48" s="2" t="s">
        <v>104</v>
      </c>
      <c r="Q48" s="2">
        <f t="shared" si="3"/>
        <v>200</v>
      </c>
      <c r="R48" s="56">
        <f t="shared" ref="R48:R79" si="4">+Q48/(1+$C$25)^O48</f>
        <v>4.7515493861488336</v>
      </c>
      <c r="S48" s="56">
        <f t="shared" si="2"/>
        <v>515.01655113702236</v>
      </c>
      <c r="T48" s="56">
        <f t="shared" ref="T48:T79" si="5">+S48/(1+$C$25)^O48</f>
        <v>12.23563288705804</v>
      </c>
    </row>
    <row r="49" spans="15:20" x14ac:dyDescent="0.25">
      <c r="O49" s="10">
        <v>34</v>
      </c>
      <c r="P49" s="2" t="s">
        <v>105</v>
      </c>
      <c r="Q49" s="2">
        <f t="shared" si="3"/>
        <v>200</v>
      </c>
      <c r="R49" s="56">
        <f t="shared" si="4"/>
        <v>4.2424548090614582</v>
      </c>
      <c r="S49" s="56">
        <f t="shared" ref="S49:S80" si="6">+S48*(1+$D$24)</f>
        <v>530.46704767113306</v>
      </c>
      <c r="T49" s="56">
        <f t="shared" si="5"/>
        <v>11.252412387205162</v>
      </c>
    </row>
    <row r="50" spans="15:20" x14ac:dyDescent="0.25">
      <c r="O50" s="10">
        <v>35</v>
      </c>
      <c r="P50" s="2" t="s">
        <v>106</v>
      </c>
      <c r="Q50" s="2">
        <f t="shared" si="3"/>
        <v>200</v>
      </c>
      <c r="R50" s="56">
        <f t="shared" si="4"/>
        <v>3.7879060795191593</v>
      </c>
      <c r="S50" s="56">
        <f t="shared" si="6"/>
        <v>546.38105910126706</v>
      </c>
      <c r="T50" s="56">
        <f t="shared" si="5"/>
        <v>10.348200677519033</v>
      </c>
    </row>
    <row r="51" spans="15:20" x14ac:dyDescent="0.25">
      <c r="O51" s="10">
        <v>36</v>
      </c>
      <c r="P51" s="2" t="s">
        <v>107</v>
      </c>
      <c r="Q51" s="2">
        <f t="shared" si="3"/>
        <v>200</v>
      </c>
      <c r="R51" s="56">
        <f t="shared" si="4"/>
        <v>3.382058999570678</v>
      </c>
      <c r="S51" s="56">
        <f t="shared" si="6"/>
        <v>562.77249087430505</v>
      </c>
      <c r="T51" s="56">
        <f t="shared" si="5"/>
        <v>9.5166488373612541</v>
      </c>
    </row>
    <row r="52" spans="15:20" x14ac:dyDescent="0.25">
      <c r="O52" s="10">
        <v>37</v>
      </c>
      <c r="P52" s="2" t="s">
        <v>108</v>
      </c>
      <c r="Q52" s="2">
        <f t="shared" si="3"/>
        <v>200</v>
      </c>
      <c r="R52" s="56">
        <f t="shared" si="4"/>
        <v>3.0196955353309622</v>
      </c>
      <c r="S52" s="56">
        <f t="shared" si="6"/>
        <v>579.65566560053423</v>
      </c>
      <c r="T52" s="56">
        <f t="shared" si="5"/>
        <v>8.7519181272161521</v>
      </c>
    </row>
    <row r="53" spans="15:20" x14ac:dyDescent="0.25">
      <c r="O53" s="10">
        <v>38</v>
      </c>
      <c r="P53" s="2" t="s">
        <v>113</v>
      </c>
      <c r="Q53" s="2">
        <f t="shared" si="3"/>
        <v>200</v>
      </c>
      <c r="R53" s="56">
        <f t="shared" si="4"/>
        <v>2.6961567279740732</v>
      </c>
      <c r="S53" s="56">
        <f t="shared" si="6"/>
        <v>597.04533556855029</v>
      </c>
      <c r="T53" s="56">
        <f t="shared" si="5"/>
        <v>8.0486389919934247</v>
      </c>
    </row>
    <row r="54" spans="15:20" x14ac:dyDescent="0.25">
      <c r="O54" s="10">
        <v>39</v>
      </c>
      <c r="P54" s="2" t="s">
        <v>114</v>
      </c>
      <c r="Q54" s="2">
        <f t="shared" si="3"/>
        <v>200</v>
      </c>
      <c r="R54" s="56">
        <f t="shared" si="4"/>
        <v>2.4072827928339939</v>
      </c>
      <c r="S54" s="56">
        <f t="shared" si="6"/>
        <v>614.95669563560682</v>
      </c>
      <c r="T54" s="56">
        <f t="shared" si="5"/>
        <v>7.4018733587082401</v>
      </c>
    </row>
    <row r="55" spans="15:20" x14ac:dyDescent="0.25">
      <c r="O55" s="10">
        <v>40</v>
      </c>
      <c r="P55" s="2" t="s">
        <v>115</v>
      </c>
      <c r="Q55" s="2">
        <f t="shared" si="3"/>
        <v>200</v>
      </c>
      <c r="R55" s="56">
        <f t="shared" si="4"/>
        <v>2.1493596364589229</v>
      </c>
      <c r="S55" s="56">
        <f t="shared" si="6"/>
        <v>633.40539650467508</v>
      </c>
      <c r="T55" s="56">
        <f t="shared" si="5"/>
        <v>6.8070799638120407</v>
      </c>
    </row>
    <row r="56" spans="15:20" x14ac:dyDescent="0.25">
      <c r="O56" s="10">
        <v>41</v>
      </c>
      <c r="P56" s="2" t="s">
        <v>116</v>
      </c>
      <c r="Q56" s="2">
        <f t="shared" si="3"/>
        <v>200</v>
      </c>
      <c r="R56" s="56">
        <f t="shared" si="4"/>
        <v>1.9190711039811812</v>
      </c>
      <c r="S56" s="56">
        <f t="shared" si="6"/>
        <v>652.40755839981534</v>
      </c>
      <c r="T56" s="56">
        <f t="shared" si="5"/>
        <v>6.2600824667200028</v>
      </c>
    </row>
    <row r="57" spans="15:20" x14ac:dyDescent="0.25">
      <c r="O57" s="10">
        <v>42</v>
      </c>
      <c r="P57" s="2" t="s">
        <v>117</v>
      </c>
      <c r="Q57" s="2">
        <f t="shared" si="3"/>
        <v>200</v>
      </c>
      <c r="R57" s="56">
        <f t="shared" si="4"/>
        <v>1.71345634284034</v>
      </c>
      <c r="S57" s="56">
        <f t="shared" si="6"/>
        <v>671.97978515180978</v>
      </c>
      <c r="T57" s="56">
        <f t="shared" si="5"/>
        <v>5.7570401256442869</v>
      </c>
    </row>
    <row r="58" spans="15:20" x14ac:dyDescent="0.25">
      <c r="O58" s="10">
        <v>43</v>
      </c>
      <c r="P58" s="2" t="s">
        <v>118</v>
      </c>
      <c r="Q58" s="2">
        <f t="shared" si="3"/>
        <v>200</v>
      </c>
      <c r="R58" s="56">
        <f t="shared" si="4"/>
        <v>1.5298717346788748</v>
      </c>
      <c r="S58" s="56">
        <f t="shared" si="6"/>
        <v>692.13917870636408</v>
      </c>
      <c r="T58" s="56">
        <f t="shared" si="5"/>
        <v>5.2944208298335846</v>
      </c>
    </row>
    <row r="59" spans="15:20" x14ac:dyDescent="0.25">
      <c r="O59" s="10">
        <v>44</v>
      </c>
      <c r="P59" s="2" t="s">
        <v>119</v>
      </c>
      <c r="Q59" s="2">
        <f t="shared" si="3"/>
        <v>200</v>
      </c>
      <c r="R59" s="56">
        <f t="shared" si="4"/>
        <v>1.3659569059632812</v>
      </c>
      <c r="S59" s="56">
        <f t="shared" si="6"/>
        <v>712.90335406755503</v>
      </c>
      <c r="T59" s="56">
        <f t="shared" si="5"/>
        <v>4.8689762988648155</v>
      </c>
    </row>
    <row r="60" spans="15:20" x14ac:dyDescent="0.25">
      <c r="O60" s="10">
        <v>45</v>
      </c>
      <c r="P60" s="2" t="s">
        <v>120</v>
      </c>
      <c r="Q60" s="2">
        <f t="shared" si="3"/>
        <v>200</v>
      </c>
      <c r="R60" s="56">
        <f t="shared" si="4"/>
        <v>1.2196043803243579</v>
      </c>
      <c r="S60" s="56">
        <f t="shared" si="6"/>
        <v>734.29045468958168</v>
      </c>
      <c r="T60" s="56">
        <f t="shared" si="5"/>
        <v>4.4777192748488917</v>
      </c>
    </row>
    <row r="61" spans="15:20" x14ac:dyDescent="0.25">
      <c r="O61" s="10">
        <v>46</v>
      </c>
      <c r="P61" s="2" t="s">
        <v>121</v>
      </c>
      <c r="Q61" s="2">
        <f t="shared" si="3"/>
        <v>200</v>
      </c>
      <c r="R61" s="56">
        <f t="shared" si="4"/>
        <v>1.0889324824324624</v>
      </c>
      <c r="S61" s="56">
        <f t="shared" si="6"/>
        <v>756.31916833026912</v>
      </c>
      <c r="T61" s="56">
        <f t="shared" si="5"/>
        <v>4.1179025474056763</v>
      </c>
    </row>
    <row r="62" spans="15:20" x14ac:dyDescent="0.25">
      <c r="O62" s="10">
        <v>47</v>
      </c>
      <c r="P62" s="2" t="s">
        <v>122</v>
      </c>
      <c r="Q62" s="2">
        <f t="shared" si="3"/>
        <v>200</v>
      </c>
      <c r="R62" s="56">
        <f t="shared" si="4"/>
        <v>0.97226114502898442</v>
      </c>
      <c r="S62" s="56">
        <f t="shared" si="6"/>
        <v>779.00874338017718</v>
      </c>
      <c r="T62" s="56">
        <f t="shared" si="5"/>
        <v>3.7869996641320065</v>
      </c>
    </row>
    <row r="63" spans="15:20" x14ac:dyDescent="0.25">
      <c r="O63" s="10">
        <v>48</v>
      </c>
      <c r="P63" s="2" t="s">
        <v>123</v>
      </c>
      <c r="Q63" s="2">
        <f t="shared" si="3"/>
        <v>200</v>
      </c>
      <c r="R63" s="56">
        <f t="shared" si="4"/>
        <v>0.86809030806159304</v>
      </c>
      <c r="S63" s="56">
        <f t="shared" si="6"/>
        <v>802.3790056815825</v>
      </c>
      <c r="T63" s="56">
        <f t="shared" si="5"/>
        <v>3.4826871911213981</v>
      </c>
    </row>
    <row r="64" spans="15:20" x14ac:dyDescent="0.25">
      <c r="O64" s="10">
        <v>49</v>
      </c>
      <c r="P64" s="2" t="s">
        <v>124</v>
      </c>
      <c r="Q64" s="2">
        <f t="shared" si="3"/>
        <v>200</v>
      </c>
      <c r="R64" s="56">
        <f t="shared" si="4"/>
        <v>0.77508063219785084</v>
      </c>
      <c r="S64" s="56">
        <f t="shared" si="6"/>
        <v>826.45037585202999</v>
      </c>
      <c r="T64" s="56">
        <f t="shared" si="5"/>
        <v>3.2028283989777142</v>
      </c>
    </row>
    <row r="65" spans="15:20" x14ac:dyDescent="0.25">
      <c r="O65" s="10">
        <v>50</v>
      </c>
      <c r="P65" s="2" t="s">
        <v>125</v>
      </c>
      <c r="Q65" s="2">
        <f t="shared" si="3"/>
        <v>200</v>
      </c>
      <c r="R65" s="56">
        <f t="shared" si="4"/>
        <v>0.69203627874808105</v>
      </c>
      <c r="S65" s="56">
        <f t="shared" si="6"/>
        <v>851.24388712759094</v>
      </c>
      <c r="T65" s="56">
        <f t="shared" si="5"/>
        <v>2.9454582597741479</v>
      </c>
    </row>
    <row r="66" spans="15:20" x14ac:dyDescent="0.25">
      <c r="O66" s="10">
        <v>51</v>
      </c>
      <c r="P66" s="2" t="s">
        <v>126</v>
      </c>
      <c r="Q66" s="2">
        <f t="shared" si="3"/>
        <v>200</v>
      </c>
      <c r="R66" s="56">
        <f t="shared" si="4"/>
        <v>0.61788953459650087</v>
      </c>
      <c r="S66" s="56">
        <f t="shared" si="6"/>
        <v>876.78120374141872</v>
      </c>
      <c r="T66" s="56">
        <f t="shared" si="5"/>
        <v>2.7087696496137252</v>
      </c>
    </row>
    <row r="67" spans="15:20" x14ac:dyDescent="0.25">
      <c r="O67" s="10">
        <v>52</v>
      </c>
      <c r="P67" s="2" t="s">
        <v>127</v>
      </c>
      <c r="Q67" s="2">
        <f t="shared" si="3"/>
        <v>200</v>
      </c>
      <c r="R67" s="56">
        <f t="shared" si="4"/>
        <v>0.55168708446116155</v>
      </c>
      <c r="S67" s="56">
        <f t="shared" si="6"/>
        <v>903.08463985366132</v>
      </c>
      <c r="T67" s="56">
        <f t="shared" si="5"/>
        <v>2.4911006599126222</v>
      </c>
    </row>
    <row r="68" spans="15:20" x14ac:dyDescent="0.25">
      <c r="O68" s="10">
        <v>53</v>
      </c>
      <c r="P68" s="2" t="s">
        <v>128</v>
      </c>
      <c r="Q68" s="2">
        <f t="shared" si="3"/>
        <v>200</v>
      </c>
      <c r="R68" s="56">
        <f t="shared" si="4"/>
        <v>0.49257775398317988</v>
      </c>
      <c r="S68" s="56">
        <f t="shared" si="6"/>
        <v>930.17717904927122</v>
      </c>
      <c r="T68" s="56">
        <f t="shared" si="5"/>
        <v>2.2909229283125008</v>
      </c>
    </row>
    <row r="69" spans="15:20" x14ac:dyDescent="0.25">
      <c r="O69" s="10">
        <v>54</v>
      </c>
      <c r="P69" s="2" t="s">
        <v>129</v>
      </c>
      <c r="Q69" s="2">
        <f t="shared" si="3"/>
        <v>200</v>
      </c>
      <c r="R69" s="56">
        <f t="shared" si="4"/>
        <v>0.43980156605641058</v>
      </c>
      <c r="S69" s="56">
        <f t="shared" si="6"/>
        <v>958.08249442074941</v>
      </c>
      <c r="T69" s="56">
        <f t="shared" si="5"/>
        <v>2.1068309072873892</v>
      </c>
    </row>
    <row r="70" spans="15:20" x14ac:dyDescent="0.25">
      <c r="O70" s="10">
        <v>55</v>
      </c>
      <c r="P70" s="2" t="s">
        <v>130</v>
      </c>
      <c r="Q70" s="2">
        <f t="shared" si="3"/>
        <v>200</v>
      </c>
      <c r="R70" s="56">
        <f t="shared" si="4"/>
        <v>0.39267996969322372</v>
      </c>
      <c r="S70" s="56">
        <f t="shared" si="6"/>
        <v>986.82496925337193</v>
      </c>
      <c r="T70" s="56">
        <f t="shared" si="5"/>
        <v>1.9375319950946526</v>
      </c>
    </row>
    <row r="71" spans="15:20" x14ac:dyDescent="0.25">
      <c r="O71" s="10">
        <v>56</v>
      </c>
      <c r="P71" s="2" t="s">
        <v>131</v>
      </c>
      <c r="Q71" s="2">
        <f t="shared" si="3"/>
        <v>200</v>
      </c>
      <c r="R71" s="56">
        <f t="shared" si="4"/>
        <v>0.35060711579752118</v>
      </c>
      <c r="S71" s="56">
        <f t="shared" si="6"/>
        <v>1016.4297183309732</v>
      </c>
      <c r="T71" s="56">
        <f t="shared" si="5"/>
        <v>1.7818374597745468</v>
      </c>
    </row>
    <row r="72" spans="15:20" x14ac:dyDescent="0.25">
      <c r="O72" s="10">
        <v>57</v>
      </c>
      <c r="P72" s="2" t="s">
        <v>132</v>
      </c>
      <c r="Q72" s="2">
        <f t="shared" si="3"/>
        <v>200</v>
      </c>
      <c r="R72" s="56">
        <f t="shared" si="4"/>
        <v>0.31304206767635812</v>
      </c>
      <c r="S72" s="56">
        <f t="shared" si="6"/>
        <v>1046.9226098809024</v>
      </c>
      <c r="T72" s="56">
        <f t="shared" si="5"/>
        <v>1.6386540924712347</v>
      </c>
    </row>
    <row r="73" spans="15:20" x14ac:dyDescent="0.25">
      <c r="O73" s="10">
        <v>58</v>
      </c>
      <c r="P73" s="2" t="s">
        <v>133</v>
      </c>
      <c r="Q73" s="2">
        <f t="shared" si="3"/>
        <v>200</v>
      </c>
      <c r="R73" s="56">
        <f t="shared" si="4"/>
        <v>0.27950184613960549</v>
      </c>
      <c r="S73" s="56">
        <f t="shared" si="6"/>
        <v>1078.3302881773295</v>
      </c>
      <c r="T73" s="56">
        <f t="shared" si="5"/>
        <v>1.5069765314690822</v>
      </c>
    </row>
    <row r="74" spans="15:20" x14ac:dyDescent="0.25">
      <c r="O74" s="10">
        <v>59</v>
      </c>
      <c r="P74" s="2" t="s">
        <v>134</v>
      </c>
      <c r="Q74" s="2">
        <f t="shared" si="3"/>
        <v>200</v>
      </c>
      <c r="R74" s="56">
        <f t="shared" si="4"/>
        <v>0.24955521976750483</v>
      </c>
      <c r="S74" s="56">
        <f t="shared" si="6"/>
        <v>1110.6801968226493</v>
      </c>
      <c r="T74" s="56">
        <f t="shared" si="5"/>
        <v>1.3858802030474588</v>
      </c>
    </row>
    <row r="75" spans="15:20" x14ac:dyDescent="0.25">
      <c r="O75" s="10">
        <v>60</v>
      </c>
      <c r="P75" s="2" t="s">
        <v>135</v>
      </c>
      <c r="Q75" s="2">
        <f t="shared" si="3"/>
        <v>200</v>
      </c>
      <c r="R75" s="56">
        <f t="shared" si="4"/>
        <v>0.22281716050670075</v>
      </c>
      <c r="S75" s="56">
        <f t="shared" si="6"/>
        <v>1144.0006027273289</v>
      </c>
      <c r="T75" s="56">
        <f t="shared" si="5"/>
        <v>1.2745148295882882</v>
      </c>
    </row>
    <row r="76" spans="15:20" x14ac:dyDescent="0.25">
      <c r="O76" s="10">
        <v>61</v>
      </c>
      <c r="P76" s="2" t="s">
        <v>136</v>
      </c>
      <c r="Q76" s="2">
        <f t="shared" si="3"/>
        <v>200</v>
      </c>
      <c r="R76" s="56">
        <f t="shared" si="4"/>
        <v>0.19894389330955423</v>
      </c>
      <c r="S76" s="56">
        <f t="shared" si="6"/>
        <v>1178.3206208091487</v>
      </c>
      <c r="T76" s="56">
        <f t="shared" si="5"/>
        <v>1.1720984593535149</v>
      </c>
    </row>
    <row r="77" spans="15:20" x14ac:dyDescent="0.25">
      <c r="O77" s="10">
        <v>62</v>
      </c>
      <c r="P77" s="2" t="s">
        <v>137</v>
      </c>
      <c r="Q77" s="2">
        <f t="shared" si="3"/>
        <v>200</v>
      </c>
      <c r="R77" s="56">
        <f t="shared" si="4"/>
        <v>0.17762847616924482</v>
      </c>
      <c r="S77" s="56">
        <f t="shared" si="6"/>
        <v>1213.6702394334231</v>
      </c>
      <c r="T77" s="56">
        <f t="shared" si="5"/>
        <v>1.0779119760126075</v>
      </c>
    </row>
    <row r="78" spans="15:20" x14ac:dyDescent="0.25">
      <c r="O78" s="10">
        <v>63</v>
      </c>
      <c r="P78" s="2" t="s">
        <v>138</v>
      </c>
      <c r="Q78" s="2">
        <f t="shared" si="3"/>
        <v>200</v>
      </c>
      <c r="R78" s="56">
        <f t="shared" si="4"/>
        <v>0.15859685372254004</v>
      </c>
      <c r="S78" s="56">
        <f t="shared" si="6"/>
        <v>1250.0803466164259</v>
      </c>
      <c r="T78" s="56">
        <f t="shared" si="5"/>
        <v>0.99129404936873722</v>
      </c>
    </row>
    <row r="79" spans="15:20" x14ac:dyDescent="0.25">
      <c r="O79" s="10">
        <v>64</v>
      </c>
      <c r="P79" s="2" t="s">
        <v>139</v>
      </c>
      <c r="Q79" s="2">
        <f t="shared" si="3"/>
        <v>200</v>
      </c>
      <c r="R79" s="56">
        <f t="shared" si="4"/>
        <v>0.1416043336808393</v>
      </c>
      <c r="S79" s="56">
        <f t="shared" si="6"/>
        <v>1287.5827570149188</v>
      </c>
      <c r="T79" s="56">
        <f t="shared" si="5"/>
        <v>0.91163649183017792</v>
      </c>
    </row>
    <row r="80" spans="15:20" x14ac:dyDescent="0.25">
      <c r="O80" s="10">
        <v>65</v>
      </c>
      <c r="P80" s="2" t="s">
        <v>140</v>
      </c>
      <c r="Q80" s="2">
        <f t="shared" si="3"/>
        <v>200</v>
      </c>
      <c r="R80" s="56">
        <f t="shared" ref="R80:R111" si="7">+Q80/(1+$C$25)^O80</f>
        <v>0.12643244078646365</v>
      </c>
      <c r="S80" s="56">
        <f t="shared" si="6"/>
        <v>1326.2102397253664</v>
      </c>
      <c r="T80" s="56">
        <f t="shared" ref="T80:T111" si="8">+S80/(1+$C$25)^O80</f>
        <v>0.83837998802239566</v>
      </c>
    </row>
    <row r="81" spans="15:20" x14ac:dyDescent="0.25">
      <c r="O81" s="10">
        <v>66</v>
      </c>
      <c r="P81" s="2" t="s">
        <v>141</v>
      </c>
      <c r="Q81" s="2">
        <f t="shared" si="3"/>
        <v>200</v>
      </c>
      <c r="R81" s="56">
        <f t="shared" si="7"/>
        <v>0.11288610784505682</v>
      </c>
      <c r="S81" s="56">
        <f t="shared" ref="S81:S112" si="9">+S80*(1+$D$24)</f>
        <v>1365.9965469171275</v>
      </c>
      <c r="T81" s="56">
        <f t="shared" si="8"/>
        <v>0.77101016755631036</v>
      </c>
    </row>
    <row r="82" spans="15:20" x14ac:dyDescent="0.25">
      <c r="O82" s="10">
        <v>67</v>
      </c>
      <c r="P82" s="2" t="s">
        <v>142</v>
      </c>
      <c r="Q82" s="2">
        <f t="shared" ref="Q82:Q139" si="10">+Q81</f>
        <v>200</v>
      </c>
      <c r="R82" s="56">
        <f t="shared" si="7"/>
        <v>0.10079116771880071</v>
      </c>
      <c r="S82" s="56">
        <f t="shared" si="9"/>
        <v>1406.9764433246414</v>
      </c>
      <c r="T82" s="56">
        <f t="shared" si="8"/>
        <v>0.70905399337767827</v>
      </c>
    </row>
    <row r="83" spans="15:20" x14ac:dyDescent="0.25">
      <c r="O83" s="10">
        <v>68</v>
      </c>
      <c r="P83" s="2" t="s">
        <v>143</v>
      </c>
      <c r="Q83" s="2">
        <f t="shared" si="10"/>
        <v>200</v>
      </c>
      <c r="R83" s="56">
        <f t="shared" si="7"/>
        <v>8.9992114034643508E-2</v>
      </c>
      <c r="S83" s="56">
        <f t="shared" si="9"/>
        <v>1449.1857366243808</v>
      </c>
      <c r="T83" s="56">
        <f t="shared" si="8"/>
        <v>0.65207644033840062</v>
      </c>
    </row>
    <row r="84" spans="15:20" x14ac:dyDescent="0.25">
      <c r="O84" s="10">
        <v>69</v>
      </c>
      <c r="P84" s="2" t="s">
        <v>144</v>
      </c>
      <c r="Q84" s="2">
        <f t="shared" si="10"/>
        <v>200</v>
      </c>
      <c r="R84" s="56">
        <f t="shared" si="7"/>
        <v>8.035010181664598E-2</v>
      </c>
      <c r="S84" s="56">
        <f t="shared" si="9"/>
        <v>1492.6613087231121</v>
      </c>
      <c r="T84" s="56">
        <f t="shared" si="8"/>
        <v>0.59967744066835049</v>
      </c>
    </row>
    <row r="85" spans="15:20" x14ac:dyDescent="0.25">
      <c r="O85" s="10">
        <v>70</v>
      </c>
      <c r="P85" s="2" t="s">
        <v>145</v>
      </c>
      <c r="Q85" s="2">
        <f t="shared" si="10"/>
        <v>200</v>
      </c>
      <c r="R85" s="56">
        <f t="shared" si="7"/>
        <v>7.1741162336291048E-2</v>
      </c>
      <c r="S85" s="56">
        <f t="shared" si="9"/>
        <v>1537.4411479848056</v>
      </c>
      <c r="T85" s="56">
        <f t="shared" si="8"/>
        <v>0.55148907490035803</v>
      </c>
    </row>
    <row r="86" spans="15:20" x14ac:dyDescent="0.25">
      <c r="O86" s="10">
        <v>71</v>
      </c>
      <c r="P86" s="2" t="s">
        <v>146</v>
      </c>
      <c r="Q86" s="2">
        <f t="shared" si="10"/>
        <v>200</v>
      </c>
      <c r="R86" s="56">
        <f t="shared" si="7"/>
        <v>6.4054609228831286E-2</v>
      </c>
      <c r="S86" s="56">
        <f t="shared" si="9"/>
        <v>1583.5643824243498</v>
      </c>
      <c r="T86" s="56">
        <f t="shared" si="8"/>
        <v>0.50717298852443637</v>
      </c>
    </row>
    <row r="87" spans="15:20" x14ac:dyDescent="0.25">
      <c r="O87" s="10">
        <v>72</v>
      </c>
      <c r="P87" s="2" t="s">
        <v>147</v>
      </c>
      <c r="Q87" s="2">
        <f t="shared" si="10"/>
        <v>200</v>
      </c>
      <c r="R87" s="56">
        <f t="shared" si="7"/>
        <v>5.7191615382885072E-2</v>
      </c>
      <c r="S87" s="56">
        <f t="shared" si="9"/>
        <v>1631.0713138970802</v>
      </c>
      <c r="T87" s="56">
        <f t="shared" si="8"/>
        <v>0.46641801623229406</v>
      </c>
    </row>
    <row r="88" spans="15:20" x14ac:dyDescent="0.25">
      <c r="O88" s="10">
        <v>73</v>
      </c>
      <c r="P88" s="2" t="s">
        <v>148</v>
      </c>
      <c r="Q88" s="2">
        <f t="shared" si="10"/>
        <v>200</v>
      </c>
      <c r="R88" s="56">
        <f t="shared" si="7"/>
        <v>5.1063942306147386E-2</v>
      </c>
      <c r="S88" s="56">
        <f t="shared" si="9"/>
        <v>1680.0034533139926</v>
      </c>
      <c r="T88" s="56">
        <f t="shared" si="8"/>
        <v>0.42893799707077046</v>
      </c>
    </row>
    <row r="89" spans="15:20" x14ac:dyDescent="0.25">
      <c r="O89" s="10">
        <v>74</v>
      </c>
      <c r="P89" s="2" t="s">
        <v>149</v>
      </c>
      <c r="Q89" s="2">
        <f t="shared" si="10"/>
        <v>200</v>
      </c>
      <c r="R89" s="56">
        <f t="shared" si="7"/>
        <v>4.5592805630488731E-2</v>
      </c>
      <c r="S89" s="56">
        <f t="shared" si="9"/>
        <v>1730.4035569134126</v>
      </c>
      <c r="T89" s="56">
        <f t="shared" si="8"/>
        <v>0.39446976516329785</v>
      </c>
    </row>
    <row r="90" spans="15:20" x14ac:dyDescent="0.25">
      <c r="O90" s="10">
        <v>75</v>
      </c>
      <c r="P90" s="2" t="s">
        <v>150</v>
      </c>
      <c r="Q90" s="2">
        <f t="shared" si="10"/>
        <v>200</v>
      </c>
      <c r="R90" s="56">
        <f t="shared" si="7"/>
        <v>4.0707862170079219E-2</v>
      </c>
      <c r="S90" s="56">
        <f t="shared" si="9"/>
        <v>1782.315663620815</v>
      </c>
      <c r="T90" s="56">
        <f t="shared" si="8"/>
        <v>0.36277130189124707</v>
      </c>
    </row>
    <row r="91" spans="15:20" x14ac:dyDescent="0.25">
      <c r="O91" s="10">
        <v>76</v>
      </c>
      <c r="P91" s="2" t="s">
        <v>151</v>
      </c>
      <c r="Q91" s="2">
        <f t="shared" si="10"/>
        <v>200</v>
      </c>
      <c r="R91" s="56">
        <f t="shared" si="7"/>
        <v>3.634630550899931E-2</v>
      </c>
      <c r="S91" s="56">
        <f t="shared" si="9"/>
        <v>1835.7851335294395</v>
      </c>
      <c r="T91" s="56">
        <f t="shared" si="8"/>
        <v>0.33362003656070049</v>
      </c>
    </row>
    <row r="92" spans="15:20" x14ac:dyDescent="0.25">
      <c r="O92" s="10">
        <v>77</v>
      </c>
      <c r="P92" s="2" t="s">
        <v>152</v>
      </c>
      <c r="Q92" s="2">
        <f t="shared" si="10"/>
        <v>200</v>
      </c>
      <c r="R92" s="56">
        <f t="shared" si="7"/>
        <v>3.2452058490177946E-2</v>
      </c>
      <c r="S92" s="56">
        <f t="shared" si="9"/>
        <v>1890.8586875353226</v>
      </c>
      <c r="T92" s="56">
        <f t="shared" si="8"/>
        <v>0.30681128362278692</v>
      </c>
    </row>
    <row r="93" spans="15:20" x14ac:dyDescent="0.25">
      <c r="O93" s="10">
        <v>78</v>
      </c>
      <c r="P93" s="2" t="s">
        <v>153</v>
      </c>
      <c r="Q93" s="2">
        <f t="shared" si="10"/>
        <v>200</v>
      </c>
      <c r="R93" s="56">
        <f t="shared" si="7"/>
        <v>2.8975052223373165E-2</v>
      </c>
      <c r="S93" s="56">
        <f t="shared" si="9"/>
        <v>1947.5844481613824</v>
      </c>
      <c r="T93" s="56">
        <f t="shared" si="8"/>
        <v>0.28215680547452732</v>
      </c>
    </row>
    <row r="94" spans="15:20" x14ac:dyDescent="0.25">
      <c r="O94" s="10">
        <v>79</v>
      </c>
      <c r="P94" s="2" t="s">
        <v>154</v>
      </c>
      <c r="Q94" s="2">
        <f t="shared" si="10"/>
        <v>200</v>
      </c>
      <c r="R94" s="56">
        <f t="shared" si="7"/>
        <v>2.5870582342297468E-2</v>
      </c>
      <c r="S94" s="56">
        <f t="shared" si="9"/>
        <v>2006.011981606224</v>
      </c>
      <c r="T94" s="56">
        <f t="shared" si="8"/>
        <v>0.25948349074889565</v>
      </c>
    </row>
    <row r="95" spans="15:20" x14ac:dyDescent="0.25">
      <c r="O95" s="10">
        <v>80</v>
      </c>
      <c r="P95" s="2" t="s">
        <v>155</v>
      </c>
      <c r="Q95" s="2">
        <f t="shared" si="10"/>
        <v>200</v>
      </c>
      <c r="R95" s="56">
        <f t="shared" si="7"/>
        <v>2.3098734234194167E-2</v>
      </c>
      <c r="S95" s="56">
        <f t="shared" si="9"/>
        <v>2066.1923410544109</v>
      </c>
      <c r="T95" s="56">
        <f t="shared" si="8"/>
        <v>0.23863213881371656</v>
      </c>
    </row>
    <row r="96" spans="15:20" x14ac:dyDescent="0.25">
      <c r="O96" s="10">
        <v>81</v>
      </c>
      <c r="P96" s="2" t="s">
        <v>156</v>
      </c>
      <c r="Q96" s="2">
        <f t="shared" si="10"/>
        <v>200</v>
      </c>
      <c r="R96" s="56">
        <f t="shared" si="7"/>
        <v>2.0623869851959076E-2</v>
      </c>
      <c r="S96" s="56">
        <f t="shared" si="9"/>
        <v>2128.1781112860431</v>
      </c>
      <c r="T96" s="56">
        <f t="shared" si="8"/>
        <v>0.21945634194475716</v>
      </c>
    </row>
    <row r="97" spans="15:20" x14ac:dyDescent="0.25">
      <c r="O97" s="10">
        <v>82</v>
      </c>
      <c r="P97" s="2" t="s">
        <v>157</v>
      </c>
      <c r="Q97" s="2">
        <f t="shared" si="10"/>
        <v>200</v>
      </c>
      <c r="R97" s="56">
        <f t="shared" si="7"/>
        <v>1.8414169510677744E-2</v>
      </c>
      <c r="S97" s="56">
        <f t="shared" si="9"/>
        <v>2192.0234546246243</v>
      </c>
      <c r="T97" s="56">
        <f t="shared" si="8"/>
        <v>0.20182145732419626</v>
      </c>
    </row>
    <row r="98" spans="15:20" x14ac:dyDescent="0.25">
      <c r="O98" s="10">
        <v>83</v>
      </c>
      <c r="P98" s="2" t="s">
        <v>158</v>
      </c>
      <c r="Q98" s="2">
        <f t="shared" si="10"/>
        <v>200</v>
      </c>
      <c r="R98" s="56">
        <f t="shared" si="7"/>
        <v>1.6441222777390841E-2</v>
      </c>
      <c r="S98" s="56">
        <f t="shared" si="9"/>
        <v>2257.7841582633632</v>
      </c>
      <c r="T98" s="56">
        <f t="shared" si="8"/>
        <v>0.18560366164635905</v>
      </c>
    </row>
    <row r="99" spans="15:20" x14ac:dyDescent="0.25">
      <c r="O99" s="10">
        <v>84</v>
      </c>
      <c r="P99" s="2" t="s">
        <v>159</v>
      </c>
      <c r="Q99" s="2">
        <f t="shared" si="10"/>
        <v>200</v>
      </c>
      <c r="R99" s="56">
        <f t="shared" si="7"/>
        <v>1.4679663194098965E-2</v>
      </c>
      <c r="S99" s="56">
        <f t="shared" si="9"/>
        <v>2325.5176830112641</v>
      </c>
      <c r="T99" s="56">
        <f t="shared" si="8"/>
        <v>0.1706890816926338</v>
      </c>
    </row>
    <row r="100" spans="15:20" x14ac:dyDescent="0.25">
      <c r="O100" s="10">
        <v>85</v>
      </c>
      <c r="P100" s="2" t="s">
        <v>160</v>
      </c>
      <c r="Q100" s="2">
        <f t="shared" si="10"/>
        <v>200</v>
      </c>
      <c r="R100" s="56">
        <f t="shared" si="7"/>
        <v>1.3106842137588361E-2</v>
      </c>
      <c r="S100" s="56">
        <f t="shared" si="9"/>
        <v>2395.2832135016019</v>
      </c>
      <c r="T100" s="56">
        <f t="shared" si="8"/>
        <v>0.15697299477090429</v>
      </c>
    </row>
    <row r="101" spans="15:20" x14ac:dyDescent="0.25">
      <c r="O101" s="10">
        <v>86</v>
      </c>
      <c r="P101" s="2" t="s">
        <v>161</v>
      </c>
      <c r="Q101" s="2">
        <f t="shared" si="10"/>
        <v>200</v>
      </c>
      <c r="R101" s="56">
        <f t="shared" si="7"/>
        <v>1.1702537622846749E-2</v>
      </c>
      <c r="S101" s="56">
        <f t="shared" si="9"/>
        <v>2467.1417099066502</v>
      </c>
      <c r="T101" s="56">
        <f t="shared" si="8"/>
        <v>0.14435909340538516</v>
      </c>
    </row>
    <row r="102" spans="15:20" x14ac:dyDescent="0.25">
      <c r="O102" s="10">
        <v>87</v>
      </c>
      <c r="P102" s="2" t="s">
        <v>163</v>
      </c>
      <c r="Q102" s="2">
        <f t="shared" si="10"/>
        <v>200</v>
      </c>
      <c r="R102" s="56">
        <f t="shared" si="7"/>
        <v>1.0448694306113169E-2</v>
      </c>
      <c r="S102" s="56">
        <f t="shared" si="9"/>
        <v>2541.15596120385</v>
      </c>
      <c r="T102" s="56">
        <f t="shared" si="8"/>
        <v>0.13275880911388102</v>
      </c>
    </row>
    <row r="103" spans="15:20" x14ac:dyDescent="0.25">
      <c r="O103" s="10">
        <v>88</v>
      </c>
      <c r="P103" s="2" t="s">
        <v>164</v>
      </c>
      <c r="Q103" s="2">
        <f t="shared" si="10"/>
        <v>200</v>
      </c>
      <c r="R103" s="56">
        <f t="shared" si="7"/>
        <v>9.3291913447439007E-3</v>
      </c>
      <c r="S103" s="56">
        <f t="shared" si="9"/>
        <v>2617.3906400399655</v>
      </c>
      <c r="T103" s="56">
        <f t="shared" si="8"/>
        <v>0.12209069052437271</v>
      </c>
    </row>
    <row r="104" spans="15:20" x14ac:dyDescent="0.25">
      <c r="O104" s="10">
        <v>89</v>
      </c>
      <c r="P104" s="2" t="s">
        <v>165</v>
      </c>
      <c r="Q104" s="2">
        <f t="shared" si="10"/>
        <v>200</v>
      </c>
      <c r="R104" s="56">
        <f t="shared" si="7"/>
        <v>8.3296351292356241E-3</v>
      </c>
      <c r="S104" s="56">
        <f t="shared" si="9"/>
        <v>2695.9123592411647</v>
      </c>
      <c r="T104" s="56">
        <f t="shared" si="8"/>
        <v>0.11227983146437848</v>
      </c>
    </row>
    <row r="105" spans="15:20" x14ac:dyDescent="0.25">
      <c r="O105" s="10">
        <v>90</v>
      </c>
      <c r="P105" s="2" t="s">
        <v>166</v>
      </c>
      <c r="Q105" s="2">
        <f t="shared" si="10"/>
        <v>200</v>
      </c>
      <c r="R105" s="56">
        <f t="shared" si="7"/>
        <v>7.4371742225318076E-3</v>
      </c>
      <c r="S105" s="56">
        <f t="shared" si="9"/>
        <v>2776.7897300184</v>
      </c>
      <c r="T105" s="56">
        <f t="shared" si="8"/>
        <v>0.10325734500741951</v>
      </c>
    </row>
    <row r="106" spans="15:20" x14ac:dyDescent="0.25">
      <c r="O106" s="10">
        <v>91</v>
      </c>
      <c r="P106" s="2" t="s">
        <v>167</v>
      </c>
      <c r="Q106" s="2">
        <f t="shared" si="10"/>
        <v>200</v>
      </c>
      <c r="R106" s="56">
        <f t="shared" si="7"/>
        <v>6.640334127260541E-3</v>
      </c>
      <c r="S106" s="56">
        <f t="shared" si="9"/>
        <v>2860.0934219189521</v>
      </c>
      <c r="T106" s="56">
        <f t="shared" si="8"/>
        <v>9.4959879783608994E-2</v>
      </c>
    </row>
    <row r="107" spans="15:20" x14ac:dyDescent="0.25">
      <c r="O107" s="10">
        <v>92</v>
      </c>
      <c r="P107" s="2" t="s">
        <v>168</v>
      </c>
      <c r="Q107" s="2">
        <f t="shared" si="10"/>
        <v>200</v>
      </c>
      <c r="R107" s="56">
        <f t="shared" si="7"/>
        <v>5.9288697564826255E-3</v>
      </c>
      <c r="S107" s="56">
        <f t="shared" si="9"/>
        <v>2945.8962245765206</v>
      </c>
      <c r="T107" s="56">
        <f t="shared" si="8"/>
        <v>8.7329175158140412E-2</v>
      </c>
    </row>
    <row r="108" spans="15:20" x14ac:dyDescent="0.25">
      <c r="O108" s="10">
        <v>93</v>
      </c>
      <c r="P108" s="2" t="s">
        <v>169</v>
      </c>
      <c r="Q108" s="2">
        <f t="shared" si="10"/>
        <v>200</v>
      </c>
      <c r="R108" s="56">
        <f t="shared" si="7"/>
        <v>5.2936337111452016E-3</v>
      </c>
      <c r="S108" s="56">
        <f t="shared" si="9"/>
        <v>3034.2731113138161</v>
      </c>
      <c r="T108" s="56">
        <f t="shared" si="8"/>
        <v>8.0311652154361271E-2</v>
      </c>
    </row>
    <row r="109" spans="15:20" x14ac:dyDescent="0.25">
      <c r="O109" s="10">
        <v>94</v>
      </c>
      <c r="P109" s="2" t="s">
        <v>170</v>
      </c>
      <c r="Q109" s="2">
        <f t="shared" si="10"/>
        <v>200</v>
      </c>
      <c r="R109" s="56">
        <f t="shared" si="7"/>
        <v>4.7264586706653585E-3</v>
      </c>
      <c r="S109" s="56">
        <f t="shared" si="9"/>
        <v>3125.3013046532305</v>
      </c>
      <c r="T109" s="56">
        <f t="shared" si="8"/>
        <v>7.3858037249100089E-2</v>
      </c>
    </row>
    <row r="110" spans="15:20" x14ac:dyDescent="0.25">
      <c r="O110" s="10">
        <v>95</v>
      </c>
      <c r="P110" s="2" t="s">
        <v>171</v>
      </c>
      <c r="Q110" s="2">
        <f t="shared" si="10"/>
        <v>200</v>
      </c>
      <c r="R110" s="56">
        <f t="shared" si="7"/>
        <v>4.2200523845226413E-3</v>
      </c>
      <c r="S110" s="56">
        <f t="shared" si="9"/>
        <v>3219.0603437928276</v>
      </c>
      <c r="T110" s="56">
        <f t="shared" si="8"/>
        <v>6.7923016398725986E-2</v>
      </c>
    </row>
    <row r="111" spans="15:20" x14ac:dyDescent="0.25">
      <c r="O111" s="10">
        <v>96</v>
      </c>
      <c r="P111" s="2" t="s">
        <v>172</v>
      </c>
      <c r="Q111" s="2">
        <f t="shared" si="10"/>
        <v>200</v>
      </c>
      <c r="R111" s="56">
        <f t="shared" si="7"/>
        <v>3.7679039147523572E-3</v>
      </c>
      <c r="S111" s="56">
        <f t="shared" si="9"/>
        <v>3315.6321541066127</v>
      </c>
      <c r="T111" s="56">
        <f t="shared" si="8"/>
        <v>6.2464916866685483E-2</v>
      </c>
    </row>
    <row r="112" spans="15:20" x14ac:dyDescent="0.25">
      <c r="O112" s="10">
        <v>97</v>
      </c>
      <c r="P112" s="2" t="s">
        <v>173</v>
      </c>
      <c r="Q112" s="2">
        <f t="shared" si="10"/>
        <v>200</v>
      </c>
      <c r="R112" s="56">
        <f t="shared" ref="R112:R139" si="11">+Q112/(1+$C$25)^O112</f>
        <v>3.3641999238860328E-3</v>
      </c>
      <c r="S112" s="56">
        <f t="shared" si="9"/>
        <v>3415.1011187298113</v>
      </c>
      <c r="T112" s="56">
        <f t="shared" ref="T112:T139" si="12">+S112/(1+$C$25)^O112</f>
        <v>5.7445414618469685E-2</v>
      </c>
    </row>
    <row r="113" spans="15:20" x14ac:dyDescent="0.25">
      <c r="O113" s="10">
        <v>98</v>
      </c>
      <c r="P113" s="2" t="s">
        <v>174</v>
      </c>
      <c r="Q113" s="2">
        <f t="shared" si="10"/>
        <v>200</v>
      </c>
      <c r="R113" s="56">
        <f t="shared" si="11"/>
        <v>3.003749932041101E-3</v>
      </c>
      <c r="S113" s="56">
        <f t="shared" ref="S113:S139" si="13">+S112*(1+$D$24)</f>
        <v>3517.5541522917056</v>
      </c>
      <c r="T113" s="56">
        <f t="shared" si="12"/>
        <v>5.2829265229485514E-2</v>
      </c>
    </row>
    <row r="114" spans="15:20" x14ac:dyDescent="0.25">
      <c r="O114" s="10">
        <v>99</v>
      </c>
      <c r="P114" s="2" t="s">
        <v>175</v>
      </c>
      <c r="Q114" s="2">
        <f t="shared" si="10"/>
        <v>200</v>
      </c>
      <c r="R114" s="56">
        <f t="shared" si="11"/>
        <v>2.6819195821795542E-3</v>
      </c>
      <c r="S114" s="56">
        <f t="shared" si="13"/>
        <v>3623.0807768604568</v>
      </c>
      <c r="T114" s="56">
        <f t="shared" si="12"/>
        <v>4.8584056416401851E-2</v>
      </c>
    </row>
    <row r="115" spans="15:20" x14ac:dyDescent="0.25">
      <c r="O115" s="10">
        <v>100</v>
      </c>
      <c r="P115" s="2" t="s">
        <v>176</v>
      </c>
      <c r="Q115" s="2">
        <f t="shared" si="10"/>
        <v>200</v>
      </c>
      <c r="R115" s="56">
        <f t="shared" si="11"/>
        <v>2.394571055517459E-3</v>
      </c>
      <c r="S115" s="56">
        <f t="shared" si="13"/>
        <v>3731.7732001662707</v>
      </c>
      <c r="T115" s="56">
        <f t="shared" si="12"/>
        <v>4.4679980454369564E-2</v>
      </c>
    </row>
    <row r="116" spans="15:20" x14ac:dyDescent="0.25">
      <c r="O116" s="10">
        <v>101</v>
      </c>
      <c r="P116" s="2" t="s">
        <v>177</v>
      </c>
      <c r="Q116" s="2">
        <f t="shared" si="10"/>
        <v>200</v>
      </c>
      <c r="R116" s="56">
        <f t="shared" si="11"/>
        <v>2.1380098709977307E-3</v>
      </c>
      <c r="S116" s="56">
        <f t="shared" si="13"/>
        <v>3843.7263961712588</v>
      </c>
      <c r="T116" s="56">
        <f t="shared" si="12"/>
        <v>4.1089624882143426E-2</v>
      </c>
    </row>
    <row r="117" spans="15:20" x14ac:dyDescent="0.25">
      <c r="O117" s="10">
        <v>102</v>
      </c>
      <c r="P117" s="2" t="s">
        <v>178</v>
      </c>
      <c r="Q117" s="2">
        <f t="shared" si="10"/>
        <v>200</v>
      </c>
      <c r="R117" s="56">
        <f t="shared" si="11"/>
        <v>1.9089373848194026E-3</v>
      </c>
      <c r="S117" s="56">
        <f t="shared" si="13"/>
        <v>3959.0381880563968</v>
      </c>
      <c r="T117" s="56">
        <f t="shared" si="12"/>
        <v>3.7787780025542624E-2</v>
      </c>
    </row>
    <row r="118" spans="15:20" x14ac:dyDescent="0.25">
      <c r="O118" s="10">
        <v>103</v>
      </c>
      <c r="P118" s="2" t="s">
        <v>179</v>
      </c>
      <c r="Q118" s="2">
        <f t="shared" si="10"/>
        <v>200</v>
      </c>
      <c r="R118" s="56">
        <f t="shared" si="11"/>
        <v>1.7044083793030381E-3</v>
      </c>
      <c r="S118" s="56">
        <f t="shared" si="13"/>
        <v>4077.8093336980887</v>
      </c>
      <c r="T118" s="56">
        <f t="shared" si="12"/>
        <v>3.4751261987775804E-2</v>
      </c>
    </row>
    <row r="119" spans="15:20" x14ac:dyDescent="0.25">
      <c r="O119" s="10">
        <v>104</v>
      </c>
      <c r="P119" s="2" t="s">
        <v>180</v>
      </c>
      <c r="Q119" s="2">
        <f t="shared" si="10"/>
        <v>200</v>
      </c>
      <c r="R119" s="56">
        <f t="shared" si="11"/>
        <v>1.5217931958062835E-3</v>
      </c>
      <c r="S119" s="56">
        <f t="shared" si="13"/>
        <v>4200.1436137090313</v>
      </c>
      <c r="T119" s="56">
        <f t="shared" si="12"/>
        <v>3.1958749863758094E-2</v>
      </c>
    </row>
    <row r="120" spans="15:20" x14ac:dyDescent="0.25">
      <c r="O120" s="10">
        <v>105</v>
      </c>
      <c r="P120" s="2" t="s">
        <v>181</v>
      </c>
      <c r="Q120" s="2">
        <f t="shared" si="10"/>
        <v>200</v>
      </c>
      <c r="R120" s="56">
        <f t="shared" si="11"/>
        <v>1.3587439248270391E-3</v>
      </c>
      <c r="S120" s="56">
        <f t="shared" si="13"/>
        <v>4326.1479221203026</v>
      </c>
      <c r="T120" s="56">
        <f t="shared" si="12"/>
        <v>2.93906360354204E-2</v>
      </c>
    </row>
    <row r="121" spans="15:20" x14ac:dyDescent="0.25">
      <c r="O121" s="10">
        <v>106</v>
      </c>
      <c r="P121" s="2" t="s">
        <v>182</v>
      </c>
      <c r="Q121" s="2">
        <f t="shared" si="10"/>
        <v>200</v>
      </c>
      <c r="R121" s="56">
        <f t="shared" si="11"/>
        <v>1.2131642185955703E-3</v>
      </c>
      <c r="S121" s="56">
        <f t="shared" si="13"/>
        <v>4455.932359783912</v>
      </c>
      <c r="T121" s="56">
        <f t="shared" si="12"/>
        <v>2.7028888496859828E-2</v>
      </c>
    </row>
    <row r="122" spans="15:20" x14ac:dyDescent="0.25">
      <c r="O122" s="10">
        <v>107</v>
      </c>
      <c r="P122" s="2" t="s">
        <v>183</v>
      </c>
      <c r="Q122" s="2">
        <f t="shared" si="10"/>
        <v>200</v>
      </c>
      <c r="R122" s="56">
        <f t="shared" si="11"/>
        <v>1.0831823380317591E-3</v>
      </c>
      <c r="S122" s="56">
        <f t="shared" si="13"/>
        <v>4589.6103305774295</v>
      </c>
      <c r="T122" s="56">
        <f t="shared" si="12"/>
        <v>2.4856924242647876E-2</v>
      </c>
    </row>
    <row r="123" spans="15:20" x14ac:dyDescent="0.25">
      <c r="O123" s="10">
        <v>108</v>
      </c>
      <c r="P123" s="2" t="s">
        <v>184</v>
      </c>
      <c r="Q123" s="2">
        <f t="shared" si="10"/>
        <v>200</v>
      </c>
      <c r="R123" s="56">
        <f t="shared" si="11"/>
        <v>9.6712708752835644E-4</v>
      </c>
      <c r="S123" s="56">
        <f t="shared" si="13"/>
        <v>4727.2986404947524</v>
      </c>
      <c r="T123" s="56">
        <f t="shared" si="12"/>
        <v>2.2859492830292243E-2</v>
      </c>
    </row>
    <row r="124" spans="15:20" x14ac:dyDescent="0.25">
      <c r="O124" s="10">
        <v>109</v>
      </c>
      <c r="P124" s="2" t="s">
        <v>185</v>
      </c>
      <c r="Q124" s="2">
        <f t="shared" si="10"/>
        <v>200</v>
      </c>
      <c r="R124" s="56">
        <f t="shared" si="11"/>
        <v>8.6350632815031811E-4</v>
      </c>
      <c r="S124" s="56">
        <f t="shared" si="13"/>
        <v>4869.1175997095952</v>
      </c>
      <c r="T124" s="56">
        <f t="shared" si="12"/>
        <v>2.1022569299286614E-2</v>
      </c>
    </row>
    <row r="125" spans="15:20" x14ac:dyDescent="0.25">
      <c r="O125" s="10">
        <v>110</v>
      </c>
      <c r="P125" s="2" t="s">
        <v>186</v>
      </c>
      <c r="Q125" s="2">
        <f t="shared" si="10"/>
        <v>200</v>
      </c>
      <c r="R125" s="56">
        <f t="shared" si="11"/>
        <v>7.7098779299135541E-4</v>
      </c>
      <c r="S125" s="56">
        <f t="shared" si="13"/>
        <v>5015.191127700883</v>
      </c>
      <c r="T125" s="56">
        <f t="shared" si="12"/>
        <v>1.9333255694879654E-2</v>
      </c>
    </row>
    <row r="126" spans="15:20" x14ac:dyDescent="0.25">
      <c r="O126" s="10">
        <v>111</v>
      </c>
      <c r="P126" s="2" t="s">
        <v>187</v>
      </c>
      <c r="Q126" s="2">
        <f t="shared" si="10"/>
        <v>200</v>
      </c>
      <c r="R126" s="56">
        <f t="shared" si="11"/>
        <v>6.8838195802799597E-4</v>
      </c>
      <c r="S126" s="56">
        <f t="shared" si="13"/>
        <v>5165.64686153191</v>
      </c>
      <c r="T126" s="56">
        <f t="shared" si="12"/>
        <v>1.7779690505112539E-2</v>
      </c>
    </row>
    <row r="127" spans="15:20" x14ac:dyDescent="0.25">
      <c r="O127" s="10">
        <v>112</v>
      </c>
      <c r="P127" s="2" t="s">
        <v>188</v>
      </c>
      <c r="Q127" s="2">
        <f t="shared" si="10"/>
        <v>200</v>
      </c>
      <c r="R127" s="56">
        <f t="shared" si="11"/>
        <v>6.1462674823928201E-4</v>
      </c>
      <c r="S127" s="56">
        <f t="shared" si="13"/>
        <v>5320.6162673778672</v>
      </c>
      <c r="T127" s="56">
        <f t="shared" si="12"/>
        <v>1.6350965375237423E-2</v>
      </c>
    </row>
    <row r="128" spans="15:20" x14ac:dyDescent="0.25">
      <c r="O128" s="10">
        <v>113</v>
      </c>
      <c r="P128" s="2" t="s">
        <v>189</v>
      </c>
      <c r="Q128" s="2">
        <f t="shared" si="10"/>
        <v>200</v>
      </c>
      <c r="R128" s="56">
        <f t="shared" si="11"/>
        <v>5.4877388235650168E-4</v>
      </c>
      <c r="S128" s="56">
        <f t="shared" si="13"/>
        <v>5480.2347553992031</v>
      </c>
      <c r="T128" s="56">
        <f t="shared" si="12"/>
        <v>1.503704851472727E-2</v>
      </c>
    </row>
    <row r="129" spans="15:20" x14ac:dyDescent="0.25">
      <c r="O129" s="10">
        <v>114</v>
      </c>
      <c r="P129" s="2" t="s">
        <v>190</v>
      </c>
      <c r="Q129" s="2">
        <f t="shared" si="10"/>
        <v>200</v>
      </c>
      <c r="R129" s="56">
        <f t="shared" si="11"/>
        <v>4.899766806754479E-4</v>
      </c>
      <c r="S129" s="56">
        <f t="shared" si="13"/>
        <v>5644.6417980611795</v>
      </c>
      <c r="T129" s="56">
        <f t="shared" si="12"/>
        <v>1.3828714259079543E-2</v>
      </c>
    </row>
    <row r="130" spans="15:20" x14ac:dyDescent="0.25">
      <c r="O130" s="10">
        <v>115</v>
      </c>
      <c r="P130" s="2" t="s">
        <v>191</v>
      </c>
      <c r="Q130" s="2">
        <f t="shared" si="10"/>
        <v>200</v>
      </c>
      <c r="R130" s="56">
        <f t="shared" si="11"/>
        <v>4.3747917917450699E-4</v>
      </c>
      <c r="S130" s="56">
        <f t="shared" si="13"/>
        <v>5813.9810520030151</v>
      </c>
      <c r="T130" s="56">
        <f t="shared" si="12"/>
        <v>1.2717478291832078E-2</v>
      </c>
    </row>
    <row r="131" spans="15:20" x14ac:dyDescent="0.25">
      <c r="O131" s="10">
        <v>116</v>
      </c>
      <c r="P131" s="2" t="s">
        <v>192</v>
      </c>
      <c r="Q131" s="2">
        <f t="shared" si="10"/>
        <v>200</v>
      </c>
      <c r="R131" s="56">
        <f t="shared" si="11"/>
        <v>3.906064099772384E-4</v>
      </c>
      <c r="S131" s="56">
        <f t="shared" si="13"/>
        <v>5988.4004835631058</v>
      </c>
      <c r="T131" s="56">
        <f t="shared" si="12"/>
        <v>1.1695538071952716E-2</v>
      </c>
    </row>
    <row r="132" spans="15:20" x14ac:dyDescent="0.25">
      <c r="O132" s="10">
        <v>117</v>
      </c>
      <c r="P132" s="2" t="s">
        <v>193</v>
      </c>
      <c r="Q132" s="2">
        <f t="shared" si="10"/>
        <v>200</v>
      </c>
      <c r="R132" s="56">
        <f t="shared" si="11"/>
        <v>3.4875572319396279E-4</v>
      </c>
      <c r="S132" s="56">
        <f t="shared" si="13"/>
        <v>6168.0524980699993</v>
      </c>
      <c r="T132" s="56">
        <f t="shared" si="12"/>
        <v>1.0755718048313658E-2</v>
      </c>
    </row>
    <row r="133" spans="15:20" x14ac:dyDescent="0.25">
      <c r="O133" s="10">
        <v>118</v>
      </c>
      <c r="P133" s="2" t="s">
        <v>194</v>
      </c>
      <c r="Q133" s="2">
        <f t="shared" si="10"/>
        <v>200</v>
      </c>
      <c r="R133" s="56">
        <f t="shared" si="11"/>
        <v>3.1138903856603824E-4</v>
      </c>
      <c r="S133" s="56">
        <f t="shared" si="13"/>
        <v>6353.0940730120992</v>
      </c>
      <c r="T133" s="56">
        <f t="shared" si="12"/>
        <v>9.8914192765741666E-3</v>
      </c>
    </row>
    <row r="134" spans="15:20" x14ac:dyDescent="0.25">
      <c r="O134" s="10">
        <v>119</v>
      </c>
      <c r="P134" s="2" t="s">
        <v>195</v>
      </c>
      <c r="Q134" s="2">
        <f t="shared" si="10"/>
        <v>200</v>
      </c>
      <c r="R134" s="56">
        <f t="shared" si="11"/>
        <v>2.7802592729110555E-4</v>
      </c>
      <c r="S134" s="56">
        <f t="shared" si="13"/>
        <v>6543.6868952024624</v>
      </c>
      <c r="T134" s="56">
        <f t="shared" si="12"/>
        <v>9.0965730847066013E-3</v>
      </c>
    </row>
    <row r="135" spans="15:20" x14ac:dyDescent="0.25">
      <c r="O135" s="10">
        <v>120</v>
      </c>
      <c r="P135" s="2" t="s">
        <v>196</v>
      </c>
      <c r="Q135" s="2">
        <f t="shared" si="10"/>
        <v>200</v>
      </c>
      <c r="R135" s="56">
        <f t="shared" si="11"/>
        <v>2.4823743508134427E-4</v>
      </c>
      <c r="S135" s="56">
        <f t="shared" si="13"/>
        <v>6739.9975020585362</v>
      </c>
      <c r="T135" s="56">
        <f t="shared" si="12"/>
        <v>8.3655984618283916E-3</v>
      </c>
    </row>
    <row r="136" spans="15:20" x14ac:dyDescent="0.25">
      <c r="O136" s="10">
        <v>121</v>
      </c>
      <c r="P136" s="2" t="s">
        <v>197</v>
      </c>
      <c r="Q136" s="2">
        <f t="shared" si="10"/>
        <v>200</v>
      </c>
      <c r="R136" s="56">
        <f t="shared" si="11"/>
        <v>2.2164056703691444E-4</v>
      </c>
      <c r="S136" s="56">
        <f t="shared" si="13"/>
        <v>6942.1974271202926</v>
      </c>
      <c r="T136" s="56">
        <f t="shared" si="12"/>
        <v>7.6933628711457506E-3</v>
      </c>
    </row>
    <row r="137" spans="15:20" x14ac:dyDescent="0.25">
      <c r="O137" s="10">
        <v>122</v>
      </c>
      <c r="P137" s="2" t="s">
        <v>198</v>
      </c>
      <c r="Q137" s="2">
        <f t="shared" si="10"/>
        <v>200</v>
      </c>
      <c r="R137" s="56">
        <f t="shared" si="11"/>
        <v>1.978933634258165E-4</v>
      </c>
      <c r="S137" s="56">
        <f t="shared" si="13"/>
        <v>7150.4633499339016</v>
      </c>
      <c r="T137" s="56">
        <f t="shared" si="12"/>
        <v>7.075146211857254E-3</v>
      </c>
    </row>
    <row r="138" spans="15:20" x14ac:dyDescent="0.25">
      <c r="O138" s="10">
        <v>123</v>
      </c>
      <c r="P138" s="2" t="s">
        <v>199</v>
      </c>
      <c r="Q138" s="2">
        <f t="shared" si="10"/>
        <v>200</v>
      </c>
      <c r="R138" s="56">
        <f t="shared" si="11"/>
        <v>1.7669050305876469E-4</v>
      </c>
      <c r="S138" s="56">
        <f t="shared" si="13"/>
        <v>7364.9772504319189</v>
      </c>
      <c r="T138" s="56">
        <f t="shared" si="12"/>
        <v>6.5066076769758662E-3</v>
      </c>
    </row>
    <row r="139" spans="15:20" x14ac:dyDescent="0.25">
      <c r="O139" s="10">
        <v>124</v>
      </c>
      <c r="P139" s="2" t="s">
        <v>200</v>
      </c>
      <c r="Q139" s="2">
        <f t="shared" si="10"/>
        <v>200</v>
      </c>
      <c r="R139" s="56">
        <f t="shared" si="11"/>
        <v>1.5775937773103991E-4</v>
      </c>
      <c r="S139" s="56">
        <f t="shared" si="13"/>
        <v>7585.9265679448763</v>
      </c>
      <c r="T139" s="56">
        <f t="shared" si="12"/>
        <v>5.9837552743617342E-3</v>
      </c>
    </row>
  </sheetData>
  <phoneticPr fontId="4" type="noConversion"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18A6-60C2-4580-BBDB-27E4F7CE7D87}">
  <dimension ref="B1:F20"/>
  <sheetViews>
    <sheetView showGridLines="0" zoomScale="110" zoomScaleNormal="110" workbookViewId="0">
      <selection activeCell="C7" sqref="C7:C18"/>
    </sheetView>
  </sheetViews>
  <sheetFormatPr defaultRowHeight="15" x14ac:dyDescent="0.25"/>
  <cols>
    <col min="1" max="1" width="5.7109375" customWidth="1"/>
    <col min="2" max="2" width="6.7109375" bestFit="1" customWidth="1"/>
    <col min="3" max="3" width="17.85546875" customWidth="1"/>
    <col min="4" max="4" width="13.28515625" customWidth="1"/>
    <col min="5" max="5" width="13" bestFit="1" customWidth="1"/>
    <col min="6" max="6" width="17.5703125" bestFit="1" customWidth="1"/>
  </cols>
  <sheetData>
    <row r="1" spans="2:6" ht="21" x14ac:dyDescent="0.35">
      <c r="C1" s="60" t="s">
        <v>213</v>
      </c>
      <c r="E1" s="64">
        <v>12000</v>
      </c>
    </row>
    <row r="2" spans="2:6" ht="21" x14ac:dyDescent="0.35">
      <c r="C2" s="61" t="s">
        <v>211</v>
      </c>
      <c r="D2" s="63">
        <v>0.01</v>
      </c>
      <c r="E2" s="61" t="s">
        <v>212</v>
      </c>
    </row>
    <row r="3" spans="2:6" ht="21" x14ac:dyDescent="0.35">
      <c r="C3" s="61" t="s">
        <v>210</v>
      </c>
      <c r="D3" s="61">
        <v>12</v>
      </c>
      <c r="E3" s="61" t="s">
        <v>214</v>
      </c>
    </row>
    <row r="4" spans="2:6" ht="15.75" thickBot="1" x14ac:dyDescent="0.3"/>
    <row r="5" spans="2:6" ht="19.5" thickBot="1" x14ac:dyDescent="0.35">
      <c r="B5" s="65" t="s">
        <v>205</v>
      </c>
      <c r="C5" s="65" t="s">
        <v>206</v>
      </c>
      <c r="D5" s="65" t="s">
        <v>207</v>
      </c>
      <c r="E5" s="65" t="s">
        <v>208</v>
      </c>
      <c r="F5" s="65" t="s">
        <v>209</v>
      </c>
    </row>
    <row r="6" spans="2:6" ht="20.25" thickTop="1" thickBot="1" x14ac:dyDescent="0.35">
      <c r="B6" s="67">
        <v>0</v>
      </c>
      <c r="C6" s="68"/>
      <c r="D6" s="69"/>
      <c r="E6" s="69"/>
      <c r="F6" s="73">
        <f>+E1</f>
        <v>12000</v>
      </c>
    </row>
    <row r="7" spans="2:6" ht="19.5" thickBot="1" x14ac:dyDescent="0.35">
      <c r="B7" s="71">
        <v>1</v>
      </c>
      <c r="C7" s="72">
        <f>+E7-D7</f>
        <v>946.18546414010029</v>
      </c>
      <c r="D7" s="86">
        <f>+F6*D2</f>
        <v>120</v>
      </c>
      <c r="E7" s="73">
        <f>-PMT(D2,D3,E1,,0)</f>
        <v>1066.1854641401003</v>
      </c>
      <c r="F7" s="73">
        <f>+F6-C7</f>
        <v>11053.814535859899</v>
      </c>
    </row>
    <row r="8" spans="2:6" ht="19.5" thickBot="1" x14ac:dyDescent="0.35">
      <c r="B8" s="71">
        <v>2</v>
      </c>
      <c r="C8" s="72">
        <f>+E8-D8</f>
        <v>955.64731878150133</v>
      </c>
      <c r="D8" s="86">
        <f>+F7*$D$2</f>
        <v>110.538145358599</v>
      </c>
      <c r="E8" s="73">
        <f>+E7</f>
        <v>1066.1854641401003</v>
      </c>
      <c r="F8" s="73">
        <f>+F7-C8</f>
        <v>10098.167217078399</v>
      </c>
    </row>
    <row r="9" spans="2:6" ht="19.5" thickBot="1" x14ac:dyDescent="0.35">
      <c r="B9" s="71">
        <v>3</v>
      </c>
      <c r="C9" s="72">
        <f>+E9-D9</f>
        <v>965.20379196931628</v>
      </c>
      <c r="D9" s="86">
        <f>+F8*$D$2</f>
        <v>100.98167217078399</v>
      </c>
      <c r="E9" s="73">
        <f t="shared" ref="E9:E18" si="0">+E8</f>
        <v>1066.1854641401003</v>
      </c>
      <c r="F9" s="73">
        <f>+F8-C9</f>
        <v>9132.9634251090829</v>
      </c>
    </row>
    <row r="10" spans="2:6" ht="19.5" thickBot="1" x14ac:dyDescent="0.35">
      <c r="B10" s="71">
        <v>4</v>
      </c>
      <c r="C10" s="72">
        <f t="shared" ref="C10:C18" si="1">+E10-D10</f>
        <v>974.85582988900944</v>
      </c>
      <c r="D10" s="86">
        <f t="shared" ref="D10:D18" si="2">+F9*$D$2</f>
        <v>91.329634251090837</v>
      </c>
      <c r="E10" s="73">
        <f t="shared" si="0"/>
        <v>1066.1854641401003</v>
      </c>
      <c r="F10" s="73">
        <f t="shared" ref="F10:F18" si="3">+F9-C10</f>
        <v>8158.1075952200736</v>
      </c>
    </row>
    <row r="11" spans="2:6" ht="19.5" thickBot="1" x14ac:dyDescent="0.35">
      <c r="B11" s="71">
        <v>5</v>
      </c>
      <c r="C11" s="72">
        <f t="shared" si="1"/>
        <v>984.60438818789953</v>
      </c>
      <c r="D11" s="86">
        <f t="shared" si="2"/>
        <v>81.581075952200734</v>
      </c>
      <c r="E11" s="73">
        <f t="shared" si="0"/>
        <v>1066.1854641401003</v>
      </c>
      <c r="F11" s="73">
        <f t="shared" si="3"/>
        <v>7173.503207032174</v>
      </c>
    </row>
    <row r="12" spans="2:6" ht="19.5" thickBot="1" x14ac:dyDescent="0.35">
      <c r="B12" s="71">
        <v>6</v>
      </c>
      <c r="C12" s="72">
        <f t="shared" si="1"/>
        <v>994.45043206977857</v>
      </c>
      <c r="D12" s="86">
        <f t="shared" si="2"/>
        <v>71.735032070321736</v>
      </c>
      <c r="E12" s="73">
        <f t="shared" si="0"/>
        <v>1066.1854641401003</v>
      </c>
      <c r="F12" s="73">
        <f t="shared" si="3"/>
        <v>6179.0527749623952</v>
      </c>
    </row>
    <row r="13" spans="2:6" ht="19.5" thickBot="1" x14ac:dyDescent="0.35">
      <c r="B13" s="71">
        <v>7</v>
      </c>
      <c r="C13" s="72">
        <f t="shared" si="1"/>
        <v>1004.3949363904763</v>
      </c>
      <c r="D13" s="86">
        <f t="shared" si="2"/>
        <v>61.790527749623955</v>
      </c>
      <c r="E13" s="73">
        <f t="shared" si="0"/>
        <v>1066.1854641401003</v>
      </c>
      <c r="F13" s="73">
        <f t="shared" si="3"/>
        <v>5174.6578385719185</v>
      </c>
    </row>
    <row r="14" spans="2:6" ht="19.5" thickBot="1" x14ac:dyDescent="0.35">
      <c r="B14" s="71">
        <v>8</v>
      </c>
      <c r="C14" s="72">
        <f t="shared" si="1"/>
        <v>1014.4388857543811</v>
      </c>
      <c r="D14" s="86">
        <f t="shared" si="2"/>
        <v>51.746578385719189</v>
      </c>
      <c r="E14" s="73">
        <f t="shared" si="0"/>
        <v>1066.1854641401003</v>
      </c>
      <c r="F14" s="73">
        <f t="shared" si="3"/>
        <v>4160.2189528175377</v>
      </c>
    </row>
    <row r="15" spans="2:6" ht="19.5" thickBot="1" x14ac:dyDescent="0.35">
      <c r="B15" s="71">
        <v>9</v>
      </c>
      <c r="C15" s="72">
        <f t="shared" si="1"/>
        <v>1024.5832746119249</v>
      </c>
      <c r="D15" s="86">
        <f t="shared" si="2"/>
        <v>41.60218952817538</v>
      </c>
      <c r="E15" s="73">
        <f t="shared" si="0"/>
        <v>1066.1854641401003</v>
      </c>
      <c r="F15" s="73">
        <f t="shared" si="3"/>
        <v>3135.6356782056127</v>
      </c>
    </row>
    <row r="16" spans="2:6" ht="19.5" thickBot="1" x14ac:dyDescent="0.35">
      <c r="B16" s="71">
        <v>10</v>
      </c>
      <c r="C16" s="72">
        <f t="shared" si="1"/>
        <v>1034.8291073580442</v>
      </c>
      <c r="D16" s="86">
        <f t="shared" si="2"/>
        <v>31.356356782056128</v>
      </c>
      <c r="E16" s="73">
        <f t="shared" si="0"/>
        <v>1066.1854641401003</v>
      </c>
      <c r="F16" s="73">
        <f t="shared" si="3"/>
        <v>2100.8065708475688</v>
      </c>
    </row>
    <row r="17" spans="2:6" ht="19.5" thickBot="1" x14ac:dyDescent="0.35">
      <c r="B17" s="71">
        <v>11</v>
      </c>
      <c r="C17" s="72">
        <f t="shared" si="1"/>
        <v>1045.1773984316246</v>
      </c>
      <c r="D17" s="86">
        <f t="shared" si="2"/>
        <v>21.008065708475687</v>
      </c>
      <c r="E17" s="73">
        <f t="shared" si="0"/>
        <v>1066.1854641401003</v>
      </c>
      <c r="F17" s="73">
        <f t="shared" si="3"/>
        <v>1055.6291724159441</v>
      </c>
    </row>
    <row r="18" spans="2:6" ht="19.5" thickBot="1" x14ac:dyDescent="0.35">
      <c r="B18" s="71">
        <v>12</v>
      </c>
      <c r="C18" s="72">
        <f t="shared" si="1"/>
        <v>1055.629172415941</v>
      </c>
      <c r="D18" s="86">
        <f t="shared" si="2"/>
        <v>10.556291724159442</v>
      </c>
      <c r="E18" s="73">
        <f t="shared" si="0"/>
        <v>1066.1854641401003</v>
      </c>
      <c r="F18" s="73">
        <f t="shared" si="3"/>
        <v>3.1832314562052488E-12</v>
      </c>
    </row>
    <row r="19" spans="2:6" ht="19.5" thickBot="1" x14ac:dyDescent="0.35">
      <c r="B19" s="66"/>
      <c r="C19" s="66"/>
      <c r="D19" s="66"/>
      <c r="E19" s="66"/>
      <c r="F19" s="66"/>
    </row>
    <row r="20" spans="2:6" ht="19.5" thickBot="1" x14ac:dyDescent="0.35">
      <c r="B20" s="71" t="s">
        <v>26</v>
      </c>
      <c r="C20" s="72">
        <f>SUM(C7:C19)</f>
        <v>11999.999999999996</v>
      </c>
      <c r="D20" s="72">
        <f t="shared" ref="D20:E20" si="4">SUM(D7:D19)</f>
        <v>794.22556968120603</v>
      </c>
      <c r="E20" s="72">
        <f t="shared" si="4"/>
        <v>12794.225569681204</v>
      </c>
      <c r="F20" s="75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76C1-F5ED-419B-BC2C-D13FE62B069C}">
  <dimension ref="B1:F21"/>
  <sheetViews>
    <sheetView showGridLines="0" zoomScale="110" zoomScaleNormal="110" workbookViewId="0">
      <selection activeCell="D8" sqref="D8:F18"/>
    </sheetView>
  </sheetViews>
  <sheetFormatPr defaultRowHeight="15" x14ac:dyDescent="0.25"/>
  <cols>
    <col min="1" max="1" width="5.7109375" customWidth="1"/>
    <col min="2" max="2" width="6.7109375" bestFit="1" customWidth="1"/>
    <col min="3" max="3" width="17.85546875" customWidth="1"/>
    <col min="4" max="4" width="12.85546875" customWidth="1"/>
    <col min="5" max="5" width="13" bestFit="1" customWidth="1"/>
    <col min="6" max="6" width="17.5703125" bestFit="1" customWidth="1"/>
  </cols>
  <sheetData>
    <row r="1" spans="2:6" ht="21" x14ac:dyDescent="0.35">
      <c r="C1" s="60" t="s">
        <v>213</v>
      </c>
      <c r="E1" s="64">
        <v>12000</v>
      </c>
    </row>
    <row r="2" spans="2:6" ht="21" x14ac:dyDescent="0.35">
      <c r="C2" s="61" t="s">
        <v>211</v>
      </c>
      <c r="D2" s="63">
        <v>0.01</v>
      </c>
      <c r="E2" s="61" t="s">
        <v>212</v>
      </c>
    </row>
    <row r="3" spans="2:6" ht="21" x14ac:dyDescent="0.35">
      <c r="C3" s="61" t="s">
        <v>210</v>
      </c>
      <c r="D3" s="61">
        <v>12</v>
      </c>
      <c r="E3" s="61" t="s">
        <v>214</v>
      </c>
    </row>
    <row r="4" spans="2:6" ht="15.75" thickBot="1" x14ac:dyDescent="0.3"/>
    <row r="5" spans="2:6" ht="19.5" thickBot="1" x14ac:dyDescent="0.35">
      <c r="B5" s="65" t="s">
        <v>205</v>
      </c>
      <c r="C5" s="65" t="s">
        <v>206</v>
      </c>
      <c r="D5" s="65" t="s">
        <v>207</v>
      </c>
      <c r="E5" s="65" t="s">
        <v>208</v>
      </c>
      <c r="F5" s="65" t="s">
        <v>209</v>
      </c>
    </row>
    <row r="6" spans="2:6" ht="20.25" thickTop="1" thickBot="1" x14ac:dyDescent="0.35">
      <c r="B6" s="67">
        <v>0</v>
      </c>
      <c r="C6" s="68"/>
      <c r="D6" s="69"/>
      <c r="E6" s="69"/>
      <c r="F6" s="70">
        <f>+E1</f>
        <v>12000</v>
      </c>
    </row>
    <row r="7" spans="2:6" ht="19.5" thickBot="1" x14ac:dyDescent="0.35">
      <c r="B7" s="71">
        <v>1</v>
      </c>
      <c r="C7" s="72">
        <f>+$F$6/$D$3</f>
        <v>1000</v>
      </c>
      <c r="D7" s="72">
        <f>+F6*$D$2</f>
        <v>120</v>
      </c>
      <c r="E7" s="73">
        <f>+C7+D7</f>
        <v>1120</v>
      </c>
      <c r="F7" s="73">
        <f>+F6-C7</f>
        <v>11000</v>
      </c>
    </row>
    <row r="8" spans="2:6" ht="19.5" thickBot="1" x14ac:dyDescent="0.35">
      <c r="B8" s="71">
        <v>2</v>
      </c>
      <c r="C8" s="72">
        <f t="shared" ref="C8:C18" si="0">+$F$6/$D$3</f>
        <v>1000</v>
      </c>
      <c r="D8" s="72">
        <f>+F7*$D$2</f>
        <v>110</v>
      </c>
      <c r="E8" s="73">
        <f>+C8+D8</f>
        <v>1110</v>
      </c>
      <c r="F8" s="73">
        <f>+F7-C8</f>
        <v>10000</v>
      </c>
    </row>
    <row r="9" spans="2:6" ht="19.5" thickBot="1" x14ac:dyDescent="0.35">
      <c r="B9" s="71">
        <v>3</v>
      </c>
      <c r="C9" s="72">
        <f t="shared" si="0"/>
        <v>1000</v>
      </c>
      <c r="D9" s="72">
        <f t="shared" ref="D9:D18" si="1">+F8*$D$2</f>
        <v>100</v>
      </c>
      <c r="E9" s="73">
        <f t="shared" ref="E9:E18" si="2">+C9+D9</f>
        <v>1100</v>
      </c>
      <c r="F9" s="73">
        <f t="shared" ref="F9:F18" si="3">+F8-C9</f>
        <v>9000</v>
      </c>
    </row>
    <row r="10" spans="2:6" ht="19.5" thickBot="1" x14ac:dyDescent="0.35">
      <c r="B10" s="71">
        <v>4</v>
      </c>
      <c r="C10" s="72">
        <f t="shared" si="0"/>
        <v>1000</v>
      </c>
      <c r="D10" s="72">
        <f t="shared" si="1"/>
        <v>90</v>
      </c>
      <c r="E10" s="73">
        <f t="shared" si="2"/>
        <v>1090</v>
      </c>
      <c r="F10" s="73">
        <f t="shared" si="3"/>
        <v>8000</v>
      </c>
    </row>
    <row r="11" spans="2:6" ht="19.5" thickBot="1" x14ac:dyDescent="0.35">
      <c r="B11" s="71">
        <v>5</v>
      </c>
      <c r="C11" s="72">
        <f t="shared" si="0"/>
        <v>1000</v>
      </c>
      <c r="D11" s="72">
        <f t="shared" si="1"/>
        <v>80</v>
      </c>
      <c r="E11" s="73">
        <f t="shared" si="2"/>
        <v>1080</v>
      </c>
      <c r="F11" s="73">
        <f t="shared" si="3"/>
        <v>7000</v>
      </c>
    </row>
    <row r="12" spans="2:6" ht="19.5" thickBot="1" x14ac:dyDescent="0.35">
      <c r="B12" s="71">
        <v>6</v>
      </c>
      <c r="C12" s="72">
        <f t="shared" si="0"/>
        <v>1000</v>
      </c>
      <c r="D12" s="72">
        <f t="shared" si="1"/>
        <v>70</v>
      </c>
      <c r="E12" s="73">
        <f t="shared" si="2"/>
        <v>1070</v>
      </c>
      <c r="F12" s="73">
        <f t="shared" si="3"/>
        <v>6000</v>
      </c>
    </row>
    <row r="13" spans="2:6" ht="19.5" thickBot="1" x14ac:dyDescent="0.35">
      <c r="B13" s="71">
        <v>7</v>
      </c>
      <c r="C13" s="72">
        <f t="shared" si="0"/>
        <v>1000</v>
      </c>
      <c r="D13" s="72">
        <f t="shared" si="1"/>
        <v>60</v>
      </c>
      <c r="E13" s="73">
        <f t="shared" si="2"/>
        <v>1060</v>
      </c>
      <c r="F13" s="73">
        <f t="shared" si="3"/>
        <v>5000</v>
      </c>
    </row>
    <row r="14" spans="2:6" ht="19.5" thickBot="1" x14ac:dyDescent="0.35">
      <c r="B14" s="71">
        <v>8</v>
      </c>
      <c r="C14" s="72">
        <f t="shared" si="0"/>
        <v>1000</v>
      </c>
      <c r="D14" s="72">
        <f t="shared" si="1"/>
        <v>50</v>
      </c>
      <c r="E14" s="73">
        <f t="shared" si="2"/>
        <v>1050</v>
      </c>
      <c r="F14" s="73">
        <f t="shared" si="3"/>
        <v>4000</v>
      </c>
    </row>
    <row r="15" spans="2:6" ht="19.5" thickBot="1" x14ac:dyDescent="0.35">
      <c r="B15" s="71">
        <v>9</v>
      </c>
      <c r="C15" s="72">
        <f t="shared" si="0"/>
        <v>1000</v>
      </c>
      <c r="D15" s="72">
        <f t="shared" si="1"/>
        <v>40</v>
      </c>
      <c r="E15" s="73">
        <f t="shared" si="2"/>
        <v>1040</v>
      </c>
      <c r="F15" s="73">
        <f t="shared" si="3"/>
        <v>3000</v>
      </c>
    </row>
    <row r="16" spans="2:6" ht="19.5" thickBot="1" x14ac:dyDescent="0.35">
      <c r="B16" s="71">
        <v>10</v>
      </c>
      <c r="C16" s="72">
        <f t="shared" si="0"/>
        <v>1000</v>
      </c>
      <c r="D16" s="72">
        <f t="shared" si="1"/>
        <v>30</v>
      </c>
      <c r="E16" s="73">
        <f t="shared" si="2"/>
        <v>1030</v>
      </c>
      <c r="F16" s="73">
        <f t="shared" si="3"/>
        <v>2000</v>
      </c>
    </row>
    <row r="17" spans="2:6" ht="19.5" thickBot="1" x14ac:dyDescent="0.35">
      <c r="B17" s="71">
        <v>11</v>
      </c>
      <c r="C17" s="72">
        <f t="shared" si="0"/>
        <v>1000</v>
      </c>
      <c r="D17" s="72">
        <f t="shared" si="1"/>
        <v>20</v>
      </c>
      <c r="E17" s="73">
        <f t="shared" si="2"/>
        <v>1020</v>
      </c>
      <c r="F17" s="73">
        <f t="shared" si="3"/>
        <v>1000</v>
      </c>
    </row>
    <row r="18" spans="2:6" ht="19.5" thickBot="1" x14ac:dyDescent="0.35">
      <c r="B18" s="71">
        <v>12</v>
      </c>
      <c r="C18" s="72">
        <f t="shared" si="0"/>
        <v>1000</v>
      </c>
      <c r="D18" s="72">
        <f t="shared" si="1"/>
        <v>10</v>
      </c>
      <c r="E18" s="73">
        <f t="shared" si="2"/>
        <v>1010</v>
      </c>
      <c r="F18" s="73">
        <f t="shared" si="3"/>
        <v>0</v>
      </c>
    </row>
    <row r="19" spans="2:6" ht="19.5" thickBot="1" x14ac:dyDescent="0.35">
      <c r="B19" s="66"/>
      <c r="C19" s="66"/>
      <c r="D19" s="66"/>
      <c r="E19" s="74"/>
      <c r="F19" s="66"/>
    </row>
    <row r="20" spans="2:6" ht="19.5" thickBot="1" x14ac:dyDescent="0.35">
      <c r="B20" s="71" t="s">
        <v>26</v>
      </c>
      <c r="C20" s="72">
        <f>SUM(C7:C19)</f>
        <v>12000</v>
      </c>
      <c r="D20" s="72">
        <f t="shared" ref="D20:E20" si="4">SUM(D7:D19)</f>
        <v>780</v>
      </c>
      <c r="E20" s="72">
        <f t="shared" si="4"/>
        <v>12780</v>
      </c>
      <c r="F20" s="75"/>
    </row>
    <row r="21" spans="2:6" ht="18.75" x14ac:dyDescent="0.3">
      <c r="B21" s="66"/>
      <c r="C21" s="66"/>
      <c r="D21" s="66"/>
      <c r="E21" s="66"/>
      <c r="F21" s="66"/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8EA4-513B-49FA-B590-85B05A98D737}">
  <dimension ref="A1:K19"/>
  <sheetViews>
    <sheetView showGridLines="0" zoomScale="95" zoomScaleNormal="95" workbookViewId="0">
      <selection activeCell="F3" sqref="F3"/>
    </sheetView>
  </sheetViews>
  <sheetFormatPr defaultRowHeight="15" x14ac:dyDescent="0.25"/>
  <cols>
    <col min="1" max="1" width="7.42578125" bestFit="1" customWidth="1"/>
    <col min="2" max="2" width="16.140625" bestFit="1" customWidth="1"/>
    <col min="3" max="3" width="8.42578125" bestFit="1" customWidth="1"/>
    <col min="4" max="4" width="13" bestFit="1" customWidth="1"/>
    <col min="5" max="5" width="12.42578125" bestFit="1" customWidth="1"/>
    <col min="7" max="7" width="7.42578125" bestFit="1" customWidth="1"/>
    <col min="8" max="8" width="16.140625" bestFit="1" customWidth="1"/>
    <col min="9" max="9" width="8.42578125" bestFit="1" customWidth="1"/>
    <col min="10" max="10" width="13" bestFit="1" customWidth="1"/>
    <col min="11" max="11" width="12.42578125" bestFit="1" customWidth="1"/>
  </cols>
  <sheetData>
    <row r="1" spans="1:11" ht="21.75" thickBot="1" x14ac:dyDescent="0.4">
      <c r="B1" s="62" t="s">
        <v>215</v>
      </c>
      <c r="H1" s="62" t="s">
        <v>216</v>
      </c>
    </row>
    <row r="2" spans="1:11" ht="16.5" thickTop="1" thickBot="1" x14ac:dyDescent="0.3"/>
    <row r="3" spans="1:11" s="77" customFormat="1" ht="39.75" thickBot="1" x14ac:dyDescent="0.35">
      <c r="A3" s="76" t="s">
        <v>205</v>
      </c>
      <c r="B3" s="76" t="s">
        <v>206</v>
      </c>
      <c r="C3" s="76" t="s">
        <v>207</v>
      </c>
      <c r="D3" s="76" t="s">
        <v>208</v>
      </c>
      <c r="E3" s="76" t="s">
        <v>209</v>
      </c>
      <c r="G3" s="76" t="s">
        <v>205</v>
      </c>
      <c r="H3" s="76" t="s">
        <v>206</v>
      </c>
      <c r="I3" s="76" t="s">
        <v>207</v>
      </c>
      <c r="J3" s="76" t="s">
        <v>208</v>
      </c>
      <c r="K3" s="76" t="s">
        <v>209</v>
      </c>
    </row>
    <row r="4" spans="1:11" s="77" customFormat="1" ht="21" thickTop="1" thickBot="1" x14ac:dyDescent="0.35">
      <c r="A4" s="78">
        <v>0</v>
      </c>
      <c r="B4" s="79"/>
      <c r="C4" s="80"/>
      <c r="D4" s="80"/>
      <c r="E4" s="83">
        <f>+SAC!F6</f>
        <v>12000</v>
      </c>
      <c r="G4" s="78">
        <v>0</v>
      </c>
      <c r="H4" s="79"/>
      <c r="I4" s="80"/>
      <c r="J4" s="80"/>
      <c r="K4" s="83">
        <f>+PRICE!F6</f>
        <v>12000</v>
      </c>
    </row>
    <row r="5" spans="1:11" s="77" customFormat="1" ht="20.25" thickBot="1" x14ac:dyDescent="0.35">
      <c r="A5" s="81">
        <v>1</v>
      </c>
      <c r="B5" s="82">
        <f>+SAC!C7</f>
        <v>1000</v>
      </c>
      <c r="C5" s="82">
        <f>+SAC!D7</f>
        <v>120</v>
      </c>
      <c r="D5" s="83">
        <f>+SAC!E7</f>
        <v>1120</v>
      </c>
      <c r="E5" s="83">
        <f>+SAC!F7</f>
        <v>11000</v>
      </c>
      <c r="G5" s="81">
        <v>1</v>
      </c>
      <c r="H5" s="82">
        <f>+PRICE!C7</f>
        <v>946.18546414010029</v>
      </c>
      <c r="I5" s="82">
        <f>+PRICE!D7</f>
        <v>120</v>
      </c>
      <c r="J5" s="83">
        <f>+PRICE!E7</f>
        <v>1066.1854641401003</v>
      </c>
      <c r="K5" s="83">
        <f>+PRICE!F7</f>
        <v>11053.814535859899</v>
      </c>
    </row>
    <row r="6" spans="1:11" s="77" customFormat="1" ht="20.25" thickBot="1" x14ac:dyDescent="0.35">
      <c r="A6" s="81">
        <v>2</v>
      </c>
      <c r="B6" s="82">
        <f>+SAC!C8</f>
        <v>1000</v>
      </c>
      <c r="C6" s="82">
        <f>+SAC!D8</f>
        <v>110</v>
      </c>
      <c r="D6" s="83">
        <f>+SAC!E8</f>
        <v>1110</v>
      </c>
      <c r="E6" s="83">
        <f>+SAC!F8</f>
        <v>10000</v>
      </c>
      <c r="G6" s="81">
        <v>2</v>
      </c>
      <c r="H6" s="82">
        <f>+PRICE!C8</f>
        <v>955.64731878150133</v>
      </c>
      <c r="I6" s="82">
        <f>+PRICE!D8</f>
        <v>110.538145358599</v>
      </c>
      <c r="J6" s="83">
        <f>+PRICE!E8</f>
        <v>1066.1854641401003</v>
      </c>
      <c r="K6" s="83">
        <f>+PRICE!F8</f>
        <v>10098.167217078399</v>
      </c>
    </row>
    <row r="7" spans="1:11" s="77" customFormat="1" ht="20.25" thickBot="1" x14ac:dyDescent="0.35">
      <c r="A7" s="81">
        <v>3</v>
      </c>
      <c r="B7" s="82">
        <f>+SAC!C9</f>
        <v>1000</v>
      </c>
      <c r="C7" s="82">
        <f>+SAC!D9</f>
        <v>100</v>
      </c>
      <c r="D7" s="83">
        <f>+SAC!E9</f>
        <v>1100</v>
      </c>
      <c r="E7" s="83">
        <f>+SAC!F9</f>
        <v>9000</v>
      </c>
      <c r="G7" s="81">
        <v>3</v>
      </c>
      <c r="H7" s="82">
        <f>+PRICE!C9</f>
        <v>965.20379196931628</v>
      </c>
      <c r="I7" s="82">
        <f>+PRICE!D9</f>
        <v>100.98167217078399</v>
      </c>
      <c r="J7" s="83">
        <f>+PRICE!E9</f>
        <v>1066.1854641401003</v>
      </c>
      <c r="K7" s="83">
        <f>+PRICE!F9</f>
        <v>9132.9634251090829</v>
      </c>
    </row>
    <row r="8" spans="1:11" s="77" customFormat="1" ht="20.25" thickBot="1" x14ac:dyDescent="0.35">
      <c r="A8" s="81">
        <v>4</v>
      </c>
      <c r="B8" s="82">
        <f>+SAC!C10</f>
        <v>1000</v>
      </c>
      <c r="C8" s="82">
        <f>+SAC!D10</f>
        <v>90</v>
      </c>
      <c r="D8" s="83">
        <f>+SAC!E10</f>
        <v>1090</v>
      </c>
      <c r="E8" s="83">
        <f>+SAC!F10</f>
        <v>8000</v>
      </c>
      <c r="G8" s="81">
        <v>4</v>
      </c>
      <c r="H8" s="82">
        <f>+PRICE!C10</f>
        <v>974.85582988900944</v>
      </c>
      <c r="I8" s="82">
        <f>+PRICE!D10</f>
        <v>91.329634251090837</v>
      </c>
      <c r="J8" s="83">
        <f>+PRICE!E10</f>
        <v>1066.1854641401003</v>
      </c>
      <c r="K8" s="83">
        <f>+PRICE!F10</f>
        <v>8158.1075952200736</v>
      </c>
    </row>
    <row r="9" spans="1:11" s="77" customFormat="1" ht="20.25" thickBot="1" x14ac:dyDescent="0.35">
      <c r="A9" s="81">
        <v>5</v>
      </c>
      <c r="B9" s="82">
        <f>+SAC!C11</f>
        <v>1000</v>
      </c>
      <c r="C9" s="82">
        <f>+SAC!D11</f>
        <v>80</v>
      </c>
      <c r="D9" s="83">
        <f>+SAC!E11</f>
        <v>1080</v>
      </c>
      <c r="E9" s="83">
        <f>+SAC!F11</f>
        <v>7000</v>
      </c>
      <c r="G9" s="81">
        <v>5</v>
      </c>
      <c r="H9" s="82">
        <f>+PRICE!C11</f>
        <v>984.60438818789953</v>
      </c>
      <c r="I9" s="82">
        <f>+PRICE!D11</f>
        <v>81.581075952200734</v>
      </c>
      <c r="J9" s="83">
        <f>+PRICE!E11</f>
        <v>1066.1854641401003</v>
      </c>
      <c r="K9" s="83">
        <f>+PRICE!F11</f>
        <v>7173.503207032174</v>
      </c>
    </row>
    <row r="10" spans="1:11" s="77" customFormat="1" ht="20.25" thickBot="1" x14ac:dyDescent="0.35">
      <c r="A10" s="81">
        <v>6</v>
      </c>
      <c r="B10" s="82">
        <f>+SAC!C12</f>
        <v>1000</v>
      </c>
      <c r="C10" s="82">
        <f>+SAC!D12</f>
        <v>70</v>
      </c>
      <c r="D10" s="83">
        <f>+SAC!E12</f>
        <v>1070</v>
      </c>
      <c r="E10" s="83">
        <f>+SAC!F12</f>
        <v>6000</v>
      </c>
      <c r="G10" s="81">
        <v>6</v>
      </c>
      <c r="H10" s="82">
        <f>+PRICE!C12</f>
        <v>994.45043206977857</v>
      </c>
      <c r="I10" s="82">
        <f>+PRICE!D12</f>
        <v>71.735032070321736</v>
      </c>
      <c r="J10" s="83">
        <f>+PRICE!E12</f>
        <v>1066.1854641401003</v>
      </c>
      <c r="K10" s="83">
        <f>+PRICE!F12</f>
        <v>6179.0527749623952</v>
      </c>
    </row>
    <row r="11" spans="1:11" s="77" customFormat="1" ht="20.25" thickBot="1" x14ac:dyDescent="0.35">
      <c r="A11" s="81">
        <v>7</v>
      </c>
      <c r="B11" s="82">
        <f>+SAC!C13</f>
        <v>1000</v>
      </c>
      <c r="C11" s="82">
        <f>+SAC!D13</f>
        <v>60</v>
      </c>
      <c r="D11" s="83">
        <f>+SAC!E13</f>
        <v>1060</v>
      </c>
      <c r="E11" s="83">
        <f>+SAC!F13</f>
        <v>5000</v>
      </c>
      <c r="G11" s="81">
        <v>7</v>
      </c>
      <c r="H11" s="82">
        <f>+PRICE!C13</f>
        <v>1004.3949363904763</v>
      </c>
      <c r="I11" s="82">
        <f>+PRICE!D13</f>
        <v>61.790527749623955</v>
      </c>
      <c r="J11" s="83">
        <f>+PRICE!E13</f>
        <v>1066.1854641401003</v>
      </c>
      <c r="K11" s="83">
        <f>+PRICE!F13</f>
        <v>5174.6578385719185</v>
      </c>
    </row>
    <row r="12" spans="1:11" s="77" customFormat="1" ht="20.25" thickBot="1" x14ac:dyDescent="0.35">
      <c r="A12" s="81">
        <v>8</v>
      </c>
      <c r="B12" s="82">
        <f>+SAC!C14</f>
        <v>1000</v>
      </c>
      <c r="C12" s="82">
        <f>+SAC!D14</f>
        <v>50</v>
      </c>
      <c r="D12" s="83">
        <f>+SAC!E14</f>
        <v>1050</v>
      </c>
      <c r="E12" s="83">
        <f>+SAC!F14</f>
        <v>4000</v>
      </c>
      <c r="G12" s="81">
        <v>8</v>
      </c>
      <c r="H12" s="82">
        <f>+PRICE!C14</f>
        <v>1014.4388857543811</v>
      </c>
      <c r="I12" s="82">
        <f>+PRICE!D14</f>
        <v>51.746578385719189</v>
      </c>
      <c r="J12" s="83">
        <f>+PRICE!E14</f>
        <v>1066.1854641401003</v>
      </c>
      <c r="K12" s="83">
        <f>+PRICE!F14</f>
        <v>4160.2189528175377</v>
      </c>
    </row>
    <row r="13" spans="1:11" s="77" customFormat="1" ht="20.25" thickBot="1" x14ac:dyDescent="0.35">
      <c r="A13" s="81">
        <v>9</v>
      </c>
      <c r="B13" s="82">
        <f>+SAC!C15</f>
        <v>1000</v>
      </c>
      <c r="C13" s="82">
        <f>+SAC!D15</f>
        <v>40</v>
      </c>
      <c r="D13" s="83">
        <f>+SAC!E15</f>
        <v>1040</v>
      </c>
      <c r="E13" s="83">
        <f>+SAC!F15</f>
        <v>3000</v>
      </c>
      <c r="G13" s="81">
        <v>9</v>
      </c>
      <c r="H13" s="82">
        <f>+PRICE!C15</f>
        <v>1024.5832746119249</v>
      </c>
      <c r="I13" s="82">
        <f>+PRICE!D15</f>
        <v>41.60218952817538</v>
      </c>
      <c r="J13" s="83">
        <f>+PRICE!E15</f>
        <v>1066.1854641401003</v>
      </c>
      <c r="K13" s="83">
        <f>+PRICE!F15</f>
        <v>3135.6356782056127</v>
      </c>
    </row>
    <row r="14" spans="1:11" s="77" customFormat="1" ht="20.25" thickBot="1" x14ac:dyDescent="0.35">
      <c r="A14" s="81">
        <v>10</v>
      </c>
      <c r="B14" s="82">
        <f>+SAC!C16</f>
        <v>1000</v>
      </c>
      <c r="C14" s="82">
        <f>+SAC!D16</f>
        <v>30</v>
      </c>
      <c r="D14" s="83">
        <f>+SAC!E16</f>
        <v>1030</v>
      </c>
      <c r="E14" s="83">
        <f>+SAC!F16</f>
        <v>2000</v>
      </c>
      <c r="G14" s="81">
        <v>10</v>
      </c>
      <c r="H14" s="82">
        <f>+PRICE!C16</f>
        <v>1034.8291073580442</v>
      </c>
      <c r="I14" s="82">
        <f>+PRICE!D16</f>
        <v>31.356356782056128</v>
      </c>
      <c r="J14" s="83">
        <f>+PRICE!E16</f>
        <v>1066.1854641401003</v>
      </c>
      <c r="K14" s="83">
        <f>+PRICE!F16</f>
        <v>2100.8065708475688</v>
      </c>
    </row>
    <row r="15" spans="1:11" s="77" customFormat="1" ht="20.25" thickBot="1" x14ac:dyDescent="0.35">
      <c r="A15" s="81">
        <v>11</v>
      </c>
      <c r="B15" s="82">
        <f>+SAC!C17</f>
        <v>1000</v>
      </c>
      <c r="C15" s="82">
        <f>+SAC!D17</f>
        <v>20</v>
      </c>
      <c r="D15" s="83">
        <f>+SAC!E17</f>
        <v>1020</v>
      </c>
      <c r="E15" s="83">
        <f>+SAC!F17</f>
        <v>1000</v>
      </c>
      <c r="G15" s="81">
        <v>11</v>
      </c>
      <c r="H15" s="82">
        <f>+PRICE!C17</f>
        <v>1045.1773984316246</v>
      </c>
      <c r="I15" s="82">
        <f>+PRICE!D17</f>
        <v>21.008065708475687</v>
      </c>
      <c r="J15" s="83">
        <f>+PRICE!E17</f>
        <v>1066.1854641401003</v>
      </c>
      <c r="K15" s="83">
        <f>+PRICE!F17</f>
        <v>1055.6291724159441</v>
      </c>
    </row>
    <row r="16" spans="1:11" s="77" customFormat="1" ht="20.25" thickBot="1" x14ac:dyDescent="0.35">
      <c r="A16" s="81">
        <v>12</v>
      </c>
      <c r="B16" s="82">
        <f>+SAC!C18</f>
        <v>1000</v>
      </c>
      <c r="C16" s="82">
        <f>+SAC!D18</f>
        <v>10</v>
      </c>
      <c r="D16" s="83">
        <f>+SAC!E18</f>
        <v>1010</v>
      </c>
      <c r="E16" s="83">
        <f>+SAC!F18</f>
        <v>0</v>
      </c>
      <c r="G16" s="81">
        <v>12</v>
      </c>
      <c r="H16" s="82">
        <f>+PRICE!C18</f>
        <v>1055.629172415941</v>
      </c>
      <c r="I16" s="82">
        <f>+PRICE!D18</f>
        <v>10.556291724159442</v>
      </c>
      <c r="J16" s="83">
        <f>+PRICE!E18</f>
        <v>1066.1854641401003</v>
      </c>
      <c r="K16" s="83">
        <f>+PRICE!F18</f>
        <v>3.1832314562052488E-12</v>
      </c>
    </row>
    <row r="17" spans="1:11" s="77" customFormat="1" ht="20.25" thickBot="1" x14ac:dyDescent="0.35">
      <c r="D17" s="84"/>
      <c r="J17" s="84"/>
    </row>
    <row r="18" spans="1:11" s="77" customFormat="1" ht="20.25" thickBot="1" x14ac:dyDescent="0.35">
      <c r="A18" s="81" t="s">
        <v>26</v>
      </c>
      <c r="B18" s="82">
        <f>+SAC!C20</f>
        <v>12000</v>
      </c>
      <c r="C18" s="82">
        <f>+SAC!D20</f>
        <v>780</v>
      </c>
      <c r="D18" s="83">
        <f>+SAC!E20</f>
        <v>12780</v>
      </c>
      <c r="E18" s="85"/>
      <c r="G18" s="81" t="s">
        <v>26</v>
      </c>
      <c r="H18" s="82">
        <f>+PRICE!C20</f>
        <v>11999.999999999996</v>
      </c>
      <c r="I18" s="82">
        <f>+PRICE!D20</f>
        <v>794.22556968120603</v>
      </c>
      <c r="J18" s="82">
        <f>+PRICE!E20</f>
        <v>12794.225569681204</v>
      </c>
      <c r="K18" s="85"/>
    </row>
    <row r="19" spans="1:11" s="77" customFormat="1" ht="19.5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210B-12C9-4A23-B5EC-761F667D7220}">
  <dimension ref="B8:G28"/>
  <sheetViews>
    <sheetView showGridLines="0" topLeftCell="A6" workbookViewId="0">
      <selection activeCell="E28" sqref="E28"/>
    </sheetView>
  </sheetViews>
  <sheetFormatPr defaultRowHeight="15" x14ac:dyDescent="0.25"/>
  <cols>
    <col min="3" max="3" width="9.140625" bestFit="1" customWidth="1"/>
    <col min="6" max="6" width="14.28515625" bestFit="1" customWidth="1"/>
    <col min="7" max="7" width="12" bestFit="1" customWidth="1"/>
  </cols>
  <sheetData>
    <row r="8" spans="2:7" x14ac:dyDescent="0.25">
      <c r="B8" s="11" t="s">
        <v>25</v>
      </c>
      <c r="C8" s="3">
        <v>2.3E-2</v>
      </c>
      <c r="D8" s="12"/>
      <c r="E8" s="12"/>
      <c r="F8" s="12"/>
    </row>
    <row r="9" spans="2:7" x14ac:dyDescent="0.25">
      <c r="B9" s="2"/>
      <c r="C9" s="2"/>
      <c r="D9" s="4" t="s">
        <v>21</v>
      </c>
      <c r="E9" s="4" t="s">
        <v>22</v>
      </c>
      <c r="F9" s="2" t="s">
        <v>24</v>
      </c>
      <c r="G9" s="1"/>
    </row>
    <row r="10" spans="2:7" x14ac:dyDescent="0.25">
      <c r="B10" s="2" t="s">
        <v>20</v>
      </c>
      <c r="C10" s="6">
        <v>15000</v>
      </c>
      <c r="D10" s="10">
        <v>0</v>
      </c>
      <c r="E10" s="10">
        <v>-2</v>
      </c>
      <c r="F10" s="5">
        <f>+FV(C8,2,,C10,)</f>
        <v>-15697.934999999998</v>
      </c>
    </row>
    <row r="11" spans="2:7" x14ac:dyDescent="0.25">
      <c r="B11" s="2" t="s">
        <v>10</v>
      </c>
      <c r="C11" s="6">
        <v>-2000</v>
      </c>
      <c r="D11" s="10">
        <v>1</v>
      </c>
      <c r="E11" s="10">
        <v>-1</v>
      </c>
      <c r="F11" s="5">
        <f>+FV($C$8,1,,C11,)</f>
        <v>2045.9999999999998</v>
      </c>
    </row>
    <row r="12" spans="2:7" x14ac:dyDescent="0.25">
      <c r="B12" s="2" t="s">
        <v>11</v>
      </c>
      <c r="C12" s="6" t="s">
        <v>23</v>
      </c>
      <c r="D12" s="10">
        <v>2</v>
      </c>
      <c r="E12" s="10">
        <v>0</v>
      </c>
      <c r="F12" s="2"/>
    </row>
    <row r="13" spans="2:7" x14ac:dyDescent="0.25">
      <c r="B13" s="2" t="s">
        <v>12</v>
      </c>
      <c r="C13" s="6">
        <v>-4600</v>
      </c>
      <c r="D13" s="10">
        <v>3</v>
      </c>
      <c r="E13" s="10">
        <v>1</v>
      </c>
      <c r="F13" s="5">
        <f>+PV($C$8,E13,,C13,)</f>
        <v>4496.5786901270776</v>
      </c>
    </row>
    <row r="14" spans="2:7" x14ac:dyDescent="0.25">
      <c r="B14" s="2" t="s">
        <v>13</v>
      </c>
      <c r="C14" s="6">
        <v>-3800</v>
      </c>
      <c r="D14" s="10">
        <v>4</v>
      </c>
      <c r="E14" s="10">
        <v>2</v>
      </c>
      <c r="F14" s="5">
        <f>+PV($C$8,E14,,C14,)</f>
        <v>3631.0508356672399</v>
      </c>
    </row>
    <row r="15" spans="2:7" ht="15.75" thickBot="1" x14ac:dyDescent="0.3">
      <c r="B15" s="2" t="s">
        <v>14</v>
      </c>
      <c r="C15" s="6">
        <v>-2900</v>
      </c>
      <c r="D15" s="10">
        <v>5</v>
      </c>
      <c r="E15" s="13">
        <v>3</v>
      </c>
      <c r="F15" s="14">
        <f>+PV($C$8,E15,,C15,)</f>
        <v>2708.7635497852025</v>
      </c>
    </row>
    <row r="16" spans="2:7" ht="15.75" thickBot="1" x14ac:dyDescent="0.3">
      <c r="E16" s="15" t="s">
        <v>26</v>
      </c>
      <c r="F16" s="16">
        <f>SUM(F10:F15)</f>
        <v>-2815.5419244204786</v>
      </c>
    </row>
    <row r="20" spans="3:6" x14ac:dyDescent="0.25">
      <c r="C20" s="2"/>
      <c r="D20" s="2"/>
      <c r="E20" s="4" t="s">
        <v>21</v>
      </c>
      <c r="F20" s="2" t="s">
        <v>27</v>
      </c>
    </row>
    <row r="21" spans="3:6" x14ac:dyDescent="0.25">
      <c r="C21" s="2" t="s">
        <v>20</v>
      </c>
      <c r="D21" s="6">
        <v>15000</v>
      </c>
      <c r="E21" s="10">
        <v>0</v>
      </c>
      <c r="F21" s="5">
        <f>+PV($C$8,E21,,D21,)</f>
        <v>-15000</v>
      </c>
    </row>
    <row r="22" spans="3:6" x14ac:dyDescent="0.25">
      <c r="C22" s="2" t="s">
        <v>10</v>
      </c>
      <c r="D22" s="6">
        <v>-2000</v>
      </c>
      <c r="E22" s="10">
        <v>1</v>
      </c>
      <c r="F22" s="5">
        <f t="shared" ref="F22:F26" si="0">+PV($C$8,E22,,D22,)</f>
        <v>1955.0342130987294</v>
      </c>
    </row>
    <row r="23" spans="3:6" x14ac:dyDescent="0.25">
      <c r="C23" s="2" t="s">
        <v>11</v>
      </c>
      <c r="D23" s="6"/>
      <c r="E23" s="10">
        <v>2</v>
      </c>
      <c r="F23" s="5">
        <f t="shared" si="0"/>
        <v>0</v>
      </c>
    </row>
    <row r="24" spans="3:6" x14ac:dyDescent="0.25">
      <c r="C24" s="2" t="s">
        <v>12</v>
      </c>
      <c r="D24" s="6">
        <v>-4600</v>
      </c>
      <c r="E24" s="10">
        <v>3</v>
      </c>
      <c r="F24" s="5">
        <f t="shared" si="0"/>
        <v>4296.6594237972176</v>
      </c>
    </row>
    <row r="25" spans="3:6" x14ac:dyDescent="0.25">
      <c r="C25" s="2" t="s">
        <v>13</v>
      </c>
      <c r="D25" s="6">
        <v>-3800</v>
      </c>
      <c r="E25" s="10">
        <v>4</v>
      </c>
      <c r="F25" s="5">
        <f t="shared" si="0"/>
        <v>3469.6132029473051</v>
      </c>
    </row>
    <row r="26" spans="3:6" ht="15.75" thickBot="1" x14ac:dyDescent="0.3">
      <c r="C26" s="2" t="s">
        <v>14</v>
      </c>
      <c r="D26" s="6">
        <v>-2900</v>
      </c>
      <c r="E26" s="10">
        <v>5</v>
      </c>
      <c r="F26" s="5">
        <f t="shared" si="0"/>
        <v>2588.3310923875051</v>
      </c>
    </row>
    <row r="27" spans="3:6" ht="15.75" thickBot="1" x14ac:dyDescent="0.3">
      <c r="E27" s="15" t="s">
        <v>222</v>
      </c>
      <c r="F27" s="16">
        <f>SUM(F21:F26)</f>
        <v>-2690.3620677692434</v>
      </c>
    </row>
    <row r="28" spans="3:6" ht="15.75" thickBot="1" x14ac:dyDescent="0.3">
      <c r="E28" s="88" t="s">
        <v>221</v>
      </c>
      <c r="F28" s="89">
        <f>+FV(C8,E23,,F27)</f>
        <v>2815.5419244204782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F193-4B41-4071-A80A-FA3DBE842557}">
  <dimension ref="A1:E9"/>
  <sheetViews>
    <sheetView showGridLines="0" zoomScale="130" zoomScaleNormal="130" workbookViewId="0">
      <selection activeCell="E13" sqref="E13"/>
    </sheetView>
  </sheetViews>
  <sheetFormatPr defaultRowHeight="15" x14ac:dyDescent="0.25"/>
  <cols>
    <col min="1" max="1" width="23.28515625" bestFit="1" customWidth="1"/>
    <col min="2" max="2" width="10" customWidth="1"/>
    <col min="3" max="4" width="12.7109375" bestFit="1" customWidth="1"/>
    <col min="5" max="5" width="21.85546875" customWidth="1"/>
  </cols>
  <sheetData>
    <row r="1" spans="1:5" x14ac:dyDescent="0.25">
      <c r="A1" s="2"/>
      <c r="B1" s="2"/>
      <c r="C1" s="100" t="s">
        <v>29</v>
      </c>
      <c r="D1" s="101"/>
    </row>
    <row r="2" spans="1:5" x14ac:dyDescent="0.25">
      <c r="A2" s="2"/>
      <c r="B2" s="2"/>
      <c r="C2" s="10">
        <v>1</v>
      </c>
      <c r="D2" s="10">
        <v>2</v>
      </c>
    </row>
    <row r="3" spans="1:5" x14ac:dyDescent="0.25">
      <c r="A3" s="2" t="s">
        <v>9</v>
      </c>
      <c r="B3" s="2"/>
      <c r="C3" s="7">
        <v>0.04</v>
      </c>
      <c r="D3" s="3">
        <v>3.5000000000000003E-2</v>
      </c>
    </row>
    <row r="4" spans="1:5" ht="30" x14ac:dyDescent="0.25">
      <c r="A4" s="20" t="s">
        <v>34</v>
      </c>
      <c r="B4" s="17" t="s">
        <v>20</v>
      </c>
      <c r="C4" s="21">
        <v>15000</v>
      </c>
      <c r="D4" s="21">
        <v>15000</v>
      </c>
    </row>
    <row r="5" spans="1:5" ht="30" x14ac:dyDescent="0.25">
      <c r="A5" s="17" t="s">
        <v>31</v>
      </c>
      <c r="B5" s="19" t="s">
        <v>32</v>
      </c>
      <c r="C5" s="21"/>
      <c r="D5" s="21">
        <v>500</v>
      </c>
      <c r="E5" s="29" t="s">
        <v>35</v>
      </c>
    </row>
    <row r="6" spans="1:5" x14ac:dyDescent="0.25">
      <c r="A6" s="2" t="s">
        <v>33</v>
      </c>
      <c r="B6" s="2"/>
      <c r="C6" s="6">
        <f>+SUM(C4:C5)</f>
        <v>15000</v>
      </c>
      <c r="D6" s="6">
        <f>+SUM(D4:D5)</f>
        <v>15500</v>
      </c>
    </row>
    <row r="7" spans="1:5" x14ac:dyDescent="0.25">
      <c r="A7" s="2"/>
      <c r="B7" s="2"/>
      <c r="C7" s="2"/>
      <c r="D7" s="2"/>
    </row>
    <row r="8" spans="1:5" x14ac:dyDescent="0.25">
      <c r="A8" s="2" t="s">
        <v>30</v>
      </c>
      <c r="B8" s="2"/>
      <c r="C8" s="2">
        <v>3</v>
      </c>
      <c r="D8" s="2">
        <v>3</v>
      </c>
    </row>
    <row r="9" spans="1:5" x14ac:dyDescent="0.25">
      <c r="A9" s="2" t="s">
        <v>28</v>
      </c>
      <c r="B9" s="2" t="s">
        <v>12</v>
      </c>
      <c r="C9" s="5">
        <f>+FV(C3,C8,,C6,)</f>
        <v>-16872.960000000003</v>
      </c>
      <c r="D9" s="5">
        <f>+FV(D3,D8,,D6,)</f>
        <v>-17185.127062499996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F46D-FD2C-40BF-8998-7B532B90A0E6}">
  <dimension ref="A3:E14"/>
  <sheetViews>
    <sheetView showGridLines="0" topLeftCell="B1" zoomScale="166" zoomScaleNormal="166" workbookViewId="0">
      <selection activeCell="D11" sqref="D11"/>
    </sheetView>
  </sheetViews>
  <sheetFormatPr defaultRowHeight="15" x14ac:dyDescent="0.25"/>
  <cols>
    <col min="1" max="1" width="22.42578125" customWidth="1"/>
  </cols>
  <sheetData>
    <row r="3" spans="1:5" x14ac:dyDescent="0.25">
      <c r="A3" s="2"/>
      <c r="B3" s="99" t="s">
        <v>36</v>
      </c>
      <c r="C3" s="99"/>
      <c r="D3" s="99"/>
      <c r="E3" s="22"/>
    </row>
    <row r="4" spans="1:5" x14ac:dyDescent="0.25">
      <c r="A4" s="2"/>
      <c r="B4" s="2">
        <v>1</v>
      </c>
      <c r="C4" s="2">
        <v>2</v>
      </c>
      <c r="D4" s="2">
        <v>3</v>
      </c>
    </row>
    <row r="5" spans="1:5" x14ac:dyDescent="0.25">
      <c r="A5" s="2" t="s">
        <v>6</v>
      </c>
      <c r="B5" s="24">
        <v>100</v>
      </c>
      <c r="C5" s="24">
        <v>100</v>
      </c>
      <c r="D5" s="24">
        <v>100</v>
      </c>
    </row>
    <row r="6" spans="1:5" x14ac:dyDescent="0.25">
      <c r="A6" s="2" t="s">
        <v>7</v>
      </c>
      <c r="B6" s="2">
        <f>+B5*(1+B9)</f>
        <v>121</v>
      </c>
      <c r="C6" s="2">
        <f t="shared" ref="C6" si="0">+C5*(1+C9)</f>
        <v>136</v>
      </c>
      <c r="D6" s="2">
        <f>+D5*(1+D9*D8)</f>
        <v>102.69999999999999</v>
      </c>
    </row>
    <row r="7" spans="1:5" x14ac:dyDescent="0.25">
      <c r="A7" s="2" t="s">
        <v>40</v>
      </c>
      <c r="B7" s="2" t="s">
        <v>38</v>
      </c>
      <c r="C7" s="2" t="s">
        <v>38</v>
      </c>
      <c r="D7" s="2" t="s">
        <v>41</v>
      </c>
    </row>
    <row r="8" spans="1:5" x14ac:dyDescent="0.25">
      <c r="A8" s="2" t="s">
        <v>0</v>
      </c>
      <c r="B8" s="2">
        <v>1</v>
      </c>
      <c r="C8" s="2">
        <v>1</v>
      </c>
      <c r="D8" s="2">
        <v>1</v>
      </c>
    </row>
    <row r="9" spans="1:5" x14ac:dyDescent="0.25">
      <c r="A9" s="2" t="s">
        <v>25</v>
      </c>
      <c r="B9" s="7">
        <v>0.21</v>
      </c>
      <c r="C9" s="7">
        <v>0.36</v>
      </c>
      <c r="D9" s="3">
        <v>2.7E-2</v>
      </c>
    </row>
    <row r="10" spans="1:5" x14ac:dyDescent="0.25">
      <c r="A10" s="2" t="s">
        <v>39</v>
      </c>
      <c r="B10" s="2" t="s">
        <v>42</v>
      </c>
      <c r="C10" s="2" t="s">
        <v>37</v>
      </c>
      <c r="D10" s="2" t="s">
        <v>37</v>
      </c>
    </row>
    <row r="11" spans="1:5" x14ac:dyDescent="0.25">
      <c r="A11" s="2" t="s">
        <v>0</v>
      </c>
      <c r="B11" s="2">
        <v>4</v>
      </c>
      <c r="C11" s="2">
        <v>12</v>
      </c>
      <c r="D11" s="2">
        <v>30</v>
      </c>
    </row>
    <row r="12" spans="1:5" x14ac:dyDescent="0.25">
      <c r="A12" s="2" t="s">
        <v>25</v>
      </c>
      <c r="B12" s="25">
        <f>+B9*B8/B11</f>
        <v>5.2499999999999998E-2</v>
      </c>
      <c r="C12" s="25">
        <f>+C9*C8/C11</f>
        <v>0.03</v>
      </c>
      <c r="D12" s="25">
        <f>+D8*D9/D11</f>
        <v>8.9999999999999998E-4</v>
      </c>
    </row>
    <row r="13" spans="1:5" x14ac:dyDescent="0.25">
      <c r="A13" s="100" t="s">
        <v>43</v>
      </c>
      <c r="B13" s="102"/>
      <c r="C13" s="102"/>
      <c r="D13" s="101"/>
    </row>
    <row r="14" spans="1:5" x14ac:dyDescent="0.25">
      <c r="A14" s="2" t="s">
        <v>7</v>
      </c>
      <c r="B14" s="24">
        <f>+B5*(1+B12*B11)</f>
        <v>121</v>
      </c>
      <c r="C14" s="24">
        <f t="shared" ref="C14:D14" si="1">+C5*(1+C12*C11)</f>
        <v>136</v>
      </c>
      <c r="D14" s="24">
        <f t="shared" si="1"/>
        <v>102.69999999999999</v>
      </c>
    </row>
  </sheetData>
  <mergeCells count="2">
    <mergeCell ref="B3:D3"/>
    <mergeCell ref="A13:D1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7421-B3F4-4E51-9D9A-3D3431CF3196}">
  <dimension ref="A7:C119"/>
  <sheetViews>
    <sheetView topLeftCell="A2" workbookViewId="0">
      <selection activeCell="A10" sqref="A10:A119"/>
    </sheetView>
  </sheetViews>
  <sheetFormatPr defaultRowHeight="15" x14ac:dyDescent="0.25"/>
  <sheetData>
    <row r="7" spans="1:3" x14ac:dyDescent="0.25">
      <c r="B7" t="s">
        <v>220</v>
      </c>
      <c r="C7">
        <v>1</v>
      </c>
    </row>
    <row r="8" spans="1:3" x14ac:dyDescent="0.25">
      <c r="B8" t="s">
        <v>25</v>
      </c>
      <c r="C8" s="87">
        <v>0.02</v>
      </c>
    </row>
    <row r="9" spans="1:3" x14ac:dyDescent="0.25">
      <c r="A9" t="s">
        <v>217</v>
      </c>
      <c r="B9" t="s">
        <v>218</v>
      </c>
      <c r="C9" t="s">
        <v>219</v>
      </c>
    </row>
    <row r="10" spans="1:3" x14ac:dyDescent="0.25">
      <c r="A10">
        <v>0</v>
      </c>
      <c r="B10">
        <f>+$C$7*(1+$C$8*A10)</f>
        <v>1</v>
      </c>
      <c r="C10">
        <f>+$C$7*(1+$C$8)^A10</f>
        <v>1</v>
      </c>
    </row>
    <row r="11" spans="1:3" x14ac:dyDescent="0.25">
      <c r="A11">
        <v>1</v>
      </c>
      <c r="B11">
        <f>+$C$7*(1+$C$8*A11)</f>
        <v>1.02</v>
      </c>
      <c r="C11">
        <f>+$C$7*(1+$C$8)^A11</f>
        <v>1.02</v>
      </c>
    </row>
    <row r="12" spans="1:3" x14ac:dyDescent="0.25">
      <c r="A12">
        <v>2</v>
      </c>
      <c r="B12">
        <f t="shared" ref="B12:B75" si="0">+$C$7*(1+$C$8*A12)</f>
        <v>1.04</v>
      </c>
      <c r="C12">
        <f t="shared" ref="C12:C18" si="1">+$C$7*(1+$C$8)^A12</f>
        <v>1.0404</v>
      </c>
    </row>
    <row r="13" spans="1:3" x14ac:dyDescent="0.25">
      <c r="A13">
        <v>3</v>
      </c>
      <c r="B13">
        <f t="shared" si="0"/>
        <v>1.06</v>
      </c>
      <c r="C13">
        <f t="shared" si="1"/>
        <v>1.0612079999999999</v>
      </c>
    </row>
    <row r="14" spans="1:3" x14ac:dyDescent="0.25">
      <c r="A14">
        <v>4</v>
      </c>
      <c r="B14">
        <f t="shared" si="0"/>
        <v>1.08</v>
      </c>
      <c r="C14">
        <f t="shared" si="1"/>
        <v>1.08243216</v>
      </c>
    </row>
    <row r="15" spans="1:3" x14ac:dyDescent="0.25">
      <c r="A15">
        <v>5</v>
      </c>
      <c r="B15">
        <f t="shared" si="0"/>
        <v>1.1000000000000001</v>
      </c>
      <c r="C15">
        <f t="shared" si="1"/>
        <v>1.1040808032</v>
      </c>
    </row>
    <row r="16" spans="1:3" x14ac:dyDescent="0.25">
      <c r="A16">
        <v>6</v>
      </c>
      <c r="B16">
        <f t="shared" si="0"/>
        <v>1.1200000000000001</v>
      </c>
      <c r="C16">
        <f t="shared" si="1"/>
        <v>1.1261624192640001</v>
      </c>
    </row>
    <row r="17" spans="1:3" x14ac:dyDescent="0.25">
      <c r="A17">
        <v>7</v>
      </c>
      <c r="B17">
        <f t="shared" si="0"/>
        <v>1.1400000000000001</v>
      </c>
      <c r="C17">
        <f t="shared" si="1"/>
        <v>1.1486856676492798</v>
      </c>
    </row>
    <row r="18" spans="1:3" x14ac:dyDescent="0.25">
      <c r="A18">
        <v>8</v>
      </c>
      <c r="B18">
        <f t="shared" si="0"/>
        <v>1.1599999999999999</v>
      </c>
      <c r="C18">
        <f t="shared" si="1"/>
        <v>1.1716593810022655</v>
      </c>
    </row>
    <row r="19" spans="1:3" x14ac:dyDescent="0.25">
      <c r="A19">
        <v>9</v>
      </c>
      <c r="B19">
        <f t="shared" si="0"/>
        <v>1.18</v>
      </c>
      <c r="C19">
        <f t="shared" ref="C19:C51" si="2">+$C$7*(1+$C$8)^A19</f>
        <v>1.1950925686223108</v>
      </c>
    </row>
    <row r="20" spans="1:3" x14ac:dyDescent="0.25">
      <c r="A20">
        <v>10</v>
      </c>
      <c r="B20">
        <f t="shared" si="0"/>
        <v>1.2</v>
      </c>
      <c r="C20">
        <f t="shared" si="2"/>
        <v>1.2189944199947571</v>
      </c>
    </row>
    <row r="21" spans="1:3" x14ac:dyDescent="0.25">
      <c r="A21">
        <v>11</v>
      </c>
      <c r="B21">
        <f t="shared" si="0"/>
        <v>1.22</v>
      </c>
      <c r="C21">
        <f t="shared" si="2"/>
        <v>1.243374308394652</v>
      </c>
    </row>
    <row r="22" spans="1:3" x14ac:dyDescent="0.25">
      <c r="A22">
        <v>12</v>
      </c>
      <c r="B22">
        <f t="shared" si="0"/>
        <v>1.24</v>
      </c>
      <c r="C22">
        <f t="shared" si="2"/>
        <v>1.2682417945625453</v>
      </c>
    </row>
    <row r="23" spans="1:3" x14ac:dyDescent="0.25">
      <c r="A23">
        <v>13</v>
      </c>
      <c r="B23">
        <f t="shared" si="0"/>
        <v>1.26</v>
      </c>
      <c r="C23">
        <f t="shared" si="2"/>
        <v>1.2936066304537961</v>
      </c>
    </row>
    <row r="24" spans="1:3" x14ac:dyDescent="0.25">
      <c r="A24">
        <v>14</v>
      </c>
      <c r="B24">
        <f t="shared" si="0"/>
        <v>1.28</v>
      </c>
      <c r="C24">
        <f t="shared" si="2"/>
        <v>1.3194787630628722</v>
      </c>
    </row>
    <row r="25" spans="1:3" x14ac:dyDescent="0.25">
      <c r="A25">
        <v>15</v>
      </c>
      <c r="B25">
        <f t="shared" si="0"/>
        <v>1.3</v>
      </c>
      <c r="C25">
        <f t="shared" si="2"/>
        <v>1.3458683383241292</v>
      </c>
    </row>
    <row r="26" spans="1:3" x14ac:dyDescent="0.25">
      <c r="A26">
        <v>16</v>
      </c>
      <c r="B26">
        <f t="shared" si="0"/>
        <v>1.32</v>
      </c>
      <c r="C26">
        <f t="shared" si="2"/>
        <v>1.372785705090612</v>
      </c>
    </row>
    <row r="27" spans="1:3" x14ac:dyDescent="0.25">
      <c r="A27">
        <v>17</v>
      </c>
      <c r="B27">
        <f t="shared" si="0"/>
        <v>1.34</v>
      </c>
      <c r="C27">
        <f t="shared" si="2"/>
        <v>1.4002414191924244</v>
      </c>
    </row>
    <row r="28" spans="1:3" x14ac:dyDescent="0.25">
      <c r="A28">
        <v>18</v>
      </c>
      <c r="B28">
        <f t="shared" si="0"/>
        <v>1.3599999999999999</v>
      </c>
      <c r="C28">
        <f t="shared" si="2"/>
        <v>1.4282462475762727</v>
      </c>
    </row>
    <row r="29" spans="1:3" x14ac:dyDescent="0.25">
      <c r="A29">
        <v>19</v>
      </c>
      <c r="B29">
        <f t="shared" si="0"/>
        <v>1.38</v>
      </c>
      <c r="C29">
        <f t="shared" si="2"/>
        <v>1.4568111725277981</v>
      </c>
    </row>
    <row r="30" spans="1:3" x14ac:dyDescent="0.25">
      <c r="A30">
        <v>20</v>
      </c>
      <c r="B30">
        <f t="shared" si="0"/>
        <v>1.4</v>
      </c>
      <c r="C30">
        <f t="shared" si="2"/>
        <v>1.4859473959783542</v>
      </c>
    </row>
    <row r="31" spans="1:3" x14ac:dyDescent="0.25">
      <c r="A31">
        <v>21</v>
      </c>
      <c r="B31">
        <f t="shared" si="0"/>
        <v>1.42</v>
      </c>
      <c r="C31">
        <f t="shared" si="2"/>
        <v>1.5156663438979212</v>
      </c>
    </row>
    <row r="32" spans="1:3" x14ac:dyDescent="0.25">
      <c r="A32">
        <v>22</v>
      </c>
      <c r="B32">
        <f t="shared" si="0"/>
        <v>1.44</v>
      </c>
      <c r="C32">
        <f t="shared" si="2"/>
        <v>1.5459796707758797</v>
      </c>
    </row>
    <row r="33" spans="1:3" x14ac:dyDescent="0.25">
      <c r="A33">
        <v>23</v>
      </c>
      <c r="B33">
        <f t="shared" si="0"/>
        <v>1.46</v>
      </c>
      <c r="C33">
        <f t="shared" si="2"/>
        <v>1.576899264191397</v>
      </c>
    </row>
    <row r="34" spans="1:3" x14ac:dyDescent="0.25">
      <c r="A34">
        <v>24</v>
      </c>
      <c r="B34">
        <f t="shared" si="0"/>
        <v>1.48</v>
      </c>
      <c r="C34">
        <f t="shared" si="2"/>
        <v>1.608437249475225</v>
      </c>
    </row>
    <row r="35" spans="1:3" x14ac:dyDescent="0.25">
      <c r="A35">
        <v>25</v>
      </c>
      <c r="B35">
        <f t="shared" si="0"/>
        <v>1.5</v>
      </c>
      <c r="C35">
        <f t="shared" si="2"/>
        <v>1.6406059944647295</v>
      </c>
    </row>
    <row r="36" spans="1:3" x14ac:dyDescent="0.25">
      <c r="A36">
        <v>26</v>
      </c>
      <c r="B36">
        <f t="shared" si="0"/>
        <v>1.52</v>
      </c>
      <c r="C36">
        <f t="shared" si="2"/>
        <v>1.6734181143540243</v>
      </c>
    </row>
    <row r="37" spans="1:3" x14ac:dyDescent="0.25">
      <c r="A37">
        <v>27</v>
      </c>
      <c r="B37">
        <f t="shared" si="0"/>
        <v>1.54</v>
      </c>
      <c r="C37">
        <f t="shared" si="2"/>
        <v>1.7068864766411045</v>
      </c>
    </row>
    <row r="38" spans="1:3" x14ac:dyDescent="0.25">
      <c r="A38">
        <v>28</v>
      </c>
      <c r="B38">
        <f t="shared" si="0"/>
        <v>1.56</v>
      </c>
      <c r="C38">
        <f t="shared" si="2"/>
        <v>1.7410242061739269</v>
      </c>
    </row>
    <row r="39" spans="1:3" x14ac:dyDescent="0.25">
      <c r="A39">
        <v>29</v>
      </c>
      <c r="B39">
        <f t="shared" si="0"/>
        <v>1.58</v>
      </c>
      <c r="C39">
        <f t="shared" si="2"/>
        <v>1.7758446902974052</v>
      </c>
    </row>
    <row r="40" spans="1:3" x14ac:dyDescent="0.25">
      <c r="A40">
        <v>30</v>
      </c>
      <c r="B40">
        <f t="shared" si="0"/>
        <v>1.6</v>
      </c>
      <c r="C40">
        <f t="shared" si="2"/>
        <v>1.8113615841033535</v>
      </c>
    </row>
    <row r="41" spans="1:3" x14ac:dyDescent="0.25">
      <c r="A41">
        <v>31</v>
      </c>
      <c r="B41">
        <f t="shared" si="0"/>
        <v>1.62</v>
      </c>
      <c r="C41">
        <f t="shared" si="2"/>
        <v>1.8475888157854201</v>
      </c>
    </row>
    <row r="42" spans="1:3" x14ac:dyDescent="0.25">
      <c r="A42">
        <v>32</v>
      </c>
      <c r="B42">
        <f t="shared" si="0"/>
        <v>1.6400000000000001</v>
      </c>
      <c r="C42">
        <f t="shared" si="2"/>
        <v>1.8845405921011289</v>
      </c>
    </row>
    <row r="43" spans="1:3" x14ac:dyDescent="0.25">
      <c r="A43">
        <v>33</v>
      </c>
      <c r="B43">
        <f t="shared" si="0"/>
        <v>1.6600000000000001</v>
      </c>
      <c r="C43">
        <f t="shared" si="2"/>
        <v>1.9222314039431516</v>
      </c>
    </row>
    <row r="44" spans="1:3" x14ac:dyDescent="0.25">
      <c r="A44">
        <v>34</v>
      </c>
      <c r="B44">
        <f t="shared" si="0"/>
        <v>1.6800000000000002</v>
      </c>
      <c r="C44">
        <f t="shared" si="2"/>
        <v>1.9606760320220145</v>
      </c>
    </row>
    <row r="45" spans="1:3" x14ac:dyDescent="0.25">
      <c r="A45">
        <v>35</v>
      </c>
      <c r="B45">
        <f t="shared" si="0"/>
        <v>1.7000000000000002</v>
      </c>
      <c r="C45">
        <f t="shared" si="2"/>
        <v>1.9998895526624547</v>
      </c>
    </row>
    <row r="46" spans="1:3" x14ac:dyDescent="0.25">
      <c r="A46">
        <v>36</v>
      </c>
      <c r="B46">
        <f t="shared" si="0"/>
        <v>1.72</v>
      </c>
      <c r="C46">
        <f t="shared" si="2"/>
        <v>2.0398873437157037</v>
      </c>
    </row>
    <row r="47" spans="1:3" x14ac:dyDescent="0.25">
      <c r="A47">
        <v>37</v>
      </c>
      <c r="B47">
        <f t="shared" si="0"/>
        <v>1.74</v>
      </c>
      <c r="C47">
        <f t="shared" si="2"/>
        <v>2.080685090590018</v>
      </c>
    </row>
    <row r="48" spans="1:3" x14ac:dyDescent="0.25">
      <c r="A48">
        <v>38</v>
      </c>
      <c r="B48">
        <f t="shared" si="0"/>
        <v>1.76</v>
      </c>
      <c r="C48">
        <f t="shared" si="2"/>
        <v>2.1222987924018186</v>
      </c>
    </row>
    <row r="49" spans="1:3" x14ac:dyDescent="0.25">
      <c r="A49">
        <v>39</v>
      </c>
      <c r="B49">
        <f t="shared" si="0"/>
        <v>1.78</v>
      </c>
      <c r="C49">
        <f t="shared" si="2"/>
        <v>2.1647447682498542</v>
      </c>
    </row>
    <row r="50" spans="1:3" x14ac:dyDescent="0.25">
      <c r="A50">
        <v>40</v>
      </c>
      <c r="B50">
        <f t="shared" si="0"/>
        <v>1.8</v>
      </c>
      <c r="C50">
        <f t="shared" si="2"/>
        <v>2.2080396636148518</v>
      </c>
    </row>
    <row r="51" spans="1:3" x14ac:dyDescent="0.25">
      <c r="A51">
        <v>41</v>
      </c>
      <c r="B51">
        <f t="shared" si="0"/>
        <v>1.82</v>
      </c>
      <c r="C51">
        <f t="shared" si="2"/>
        <v>2.2522004568871488</v>
      </c>
    </row>
    <row r="52" spans="1:3" x14ac:dyDescent="0.25">
      <c r="A52">
        <v>42</v>
      </c>
      <c r="B52">
        <f t="shared" si="0"/>
        <v>1.8399999999999999</v>
      </c>
      <c r="C52">
        <f t="shared" ref="C52:C115" si="3">+$C$7*(1+$C$8)^A52</f>
        <v>2.2972444660248916</v>
      </c>
    </row>
    <row r="53" spans="1:3" x14ac:dyDescent="0.25">
      <c r="A53">
        <v>43</v>
      </c>
      <c r="B53">
        <f t="shared" si="0"/>
        <v>1.8599999999999999</v>
      </c>
      <c r="C53">
        <f t="shared" si="3"/>
        <v>2.3431893553453893</v>
      </c>
    </row>
    <row r="54" spans="1:3" x14ac:dyDescent="0.25">
      <c r="A54">
        <v>44</v>
      </c>
      <c r="B54">
        <f t="shared" si="0"/>
        <v>1.88</v>
      </c>
      <c r="C54">
        <f t="shared" si="3"/>
        <v>2.3900531424522975</v>
      </c>
    </row>
    <row r="55" spans="1:3" x14ac:dyDescent="0.25">
      <c r="A55">
        <v>45</v>
      </c>
      <c r="B55">
        <f t="shared" si="0"/>
        <v>1.9</v>
      </c>
      <c r="C55">
        <f t="shared" si="3"/>
        <v>2.4378542053013432</v>
      </c>
    </row>
    <row r="56" spans="1:3" x14ac:dyDescent="0.25">
      <c r="A56">
        <v>46</v>
      </c>
      <c r="B56">
        <f t="shared" si="0"/>
        <v>1.92</v>
      </c>
      <c r="C56">
        <f t="shared" si="3"/>
        <v>2.4866112894073704</v>
      </c>
    </row>
    <row r="57" spans="1:3" x14ac:dyDescent="0.25">
      <c r="A57">
        <v>47</v>
      </c>
      <c r="B57">
        <f t="shared" si="0"/>
        <v>1.94</v>
      </c>
      <c r="C57">
        <f t="shared" si="3"/>
        <v>2.5363435151955169</v>
      </c>
    </row>
    <row r="58" spans="1:3" x14ac:dyDescent="0.25">
      <c r="A58">
        <v>48</v>
      </c>
      <c r="B58">
        <f t="shared" si="0"/>
        <v>1.96</v>
      </c>
      <c r="C58">
        <f t="shared" si="3"/>
        <v>2.5870703854994277</v>
      </c>
    </row>
    <row r="59" spans="1:3" x14ac:dyDescent="0.25">
      <c r="A59">
        <v>49</v>
      </c>
      <c r="B59">
        <f t="shared" si="0"/>
        <v>1.98</v>
      </c>
      <c r="C59">
        <f t="shared" si="3"/>
        <v>2.6388117932094164</v>
      </c>
    </row>
    <row r="60" spans="1:3" x14ac:dyDescent="0.25">
      <c r="A60">
        <v>50</v>
      </c>
      <c r="B60">
        <f t="shared" si="0"/>
        <v>2</v>
      </c>
      <c r="C60">
        <f t="shared" si="3"/>
        <v>2.6915880290736047</v>
      </c>
    </row>
    <row r="61" spans="1:3" x14ac:dyDescent="0.25">
      <c r="A61">
        <v>51</v>
      </c>
      <c r="B61">
        <f t="shared" si="0"/>
        <v>2.02</v>
      </c>
      <c r="C61">
        <f t="shared" si="3"/>
        <v>2.7454197896550765</v>
      </c>
    </row>
    <row r="62" spans="1:3" x14ac:dyDescent="0.25">
      <c r="A62">
        <v>52</v>
      </c>
      <c r="B62">
        <f t="shared" si="0"/>
        <v>2.04</v>
      </c>
      <c r="C62">
        <f t="shared" si="3"/>
        <v>2.8003281854481785</v>
      </c>
    </row>
    <row r="63" spans="1:3" x14ac:dyDescent="0.25">
      <c r="A63">
        <v>53</v>
      </c>
      <c r="B63">
        <f t="shared" si="0"/>
        <v>2.06</v>
      </c>
      <c r="C63">
        <f t="shared" si="3"/>
        <v>2.8563347491571416</v>
      </c>
    </row>
    <row r="64" spans="1:3" x14ac:dyDescent="0.25">
      <c r="A64">
        <v>54</v>
      </c>
      <c r="B64">
        <f t="shared" si="0"/>
        <v>2.08</v>
      </c>
      <c r="C64">
        <f t="shared" si="3"/>
        <v>2.9134614441402849</v>
      </c>
    </row>
    <row r="65" spans="1:3" x14ac:dyDescent="0.25">
      <c r="A65">
        <v>55</v>
      </c>
      <c r="B65">
        <f t="shared" si="0"/>
        <v>2.1</v>
      </c>
      <c r="C65">
        <f t="shared" si="3"/>
        <v>2.9717306730230897</v>
      </c>
    </row>
    <row r="66" spans="1:3" x14ac:dyDescent="0.25">
      <c r="A66">
        <v>56</v>
      </c>
      <c r="B66">
        <f t="shared" si="0"/>
        <v>2.12</v>
      </c>
      <c r="C66">
        <f t="shared" si="3"/>
        <v>3.0311652864835517</v>
      </c>
    </row>
    <row r="67" spans="1:3" x14ac:dyDescent="0.25">
      <c r="A67">
        <v>57</v>
      </c>
      <c r="B67">
        <f t="shared" si="0"/>
        <v>2.14</v>
      </c>
      <c r="C67">
        <f t="shared" si="3"/>
        <v>3.0917885922132227</v>
      </c>
    </row>
    <row r="68" spans="1:3" x14ac:dyDescent="0.25">
      <c r="A68">
        <v>58</v>
      </c>
      <c r="B68">
        <f t="shared" si="0"/>
        <v>2.16</v>
      </c>
      <c r="C68">
        <f t="shared" si="3"/>
        <v>3.1536243640574875</v>
      </c>
    </row>
    <row r="69" spans="1:3" x14ac:dyDescent="0.25">
      <c r="A69">
        <v>59</v>
      </c>
      <c r="B69">
        <f t="shared" si="0"/>
        <v>2.1799999999999997</v>
      </c>
      <c r="C69">
        <f t="shared" si="3"/>
        <v>3.2166968513386367</v>
      </c>
    </row>
    <row r="70" spans="1:3" x14ac:dyDescent="0.25">
      <c r="A70">
        <v>60</v>
      </c>
      <c r="B70">
        <f t="shared" si="0"/>
        <v>2.2000000000000002</v>
      </c>
      <c r="C70">
        <f t="shared" si="3"/>
        <v>3.2810307883654102</v>
      </c>
    </row>
    <row r="71" spans="1:3" x14ac:dyDescent="0.25">
      <c r="A71">
        <v>61</v>
      </c>
      <c r="B71">
        <f t="shared" si="0"/>
        <v>2.2199999999999998</v>
      </c>
      <c r="C71">
        <f t="shared" si="3"/>
        <v>3.346651404132718</v>
      </c>
    </row>
    <row r="72" spans="1:3" x14ac:dyDescent="0.25">
      <c r="A72">
        <v>62</v>
      </c>
      <c r="B72">
        <f t="shared" si="0"/>
        <v>2.2400000000000002</v>
      </c>
      <c r="C72">
        <f t="shared" si="3"/>
        <v>3.4135844322153726</v>
      </c>
    </row>
    <row r="73" spans="1:3" x14ac:dyDescent="0.25">
      <c r="A73">
        <v>63</v>
      </c>
      <c r="B73">
        <f t="shared" si="0"/>
        <v>2.2599999999999998</v>
      </c>
      <c r="C73">
        <f t="shared" si="3"/>
        <v>3.4818561208596792</v>
      </c>
    </row>
    <row r="74" spans="1:3" x14ac:dyDescent="0.25">
      <c r="A74">
        <v>64</v>
      </c>
      <c r="B74">
        <f t="shared" si="0"/>
        <v>2.2800000000000002</v>
      </c>
      <c r="C74">
        <f t="shared" si="3"/>
        <v>3.5514932432768735</v>
      </c>
    </row>
    <row r="75" spans="1:3" x14ac:dyDescent="0.25">
      <c r="A75">
        <v>65</v>
      </c>
      <c r="B75">
        <f t="shared" si="0"/>
        <v>2.2999999999999998</v>
      </c>
      <c r="C75">
        <f t="shared" si="3"/>
        <v>3.6225231081424112</v>
      </c>
    </row>
    <row r="76" spans="1:3" x14ac:dyDescent="0.25">
      <c r="A76">
        <v>66</v>
      </c>
      <c r="B76">
        <f t="shared" ref="B76:B119" si="4">+$C$7*(1+$C$8*A76)</f>
        <v>2.3200000000000003</v>
      </c>
      <c r="C76">
        <f t="shared" si="3"/>
        <v>3.6949735703052591</v>
      </c>
    </row>
    <row r="77" spans="1:3" x14ac:dyDescent="0.25">
      <c r="A77">
        <v>67</v>
      </c>
      <c r="B77">
        <f t="shared" si="4"/>
        <v>2.34</v>
      </c>
      <c r="C77">
        <f t="shared" si="3"/>
        <v>3.7688730417113643</v>
      </c>
    </row>
    <row r="78" spans="1:3" x14ac:dyDescent="0.25">
      <c r="A78">
        <v>68</v>
      </c>
      <c r="B78">
        <f t="shared" si="4"/>
        <v>2.3600000000000003</v>
      </c>
      <c r="C78">
        <f t="shared" si="3"/>
        <v>3.8442505025455915</v>
      </c>
    </row>
    <row r="79" spans="1:3" x14ac:dyDescent="0.25">
      <c r="A79">
        <v>69</v>
      </c>
      <c r="B79">
        <f t="shared" si="4"/>
        <v>2.38</v>
      </c>
      <c r="C79">
        <f t="shared" si="3"/>
        <v>3.9211355125965035</v>
      </c>
    </row>
    <row r="80" spans="1:3" x14ac:dyDescent="0.25">
      <c r="A80">
        <v>70</v>
      </c>
      <c r="B80">
        <f t="shared" si="4"/>
        <v>2.4000000000000004</v>
      </c>
      <c r="C80">
        <f t="shared" si="3"/>
        <v>3.9995582228484339</v>
      </c>
    </row>
    <row r="81" spans="1:3" x14ac:dyDescent="0.25">
      <c r="A81">
        <v>71</v>
      </c>
      <c r="B81">
        <f t="shared" si="4"/>
        <v>2.42</v>
      </c>
      <c r="C81">
        <f t="shared" si="3"/>
        <v>4.0795493873054021</v>
      </c>
    </row>
    <row r="82" spans="1:3" x14ac:dyDescent="0.25">
      <c r="A82">
        <v>72</v>
      </c>
      <c r="B82">
        <f t="shared" si="4"/>
        <v>2.44</v>
      </c>
      <c r="C82">
        <f t="shared" si="3"/>
        <v>4.1611403750515104</v>
      </c>
    </row>
    <row r="83" spans="1:3" x14ac:dyDescent="0.25">
      <c r="A83">
        <v>73</v>
      </c>
      <c r="B83">
        <f t="shared" si="4"/>
        <v>2.46</v>
      </c>
      <c r="C83">
        <f t="shared" si="3"/>
        <v>4.2443631825525401</v>
      </c>
    </row>
    <row r="84" spans="1:3" x14ac:dyDescent="0.25">
      <c r="A84">
        <v>74</v>
      </c>
      <c r="B84">
        <f t="shared" si="4"/>
        <v>2.48</v>
      </c>
      <c r="C84">
        <f t="shared" si="3"/>
        <v>4.3292504462035915</v>
      </c>
    </row>
    <row r="85" spans="1:3" x14ac:dyDescent="0.25">
      <c r="A85">
        <v>75</v>
      </c>
      <c r="B85">
        <f t="shared" si="4"/>
        <v>2.5</v>
      </c>
      <c r="C85">
        <f t="shared" si="3"/>
        <v>4.4158354551276622</v>
      </c>
    </row>
    <row r="86" spans="1:3" x14ac:dyDescent="0.25">
      <c r="A86">
        <v>76</v>
      </c>
      <c r="B86">
        <f t="shared" si="4"/>
        <v>2.52</v>
      </c>
      <c r="C86">
        <f t="shared" si="3"/>
        <v>4.5041521642302165</v>
      </c>
    </row>
    <row r="87" spans="1:3" x14ac:dyDescent="0.25">
      <c r="A87">
        <v>77</v>
      </c>
      <c r="B87">
        <f t="shared" si="4"/>
        <v>2.54</v>
      </c>
      <c r="C87">
        <f t="shared" si="3"/>
        <v>4.5942352075148207</v>
      </c>
    </row>
    <row r="88" spans="1:3" x14ac:dyDescent="0.25">
      <c r="A88">
        <v>78</v>
      </c>
      <c r="B88">
        <f t="shared" si="4"/>
        <v>2.56</v>
      </c>
      <c r="C88">
        <f t="shared" si="3"/>
        <v>4.6861199116651173</v>
      </c>
    </row>
    <row r="89" spans="1:3" x14ac:dyDescent="0.25">
      <c r="A89">
        <v>79</v>
      </c>
      <c r="B89">
        <f t="shared" si="4"/>
        <v>2.58</v>
      </c>
      <c r="C89">
        <f t="shared" si="3"/>
        <v>4.7798423098984184</v>
      </c>
    </row>
    <row r="90" spans="1:3" x14ac:dyDescent="0.25">
      <c r="A90">
        <v>80</v>
      </c>
      <c r="B90">
        <f t="shared" si="4"/>
        <v>2.6</v>
      </c>
      <c r="C90">
        <f t="shared" si="3"/>
        <v>4.8754391560963874</v>
      </c>
    </row>
    <row r="91" spans="1:3" x14ac:dyDescent="0.25">
      <c r="A91">
        <v>81</v>
      </c>
      <c r="B91">
        <f t="shared" si="4"/>
        <v>2.62</v>
      </c>
      <c r="C91">
        <f t="shared" si="3"/>
        <v>4.9729479392183151</v>
      </c>
    </row>
    <row r="92" spans="1:3" x14ac:dyDescent="0.25">
      <c r="A92">
        <v>82</v>
      </c>
      <c r="B92">
        <f t="shared" si="4"/>
        <v>2.64</v>
      </c>
      <c r="C92">
        <f t="shared" si="3"/>
        <v>5.0724068980026811</v>
      </c>
    </row>
    <row r="93" spans="1:3" x14ac:dyDescent="0.25">
      <c r="A93">
        <v>83</v>
      </c>
      <c r="B93">
        <f t="shared" si="4"/>
        <v>2.66</v>
      </c>
      <c r="C93">
        <f t="shared" si="3"/>
        <v>5.1738550359627347</v>
      </c>
    </row>
    <row r="94" spans="1:3" x14ac:dyDescent="0.25">
      <c r="A94">
        <v>84</v>
      </c>
      <c r="B94">
        <f t="shared" si="4"/>
        <v>2.6799999999999997</v>
      </c>
      <c r="C94">
        <f t="shared" si="3"/>
        <v>5.2773321366819896</v>
      </c>
    </row>
    <row r="95" spans="1:3" x14ac:dyDescent="0.25">
      <c r="A95">
        <v>85</v>
      </c>
      <c r="B95">
        <f t="shared" si="4"/>
        <v>2.7</v>
      </c>
      <c r="C95">
        <f t="shared" si="3"/>
        <v>5.3828787794156296</v>
      </c>
    </row>
    <row r="96" spans="1:3" x14ac:dyDescent="0.25">
      <c r="A96">
        <v>86</v>
      </c>
      <c r="B96">
        <f t="shared" si="4"/>
        <v>2.7199999999999998</v>
      </c>
      <c r="C96">
        <f t="shared" si="3"/>
        <v>5.4905363550039423</v>
      </c>
    </row>
    <row r="97" spans="1:3" x14ac:dyDescent="0.25">
      <c r="A97">
        <v>87</v>
      </c>
      <c r="B97">
        <f t="shared" si="4"/>
        <v>2.74</v>
      </c>
      <c r="C97">
        <f t="shared" si="3"/>
        <v>5.6003470821040198</v>
      </c>
    </row>
    <row r="98" spans="1:3" x14ac:dyDescent="0.25">
      <c r="A98">
        <v>88</v>
      </c>
      <c r="B98">
        <f t="shared" si="4"/>
        <v>2.76</v>
      </c>
      <c r="C98">
        <f t="shared" si="3"/>
        <v>5.7123540237461006</v>
      </c>
    </row>
    <row r="99" spans="1:3" x14ac:dyDescent="0.25">
      <c r="A99">
        <v>89</v>
      </c>
      <c r="B99">
        <f t="shared" si="4"/>
        <v>2.7800000000000002</v>
      </c>
      <c r="C99">
        <f t="shared" si="3"/>
        <v>5.8266011042210231</v>
      </c>
    </row>
    <row r="100" spans="1:3" x14ac:dyDescent="0.25">
      <c r="A100">
        <v>90</v>
      </c>
      <c r="B100">
        <f t="shared" si="4"/>
        <v>2.8</v>
      </c>
      <c r="C100">
        <f t="shared" si="3"/>
        <v>5.9431331263054439</v>
      </c>
    </row>
    <row r="101" spans="1:3" x14ac:dyDescent="0.25">
      <c r="A101">
        <v>91</v>
      </c>
      <c r="B101">
        <f t="shared" si="4"/>
        <v>2.8200000000000003</v>
      </c>
      <c r="C101">
        <f t="shared" si="3"/>
        <v>6.0619957888315517</v>
      </c>
    </row>
    <row r="102" spans="1:3" x14ac:dyDescent="0.25">
      <c r="A102">
        <v>92</v>
      </c>
      <c r="B102">
        <f t="shared" si="4"/>
        <v>2.84</v>
      </c>
      <c r="C102">
        <f t="shared" si="3"/>
        <v>6.1832357046081841</v>
      </c>
    </row>
    <row r="103" spans="1:3" x14ac:dyDescent="0.25">
      <c r="A103">
        <v>93</v>
      </c>
      <c r="B103">
        <f t="shared" si="4"/>
        <v>2.8600000000000003</v>
      </c>
      <c r="C103">
        <f t="shared" si="3"/>
        <v>6.306900418700347</v>
      </c>
    </row>
    <row r="104" spans="1:3" x14ac:dyDescent="0.25">
      <c r="A104">
        <v>94</v>
      </c>
      <c r="B104">
        <f t="shared" si="4"/>
        <v>2.88</v>
      </c>
      <c r="C104">
        <f t="shared" si="3"/>
        <v>6.4330384270743544</v>
      </c>
    </row>
    <row r="105" spans="1:3" x14ac:dyDescent="0.25">
      <c r="A105">
        <v>95</v>
      </c>
      <c r="B105">
        <f t="shared" si="4"/>
        <v>2.9000000000000004</v>
      </c>
      <c r="C105">
        <f t="shared" si="3"/>
        <v>6.5616991956158399</v>
      </c>
    </row>
    <row r="106" spans="1:3" x14ac:dyDescent="0.25">
      <c r="A106">
        <v>96</v>
      </c>
      <c r="B106">
        <f t="shared" si="4"/>
        <v>2.92</v>
      </c>
      <c r="C106">
        <f t="shared" si="3"/>
        <v>6.6929331795281577</v>
      </c>
    </row>
    <row r="107" spans="1:3" x14ac:dyDescent="0.25">
      <c r="A107">
        <v>97</v>
      </c>
      <c r="B107">
        <f t="shared" si="4"/>
        <v>2.94</v>
      </c>
      <c r="C107">
        <f t="shared" si="3"/>
        <v>6.8267918431187216</v>
      </c>
    </row>
    <row r="108" spans="1:3" x14ac:dyDescent="0.25">
      <c r="A108">
        <v>98</v>
      </c>
      <c r="B108">
        <f t="shared" si="4"/>
        <v>2.96</v>
      </c>
      <c r="C108">
        <f t="shared" si="3"/>
        <v>6.963327679981095</v>
      </c>
    </row>
    <row r="109" spans="1:3" x14ac:dyDescent="0.25">
      <c r="A109">
        <v>99</v>
      </c>
      <c r="B109">
        <f t="shared" si="4"/>
        <v>2.98</v>
      </c>
      <c r="C109">
        <f t="shared" si="3"/>
        <v>7.1025942335807173</v>
      </c>
    </row>
    <row r="110" spans="1:3" x14ac:dyDescent="0.25">
      <c r="A110">
        <v>100</v>
      </c>
      <c r="B110">
        <f t="shared" si="4"/>
        <v>3</v>
      </c>
      <c r="C110">
        <f t="shared" si="3"/>
        <v>7.244646118252331</v>
      </c>
    </row>
    <row r="111" spans="1:3" x14ac:dyDescent="0.25">
      <c r="A111">
        <v>101</v>
      </c>
      <c r="B111">
        <f t="shared" si="4"/>
        <v>3.02</v>
      </c>
      <c r="C111">
        <f t="shared" si="3"/>
        <v>7.3895390406173789</v>
      </c>
    </row>
    <row r="112" spans="1:3" x14ac:dyDescent="0.25">
      <c r="A112">
        <v>102</v>
      </c>
      <c r="B112">
        <f t="shared" si="4"/>
        <v>3.04</v>
      </c>
      <c r="C112">
        <f t="shared" si="3"/>
        <v>7.5373298214297266</v>
      </c>
    </row>
    <row r="113" spans="1:3" x14ac:dyDescent="0.25">
      <c r="A113">
        <v>103</v>
      </c>
      <c r="B113">
        <f t="shared" si="4"/>
        <v>3.06</v>
      </c>
      <c r="C113">
        <f t="shared" si="3"/>
        <v>7.6880764178583183</v>
      </c>
    </row>
    <row r="114" spans="1:3" x14ac:dyDescent="0.25">
      <c r="A114">
        <v>104</v>
      </c>
      <c r="B114">
        <f t="shared" si="4"/>
        <v>3.08</v>
      </c>
      <c r="C114">
        <f t="shared" si="3"/>
        <v>7.8418379462154872</v>
      </c>
    </row>
    <row r="115" spans="1:3" x14ac:dyDescent="0.25">
      <c r="A115">
        <v>105</v>
      </c>
      <c r="B115">
        <f t="shared" si="4"/>
        <v>3.1</v>
      </c>
      <c r="C115">
        <f t="shared" si="3"/>
        <v>7.9986747051397966</v>
      </c>
    </row>
    <row r="116" spans="1:3" x14ac:dyDescent="0.25">
      <c r="A116">
        <v>106</v>
      </c>
      <c r="B116">
        <f t="shared" si="4"/>
        <v>3.12</v>
      </c>
      <c r="C116">
        <f t="shared" ref="C116:C119" si="5">+$C$7*(1+$C$8)^A116</f>
        <v>8.1586481992425917</v>
      </c>
    </row>
    <row r="117" spans="1:3" x14ac:dyDescent="0.25">
      <c r="A117">
        <v>107</v>
      </c>
      <c r="B117">
        <f t="shared" si="4"/>
        <v>3.14</v>
      </c>
      <c r="C117">
        <f t="shared" si="5"/>
        <v>8.3218211632274439</v>
      </c>
    </row>
    <row r="118" spans="1:3" x14ac:dyDescent="0.25">
      <c r="A118">
        <v>108</v>
      </c>
      <c r="B118">
        <f t="shared" si="4"/>
        <v>3.16</v>
      </c>
      <c r="C118">
        <f t="shared" si="5"/>
        <v>8.4882575864919936</v>
      </c>
    </row>
    <row r="119" spans="1:3" x14ac:dyDescent="0.25">
      <c r="A119">
        <v>109</v>
      </c>
      <c r="B119">
        <f t="shared" si="4"/>
        <v>3.18</v>
      </c>
      <c r="C119">
        <f t="shared" si="5"/>
        <v>8.6580227382218329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EED0-3910-4B82-B39E-062A88A3F9D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BC25-F823-499A-881B-ED0CB30C6DEF}">
  <dimension ref="A1:D12"/>
  <sheetViews>
    <sheetView showGridLines="0" zoomScale="178" zoomScaleNormal="178" workbookViewId="0">
      <selection activeCell="F8" sqref="F8"/>
    </sheetView>
  </sheetViews>
  <sheetFormatPr defaultRowHeight="15" x14ac:dyDescent="0.25"/>
  <cols>
    <col min="1" max="1" width="20.28515625" bestFit="1" customWidth="1"/>
    <col min="2" max="3" width="9.42578125" bestFit="1" customWidth="1"/>
  </cols>
  <sheetData>
    <row r="1" spans="1:4" x14ac:dyDescent="0.25">
      <c r="B1" s="22"/>
      <c r="C1" s="22"/>
    </row>
    <row r="2" spans="1:4" x14ac:dyDescent="0.25">
      <c r="C2" t="s">
        <v>44</v>
      </c>
    </row>
    <row r="3" spans="1:4" x14ac:dyDescent="0.25">
      <c r="A3" s="2" t="s">
        <v>6</v>
      </c>
      <c r="B3" s="2">
        <v>100</v>
      </c>
      <c r="C3" s="2">
        <v>100</v>
      </c>
    </row>
    <row r="4" spans="1:4" x14ac:dyDescent="0.25">
      <c r="A4" s="2" t="s">
        <v>7</v>
      </c>
      <c r="B4" s="5">
        <f>+FV(B7,B6,,B3,)</f>
        <v>-179.58563260221291</v>
      </c>
      <c r="C4" s="5">
        <f>+FV(C7,C6,,C3,)</f>
        <v>-105</v>
      </c>
    </row>
    <row r="5" spans="1:4" x14ac:dyDescent="0.25">
      <c r="A5" s="2" t="s">
        <v>40</v>
      </c>
      <c r="B5" s="2" t="s">
        <v>37</v>
      </c>
      <c r="C5" s="2" t="s">
        <v>37</v>
      </c>
    </row>
    <row r="6" spans="1:4" x14ac:dyDescent="0.25">
      <c r="A6" s="2" t="s">
        <v>0</v>
      </c>
      <c r="B6" s="2">
        <v>12</v>
      </c>
      <c r="C6" s="2">
        <v>1</v>
      </c>
    </row>
    <row r="7" spans="1:4" x14ac:dyDescent="0.25">
      <c r="A7" s="2" t="s">
        <v>25</v>
      </c>
      <c r="B7" s="7">
        <v>0.05</v>
      </c>
      <c r="C7" s="7">
        <v>0.05</v>
      </c>
    </row>
    <row r="8" spans="1:4" x14ac:dyDescent="0.25">
      <c r="A8" s="2" t="s">
        <v>39</v>
      </c>
      <c r="B8" s="2" t="s">
        <v>38</v>
      </c>
      <c r="C8" s="2" t="s">
        <v>38</v>
      </c>
    </row>
    <row r="9" spans="1:4" x14ac:dyDescent="0.25">
      <c r="A9" s="2" t="s">
        <v>0</v>
      </c>
      <c r="B9" s="2">
        <v>1</v>
      </c>
      <c r="C9" s="27">
        <v>8.3333333333333329E-2</v>
      </c>
      <c r="D9" s="26"/>
    </row>
    <row r="10" spans="1:4" x14ac:dyDescent="0.25">
      <c r="A10" s="2" t="s">
        <v>25</v>
      </c>
      <c r="B10" s="28">
        <f>+RATE(B9,,B3,B4,,)</f>
        <v>0.79585632602212919</v>
      </c>
      <c r="C10" s="28">
        <f>+RATE(C9,,C3,C4,,)</f>
        <v>0.79585632602202871</v>
      </c>
    </row>
    <row r="11" spans="1:4" x14ac:dyDescent="0.25">
      <c r="A11" s="11" t="s">
        <v>43</v>
      </c>
      <c r="B11" s="2"/>
      <c r="C11" s="2"/>
    </row>
    <row r="12" spans="1:4" x14ac:dyDescent="0.25">
      <c r="A12" s="11" t="s">
        <v>7</v>
      </c>
      <c r="B12" s="5">
        <f>+FV(B10,B9,,B3)</f>
        <v>-179.58563260221291</v>
      </c>
      <c r="C12" s="5">
        <f>+FV(C10,C9,,C3)</f>
        <v>-104.99999999999952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0EA5-30D4-46F3-86CD-317FBD40EE4F}">
  <dimension ref="A11:N23"/>
  <sheetViews>
    <sheetView showGridLines="0" workbookViewId="0">
      <selection activeCell="E11" sqref="E11"/>
    </sheetView>
  </sheetViews>
  <sheetFormatPr defaultRowHeight="15" x14ac:dyDescent="0.25"/>
  <cols>
    <col min="4" max="4" width="15" bestFit="1" customWidth="1"/>
  </cols>
  <sheetData>
    <row r="11" spans="1:4" x14ac:dyDescent="0.25">
      <c r="A11" s="2"/>
      <c r="B11" s="2" t="s">
        <v>45</v>
      </c>
      <c r="C11" s="7">
        <v>0.02</v>
      </c>
      <c r="D11" s="32" t="s">
        <v>46</v>
      </c>
    </row>
    <row r="12" spans="1:4" x14ac:dyDescent="0.25">
      <c r="A12" s="2"/>
      <c r="B12" s="2" t="s">
        <v>0</v>
      </c>
      <c r="C12" s="2">
        <v>1</v>
      </c>
      <c r="D12" s="31">
        <f>+(1+C11)^(1/252)-1</f>
        <v>7.8584941984649603E-5</v>
      </c>
    </row>
    <row r="13" spans="1:4" x14ac:dyDescent="0.25">
      <c r="A13" s="2"/>
      <c r="B13" s="2" t="s">
        <v>0</v>
      </c>
      <c r="C13" s="2">
        <v>21</v>
      </c>
      <c r="D13" s="31">
        <f>+(1+C11)^(C13/252)-1</f>
        <v>1.6515813019202241E-3</v>
      </c>
    </row>
    <row r="23" spans="14:14" ht="27" x14ac:dyDescent="0.25">
      <c r="N23" s="30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02DA-90CD-44B8-B4C7-E2EE9B5D1B4E}">
  <dimension ref="A4:P26"/>
  <sheetViews>
    <sheetView showGridLines="0" zoomScale="80" zoomScaleNormal="80" workbookViewId="0">
      <selection activeCell="J38" sqref="J38"/>
    </sheetView>
  </sheetViews>
  <sheetFormatPr defaultRowHeight="15" x14ac:dyDescent="0.25"/>
  <cols>
    <col min="1" max="1" width="14" customWidth="1"/>
    <col min="2" max="2" width="14.28515625" customWidth="1"/>
    <col min="3" max="4" width="15.28515625" customWidth="1"/>
    <col min="6" max="6" width="14.7109375" customWidth="1"/>
    <col min="7" max="7" width="13.7109375" bestFit="1" customWidth="1"/>
    <col min="8" max="8" width="14.140625" customWidth="1"/>
    <col min="9" max="9" width="8.42578125" customWidth="1"/>
    <col min="10" max="12" width="14.140625" customWidth="1"/>
  </cols>
  <sheetData>
    <row r="4" spans="1:12" x14ac:dyDescent="0.25">
      <c r="A4" t="s">
        <v>58</v>
      </c>
      <c r="B4" t="s">
        <v>55</v>
      </c>
      <c r="F4" t="s">
        <v>59</v>
      </c>
      <c r="G4" t="s">
        <v>60</v>
      </c>
      <c r="J4" t="s">
        <v>64</v>
      </c>
      <c r="K4" t="s">
        <v>63</v>
      </c>
    </row>
    <row r="5" spans="1:12" x14ac:dyDescent="0.25">
      <c r="A5" s="2" t="s">
        <v>56</v>
      </c>
      <c r="B5" s="2" t="s">
        <v>57</v>
      </c>
      <c r="C5" s="2" t="s">
        <v>61</v>
      </c>
      <c r="D5" s="12"/>
      <c r="F5" s="2" t="s">
        <v>56</v>
      </c>
      <c r="G5" s="2" t="s">
        <v>57</v>
      </c>
      <c r="H5" s="2" t="s">
        <v>61</v>
      </c>
      <c r="I5" s="12"/>
      <c r="J5" s="2" t="s">
        <v>56</v>
      </c>
      <c r="K5" s="2" t="s">
        <v>57</v>
      </c>
      <c r="L5" s="2" t="s">
        <v>61</v>
      </c>
    </row>
    <row r="6" spans="1:12" x14ac:dyDescent="0.25">
      <c r="A6" s="2" t="s">
        <v>47</v>
      </c>
      <c r="B6" s="3">
        <v>3.8E-3</v>
      </c>
      <c r="C6" s="34">
        <f>+(1+B6)</f>
        <v>1.0038</v>
      </c>
      <c r="D6" s="36"/>
      <c r="F6" s="33">
        <v>43831</v>
      </c>
      <c r="G6" s="23">
        <v>4.7999999999999996E-3</v>
      </c>
      <c r="H6" s="34">
        <f>+(1+G6)</f>
        <v>1.0047999999999999</v>
      </c>
      <c r="I6" s="36"/>
      <c r="J6" s="33">
        <v>43831</v>
      </c>
      <c r="K6" s="23">
        <v>2.0999999999999999E-3</v>
      </c>
      <c r="L6" s="34">
        <f>+(1+K6)</f>
        <v>1.0021</v>
      </c>
    </row>
    <row r="7" spans="1:12" x14ac:dyDescent="0.25">
      <c r="A7" s="2" t="s">
        <v>48</v>
      </c>
      <c r="B7" s="3">
        <v>2.8999999999999998E-3</v>
      </c>
      <c r="C7" s="34">
        <f>+C6*(1+B7)</f>
        <v>1.00671102</v>
      </c>
      <c r="D7" s="36"/>
      <c r="F7" s="33">
        <v>43862</v>
      </c>
      <c r="G7" s="23">
        <v>-4.0000000000000002E-4</v>
      </c>
      <c r="H7" s="34">
        <f>+(1+G7)*H6</f>
        <v>1.0043980799999999</v>
      </c>
      <c r="I7" s="36"/>
      <c r="J7" s="33">
        <v>43862</v>
      </c>
      <c r="K7" s="23">
        <v>2.5000000000000001E-3</v>
      </c>
      <c r="L7" s="34">
        <f>+L6*(1+K7)</f>
        <v>1.00460525</v>
      </c>
    </row>
    <row r="8" spans="1:12" x14ac:dyDescent="0.25">
      <c r="A8" s="2" t="s">
        <v>49</v>
      </c>
      <c r="B8" s="3">
        <v>3.3999999999999998E-3</v>
      </c>
      <c r="C8" s="34">
        <f>(1+B8)*C7</f>
        <v>1.010133837468</v>
      </c>
      <c r="D8" s="36"/>
      <c r="F8" s="33">
        <v>43891</v>
      </c>
      <c r="G8" s="23">
        <v>1.24E-2</v>
      </c>
      <c r="H8" s="34">
        <f t="shared" ref="H8:H13" si="0">+(1+G8)*H7</f>
        <v>1.0168526161919997</v>
      </c>
      <c r="I8" s="36"/>
      <c r="J8" s="33">
        <v>43891</v>
      </c>
      <c r="K8" s="23">
        <v>7.000000000000001E-4</v>
      </c>
      <c r="L8" s="34">
        <f t="shared" ref="L8:L13" si="1">+L7*(1+K8)</f>
        <v>1.005308473675</v>
      </c>
    </row>
    <row r="9" spans="1:12" x14ac:dyDescent="0.25">
      <c r="A9" s="2" t="s">
        <v>50</v>
      </c>
      <c r="B9" s="3">
        <v>2.8E-3</v>
      </c>
      <c r="C9" s="34">
        <f t="shared" ref="C9:C13" si="2">(1+B9)*C8</f>
        <v>1.0129622122129103</v>
      </c>
      <c r="D9" s="36"/>
      <c r="F9" s="33">
        <v>43922</v>
      </c>
      <c r="G9" s="23">
        <v>8.0000000000000002E-3</v>
      </c>
      <c r="H9" s="34">
        <f t="shared" si="0"/>
        <v>1.0249874371215357</v>
      </c>
      <c r="I9" s="36"/>
      <c r="J9" s="33">
        <v>43922</v>
      </c>
      <c r="K9" s="23">
        <v>-3.0999999999999999E-3</v>
      </c>
      <c r="L9" s="34">
        <f t="shared" si="1"/>
        <v>1.0021920174066075</v>
      </c>
    </row>
    <row r="10" spans="1:12" x14ac:dyDescent="0.25">
      <c r="A10" s="2" t="s">
        <v>51</v>
      </c>
      <c r="B10" s="3">
        <v>2.3999999999999998E-3</v>
      </c>
      <c r="C10" s="34">
        <f t="shared" si="2"/>
        <v>1.0153933215222213</v>
      </c>
      <c r="D10" s="36"/>
      <c r="F10" s="33">
        <v>43952</v>
      </c>
      <c r="G10" s="23">
        <v>2.8000000000000004E-3</v>
      </c>
      <c r="H10" s="34">
        <f t="shared" si="0"/>
        <v>1.027857401945476</v>
      </c>
      <c r="I10" s="36"/>
      <c r="J10" s="33">
        <v>43952</v>
      </c>
      <c r="K10" s="23">
        <v>-3.8E-3</v>
      </c>
      <c r="L10" s="34">
        <f t="shared" si="1"/>
        <v>0.99838368774046238</v>
      </c>
    </row>
    <row r="11" spans="1:12" x14ac:dyDescent="0.25">
      <c r="A11" s="2" t="s">
        <v>52</v>
      </c>
      <c r="B11" s="3">
        <v>2.0999999999999999E-3</v>
      </c>
      <c r="C11" s="34">
        <f t="shared" si="2"/>
        <v>1.0175256474974179</v>
      </c>
      <c r="D11" s="36"/>
      <c r="F11" s="33">
        <v>43983</v>
      </c>
      <c r="G11" s="23">
        <v>1.5600000000000001E-2</v>
      </c>
      <c r="H11" s="34">
        <f t="shared" si="0"/>
        <v>1.0438919774158255</v>
      </c>
      <c r="I11" s="36"/>
      <c r="J11" s="33">
        <v>43983</v>
      </c>
      <c r="K11" s="23">
        <v>2.5999999999999999E-3</v>
      </c>
      <c r="L11" s="34">
        <f t="shared" si="1"/>
        <v>1.0009794853285876</v>
      </c>
    </row>
    <row r="12" spans="1:12" x14ac:dyDescent="0.25">
      <c r="A12" s="2" t="s">
        <v>53</v>
      </c>
      <c r="B12" s="3">
        <v>1.9E-3</v>
      </c>
      <c r="C12" s="34">
        <f t="shared" si="2"/>
        <v>1.0194589462276631</v>
      </c>
      <c r="D12" s="36"/>
      <c r="F12" s="33">
        <v>44013</v>
      </c>
      <c r="G12" s="23">
        <v>2.23E-2</v>
      </c>
      <c r="H12" s="34">
        <f t="shared" si="0"/>
        <v>1.0671707685121985</v>
      </c>
      <c r="I12" s="36"/>
      <c r="J12" s="33">
        <v>44013</v>
      </c>
      <c r="K12" s="23">
        <v>3.5999999999999999E-3</v>
      </c>
      <c r="L12" s="34">
        <f t="shared" si="1"/>
        <v>1.0045830114757706</v>
      </c>
    </row>
    <row r="13" spans="1:12" ht="15.75" thickBot="1" x14ac:dyDescent="0.3">
      <c r="A13" s="39" t="s">
        <v>54</v>
      </c>
      <c r="B13" s="40">
        <v>1.6000000000000001E-3</v>
      </c>
      <c r="C13" s="34">
        <f t="shared" si="2"/>
        <v>1.0210900805416274</v>
      </c>
      <c r="D13" s="36"/>
      <c r="F13" s="47">
        <v>44044</v>
      </c>
      <c r="G13" s="48">
        <v>2.7400000000000001E-2</v>
      </c>
      <c r="H13" s="34">
        <f t="shared" si="0"/>
        <v>1.0964112475694328</v>
      </c>
      <c r="I13" s="36"/>
      <c r="J13" s="47">
        <v>44044</v>
      </c>
      <c r="K13" s="48">
        <v>2.3999999999999998E-3</v>
      </c>
      <c r="L13" s="49">
        <f t="shared" si="1"/>
        <v>1.0069940107033124</v>
      </c>
    </row>
    <row r="14" spans="1:12" x14ac:dyDescent="0.25">
      <c r="A14" s="41" t="s">
        <v>68</v>
      </c>
      <c r="B14" s="42"/>
      <c r="C14" s="43">
        <v>8</v>
      </c>
      <c r="D14" s="12"/>
      <c r="F14" s="41" t="s">
        <v>68</v>
      </c>
      <c r="G14" s="42"/>
      <c r="H14" s="43">
        <v>8</v>
      </c>
      <c r="J14" s="41" t="s">
        <v>68</v>
      </c>
      <c r="K14" s="42"/>
      <c r="L14" s="43">
        <v>8</v>
      </c>
    </row>
    <row r="15" spans="1:12" ht="15.75" thickBot="1" x14ac:dyDescent="0.3">
      <c r="A15" s="44" t="s">
        <v>62</v>
      </c>
      <c r="B15" s="45"/>
      <c r="C15" s="46">
        <f>+C13-1</f>
        <v>2.1090080541627421E-2</v>
      </c>
      <c r="D15" s="92"/>
      <c r="F15" s="44" t="s">
        <v>62</v>
      </c>
      <c r="G15" s="45"/>
      <c r="H15" s="50">
        <f>+H13-1</f>
        <v>9.6411247569432756E-2</v>
      </c>
      <c r="I15" s="35"/>
      <c r="J15" s="44" t="s">
        <v>62</v>
      </c>
      <c r="K15" s="45"/>
      <c r="L15" s="50">
        <f>+L13-1</f>
        <v>6.9940107033124033E-3</v>
      </c>
    </row>
    <row r="16" spans="1:12" ht="15.75" thickBot="1" x14ac:dyDescent="0.3"/>
    <row r="17" spans="1:16" ht="15.75" thickBot="1" x14ac:dyDescent="0.3">
      <c r="A17" s="15" t="s">
        <v>67</v>
      </c>
      <c r="B17" s="51">
        <f>(1+C15)^(1/C14)-1</f>
        <v>2.612251379548125E-3</v>
      </c>
      <c r="F17" s="15" t="s">
        <v>67</v>
      </c>
      <c r="G17" s="51">
        <f>+(1+H15)^(0.125)-1</f>
        <v>1.1571733448497712E-2</v>
      </c>
      <c r="J17" s="15" t="s">
        <v>67</v>
      </c>
      <c r="K17" s="51">
        <f>+L13^(1/L14)-1</f>
        <v>8.7158786910745967E-4</v>
      </c>
    </row>
    <row r="18" spans="1:16" x14ac:dyDescent="0.25">
      <c r="B18" s="37"/>
    </row>
    <row r="19" spans="1:16" ht="45" x14ac:dyDescent="0.25">
      <c r="A19" s="18" t="s">
        <v>66</v>
      </c>
      <c r="B19" s="38">
        <f>+(1+C15)/(1+H15)-1</f>
        <v>-6.8697915307582069E-2</v>
      </c>
      <c r="O19" s="90"/>
      <c r="P19" s="91"/>
    </row>
    <row r="20" spans="1:16" ht="30" x14ac:dyDescent="0.25">
      <c r="A20" s="18" t="s">
        <v>69</v>
      </c>
      <c r="B20" s="38">
        <f>+(1+B19)^(0.125)-1</f>
        <v>-8.8569913261674627E-3</v>
      </c>
      <c r="P20" s="91"/>
    </row>
    <row r="21" spans="1:16" ht="45" x14ac:dyDescent="0.25">
      <c r="A21" s="18" t="s">
        <v>65</v>
      </c>
      <c r="B21" s="38">
        <f>+C13/L13-1</f>
        <v>1.3998166511903998E-2</v>
      </c>
      <c r="P21" s="91"/>
    </row>
    <row r="22" spans="1:16" ht="30" x14ac:dyDescent="0.25">
      <c r="A22" s="18" t="s">
        <v>70</v>
      </c>
      <c r="B22" s="38">
        <f>+(1+B21)^(0.125)-1</f>
        <v>1.7391476904111691E-3</v>
      </c>
      <c r="P22" s="91"/>
    </row>
    <row r="23" spans="1:16" x14ac:dyDescent="0.25">
      <c r="P23" s="91"/>
    </row>
    <row r="24" spans="1:16" x14ac:dyDescent="0.25">
      <c r="P24" s="91"/>
    </row>
    <row r="25" spans="1:16" x14ac:dyDescent="0.25">
      <c r="P25" s="91"/>
    </row>
    <row r="26" spans="1:16" x14ac:dyDescent="0.25">
      <c r="O26" s="90"/>
      <c r="P26" s="9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A5FD420F81464C956217FC4389AD71" ma:contentTypeVersion="10" ma:contentTypeDescription="Crie um novo documento." ma:contentTypeScope="" ma:versionID="8ccfa961e971d8b7edc81d1edbe78e1f">
  <xsd:schema xmlns:xsd="http://www.w3.org/2001/XMLSchema" xmlns:xs="http://www.w3.org/2001/XMLSchema" xmlns:p="http://schemas.microsoft.com/office/2006/metadata/properties" xmlns:ns3="78dba49e-37d8-4878-8fce-a04dc8f90589" targetNamespace="http://schemas.microsoft.com/office/2006/metadata/properties" ma:root="true" ma:fieldsID="eff019868e5e89927366b8f2b33cf7b6" ns3:_="">
    <xsd:import namespace="78dba49e-37d8-4878-8fce-a04dc8f905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ba49e-37d8-4878-8fce-a04dc8f905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CE4EE6-C2B2-42B2-81B1-01D855DDB675}">
  <ds:schemaRefs>
    <ds:schemaRef ds:uri="http://purl.org/dc/elements/1.1/"/>
    <ds:schemaRef ds:uri="78dba49e-37d8-4878-8fce-a04dc8f90589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24A47BD-529A-4DAA-B9AF-4AA690CD50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A3B34A-D882-4905-AC87-F758DC5739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dba49e-37d8-4878-8fce-a04dc8f905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caso 1</vt:lpstr>
      <vt:lpstr>caso 2</vt:lpstr>
      <vt:lpstr>empréstimos</vt:lpstr>
      <vt:lpstr>proporcionalidade</vt:lpstr>
      <vt:lpstr>capitalizção simplesxcomposta</vt:lpstr>
      <vt:lpstr>Planilha1</vt:lpstr>
      <vt:lpstr>equivalência</vt:lpstr>
      <vt:lpstr>taxa over</vt:lpstr>
      <vt:lpstr>taxas variáveis e taxa real</vt:lpstr>
      <vt:lpstr>PGTO</vt:lpstr>
      <vt:lpstr>perpetuidade</vt:lpstr>
      <vt:lpstr>PRICE</vt:lpstr>
      <vt:lpstr>SAC</vt:lpstr>
      <vt:lpstr>SAC X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Universidade Federal</dc:creator>
  <cp:lastModifiedBy>Heloisa pinna Bernardo</cp:lastModifiedBy>
  <dcterms:created xsi:type="dcterms:W3CDTF">2020-09-14T17:19:02Z</dcterms:created>
  <dcterms:modified xsi:type="dcterms:W3CDTF">2020-09-25T03:45:58Z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0x010100DCA5FD420F81464C956217FC4389AD71</vt:lpwstr>
  </property>
</Properties>
</file>