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ESTUDIS\APP\Viabilidad_promocion\"/>
    </mc:Choice>
  </mc:AlternateContent>
  <xr:revisionPtr revIDLastSave="0" documentId="13_ncr:1_{81190080-C242-449E-9AF1-4FA2B0BDC794}" xr6:coauthVersionLast="47" xr6:coauthVersionMax="47" xr10:uidLastSave="{00000000-0000-0000-0000-000000000000}"/>
  <bookViews>
    <workbookView xWindow="-120" yWindow="-120" windowWidth="29040" windowHeight="15840" activeTab="2" xr2:uid="{198A80FC-B0D3-4197-8FD0-7182FE7EFF95}"/>
  </bookViews>
  <sheets>
    <sheet name="Opcion1" sheetId="3" r:id="rId1"/>
    <sheet name="Estático caso 5" sheetId="4" r:id="rId2"/>
    <sheet name="Presupuesto Tesorería def" sheetId="9" r:id="rId3"/>
    <sheet name="Dinamico caso 5" sheetId="5" r:id="rId4"/>
    <sheet name="Presupuesto Tesorería" sheetId="6" r:id="rId5"/>
    <sheet name="Presupuesto Tesorería %" sheetId="8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2" i="9" l="1"/>
  <c r="H72" i="9"/>
  <c r="H65" i="9"/>
  <c r="G65" i="9"/>
  <c r="E49" i="9"/>
  <c r="D20" i="9"/>
  <c r="E20" i="9"/>
  <c r="F20" i="9"/>
  <c r="G20" i="9"/>
  <c r="H20" i="9"/>
  <c r="I20" i="9"/>
  <c r="J20" i="9"/>
  <c r="K20" i="9"/>
  <c r="L20" i="9"/>
  <c r="C20" i="9"/>
  <c r="S32" i="9"/>
  <c r="T32" i="9"/>
  <c r="U32" i="9"/>
  <c r="V32" i="9"/>
  <c r="W32" i="9"/>
  <c r="X32" i="9"/>
  <c r="Y32" i="9"/>
  <c r="Z32" i="9"/>
  <c r="AA32" i="9"/>
  <c r="R32" i="9"/>
  <c r="S27" i="9"/>
  <c r="T27" i="9"/>
  <c r="U27" i="9"/>
  <c r="V27" i="9"/>
  <c r="W27" i="9"/>
  <c r="X27" i="9"/>
  <c r="Y27" i="9"/>
  <c r="Z27" i="9"/>
  <c r="AA27" i="9"/>
  <c r="S28" i="9"/>
  <c r="T28" i="9"/>
  <c r="U28" i="9"/>
  <c r="V28" i="9"/>
  <c r="W28" i="9"/>
  <c r="X28" i="9"/>
  <c r="Y28" i="9"/>
  <c r="Z28" i="9"/>
  <c r="AA28" i="9"/>
  <c r="S29" i="9"/>
  <c r="T29" i="9"/>
  <c r="U29" i="9"/>
  <c r="V29" i="9"/>
  <c r="W29" i="9"/>
  <c r="X29" i="9"/>
  <c r="Y29" i="9"/>
  <c r="Z29" i="9"/>
  <c r="AA29" i="9"/>
  <c r="S30" i="9"/>
  <c r="T30" i="9"/>
  <c r="U30" i="9"/>
  <c r="V30" i="9"/>
  <c r="W30" i="9"/>
  <c r="X30" i="9"/>
  <c r="Y30" i="9"/>
  <c r="Z30" i="9"/>
  <c r="AA30" i="9"/>
  <c r="S31" i="9"/>
  <c r="T31" i="9"/>
  <c r="U31" i="9"/>
  <c r="V31" i="9"/>
  <c r="W31" i="9"/>
  <c r="X31" i="9"/>
  <c r="Y31" i="9"/>
  <c r="Z31" i="9"/>
  <c r="AA31" i="9"/>
  <c r="R28" i="9"/>
  <c r="R29" i="9"/>
  <c r="R30" i="9"/>
  <c r="R31" i="9"/>
  <c r="R27" i="9"/>
  <c r="C49" i="4"/>
  <c r="B7" i="4"/>
  <c r="F7" i="4" s="1"/>
  <c r="G7" i="4" s="1"/>
  <c r="E7" i="4"/>
  <c r="B6" i="4"/>
  <c r="C17" i="9"/>
  <c r="C11" i="5"/>
  <c r="D11" i="5"/>
  <c r="E51" i="6"/>
  <c r="E58" i="6"/>
  <c r="D44" i="9"/>
  <c r="C44" i="9"/>
  <c r="C54" i="9" s="1"/>
  <c r="D52" i="9"/>
  <c r="L52" i="9"/>
  <c r="C52" i="9"/>
  <c r="I44" i="6"/>
  <c r="H44" i="6"/>
  <c r="E62" i="6"/>
  <c r="D62" i="6"/>
  <c r="E44" i="6"/>
  <c r="D44" i="6"/>
  <c r="G17" i="4"/>
  <c r="D51" i="6"/>
  <c r="B36" i="5"/>
  <c r="E13" i="6"/>
  <c r="F13" i="6"/>
  <c r="G13" i="6"/>
  <c r="H13" i="6"/>
  <c r="D54" i="9" l="1"/>
  <c r="E28" i="6"/>
  <c r="D39" i="6"/>
  <c r="C36" i="5"/>
  <c r="B25" i="5"/>
  <c r="D25" i="5"/>
  <c r="E25" i="5" s="1"/>
  <c r="E27" i="5" s="1"/>
  <c r="C25" i="5"/>
  <c r="D13" i="5" s="1"/>
  <c r="C19" i="8"/>
  <c r="D19" i="8"/>
  <c r="E19" i="8"/>
  <c r="F19" i="8"/>
  <c r="G19" i="8"/>
  <c r="H19" i="8"/>
  <c r="I19" i="8"/>
  <c r="J19" i="8"/>
  <c r="K19" i="8"/>
  <c r="L19" i="8"/>
  <c r="B19" i="8"/>
  <c r="L50" i="8"/>
  <c r="K50" i="8"/>
  <c r="J50" i="8"/>
  <c r="I50" i="8"/>
  <c r="H50" i="8"/>
  <c r="G50" i="8"/>
  <c r="F50" i="8"/>
  <c r="E50" i="8"/>
  <c r="D50" i="8"/>
  <c r="C50" i="8"/>
  <c r="B50" i="8"/>
  <c r="B25" i="8"/>
  <c r="C25" i="8"/>
  <c r="D25" i="8"/>
  <c r="E25" i="8"/>
  <c r="F25" i="8"/>
  <c r="G25" i="8"/>
  <c r="H25" i="8"/>
  <c r="I25" i="8"/>
  <c r="J25" i="8"/>
  <c r="K25" i="8"/>
  <c r="L25" i="8"/>
  <c r="B26" i="8"/>
  <c r="C26" i="8"/>
  <c r="D26" i="8"/>
  <c r="E26" i="8"/>
  <c r="F26" i="8"/>
  <c r="G26" i="8"/>
  <c r="H26" i="8"/>
  <c r="I26" i="8"/>
  <c r="J26" i="8"/>
  <c r="K26" i="8"/>
  <c r="L26" i="8"/>
  <c r="B27" i="8"/>
  <c r="C27" i="8"/>
  <c r="D27" i="8"/>
  <c r="E27" i="8"/>
  <c r="F27" i="8"/>
  <c r="G27" i="8"/>
  <c r="H27" i="8"/>
  <c r="I27" i="8"/>
  <c r="J27" i="8"/>
  <c r="K27" i="8"/>
  <c r="L27" i="8"/>
  <c r="B29" i="8"/>
  <c r="C29" i="8"/>
  <c r="D29" i="8"/>
  <c r="E29" i="8"/>
  <c r="F29" i="8"/>
  <c r="G29" i="8"/>
  <c r="H29" i="8"/>
  <c r="I29" i="8"/>
  <c r="J29" i="8"/>
  <c r="K29" i="8"/>
  <c r="L29" i="8"/>
  <c r="B33" i="8"/>
  <c r="C33" i="8"/>
  <c r="D33" i="8"/>
  <c r="E33" i="8"/>
  <c r="F33" i="8"/>
  <c r="G33" i="8"/>
  <c r="H33" i="8"/>
  <c r="I33" i="8"/>
  <c r="J33" i="8"/>
  <c r="K33" i="8"/>
  <c r="L33" i="8"/>
  <c r="L22" i="8"/>
  <c r="K22" i="8"/>
  <c r="J22" i="8"/>
  <c r="I22" i="8"/>
  <c r="H22" i="8"/>
  <c r="G22" i="8"/>
  <c r="F22" i="8"/>
  <c r="E22" i="8"/>
  <c r="D22" i="8"/>
  <c r="C22" i="8"/>
  <c r="B22" i="8"/>
  <c r="L21" i="8"/>
  <c r="K21" i="8"/>
  <c r="J21" i="8"/>
  <c r="I21" i="8"/>
  <c r="H21" i="8"/>
  <c r="G21" i="8"/>
  <c r="F21" i="8"/>
  <c r="E21" i="8"/>
  <c r="D21" i="8"/>
  <c r="C21" i="8"/>
  <c r="B21" i="8"/>
  <c r="L20" i="8"/>
  <c r="K20" i="8"/>
  <c r="J20" i="8"/>
  <c r="I20" i="8"/>
  <c r="H20" i="8"/>
  <c r="G20" i="8"/>
  <c r="F20" i="8"/>
  <c r="E20" i="8"/>
  <c r="D20" i="8"/>
  <c r="C20" i="8"/>
  <c r="B20" i="8"/>
  <c r="K56" i="6"/>
  <c r="C56" i="6"/>
  <c r="K54" i="6"/>
  <c r="C54" i="6"/>
  <c r="B54" i="6"/>
  <c r="J52" i="6"/>
  <c r="I52" i="6"/>
  <c r="H52" i="6"/>
  <c r="L50" i="6"/>
  <c r="K46" i="6"/>
  <c r="C46" i="6"/>
  <c r="B46" i="6"/>
  <c r="B56" i="6" s="1"/>
  <c r="J35" i="6"/>
  <c r="I35" i="6"/>
  <c r="H35" i="6"/>
  <c r="D35" i="6"/>
  <c r="C35" i="6"/>
  <c r="B35" i="6"/>
  <c r="L33" i="6"/>
  <c r="J31" i="6"/>
  <c r="I31" i="6"/>
  <c r="H31" i="6"/>
  <c r="G31" i="6"/>
  <c r="F31" i="6"/>
  <c r="E31" i="6"/>
  <c r="L31" i="6" s="1"/>
  <c r="C31" i="8" s="1"/>
  <c r="L29" i="6"/>
  <c r="K29" i="6"/>
  <c r="K35" i="6" s="1"/>
  <c r="J29" i="6"/>
  <c r="I29" i="6"/>
  <c r="H29" i="6"/>
  <c r="H28" i="6"/>
  <c r="G28" i="6"/>
  <c r="G35" i="6" s="1"/>
  <c r="F28" i="6"/>
  <c r="F35" i="6" s="1"/>
  <c r="L27" i="6"/>
  <c r="L26" i="6"/>
  <c r="L25" i="6"/>
  <c r="L22" i="6"/>
  <c r="L21" i="6"/>
  <c r="L20" i="6"/>
  <c r="K15" i="6"/>
  <c r="K37" i="6" s="1"/>
  <c r="K58" i="6" s="1"/>
  <c r="J15" i="6"/>
  <c r="J37" i="6" s="1"/>
  <c r="I15" i="6"/>
  <c r="I37" i="6" s="1"/>
  <c r="D15" i="6"/>
  <c r="D37" i="6" s="1"/>
  <c r="C15" i="6"/>
  <c r="C37" i="6" s="1"/>
  <c r="C58" i="6" s="1"/>
  <c r="B15" i="6"/>
  <c r="B37" i="6" s="1"/>
  <c r="J13" i="6"/>
  <c r="I13" i="6"/>
  <c r="H15" i="6"/>
  <c r="H37" i="6" s="1"/>
  <c r="G15" i="6"/>
  <c r="E15" i="6"/>
  <c r="L9" i="6"/>
  <c r="D9" i="8" s="1"/>
  <c r="L7" i="6"/>
  <c r="F7" i="8" s="1"/>
  <c r="B45" i="5"/>
  <c r="E43" i="5"/>
  <c r="F43" i="5" s="1"/>
  <c r="E38" i="5"/>
  <c r="B38" i="5"/>
  <c r="B53" i="5" s="1"/>
  <c r="C42" i="5" s="1"/>
  <c r="F36" i="5"/>
  <c r="D36" i="5"/>
  <c r="D38" i="5" s="1"/>
  <c r="C38" i="5"/>
  <c r="F23" i="5"/>
  <c r="D21" i="5"/>
  <c r="C21" i="5"/>
  <c r="F21" i="5" s="1"/>
  <c r="F19" i="5"/>
  <c r="D19" i="5"/>
  <c r="C19" i="5"/>
  <c r="B17" i="5"/>
  <c r="B13" i="5"/>
  <c r="E11" i="5"/>
  <c r="F9" i="5"/>
  <c r="E7" i="5"/>
  <c r="E13" i="5" s="1"/>
  <c r="B22" i="4"/>
  <c r="B39" i="4"/>
  <c r="C38" i="4" s="1"/>
  <c r="C41" i="4" s="1"/>
  <c r="B13" i="9" s="1"/>
  <c r="K13" i="9" s="1"/>
  <c r="K50" i="9" s="1"/>
  <c r="B24" i="4" l="1"/>
  <c r="E17" i="4"/>
  <c r="B33" i="4"/>
  <c r="C32" i="4" s="1"/>
  <c r="B27" i="9" s="1"/>
  <c r="I31" i="8"/>
  <c r="L13" i="6"/>
  <c r="G13" i="8" s="1"/>
  <c r="L7" i="8"/>
  <c r="D7" i="8"/>
  <c r="E7" i="8"/>
  <c r="J31" i="8"/>
  <c r="B31" i="8"/>
  <c r="K7" i="8"/>
  <c r="C7" i="8"/>
  <c r="H31" i="8"/>
  <c r="L52" i="6"/>
  <c r="J7" i="8"/>
  <c r="B7" i="8"/>
  <c r="G31" i="8"/>
  <c r="I7" i="8"/>
  <c r="F31" i="8"/>
  <c r="H7" i="8"/>
  <c r="E31" i="8"/>
  <c r="G7" i="8"/>
  <c r="L31" i="8"/>
  <c r="D31" i="8"/>
  <c r="K31" i="8"/>
  <c r="E35" i="6"/>
  <c r="E37" i="6" s="1"/>
  <c r="E9" i="8"/>
  <c r="K9" i="8"/>
  <c r="C9" i="8"/>
  <c r="J9" i="8"/>
  <c r="B9" i="8"/>
  <c r="H9" i="8"/>
  <c r="I9" i="8"/>
  <c r="G9" i="8"/>
  <c r="F9" i="8"/>
  <c r="L9" i="8"/>
  <c r="D27" i="5"/>
  <c r="D29" i="5" s="1"/>
  <c r="B58" i="6"/>
  <c r="B39" i="6"/>
  <c r="C39" i="6" s="1"/>
  <c r="G37" i="6"/>
  <c r="L28" i="6"/>
  <c r="F15" i="6"/>
  <c r="F37" i="6" s="1"/>
  <c r="C27" i="5"/>
  <c r="B27" i="5"/>
  <c r="F27" i="5" s="1"/>
  <c r="C53" i="5"/>
  <c r="D42" i="5" s="1"/>
  <c r="D45" i="5" s="1"/>
  <c r="D47" i="5" s="1"/>
  <c r="C13" i="5"/>
  <c r="F11" i="5"/>
  <c r="F38" i="5"/>
  <c r="E29" i="5"/>
  <c r="C45" i="5"/>
  <c r="F17" i="5"/>
  <c r="B47" i="5"/>
  <c r="F7" i="5"/>
  <c r="F25" i="5"/>
  <c r="H36" i="3"/>
  <c r="I35" i="3" s="1"/>
  <c r="I38" i="3" s="1"/>
  <c r="B7" i="3"/>
  <c r="B6" i="3"/>
  <c r="C42" i="3"/>
  <c r="C38" i="3"/>
  <c r="E36" i="3" s="1"/>
  <c r="C35" i="3"/>
  <c r="C28" i="3"/>
  <c r="C25" i="3"/>
  <c r="C18" i="3"/>
  <c r="C12" i="3"/>
  <c r="L13" i="9" l="1"/>
  <c r="I13" i="9"/>
  <c r="J13" i="9"/>
  <c r="J50" i="9" s="1"/>
  <c r="G13" i="9"/>
  <c r="B17" i="9"/>
  <c r="H13" i="9"/>
  <c r="F13" i="9"/>
  <c r="D27" i="9"/>
  <c r="K27" i="9"/>
  <c r="H27" i="9"/>
  <c r="G27" i="9"/>
  <c r="J27" i="9"/>
  <c r="C27" i="9"/>
  <c r="F27" i="9"/>
  <c r="I27" i="9"/>
  <c r="E27" i="9"/>
  <c r="L27" i="9"/>
  <c r="I13" i="8"/>
  <c r="E13" i="8"/>
  <c r="K13" i="8"/>
  <c r="L13" i="8"/>
  <c r="D13" i="8"/>
  <c r="B13" i="8"/>
  <c r="J13" i="8"/>
  <c r="H13" i="8"/>
  <c r="F13" i="8"/>
  <c r="C13" i="8"/>
  <c r="F68" i="6"/>
  <c r="F74" i="6"/>
  <c r="L35" i="6"/>
  <c r="G35" i="8" s="1"/>
  <c r="I52" i="8"/>
  <c r="G52" i="8"/>
  <c r="F52" i="8"/>
  <c r="E52" i="8"/>
  <c r="L52" i="8"/>
  <c r="D52" i="8"/>
  <c r="K52" i="8"/>
  <c r="C52" i="8"/>
  <c r="J52" i="8"/>
  <c r="B52" i="8"/>
  <c r="H52" i="8"/>
  <c r="F69" i="6"/>
  <c r="F71" i="6"/>
  <c r="E28" i="8"/>
  <c r="E24" i="8" s="1"/>
  <c r="F28" i="8"/>
  <c r="F24" i="8" s="1"/>
  <c r="G28" i="8"/>
  <c r="G24" i="8" s="1"/>
  <c r="H28" i="8"/>
  <c r="H24" i="8" s="1"/>
  <c r="B28" i="8"/>
  <c r="B24" i="8" s="1"/>
  <c r="I28" i="8"/>
  <c r="I24" i="8" s="1"/>
  <c r="J28" i="8"/>
  <c r="J24" i="8" s="1"/>
  <c r="C28" i="8"/>
  <c r="C24" i="8" s="1"/>
  <c r="K28" i="8"/>
  <c r="K24" i="8" s="1"/>
  <c r="D28" i="8"/>
  <c r="D24" i="8" s="1"/>
  <c r="L28" i="8"/>
  <c r="L24" i="8" s="1"/>
  <c r="D49" i="5"/>
  <c r="F72" i="6"/>
  <c r="L15" i="6"/>
  <c r="B60" i="6"/>
  <c r="C60" i="6" s="1"/>
  <c r="F70" i="6"/>
  <c r="F67" i="6"/>
  <c r="E39" i="6"/>
  <c r="F39" i="6" s="1"/>
  <c r="G39" i="6" s="1"/>
  <c r="H39" i="6" s="1"/>
  <c r="I39" i="6" s="1"/>
  <c r="J39" i="6" s="1"/>
  <c r="K39" i="6" s="1"/>
  <c r="L39" i="6" s="1"/>
  <c r="B29" i="5"/>
  <c r="B31" i="5" s="1"/>
  <c r="F13" i="5"/>
  <c r="F29" i="5" s="1"/>
  <c r="C29" i="5"/>
  <c r="C47" i="5"/>
  <c r="D53" i="5"/>
  <c r="B26" i="4"/>
  <c r="B27" i="4"/>
  <c r="B30" i="4"/>
  <c r="C29" i="4" s="1"/>
  <c r="B29" i="9" s="1"/>
  <c r="E29" i="9" s="1"/>
  <c r="M29" i="9" s="1"/>
  <c r="B25" i="4"/>
  <c r="H26" i="3"/>
  <c r="I31" i="3"/>
  <c r="E20" i="3"/>
  <c r="C31" i="3"/>
  <c r="D25" i="3" s="1"/>
  <c r="E12" i="3"/>
  <c r="E18" i="3"/>
  <c r="E21" i="3"/>
  <c r="E38" i="3"/>
  <c r="E43" i="3"/>
  <c r="E42" i="3"/>
  <c r="E26" i="3"/>
  <c r="E29" i="3"/>
  <c r="E22" i="3"/>
  <c r="E44" i="3"/>
  <c r="E16" i="3"/>
  <c r="E13" i="3"/>
  <c r="E35" i="3"/>
  <c r="E25" i="3"/>
  <c r="E19" i="3"/>
  <c r="E23" i="3"/>
  <c r="E28" i="3"/>
  <c r="E14" i="3"/>
  <c r="M13" i="9" l="1"/>
  <c r="C1" i="9" s="1"/>
  <c r="I50" i="9"/>
  <c r="C21" i="4"/>
  <c r="B25" i="9" s="1"/>
  <c r="C25" i="9" s="1"/>
  <c r="F17" i="4"/>
  <c r="H17" i="4" s="1"/>
  <c r="M27" i="9"/>
  <c r="D35" i="8"/>
  <c r="L35" i="8"/>
  <c r="F35" i="8"/>
  <c r="C35" i="8"/>
  <c r="J35" i="8"/>
  <c r="E35" i="8"/>
  <c r="K35" i="8"/>
  <c r="B35" i="8"/>
  <c r="H35" i="8"/>
  <c r="I35" i="8"/>
  <c r="L37" i="6"/>
  <c r="I15" i="8"/>
  <c r="B15" i="8"/>
  <c r="J15" i="8"/>
  <c r="C15" i="8"/>
  <c r="K15" i="8"/>
  <c r="D15" i="8"/>
  <c r="L15" i="8"/>
  <c r="F15" i="8"/>
  <c r="G15" i="8"/>
  <c r="H15" i="8"/>
  <c r="E15" i="8"/>
  <c r="C49" i="5"/>
  <c r="D46" i="6"/>
  <c r="B49" i="5"/>
  <c r="B51" i="5" s="1"/>
  <c r="C31" i="5"/>
  <c r="D31" i="5" s="1"/>
  <c r="E31" i="5" s="1"/>
  <c r="F31" i="5" s="1"/>
  <c r="D61" i="5"/>
  <c r="D64" i="5"/>
  <c r="D63" i="5"/>
  <c r="D66" i="5"/>
  <c r="D62" i="5"/>
  <c r="D65" i="5"/>
  <c r="D68" i="5"/>
  <c r="E42" i="5"/>
  <c r="E53" i="5"/>
  <c r="J26" i="3"/>
  <c r="H22" i="3"/>
  <c r="H23" i="3"/>
  <c r="H14" i="3"/>
  <c r="H13" i="3" s="1"/>
  <c r="J13" i="3" s="1"/>
  <c r="H16" i="3"/>
  <c r="H29" i="3"/>
  <c r="H19" i="3"/>
  <c r="H20" i="3"/>
  <c r="H21" i="3"/>
  <c r="D20" i="3"/>
  <c r="D42" i="3"/>
  <c r="D43" i="3"/>
  <c r="D13" i="3"/>
  <c r="D36" i="3"/>
  <c r="D38" i="3"/>
  <c r="D21" i="3"/>
  <c r="D28" i="3"/>
  <c r="D23" i="3"/>
  <c r="D44" i="3"/>
  <c r="D35" i="3"/>
  <c r="D19" i="3"/>
  <c r="C40" i="3"/>
  <c r="D40" i="3" s="1"/>
  <c r="E31" i="3"/>
  <c r="D26" i="3"/>
  <c r="D16" i="3"/>
  <c r="D22" i="3"/>
  <c r="D29" i="3"/>
  <c r="D14" i="3"/>
  <c r="D18" i="3"/>
  <c r="D12" i="3"/>
  <c r="C46" i="3"/>
  <c r="E40" i="3"/>
  <c r="D25" i="9" l="1"/>
  <c r="J25" i="9"/>
  <c r="F25" i="9"/>
  <c r="K25" i="9"/>
  <c r="H25" i="9"/>
  <c r="L25" i="9"/>
  <c r="I25" i="9"/>
  <c r="E25" i="9"/>
  <c r="G25" i="9"/>
  <c r="J52" i="9"/>
  <c r="J42" i="9"/>
  <c r="J44" i="9" s="1"/>
  <c r="M42" i="9"/>
  <c r="E48" i="9" s="1"/>
  <c r="M48" i="9" s="1"/>
  <c r="I52" i="9"/>
  <c r="M50" i="9"/>
  <c r="K52" i="9"/>
  <c r="K42" i="9"/>
  <c r="K44" i="9" s="1"/>
  <c r="C51" i="5"/>
  <c r="D51" i="5" s="1"/>
  <c r="E45" i="5"/>
  <c r="F42" i="5"/>
  <c r="E46" i="3"/>
  <c r="D46" i="3"/>
  <c r="M25" i="9" l="1"/>
  <c r="J54" i="9"/>
  <c r="K54" i="9"/>
  <c r="B17" i="4"/>
  <c r="D54" i="6"/>
  <c r="E47" i="5"/>
  <c r="F45" i="5"/>
  <c r="B19" i="4" l="1"/>
  <c r="B31" i="9"/>
  <c r="C31" i="9" s="1"/>
  <c r="E46" i="6"/>
  <c r="D58" i="6"/>
  <c r="D56" i="6"/>
  <c r="E49" i="5"/>
  <c r="F47" i="5"/>
  <c r="I31" i="9" l="1"/>
  <c r="H31" i="9"/>
  <c r="L31" i="9"/>
  <c r="L33" i="9" s="1"/>
  <c r="G31" i="9"/>
  <c r="F31" i="9"/>
  <c r="D31" i="9"/>
  <c r="J31" i="9"/>
  <c r="E31" i="9"/>
  <c r="F15" i="9" s="1"/>
  <c r="F17" i="9" s="1"/>
  <c r="K31" i="9"/>
  <c r="L42" i="9"/>
  <c r="C16" i="4"/>
  <c r="B23" i="9" s="1"/>
  <c r="D60" i="6"/>
  <c r="F49" i="5"/>
  <c r="E63" i="5"/>
  <c r="E68" i="5"/>
  <c r="E66" i="5"/>
  <c r="E62" i="5"/>
  <c r="E65" i="5"/>
  <c r="E61" i="5"/>
  <c r="E64" i="5"/>
  <c r="E51" i="5"/>
  <c r="F51" i="5" s="1"/>
  <c r="E23" i="9" l="1"/>
  <c r="E33" i="9" s="1"/>
  <c r="C23" i="9"/>
  <c r="D33" i="9"/>
  <c r="E15" i="9"/>
  <c r="E17" i="9" s="1"/>
  <c r="L15" i="9"/>
  <c r="L17" i="9" s="1"/>
  <c r="L35" i="9" s="1"/>
  <c r="K33" i="9"/>
  <c r="G15" i="9"/>
  <c r="G17" i="9" s="1"/>
  <c r="F33" i="9"/>
  <c r="F35" i="9" s="1"/>
  <c r="I15" i="9"/>
  <c r="I17" i="9" s="1"/>
  <c r="H33" i="9"/>
  <c r="D15" i="9"/>
  <c r="M31" i="9"/>
  <c r="J15" i="9"/>
  <c r="J17" i="9" s="1"/>
  <c r="I33" i="9"/>
  <c r="C34" i="4"/>
  <c r="C43" i="4" s="1"/>
  <c r="K15" i="9"/>
  <c r="K17" i="9" s="1"/>
  <c r="J33" i="9"/>
  <c r="J35" i="9" s="1"/>
  <c r="H15" i="9"/>
  <c r="H17" i="9" s="1"/>
  <c r="G33" i="9"/>
  <c r="L60" i="9"/>
  <c r="L44" i="9"/>
  <c r="E54" i="6"/>
  <c r="F44" i="6"/>
  <c r="M15" i="9" l="1"/>
  <c r="C53" i="4"/>
  <c r="C57" i="4" s="1"/>
  <c r="C47" i="4"/>
  <c r="H35" i="9"/>
  <c r="K35" i="9"/>
  <c r="K56" i="9" s="1"/>
  <c r="E35" i="9"/>
  <c r="J56" i="9"/>
  <c r="C33" i="9"/>
  <c r="M23" i="9"/>
  <c r="I35" i="9"/>
  <c r="G35" i="9"/>
  <c r="D17" i="9"/>
  <c r="D35" i="9" s="1"/>
  <c r="D56" i="9" s="1"/>
  <c r="L54" i="9"/>
  <c r="L56" i="9"/>
  <c r="E56" i="6"/>
  <c r="F46" i="6"/>
  <c r="C35" i="9" l="1"/>
  <c r="M33" i="9"/>
  <c r="F62" i="6"/>
  <c r="F51" i="6" s="1"/>
  <c r="E60" i="6"/>
  <c r="C56" i="9" l="1"/>
  <c r="C58" i="9" s="1"/>
  <c r="D58" i="9" s="1"/>
  <c r="G70" i="9"/>
  <c r="G67" i="9"/>
  <c r="G68" i="9"/>
  <c r="G66" i="9"/>
  <c r="C37" i="9"/>
  <c r="D37" i="9" s="1"/>
  <c r="E37" i="9" s="1"/>
  <c r="G69" i="9"/>
  <c r="M35" i="9"/>
  <c r="F54" i="6"/>
  <c r="G44" i="6"/>
  <c r="E42" i="9" l="1"/>
  <c r="F37" i="9"/>
  <c r="G37" i="9" s="1"/>
  <c r="H37" i="9" s="1"/>
  <c r="I37" i="9" s="1"/>
  <c r="J37" i="9" s="1"/>
  <c r="K37" i="9" s="1"/>
  <c r="L37" i="9" s="1"/>
  <c r="M37" i="9" s="1"/>
  <c r="G46" i="6"/>
  <c r="F58" i="6"/>
  <c r="F56" i="6"/>
  <c r="E44" i="9" l="1"/>
  <c r="E60" i="9"/>
  <c r="F60" i="6"/>
  <c r="G62" i="6"/>
  <c r="E52" i="9" l="1"/>
  <c r="E54" i="9" s="1"/>
  <c r="F42" i="9"/>
  <c r="F49" i="9" s="1"/>
  <c r="G51" i="6"/>
  <c r="F60" i="9" l="1"/>
  <c r="E56" i="9"/>
  <c r="E58" i="9" s="1"/>
  <c r="F44" i="9"/>
  <c r="G54" i="6"/>
  <c r="H46" i="6"/>
  <c r="F52" i="9" l="1"/>
  <c r="F54" i="9" s="1"/>
  <c r="G42" i="9"/>
  <c r="G49" i="9" s="1"/>
  <c r="H62" i="6"/>
  <c r="G58" i="6"/>
  <c r="G56" i="6"/>
  <c r="F56" i="9" l="1"/>
  <c r="F58" i="9" s="1"/>
  <c r="G44" i="9"/>
  <c r="G60" i="9"/>
  <c r="G60" i="6"/>
  <c r="H51" i="6"/>
  <c r="H42" i="9" l="1"/>
  <c r="H49" i="9" s="1"/>
  <c r="G52" i="9"/>
  <c r="G54" i="9" s="1"/>
  <c r="I46" i="6"/>
  <c r="I62" i="6" s="1"/>
  <c r="H54" i="6"/>
  <c r="H44" i="9" l="1"/>
  <c r="H60" i="9"/>
  <c r="I42" i="9" s="1"/>
  <c r="I44" i="9" s="1"/>
  <c r="G56" i="9"/>
  <c r="J44" i="6"/>
  <c r="I51" i="6"/>
  <c r="H58" i="6"/>
  <c r="H60" i="6" s="1"/>
  <c r="H56" i="6"/>
  <c r="G58" i="9" l="1"/>
  <c r="M44" i="9"/>
  <c r="I54" i="9"/>
  <c r="I56" i="9"/>
  <c r="H52" i="9"/>
  <c r="M49" i="9"/>
  <c r="N42" i="9"/>
  <c r="I54" i="6"/>
  <c r="I58" i="6" s="1"/>
  <c r="I60" i="6" s="1"/>
  <c r="J46" i="6"/>
  <c r="L44" i="6"/>
  <c r="H56" i="9" l="1"/>
  <c r="M52" i="9"/>
  <c r="H54" i="9"/>
  <c r="M54" i="9" s="1"/>
  <c r="I56" i="6"/>
  <c r="L44" i="8"/>
  <c r="K44" i="8"/>
  <c r="C44" i="8"/>
  <c r="B44" i="8"/>
  <c r="D44" i="8"/>
  <c r="E44" i="8"/>
  <c r="F44" i="8"/>
  <c r="G44" i="8"/>
  <c r="H44" i="8"/>
  <c r="I44" i="8"/>
  <c r="J44" i="8"/>
  <c r="J62" i="6"/>
  <c r="J51" i="6" s="1"/>
  <c r="L46" i="6"/>
  <c r="H58" i="9" l="1"/>
  <c r="I58" i="9" s="1"/>
  <c r="J58" i="9" s="1"/>
  <c r="K58" i="9" s="1"/>
  <c r="L58" i="9" s="1"/>
  <c r="M58" i="9" s="1"/>
  <c r="M56" i="9"/>
  <c r="J54" i="6"/>
  <c r="L51" i="6"/>
  <c r="J51" i="8" s="1"/>
  <c r="L51" i="8" l="1"/>
  <c r="D51" i="8"/>
  <c r="K51" i="8"/>
  <c r="C51" i="8"/>
  <c r="B51" i="8"/>
  <c r="E51" i="8"/>
  <c r="F51" i="8"/>
  <c r="G51" i="8"/>
  <c r="H51" i="8"/>
  <c r="I51" i="8"/>
  <c r="L54" i="6"/>
  <c r="J56" i="6"/>
  <c r="L56" i="6" s="1"/>
  <c r="J58" i="6"/>
  <c r="H68" i="9" l="1"/>
  <c r="H67" i="9"/>
  <c r="H66" i="9"/>
  <c r="H69" i="9"/>
  <c r="H70" i="9"/>
  <c r="J60" i="6"/>
  <c r="K60" i="6" s="1"/>
  <c r="L60" i="6" s="1"/>
  <c r="G69" i="6"/>
  <c r="G67" i="6"/>
  <c r="G74" i="6"/>
  <c r="L58" i="6"/>
  <c r="G70" i="6"/>
  <c r="G72" i="6"/>
  <c r="G68" i="6"/>
  <c r="G71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</author>
  </authors>
  <commentList>
    <comment ref="F11" authorId="0" shapeId="0" xr:uid="{01743439-F5C4-45DB-B339-A0C11AEE9BDA}">
      <text>
        <r>
          <rPr>
            <b/>
            <sz val="8"/>
            <color indexed="81"/>
            <rFont val="Tahoma"/>
            <family val="2"/>
          </rPr>
          <t>No es ingreso.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5" authorId="0" shapeId="0" xr:uid="{7DA5D392-9CF0-488E-9C0B-D2D5303A5403}">
      <text>
        <r>
          <rPr>
            <b/>
            <sz val="8"/>
            <color indexed="81"/>
            <rFont val="Tahoma"/>
            <family val="2"/>
          </rPr>
          <t>No es gasto.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<sst xmlns="http://schemas.openxmlformats.org/spreadsheetml/2006/main" count="257" uniqueCount="104">
  <si>
    <t>(u.m)</t>
  </si>
  <si>
    <t>% costes</t>
  </si>
  <si>
    <t>% ventas</t>
  </si>
  <si>
    <t>GASTOS:</t>
  </si>
  <si>
    <t>SOLAR</t>
  </si>
  <si>
    <t xml:space="preserve">  Compra</t>
  </si>
  <si>
    <t xml:space="preserve">  Impuestos (AJD, ya que se supone</t>
  </si>
  <si>
    <t xml:space="preserve">  que el solar devenga IVA)</t>
  </si>
  <si>
    <t xml:space="preserve">  Notaria, Registro, Comisiones, etc.</t>
  </si>
  <si>
    <t>EDIFICACIÓN</t>
  </si>
  <si>
    <t xml:space="preserve">  Honorarios profesionales</t>
  </si>
  <si>
    <t xml:space="preserve">  Tasas municipales, impuestos, DON</t>
  </si>
  <si>
    <t xml:space="preserve">  Acometidas</t>
  </si>
  <si>
    <t xml:space="preserve">  Construcción</t>
  </si>
  <si>
    <t xml:space="preserve">  Postventa</t>
  </si>
  <si>
    <t>COMERCIALIZACIÓN</t>
  </si>
  <si>
    <t xml:space="preserve">  Comisiones  (5% ventas)</t>
  </si>
  <si>
    <t>ADMINISTRACIÓN</t>
  </si>
  <si>
    <t xml:space="preserve">  Gastos varios</t>
  </si>
  <si>
    <t>TOTAL GASTOS</t>
  </si>
  <si>
    <t>INGRESOS:</t>
  </si>
  <si>
    <t>VENTAS</t>
  </si>
  <si>
    <t xml:space="preserve">  Ventas</t>
  </si>
  <si>
    <t>TOTAL INGRESOS</t>
  </si>
  <si>
    <t>BAII</t>
  </si>
  <si>
    <t>FINANCIACIÓN</t>
  </si>
  <si>
    <t xml:space="preserve">  Intereses hipoteca</t>
  </si>
  <si>
    <t xml:space="preserve">  Gastos constitución (1% hipoteca total)</t>
  </si>
  <si>
    <t>BAI</t>
  </si>
  <si>
    <t>Cuenta de Resultados Previsional</t>
  </si>
  <si>
    <t>Precio por m2 construido</t>
  </si>
  <si>
    <t>Num de viviendas</t>
  </si>
  <si>
    <t>Superficie_viviendas</t>
  </si>
  <si>
    <t>Superficie media</t>
  </si>
  <si>
    <t>VENTA</t>
  </si>
  <si>
    <t xml:space="preserve">  Coste Solar</t>
  </si>
  <si>
    <t xml:space="preserve">  IVA (16% s/coste solar)</t>
  </si>
  <si>
    <t xml:space="preserve">  Otros (3% s/coste solar)</t>
  </si>
  <si>
    <t xml:space="preserve">  Coste Edificación</t>
  </si>
  <si>
    <t xml:space="preserve">  IVA (7% s/coste edificación)</t>
  </si>
  <si>
    <t xml:space="preserve">  Honorarios facultativos (7% s/coste edificación)</t>
  </si>
  <si>
    <t xml:space="preserve">  Licencias (5% s/coste edificación)</t>
  </si>
  <si>
    <t xml:space="preserve">  Gastos Legales (2% s/coste solar + edificación)</t>
  </si>
  <si>
    <t xml:space="preserve">  Varios (3% s/coste solar + edificación)</t>
  </si>
  <si>
    <t>ADMINISTRACIÓN PROMOCIÓN</t>
  </si>
  <si>
    <t xml:space="preserve">  Administración edificación (5% s/coste edificación)</t>
  </si>
  <si>
    <t xml:space="preserve">  Venta inmuebles</t>
  </si>
  <si>
    <t>PLAZO PROYECTO (AÑOS)</t>
  </si>
  <si>
    <t>BAII ANUAL MEDIO</t>
  </si>
  <si>
    <t xml:space="preserve">  Intereses</t>
  </si>
  <si>
    <t>BAI ANUAL MEDIO</t>
  </si>
  <si>
    <t>Coste de construcción sobre rasante</t>
  </si>
  <si>
    <t>Coste de construcción bajo rasante</t>
  </si>
  <si>
    <t>Coste de construcción ponderado</t>
  </si>
  <si>
    <t>Total gastos</t>
  </si>
  <si>
    <t>Gastos totales del solar</t>
  </si>
  <si>
    <t>Impuestos y otros sobre el solar</t>
  </si>
  <si>
    <t>Valor del solar</t>
  </si>
  <si>
    <t>ROI</t>
  </si>
  <si>
    <t>ASUMIMOS UN ROI (BAII/COSTE TOTAL)</t>
  </si>
  <si>
    <t>Presupuesto de Tesorería Opción 2: Venta</t>
  </si>
  <si>
    <t>TOTALES</t>
  </si>
  <si>
    <t>ENTRADAS EN CAJA (COBROS)</t>
  </si>
  <si>
    <t>RENTAS</t>
  </si>
  <si>
    <t>IVA</t>
  </si>
  <si>
    <t xml:space="preserve">  TOTAL COBROS</t>
  </si>
  <si>
    <t>SALIDAS DE CAJA (PAGOS)</t>
  </si>
  <si>
    <t>ADMINISTRACIÓN PATRIMONIAL</t>
  </si>
  <si>
    <t xml:space="preserve">  TOTAL PAGOS</t>
  </si>
  <si>
    <t>CASH-FLOW antes de financiación</t>
  </si>
  <si>
    <t>CASH-FLOW ACUM antes financiación</t>
  </si>
  <si>
    <t>FINANCIACIÓN: ENTRADAS EN CAJA (COBROS)</t>
  </si>
  <si>
    <t xml:space="preserve">  Crédito utilizado</t>
  </si>
  <si>
    <t xml:space="preserve">  TOTAL COBROS FINANCIACIÓN</t>
  </si>
  <si>
    <t>FINANCIACIÓN: SALIDAS DE CAJA (PAGOS)</t>
  </si>
  <si>
    <t xml:space="preserve">  Intereses sobre el saldo vivo</t>
  </si>
  <si>
    <t xml:space="preserve">  Devoluciones del principal</t>
  </si>
  <si>
    <t xml:space="preserve">  TOTAL PAGOS FINANCIACIÓN</t>
  </si>
  <si>
    <t>CASH-FLOW financiero</t>
  </si>
  <si>
    <t>CASH-FLOW después financiación</t>
  </si>
  <si>
    <t>CASH-FLOW ACUM después financiación</t>
  </si>
  <si>
    <t xml:space="preserve">                                  Saldo vivo hipoteca</t>
  </si>
  <si>
    <t>Tasa</t>
  </si>
  <si>
    <t>Antes F.</t>
  </si>
  <si>
    <t>Después F.</t>
  </si>
  <si>
    <t>VAN</t>
  </si>
  <si>
    <t>TIR</t>
  </si>
  <si>
    <t>Presupuesto de Tesorería</t>
  </si>
  <si>
    <t xml:space="preserve">  Principales hitos</t>
  </si>
  <si>
    <t>Inicio obras</t>
  </si>
  <si>
    <t>Entrega llaves</t>
  </si>
  <si>
    <t xml:space="preserve">  Unidades vendidas</t>
  </si>
  <si>
    <t xml:space="preserve">  Evolución de la construcción</t>
  </si>
  <si>
    <t>Fin</t>
  </si>
  <si>
    <t xml:space="preserve">  Impuestos</t>
  </si>
  <si>
    <t xml:space="preserve">  Notaria, Registro, Comisiones, etc</t>
  </si>
  <si>
    <t xml:space="preserve">  Tasas municipales</t>
  </si>
  <si>
    <t xml:space="preserve">  Pagos construcción (120 días)</t>
  </si>
  <si>
    <t xml:space="preserve">  Post-venta</t>
  </si>
  <si>
    <t xml:space="preserve">  Gastos de constitución</t>
  </si>
  <si>
    <t>TOTAL</t>
  </si>
  <si>
    <t>Recursos propios</t>
  </si>
  <si>
    <t>IVA DEL SOLAR</t>
  </si>
  <si>
    <t>IVA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</si>
</sst>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* #,##0.00\ &quot;€&quot;_-;\-* #,##0.00\ &quot;€&quot;_-;_-* &quot;-&quot;??\ &quot;€&quot;_-;_-@_-"/>
    <numFmt numFmtId="164" formatCode="0.00000"/>
    <numFmt numFmtId="165" formatCode="_-* #,##0\ &quot;€&quot;_-;\-* #,##0\ &quot;€&quot;_-;_-* &quot;-&quot;??\ &quot;€&quot;_-;_-@_-"/>
    <numFmt numFmtId="166" formatCode="0.0%"/>
    <numFmt numFmtId="167" formatCode="#,##0.000"/>
    <numFmt numFmtId="168" formatCode="_-* #,##0.0\ &quot;€&quot;_-;\-* #,##0.0\ &quot;€&quot;_-;_-* &quot;-&quot;??\ &quot;€&quot;_-;_-@_-"/>
    <numFmt numFmtId="169" formatCode="_-* #,##0.0\ &quot;€&quot;_-;\-* #,##0.0\ &quot;€&quot;_-;_-* &quot;-&quot;?\ &quot;€&quot;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9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10"/>
      <color indexed="8"/>
      <name val="Arial"/>
      <family val="2"/>
    </font>
    <font>
      <b/>
      <sz val="9"/>
      <color indexed="9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5" fillId="0" borderId="0"/>
  </cellStyleXfs>
  <cellXfs count="236">
    <xf numFmtId="0" fontId="0" fillId="0" borderId="0" xfId="0"/>
    <xf numFmtId="3" fontId="6" fillId="0" borderId="0" xfId="0" applyNumberFormat="1" applyFont="1"/>
    <xf numFmtId="9" fontId="7" fillId="0" borderId="6" xfId="2" applyNumberFormat="1" applyFont="1" applyBorder="1" applyAlignment="1">
      <alignment horizontal="center"/>
    </xf>
    <xf numFmtId="9" fontId="9" fillId="0" borderId="6" xfId="2" applyNumberFormat="1" applyFont="1" applyBorder="1" applyAlignment="1">
      <alignment horizontal="center"/>
    </xf>
    <xf numFmtId="9" fontId="9" fillId="0" borderId="9" xfId="2" applyNumberFormat="1" applyFont="1" applyBorder="1" applyAlignment="1">
      <alignment horizontal="center"/>
    </xf>
    <xf numFmtId="9" fontId="7" fillId="0" borderId="3" xfId="2" applyNumberFormat="1" applyFont="1" applyBorder="1" applyAlignment="1">
      <alignment horizontal="center"/>
    </xf>
    <xf numFmtId="3" fontId="12" fillId="3" borderId="13" xfId="0" applyNumberFormat="1" applyFont="1" applyFill="1" applyBorder="1"/>
    <xf numFmtId="9" fontId="13" fillId="2" borderId="13" xfId="2" applyNumberFormat="1" applyFont="1" applyFill="1" applyBorder="1" applyAlignment="1">
      <alignment horizontal="center"/>
    </xf>
    <xf numFmtId="3" fontId="12" fillId="3" borderId="14" xfId="0" applyNumberFormat="1" applyFont="1" applyFill="1" applyBorder="1"/>
    <xf numFmtId="9" fontId="13" fillId="2" borderId="14" xfId="2" applyNumberFormat="1" applyFont="1" applyFill="1" applyBorder="1" applyAlignment="1">
      <alignment horizontal="center"/>
    </xf>
    <xf numFmtId="0" fontId="14" fillId="0" borderId="0" xfId="3" applyFont="1" applyAlignment="1">
      <alignment horizontal="left"/>
    </xf>
    <xf numFmtId="0" fontId="5" fillId="0" borderId="0" xfId="3" applyAlignment="1">
      <alignment horizontal="left"/>
    </xf>
    <xf numFmtId="0" fontId="5" fillId="0" borderId="0" xfId="3"/>
    <xf numFmtId="0" fontId="5" fillId="0" borderId="8" xfId="3" applyBorder="1"/>
    <xf numFmtId="0" fontId="5" fillId="0" borderId="8" xfId="3" applyBorder="1" applyAlignment="1">
      <alignment horizontal="center"/>
    </xf>
    <xf numFmtId="10" fontId="5" fillId="0" borderId="8" xfId="3" applyNumberFormat="1" applyBorder="1" applyAlignment="1">
      <alignment horizontal="center"/>
    </xf>
    <xf numFmtId="0" fontId="2" fillId="2" borderId="1" xfId="3" applyFont="1" applyFill="1" applyBorder="1"/>
    <xf numFmtId="0" fontId="3" fillId="2" borderId="4" xfId="3" applyFont="1" applyFill="1" applyBorder="1" applyAlignment="1">
      <alignment horizontal="center"/>
    </xf>
    <xf numFmtId="10" fontId="3" fillId="2" borderId="1" xfId="3" applyNumberFormat="1" applyFont="1" applyFill="1" applyBorder="1" applyAlignment="1">
      <alignment horizontal="center"/>
    </xf>
    <xf numFmtId="0" fontId="4" fillId="0" borderId="2" xfId="3" applyFont="1" applyBorder="1"/>
    <xf numFmtId="0" fontId="5" fillId="0" borderId="4" xfId="3" applyBorder="1"/>
    <xf numFmtId="0" fontId="5" fillId="0" borderId="4" xfId="3" applyBorder="1" applyAlignment="1">
      <alignment horizontal="center"/>
    </xf>
    <xf numFmtId="10" fontId="5" fillId="0" borderId="3" xfId="3" applyNumberFormat="1" applyBorder="1" applyAlignment="1">
      <alignment horizontal="center"/>
    </xf>
    <xf numFmtId="0" fontId="4" fillId="0" borderId="5" xfId="3" applyFont="1" applyBorder="1"/>
    <xf numFmtId="0" fontId="5" fillId="0" borderId="0" xfId="3" applyAlignment="1">
      <alignment horizontal="center"/>
    </xf>
    <xf numFmtId="10" fontId="5" fillId="0" borderId="6" xfId="3" applyNumberFormat="1" applyBorder="1" applyAlignment="1">
      <alignment horizontal="center"/>
    </xf>
    <xf numFmtId="3" fontId="6" fillId="0" borderId="0" xfId="3" applyNumberFormat="1" applyFont="1"/>
    <xf numFmtId="9" fontId="7" fillId="0" borderId="0" xfId="3" applyNumberFormat="1" applyFont="1" applyAlignment="1">
      <alignment horizontal="center"/>
    </xf>
    <xf numFmtId="0" fontId="8" fillId="0" borderId="5" xfId="3" applyFont="1" applyBorder="1"/>
    <xf numFmtId="3" fontId="5" fillId="0" borderId="0" xfId="3" applyNumberFormat="1"/>
    <xf numFmtId="9" fontId="9" fillId="0" borderId="0" xfId="3" applyNumberFormat="1" applyFont="1" applyAlignment="1">
      <alignment horizontal="center"/>
    </xf>
    <xf numFmtId="0" fontId="6" fillId="0" borderId="0" xfId="3" applyFont="1"/>
    <xf numFmtId="9" fontId="9" fillId="0" borderId="6" xfId="3" applyNumberFormat="1" applyFont="1" applyBorder="1" applyAlignment="1">
      <alignment horizontal="center"/>
    </xf>
    <xf numFmtId="0" fontId="6" fillId="0" borderId="5" xfId="3" applyFont="1" applyBorder="1"/>
    <xf numFmtId="44" fontId="5" fillId="0" borderId="0" xfId="2" applyFont="1"/>
    <xf numFmtId="0" fontId="5" fillId="0" borderId="7" xfId="3" applyBorder="1"/>
    <xf numFmtId="9" fontId="9" fillId="0" borderId="8" xfId="3" applyNumberFormat="1" applyFont="1" applyBorder="1" applyAlignment="1">
      <alignment horizontal="center"/>
    </xf>
    <xf numFmtId="0" fontId="5" fillId="0" borderId="2" xfId="3" applyBorder="1"/>
    <xf numFmtId="9" fontId="9" fillId="0" borderId="4" xfId="3" applyNumberFormat="1" applyFont="1" applyBorder="1" applyAlignment="1">
      <alignment horizontal="center"/>
    </xf>
    <xf numFmtId="9" fontId="9" fillId="0" borderId="3" xfId="3" applyNumberFormat="1" applyFont="1" applyBorder="1" applyAlignment="1">
      <alignment horizontal="center"/>
    </xf>
    <xf numFmtId="0" fontId="9" fillId="0" borderId="5" xfId="3" applyFont="1" applyBorder="1"/>
    <xf numFmtId="0" fontId="6" fillId="0" borderId="2" xfId="3" applyFont="1" applyBorder="1"/>
    <xf numFmtId="3" fontId="6" fillId="0" borderId="4" xfId="3" applyNumberFormat="1" applyFont="1" applyBorder="1"/>
    <xf numFmtId="9" fontId="7" fillId="0" borderId="4" xfId="3" applyNumberFormat="1" applyFont="1" applyBorder="1" applyAlignment="1">
      <alignment horizontal="center"/>
    </xf>
    <xf numFmtId="0" fontId="5" fillId="0" borderId="10" xfId="3" applyBorder="1"/>
    <xf numFmtId="0" fontId="5" fillId="0" borderId="11" xfId="3" applyBorder="1"/>
    <xf numFmtId="9" fontId="9" fillId="0" borderId="11" xfId="3" applyNumberFormat="1" applyFont="1" applyBorder="1" applyAlignment="1">
      <alignment horizontal="center"/>
    </xf>
    <xf numFmtId="9" fontId="9" fillId="0" borderId="12" xfId="3" applyNumberFormat="1" applyFont="1" applyBorder="1" applyAlignment="1">
      <alignment horizontal="center"/>
    </xf>
    <xf numFmtId="0" fontId="10" fillId="2" borderId="13" xfId="3" applyFont="1" applyFill="1" applyBorder="1"/>
    <xf numFmtId="0" fontId="11" fillId="2" borderId="13" xfId="3" applyFont="1" applyFill="1" applyBorder="1"/>
    <xf numFmtId="3" fontId="12" fillId="3" borderId="13" xfId="3" applyNumberFormat="1" applyFont="1" applyFill="1" applyBorder="1"/>
    <xf numFmtId="9" fontId="13" fillId="2" borderId="0" xfId="3" applyNumberFormat="1" applyFont="1" applyFill="1" applyAlignment="1">
      <alignment horizontal="center"/>
    </xf>
    <xf numFmtId="9" fontId="9" fillId="0" borderId="9" xfId="3" applyNumberFormat="1" applyFont="1" applyBorder="1" applyAlignment="1">
      <alignment horizontal="center"/>
    </xf>
    <xf numFmtId="0" fontId="10" fillId="2" borderId="14" xfId="3" applyFont="1" applyFill="1" applyBorder="1"/>
    <xf numFmtId="0" fontId="11" fillId="2" borderId="14" xfId="3" applyFont="1" applyFill="1" applyBorder="1"/>
    <xf numFmtId="3" fontId="12" fillId="3" borderId="14" xfId="3" applyNumberFormat="1" applyFont="1" applyFill="1" applyBorder="1"/>
    <xf numFmtId="9" fontId="13" fillId="2" borderId="7" xfId="3" applyNumberFormat="1" applyFont="1" applyFill="1" applyBorder="1" applyAlignment="1">
      <alignment horizontal="center"/>
    </xf>
    <xf numFmtId="10" fontId="5" fillId="0" borderId="0" xfId="3" applyNumberFormat="1" applyAlignment="1">
      <alignment horizontal="center"/>
    </xf>
    <xf numFmtId="0" fontId="5" fillId="0" borderId="3" xfId="3" applyBorder="1" applyAlignment="1">
      <alignment horizontal="center"/>
    </xf>
    <xf numFmtId="0" fontId="5" fillId="0" borderId="6" xfId="3" applyBorder="1" applyAlignment="1">
      <alignment horizontal="center"/>
    </xf>
    <xf numFmtId="0" fontId="9" fillId="0" borderId="6" xfId="3" applyFont="1" applyBorder="1" applyAlignment="1">
      <alignment horizontal="center"/>
    </xf>
    <xf numFmtId="0" fontId="9" fillId="0" borderId="3" xfId="3" applyFont="1" applyBorder="1" applyAlignment="1">
      <alignment horizontal="center"/>
    </xf>
    <xf numFmtId="0" fontId="9" fillId="0" borderId="12" xfId="3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0" fontId="15" fillId="0" borderId="0" xfId="3" applyFont="1" applyAlignment="1">
      <alignment horizontal="left"/>
    </xf>
    <xf numFmtId="44" fontId="5" fillId="0" borderId="0" xfId="3" applyNumberFormat="1"/>
    <xf numFmtId="2" fontId="5" fillId="0" borderId="0" xfId="3" applyNumberFormat="1" applyAlignment="1">
      <alignment horizontal="right"/>
    </xf>
    <xf numFmtId="165" fontId="5" fillId="0" borderId="0" xfId="3" applyNumberFormat="1" applyAlignment="1">
      <alignment horizontal="left"/>
    </xf>
    <xf numFmtId="9" fontId="7" fillId="0" borderId="6" xfId="1" applyFont="1" applyBorder="1" applyAlignment="1">
      <alignment horizontal="center"/>
    </xf>
    <xf numFmtId="166" fontId="7" fillId="0" borderId="6" xfId="1" applyNumberFormat="1" applyFont="1" applyBorder="1" applyAlignment="1">
      <alignment horizontal="center"/>
    </xf>
    <xf numFmtId="166" fontId="9" fillId="0" borderId="6" xfId="1" applyNumberFormat="1" applyFont="1" applyBorder="1" applyAlignment="1">
      <alignment horizontal="center"/>
    </xf>
    <xf numFmtId="166" fontId="9" fillId="0" borderId="0" xfId="3" applyNumberFormat="1" applyFont="1" applyAlignment="1">
      <alignment horizontal="center"/>
    </xf>
    <xf numFmtId="166" fontId="9" fillId="0" borderId="6" xfId="2" applyNumberFormat="1" applyFont="1" applyBorder="1" applyAlignment="1">
      <alignment horizontal="center"/>
    </xf>
    <xf numFmtId="0" fontId="3" fillId="2" borderId="3" xfId="3" applyFont="1" applyFill="1" applyBorder="1" applyAlignment="1">
      <alignment horizontal="center"/>
    </xf>
    <xf numFmtId="0" fontId="7" fillId="0" borderId="6" xfId="3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0" fontId="13" fillId="2" borderId="6" xfId="3" applyFont="1" applyFill="1" applyBorder="1" applyAlignment="1">
      <alignment horizontal="center"/>
    </xf>
    <xf numFmtId="0" fontId="13" fillId="2" borderId="14" xfId="3" applyFont="1" applyFill="1" applyBorder="1" applyAlignment="1">
      <alignment horizontal="center"/>
    </xf>
    <xf numFmtId="3" fontId="11" fillId="2" borderId="2" xfId="0" applyNumberFormat="1" applyFont="1" applyFill="1" applyBorder="1"/>
    <xf numFmtId="3" fontId="11" fillId="0" borderId="5" xfId="0" applyNumberFormat="1" applyFont="1" applyBorder="1"/>
    <xf numFmtId="3" fontId="11" fillId="0" borderId="6" xfId="0" applyNumberFormat="1" applyFont="1" applyBorder="1" applyAlignment="1">
      <alignment horizontal="center"/>
    </xf>
    <xf numFmtId="3" fontId="10" fillId="0" borderId="0" xfId="0" applyNumberFormat="1" applyFont="1" applyAlignment="1">
      <alignment horizontal="center"/>
    </xf>
    <xf numFmtId="3" fontId="6" fillId="0" borderId="5" xfId="0" applyNumberFormat="1" applyFont="1" applyBorder="1"/>
    <xf numFmtId="3" fontId="16" fillId="0" borderId="5" xfId="0" applyNumberFormat="1" applyFont="1" applyBorder="1"/>
    <xf numFmtId="3" fontId="16" fillId="0" borderId="6" xfId="0" applyNumberFormat="1" applyFont="1" applyBorder="1"/>
    <xf numFmtId="3" fontId="16" fillId="0" borderId="0" xfId="0" applyNumberFormat="1" applyFont="1"/>
    <xf numFmtId="3" fontId="0" fillId="0" borderId="6" xfId="0" applyNumberFormat="1" applyBorder="1"/>
    <xf numFmtId="3" fontId="6" fillId="0" borderId="6" xfId="0" applyNumberFormat="1" applyFont="1" applyBorder="1"/>
    <xf numFmtId="3" fontId="9" fillId="0" borderId="5" xfId="0" applyNumberFormat="1" applyFont="1" applyBorder="1"/>
    <xf numFmtId="3" fontId="10" fillId="2" borderId="5" xfId="0" applyNumberFormat="1" applyFont="1" applyFill="1" applyBorder="1"/>
    <xf numFmtId="3" fontId="10" fillId="2" borderId="6" xfId="0" applyNumberFormat="1" applyFont="1" applyFill="1" applyBorder="1"/>
    <xf numFmtId="3" fontId="10" fillId="2" borderId="0" xfId="0" applyNumberFormat="1" applyFont="1" applyFill="1"/>
    <xf numFmtId="3" fontId="16" fillId="0" borderId="2" xfId="0" applyNumberFormat="1" applyFont="1" applyBorder="1"/>
    <xf numFmtId="3" fontId="10" fillId="2" borderId="2" xfId="0" applyNumberFormat="1" applyFont="1" applyFill="1" applyBorder="1"/>
    <xf numFmtId="3" fontId="11" fillId="2" borderId="4" xfId="0" applyNumberFormat="1" applyFont="1" applyFill="1" applyBorder="1"/>
    <xf numFmtId="3" fontId="16" fillId="0" borderId="10" xfId="0" applyNumberFormat="1" applyFont="1" applyBorder="1"/>
    <xf numFmtId="3" fontId="11" fillId="2" borderId="6" xfId="0" applyNumberFormat="1" applyFont="1" applyFill="1" applyBorder="1"/>
    <xf numFmtId="3" fontId="10" fillId="2" borderId="13" xfId="0" applyNumberFormat="1" applyFont="1" applyFill="1" applyBorder="1"/>
    <xf numFmtId="3" fontId="10" fillId="2" borderId="7" xfId="0" applyNumberFormat="1" applyFont="1" applyFill="1" applyBorder="1"/>
    <xf numFmtId="3" fontId="11" fillId="2" borderId="9" xfId="0" applyNumberFormat="1" applyFont="1" applyFill="1" applyBorder="1"/>
    <xf numFmtId="0" fontId="16" fillId="0" borderId="0" xfId="0" applyFon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  <xf numFmtId="1" fontId="5" fillId="0" borderId="0" xfId="3" applyNumberFormat="1"/>
    <xf numFmtId="3" fontId="0" fillId="0" borderId="0" xfId="0" applyNumberFormat="1"/>
    <xf numFmtId="1" fontId="0" fillId="0" borderId="0" xfId="0" applyNumberFormat="1"/>
    <xf numFmtId="0" fontId="6" fillId="0" borderId="0" xfId="3" applyFont="1" applyAlignment="1">
      <alignment horizontal="left"/>
    </xf>
    <xf numFmtId="44" fontId="0" fillId="0" borderId="0" xfId="0" applyNumberFormat="1"/>
    <xf numFmtId="164" fontId="0" fillId="0" borderId="0" xfId="0" applyNumberFormat="1"/>
    <xf numFmtId="0" fontId="6" fillId="0" borderId="0" xfId="3" applyFont="1" applyAlignment="1">
      <alignment horizontal="center"/>
    </xf>
    <xf numFmtId="0" fontId="6" fillId="0" borderId="0" xfId="3" applyFont="1" applyAlignment="1">
      <alignment horizontal="right"/>
    </xf>
    <xf numFmtId="0" fontId="6" fillId="0" borderId="8" xfId="3" applyFont="1" applyBorder="1" applyAlignment="1">
      <alignment horizontal="right"/>
    </xf>
    <xf numFmtId="1" fontId="10" fillId="2" borderId="2" xfId="3" applyNumberFormat="1" applyFont="1" applyFill="1" applyBorder="1"/>
    <xf numFmtId="1" fontId="10" fillId="2" borderId="4" xfId="3" applyNumberFormat="1" applyFont="1" applyFill="1" applyBorder="1" applyAlignment="1">
      <alignment horizontal="center"/>
    </xf>
    <xf numFmtId="1" fontId="10" fillId="2" borderId="3" xfId="3" applyNumberFormat="1" applyFont="1" applyFill="1" applyBorder="1" applyAlignment="1">
      <alignment horizontal="right"/>
    </xf>
    <xf numFmtId="1" fontId="6" fillId="0" borderId="0" xfId="3" applyNumberFormat="1" applyFont="1"/>
    <xf numFmtId="3" fontId="6" fillId="0" borderId="0" xfId="3" applyNumberFormat="1" applyFont="1" applyAlignment="1">
      <alignment horizontal="center"/>
    </xf>
    <xf numFmtId="0" fontId="6" fillId="0" borderId="6" xfId="3" applyFont="1" applyBorder="1" applyAlignment="1">
      <alignment horizontal="right"/>
    </xf>
    <xf numFmtId="0" fontId="10" fillId="2" borderId="10" xfId="3" applyFont="1" applyFill="1" applyBorder="1"/>
    <xf numFmtId="3" fontId="2" fillId="2" borderId="11" xfId="3" applyNumberFormat="1" applyFont="1" applyFill="1" applyBorder="1" applyAlignment="1">
      <alignment horizontal="center"/>
    </xf>
    <xf numFmtId="0" fontId="10" fillId="2" borderId="12" xfId="3" applyFont="1" applyFill="1" applyBorder="1" applyAlignment="1">
      <alignment horizontal="right"/>
    </xf>
    <xf numFmtId="0" fontId="12" fillId="0" borderId="5" xfId="3" applyFont="1" applyBorder="1"/>
    <xf numFmtId="3" fontId="17" fillId="0" borderId="0" xfId="3" applyNumberFormat="1" applyFont="1" applyAlignment="1">
      <alignment horizontal="center"/>
    </xf>
    <xf numFmtId="0" fontId="12" fillId="0" borderId="6" xfId="3" applyFont="1" applyBorder="1" applyAlignment="1">
      <alignment horizontal="right"/>
    </xf>
    <xf numFmtId="3" fontId="12" fillId="0" borderId="6" xfId="3" applyNumberFormat="1" applyFont="1" applyBorder="1" applyAlignment="1">
      <alignment horizontal="right"/>
    </xf>
    <xf numFmtId="0" fontId="17" fillId="0" borderId="7" xfId="3" applyFont="1" applyBorder="1"/>
    <xf numFmtId="3" fontId="17" fillId="0" borderId="8" xfId="3" applyNumberFormat="1" applyFont="1" applyBorder="1" applyAlignment="1">
      <alignment horizontal="center"/>
    </xf>
    <xf numFmtId="3" fontId="12" fillId="0" borderId="9" xfId="3" applyNumberFormat="1" applyFont="1" applyBorder="1" applyAlignment="1">
      <alignment horizontal="right"/>
    </xf>
    <xf numFmtId="0" fontId="12" fillId="0" borderId="10" xfId="3" applyFont="1" applyBorder="1"/>
    <xf numFmtId="3" fontId="17" fillId="0" borderId="11" xfId="3" applyNumberFormat="1" applyFont="1" applyBorder="1" applyAlignment="1">
      <alignment horizontal="center"/>
    </xf>
    <xf numFmtId="3" fontId="12" fillId="0" borderId="12" xfId="3" applyNumberFormat="1" applyFont="1" applyBorder="1" applyAlignment="1">
      <alignment horizontal="right"/>
    </xf>
    <xf numFmtId="0" fontId="17" fillId="0" borderId="5" xfId="3" applyFont="1" applyBorder="1"/>
    <xf numFmtId="0" fontId="10" fillId="2" borderId="2" xfId="3" applyFont="1" applyFill="1" applyBorder="1"/>
    <xf numFmtId="3" fontId="2" fillId="2" borderId="4" xfId="3" applyNumberFormat="1" applyFont="1" applyFill="1" applyBorder="1" applyAlignment="1">
      <alignment horizontal="center"/>
    </xf>
    <xf numFmtId="0" fontId="10" fillId="2" borderId="3" xfId="3" applyFont="1" applyFill="1" applyBorder="1" applyAlignment="1">
      <alignment horizontal="right"/>
    </xf>
    <xf numFmtId="0" fontId="16" fillId="0" borderId="2" xfId="3" applyFont="1" applyBorder="1"/>
    <xf numFmtId="3" fontId="5" fillId="0" borderId="4" xfId="3" applyNumberFormat="1" applyBorder="1" applyAlignment="1">
      <alignment horizontal="center"/>
    </xf>
    <xf numFmtId="0" fontId="6" fillId="0" borderId="3" xfId="3" applyFont="1" applyBorder="1" applyAlignment="1">
      <alignment horizontal="right"/>
    </xf>
    <xf numFmtId="3" fontId="5" fillId="0" borderId="0" xfId="3" applyNumberFormat="1" applyAlignment="1">
      <alignment horizontal="center"/>
    </xf>
    <xf numFmtId="0" fontId="16" fillId="0" borderId="5" xfId="3" applyFont="1" applyBorder="1"/>
    <xf numFmtId="3" fontId="6" fillId="0" borderId="6" xfId="3" applyNumberFormat="1" applyFont="1" applyBorder="1" applyAlignment="1">
      <alignment horizontal="right"/>
    </xf>
    <xf numFmtId="0" fontId="6" fillId="0" borderId="10" xfId="3" applyFont="1" applyBorder="1"/>
    <xf numFmtId="3" fontId="5" fillId="0" borderId="11" xfId="3" applyNumberFormat="1" applyBorder="1" applyAlignment="1">
      <alignment horizontal="center"/>
    </xf>
    <xf numFmtId="0" fontId="6" fillId="0" borderId="7" xfId="3" applyFont="1" applyBorder="1"/>
    <xf numFmtId="3" fontId="5" fillId="0" borderId="8" xfId="3" applyNumberFormat="1" applyBorder="1" applyAlignment="1">
      <alignment horizontal="center"/>
    </xf>
    <xf numFmtId="3" fontId="6" fillId="0" borderId="9" xfId="3" applyNumberFormat="1" applyFont="1" applyBorder="1" applyAlignment="1">
      <alignment horizontal="right"/>
    </xf>
    <xf numFmtId="3" fontId="10" fillId="2" borderId="11" xfId="3" applyNumberFormat="1" applyFont="1" applyFill="1" applyBorder="1" applyAlignment="1">
      <alignment horizontal="center"/>
    </xf>
    <xf numFmtId="3" fontId="10" fillId="2" borderId="12" xfId="3" applyNumberFormat="1" applyFont="1" applyFill="1" applyBorder="1" applyAlignment="1">
      <alignment horizontal="right"/>
    </xf>
    <xf numFmtId="3" fontId="10" fillId="2" borderId="4" xfId="3" applyNumberFormat="1" applyFont="1" applyFill="1" applyBorder="1" applyAlignment="1">
      <alignment horizontal="center"/>
    </xf>
    <xf numFmtId="3" fontId="10" fillId="2" borderId="3" xfId="3" applyNumberFormat="1" applyFont="1" applyFill="1" applyBorder="1" applyAlignment="1">
      <alignment horizontal="right"/>
    </xf>
    <xf numFmtId="3" fontId="6" fillId="0" borderId="4" xfId="3" applyNumberFormat="1" applyFont="1" applyBorder="1" applyAlignment="1">
      <alignment horizontal="center"/>
    </xf>
    <xf numFmtId="3" fontId="6" fillId="0" borderId="3" xfId="3" applyNumberFormat="1" applyFont="1" applyBorder="1" applyAlignment="1">
      <alignment horizontal="right"/>
    </xf>
    <xf numFmtId="0" fontId="16" fillId="0" borderId="7" xfId="3" applyFont="1" applyBorder="1"/>
    <xf numFmtId="0" fontId="6" fillId="0" borderId="9" xfId="3" applyFont="1" applyBorder="1" applyAlignment="1">
      <alignment horizontal="right"/>
    </xf>
    <xf numFmtId="0" fontId="10" fillId="2" borderId="5" xfId="3" applyFont="1" applyFill="1" applyBorder="1"/>
    <xf numFmtId="3" fontId="2" fillId="2" borderId="0" xfId="3" applyNumberFormat="1" applyFont="1" applyFill="1" applyAlignment="1">
      <alignment horizontal="center"/>
    </xf>
    <xf numFmtId="0" fontId="10" fillId="2" borderId="6" xfId="3" applyFont="1" applyFill="1" applyBorder="1" applyAlignment="1">
      <alignment horizontal="right"/>
    </xf>
    <xf numFmtId="0" fontId="10" fillId="0" borderId="2" xfId="3" applyFont="1" applyBorder="1"/>
    <xf numFmtId="3" fontId="2" fillId="0" borderId="4" xfId="3" applyNumberFormat="1" applyFont="1" applyBorder="1" applyAlignment="1">
      <alignment horizontal="center"/>
    </xf>
    <xf numFmtId="0" fontId="10" fillId="0" borderId="3" xfId="3" applyFont="1" applyBorder="1" applyAlignment="1">
      <alignment horizontal="right"/>
    </xf>
    <xf numFmtId="0" fontId="16" fillId="0" borderId="10" xfId="3" applyFont="1" applyBorder="1"/>
    <xf numFmtId="0" fontId="6" fillId="0" borderId="12" xfId="3" applyFont="1" applyBorder="1" applyAlignment="1">
      <alignment horizontal="right"/>
    </xf>
    <xf numFmtId="3" fontId="11" fillId="2" borderId="11" xfId="3" applyNumberFormat="1" applyFont="1" applyFill="1" applyBorder="1" applyAlignment="1">
      <alignment horizontal="center"/>
    </xf>
    <xf numFmtId="3" fontId="10" fillId="2" borderId="9" xfId="3" applyNumberFormat="1" applyFont="1" applyFill="1" applyBorder="1" applyAlignment="1">
      <alignment horizontal="right"/>
    </xf>
    <xf numFmtId="3" fontId="6" fillId="0" borderId="12" xfId="3" applyNumberFormat="1" applyFont="1" applyBorder="1" applyAlignment="1">
      <alignment horizontal="right"/>
    </xf>
    <xf numFmtId="3" fontId="12" fillId="3" borderId="11" xfId="3" applyNumberFormat="1" applyFont="1" applyFill="1" applyBorder="1" applyAlignment="1">
      <alignment horizontal="center"/>
    </xf>
    <xf numFmtId="0" fontId="16" fillId="0" borderId="10" xfId="3" applyFont="1" applyBorder="1" applyAlignment="1">
      <alignment horizontal="center"/>
    </xf>
    <xf numFmtId="0" fontId="16" fillId="0" borderId="0" xfId="3" applyFont="1"/>
    <xf numFmtId="0" fontId="10" fillId="2" borderId="2" xfId="3" applyFont="1" applyFill="1" applyBorder="1" applyAlignment="1">
      <alignment horizontal="center"/>
    </xf>
    <xf numFmtId="3" fontId="10" fillId="2" borderId="3" xfId="3" applyNumberFormat="1" applyFont="1" applyFill="1" applyBorder="1" applyAlignment="1">
      <alignment horizontal="center"/>
    </xf>
    <xf numFmtId="3" fontId="10" fillId="0" borderId="5" xfId="3" applyNumberFormat="1" applyFont="1" applyBorder="1" applyAlignment="1">
      <alignment horizontal="center"/>
    </xf>
    <xf numFmtId="3" fontId="6" fillId="0" borderId="6" xfId="3" applyNumberFormat="1" applyFont="1" applyBorder="1" applyAlignment="1">
      <alignment horizontal="center"/>
    </xf>
    <xf numFmtId="3" fontId="6" fillId="0" borderId="5" xfId="3" applyNumberFormat="1" applyFont="1" applyBorder="1" applyAlignment="1">
      <alignment horizontal="center"/>
    </xf>
    <xf numFmtId="3" fontId="12" fillId="3" borderId="0" xfId="3" applyNumberFormat="1" applyFont="1" applyFill="1" applyAlignment="1">
      <alignment horizontal="center"/>
    </xf>
    <xf numFmtId="3" fontId="12" fillId="3" borderId="6" xfId="3" applyNumberFormat="1" applyFont="1" applyFill="1" applyBorder="1" applyAlignment="1">
      <alignment horizontal="center"/>
    </xf>
    <xf numFmtId="0" fontId="10" fillId="0" borderId="5" xfId="3" applyFont="1" applyBorder="1" applyAlignment="1">
      <alignment horizontal="center"/>
    </xf>
    <xf numFmtId="0" fontId="6" fillId="0" borderId="6" xfId="3" applyFont="1" applyBorder="1" applyAlignment="1">
      <alignment horizontal="center"/>
    </xf>
    <xf numFmtId="0" fontId="6" fillId="0" borderId="5" xfId="3" applyFont="1" applyBorder="1" applyAlignment="1">
      <alignment horizontal="center"/>
    </xf>
    <xf numFmtId="10" fontId="12" fillId="3" borderId="0" xfId="3" applyNumberFormat="1" applyFont="1" applyFill="1" applyAlignment="1">
      <alignment horizontal="center"/>
    </xf>
    <xf numFmtId="10" fontId="12" fillId="3" borderId="6" xfId="3" applyNumberFormat="1" applyFont="1" applyFill="1" applyBorder="1" applyAlignment="1">
      <alignment horizontal="center"/>
    </xf>
    <xf numFmtId="0" fontId="10" fillId="0" borderId="7" xfId="3" applyFont="1" applyBorder="1" applyAlignment="1">
      <alignment horizontal="center"/>
    </xf>
    <xf numFmtId="0" fontId="6" fillId="0" borderId="8" xfId="3" applyFont="1" applyBorder="1" applyAlignment="1">
      <alignment horizontal="center"/>
    </xf>
    <xf numFmtId="0" fontId="6" fillId="0" borderId="9" xfId="3" applyFont="1" applyBorder="1" applyAlignment="1">
      <alignment horizontal="center"/>
    </xf>
    <xf numFmtId="17" fontId="10" fillId="2" borderId="4" xfId="3" applyNumberFormat="1" applyFont="1" applyFill="1" applyBorder="1" applyAlignment="1">
      <alignment horizontal="center"/>
    </xf>
    <xf numFmtId="166" fontId="5" fillId="0" borderId="0" xfId="3" applyNumberFormat="1" applyAlignment="1">
      <alignment horizontal="center"/>
    </xf>
    <xf numFmtId="9" fontId="6" fillId="0" borderId="6" xfId="3" applyNumberFormat="1" applyFont="1" applyBorder="1" applyAlignment="1">
      <alignment horizontal="right"/>
    </xf>
    <xf numFmtId="0" fontId="10" fillId="0" borderId="5" xfId="3" applyFont="1" applyBorder="1"/>
    <xf numFmtId="3" fontId="2" fillId="0" borderId="0" xfId="3" applyNumberFormat="1" applyFont="1" applyAlignment="1">
      <alignment horizontal="center"/>
    </xf>
    <xf numFmtId="0" fontId="10" fillId="0" borderId="6" xfId="3" applyFont="1" applyBorder="1" applyAlignment="1">
      <alignment horizontal="right"/>
    </xf>
    <xf numFmtId="3" fontId="12" fillId="3" borderId="4" xfId="3" applyNumberFormat="1" applyFont="1" applyFill="1" applyBorder="1" applyAlignment="1">
      <alignment horizontal="center"/>
    </xf>
    <xf numFmtId="10" fontId="6" fillId="0" borderId="0" xfId="3" applyNumberFormat="1" applyFont="1" applyAlignment="1">
      <alignment horizontal="center"/>
    </xf>
    <xf numFmtId="10" fontId="2" fillId="2" borderId="11" xfId="3" applyNumberFormat="1" applyFont="1" applyFill="1" applyBorder="1" applyAlignment="1">
      <alignment horizontal="center"/>
    </xf>
    <xf numFmtId="10" fontId="10" fillId="2" borderId="12" xfId="3" applyNumberFormat="1" applyFont="1" applyFill="1" applyBorder="1" applyAlignment="1">
      <alignment horizontal="right"/>
    </xf>
    <xf numFmtId="10" fontId="2" fillId="2" borderId="4" xfId="3" applyNumberFormat="1" applyFont="1" applyFill="1" applyBorder="1" applyAlignment="1">
      <alignment horizontal="center"/>
    </xf>
    <xf numFmtId="10" fontId="10" fillId="2" borderId="3" xfId="3" applyNumberFormat="1" applyFont="1" applyFill="1" applyBorder="1" applyAlignment="1">
      <alignment horizontal="right"/>
    </xf>
    <xf numFmtId="10" fontId="6" fillId="0" borderId="6" xfId="3" applyNumberFormat="1" applyFont="1" applyBorder="1" applyAlignment="1">
      <alignment horizontal="right"/>
    </xf>
    <xf numFmtId="10" fontId="6" fillId="0" borderId="4" xfId="3" applyNumberFormat="1" applyFont="1" applyBorder="1" applyAlignment="1">
      <alignment horizontal="center"/>
    </xf>
    <xf numFmtId="10" fontId="6" fillId="0" borderId="3" xfId="3" applyNumberFormat="1" applyFont="1" applyBorder="1" applyAlignment="1">
      <alignment horizontal="right"/>
    </xf>
    <xf numFmtId="10" fontId="6" fillId="0" borderId="9" xfId="3" applyNumberFormat="1" applyFont="1" applyBorder="1" applyAlignment="1">
      <alignment horizontal="right"/>
    </xf>
    <xf numFmtId="10" fontId="2" fillId="2" borderId="0" xfId="3" applyNumberFormat="1" applyFont="1" applyFill="1" applyAlignment="1">
      <alignment horizontal="center"/>
    </xf>
    <xf numFmtId="10" fontId="10" fillId="2" borderId="6" xfId="3" applyNumberFormat="1" applyFont="1" applyFill="1" applyBorder="1" applyAlignment="1">
      <alignment horizontal="right"/>
    </xf>
    <xf numFmtId="10" fontId="2" fillId="0" borderId="4" xfId="3" applyNumberFormat="1" applyFont="1" applyBorder="1" applyAlignment="1">
      <alignment horizontal="center"/>
    </xf>
    <xf numFmtId="10" fontId="10" fillId="0" borderId="3" xfId="3" applyNumberFormat="1" applyFont="1" applyBorder="1" applyAlignment="1">
      <alignment horizontal="right"/>
    </xf>
    <xf numFmtId="10" fontId="5" fillId="0" borderId="11" xfId="3" applyNumberFormat="1" applyBorder="1" applyAlignment="1">
      <alignment horizontal="center"/>
    </xf>
    <xf numFmtId="10" fontId="6" fillId="0" borderId="12" xfId="3" applyNumberFormat="1" applyFont="1" applyBorder="1" applyAlignment="1">
      <alignment horizontal="right"/>
    </xf>
    <xf numFmtId="10" fontId="11" fillId="2" borderId="11" xfId="3" applyNumberFormat="1" applyFont="1" applyFill="1" applyBorder="1" applyAlignment="1">
      <alignment horizontal="center"/>
    </xf>
    <xf numFmtId="10" fontId="10" fillId="2" borderId="9" xfId="3" applyNumberFormat="1" applyFont="1" applyFill="1" applyBorder="1" applyAlignment="1">
      <alignment horizontal="right"/>
    </xf>
    <xf numFmtId="10" fontId="12" fillId="3" borderId="11" xfId="3" applyNumberFormat="1" applyFont="1" applyFill="1" applyBorder="1" applyAlignment="1">
      <alignment horizontal="center"/>
    </xf>
    <xf numFmtId="0" fontId="10" fillId="2" borderId="4" xfId="3" applyFont="1" applyFill="1" applyBorder="1"/>
    <xf numFmtId="0" fontId="10" fillId="2" borderId="11" xfId="3" applyFont="1" applyFill="1" applyBorder="1"/>
    <xf numFmtId="0" fontId="10" fillId="0" borderId="0" xfId="3" applyFont="1"/>
    <xf numFmtId="0" fontId="16" fillId="0" borderId="8" xfId="3" applyFont="1" applyBorder="1"/>
    <xf numFmtId="0" fontId="6" fillId="0" borderId="11" xfId="3" applyFont="1" applyBorder="1"/>
    <xf numFmtId="0" fontId="16" fillId="0" borderId="4" xfId="3" applyFont="1" applyBorder="1"/>
    <xf numFmtId="0" fontId="6" fillId="0" borderId="8" xfId="3" applyFont="1" applyBorder="1"/>
    <xf numFmtId="0" fontId="6" fillId="0" borderId="4" xfId="3" applyFont="1" applyBorder="1"/>
    <xf numFmtId="0" fontId="10" fillId="2" borderId="0" xfId="3" applyFont="1" applyFill="1"/>
    <xf numFmtId="0" fontId="10" fillId="0" borderId="4" xfId="3" applyFont="1" applyBorder="1"/>
    <xf numFmtId="0" fontId="16" fillId="0" borderId="11" xfId="3" applyFont="1" applyBorder="1"/>
    <xf numFmtId="0" fontId="16" fillId="0" borderId="11" xfId="3" applyFont="1" applyBorder="1" applyAlignment="1">
      <alignment horizontal="center"/>
    </xf>
    <xf numFmtId="3" fontId="6" fillId="0" borderId="11" xfId="3" applyNumberFormat="1" applyFont="1" applyBorder="1"/>
    <xf numFmtId="166" fontId="5" fillId="0" borderId="0" xfId="1" applyNumberFormat="1" applyFont="1" applyAlignment="1">
      <alignment horizontal="center"/>
    </xf>
    <xf numFmtId="167" fontId="5" fillId="0" borderId="4" xfId="3" applyNumberFormat="1" applyBorder="1" applyAlignment="1">
      <alignment horizontal="center"/>
    </xf>
    <xf numFmtId="167" fontId="5" fillId="0" borderId="0" xfId="3" applyNumberFormat="1" applyAlignment="1">
      <alignment horizontal="center"/>
    </xf>
    <xf numFmtId="0" fontId="3" fillId="2" borderId="2" xfId="3" applyFont="1" applyFill="1" applyBorder="1" applyAlignment="1">
      <alignment horizontal="center"/>
    </xf>
    <xf numFmtId="0" fontId="2" fillId="2" borderId="3" xfId="3" applyFont="1" applyFill="1" applyBorder="1" applyAlignment="1">
      <alignment horizontal="center"/>
    </xf>
    <xf numFmtId="3" fontId="10" fillId="2" borderId="4" xfId="0" applyNumberFormat="1" applyFont="1" applyFill="1" applyBorder="1" applyAlignment="1">
      <alignment horizontal="center"/>
    </xf>
    <xf numFmtId="3" fontId="10" fillId="2" borderId="3" xfId="0" applyNumberFormat="1" applyFont="1" applyFill="1" applyBorder="1" applyAlignment="1">
      <alignment horizontal="center"/>
    </xf>
    <xf numFmtId="165" fontId="0" fillId="0" borderId="0" xfId="0" applyNumberFormat="1"/>
    <xf numFmtId="168" fontId="0" fillId="0" borderId="0" xfId="0" applyNumberFormat="1"/>
    <xf numFmtId="169" fontId="0" fillId="0" borderId="0" xfId="0" applyNumberFormat="1"/>
    <xf numFmtId="166" fontId="5" fillId="0" borderId="0" xfId="1" applyNumberFormat="1" applyFont="1"/>
    <xf numFmtId="167" fontId="5" fillId="0" borderId="0" xfId="3" applyNumberFormat="1"/>
    <xf numFmtId="9" fontId="5" fillId="0" borderId="0" xfId="1" applyFont="1"/>
    <xf numFmtId="9" fontId="5" fillId="0" borderId="0" xfId="3" applyNumberFormat="1"/>
  </cellXfs>
  <cellStyles count="4">
    <cellStyle name="Euro" xfId="2" xr:uid="{3D1D9C13-463F-4F91-AB3C-CF1269FD6287}"/>
    <cellStyle name="Normal" xfId="0" builtinId="0"/>
    <cellStyle name="Normal 2" xfId="3" xr:uid="{96B0890C-020F-4089-BF52-3064C8543AC7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jercicio 1 --&gt;"/>
      <sheetName val="Ejercicio 1"/>
      <sheetName val="Cuestionario 1"/>
      <sheetName val="Ejercicio 2 --&gt;"/>
      <sheetName val="Hipótesis Partida"/>
      <sheetName val="Cuenta Resultados"/>
      <sheetName val="Presupuesto Tesorería"/>
      <sheetName val="Gráficos"/>
      <sheetName val="Cuestionario 2"/>
      <sheetName val="Ejercicio 3 --&gt;"/>
      <sheetName val="Parte A"/>
      <sheetName val="Parte B"/>
      <sheetName val="Ejercicio 4 --&gt;"/>
      <sheetName val="Ejercicio 4"/>
      <sheetName val="Ejercicio 5 --&gt;"/>
      <sheetName val="Hipótesis Partida_5"/>
      <sheetName val="Cuenta Resultados_5"/>
      <sheetName val="P.Tesorería Arrendamiento"/>
      <sheetName val="Gráficos Arrendamiento"/>
      <sheetName val="P.Tesorería Venta"/>
      <sheetName val="Gráficos Venta"/>
      <sheetName val="Cuestionario 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7">
          <cell r="F27">
            <v>29000000</v>
          </cell>
        </row>
        <row r="32">
          <cell r="C32">
            <v>10500000</v>
          </cell>
        </row>
        <row r="33">
          <cell r="E33">
            <v>8060000</v>
          </cell>
        </row>
        <row r="35">
          <cell r="B35">
            <v>4.4999999999999998E-2</v>
          </cell>
        </row>
      </sheetData>
      <sheetData sheetId="16">
        <row r="7">
          <cell r="E7">
            <v>15450000</v>
          </cell>
        </row>
        <row r="8">
          <cell r="D8">
            <v>15000000</v>
          </cell>
        </row>
        <row r="12">
          <cell r="E12">
            <v>6600000</v>
          </cell>
        </row>
        <row r="13">
          <cell r="D13">
            <v>5000000</v>
          </cell>
        </row>
        <row r="20">
          <cell r="E20">
            <v>250000</v>
          </cell>
        </row>
        <row r="32">
          <cell r="D32">
            <v>29000000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9A4D0-084D-4D61-9859-B963DE02CE24}">
  <dimension ref="A1:J47"/>
  <sheetViews>
    <sheetView topLeftCell="A17" workbookViewId="0">
      <selection activeCell="B45" sqref="B45"/>
    </sheetView>
  </sheetViews>
  <sheetFormatPr baseColWidth="10" defaultRowHeight="12.75" x14ac:dyDescent="0.2"/>
  <cols>
    <col min="1" max="1" width="38.85546875" style="12" bestFit="1" customWidth="1"/>
    <col min="2" max="2" width="12.85546875" style="12" bestFit="1" customWidth="1"/>
    <col min="3" max="3" width="11.42578125" style="12" customWidth="1"/>
    <col min="4" max="4" width="10" style="24" bestFit="1" customWidth="1"/>
    <col min="5" max="5" width="8.7109375" style="57" customWidth="1"/>
    <col min="6" max="6" width="11.42578125" style="12" customWidth="1"/>
    <col min="7" max="7" width="33" style="12" bestFit="1" customWidth="1"/>
    <col min="8" max="12" width="11.42578125" style="12"/>
    <col min="13" max="13" width="22" style="12" bestFit="1" customWidth="1"/>
    <col min="14" max="255" width="11.42578125" style="12"/>
    <col min="256" max="256" width="32.7109375" style="12" customWidth="1"/>
    <col min="257" max="257" width="10.7109375" style="12" customWidth="1"/>
    <col min="258" max="258" width="11.42578125" style="12"/>
    <col min="259" max="259" width="10" style="12" bestFit="1" customWidth="1"/>
    <col min="260" max="260" width="8.7109375" style="12" customWidth="1"/>
    <col min="261" max="511" width="11.42578125" style="12"/>
    <col min="512" max="512" width="32.7109375" style="12" customWidth="1"/>
    <col min="513" max="513" width="10.7109375" style="12" customWidth="1"/>
    <col min="514" max="514" width="11.42578125" style="12"/>
    <col min="515" max="515" width="10" style="12" bestFit="1" customWidth="1"/>
    <col min="516" max="516" width="8.7109375" style="12" customWidth="1"/>
    <col min="517" max="767" width="11.42578125" style="12"/>
    <col min="768" max="768" width="32.7109375" style="12" customWidth="1"/>
    <col min="769" max="769" width="10.7109375" style="12" customWidth="1"/>
    <col min="770" max="770" width="11.42578125" style="12"/>
    <col min="771" max="771" width="10" style="12" bestFit="1" customWidth="1"/>
    <col min="772" max="772" width="8.7109375" style="12" customWidth="1"/>
    <col min="773" max="1023" width="11.42578125" style="12"/>
    <col min="1024" max="1024" width="32.7109375" style="12" customWidth="1"/>
    <col min="1025" max="1025" width="10.7109375" style="12" customWidth="1"/>
    <col min="1026" max="1026" width="11.42578125" style="12"/>
    <col min="1027" max="1027" width="10" style="12" bestFit="1" customWidth="1"/>
    <col min="1028" max="1028" width="8.7109375" style="12" customWidth="1"/>
    <col min="1029" max="1279" width="11.42578125" style="12"/>
    <col min="1280" max="1280" width="32.7109375" style="12" customWidth="1"/>
    <col min="1281" max="1281" width="10.7109375" style="12" customWidth="1"/>
    <col min="1282" max="1282" width="11.42578125" style="12"/>
    <col min="1283" max="1283" width="10" style="12" bestFit="1" customWidth="1"/>
    <col min="1284" max="1284" width="8.7109375" style="12" customWidth="1"/>
    <col min="1285" max="1535" width="11.42578125" style="12"/>
    <col min="1536" max="1536" width="32.7109375" style="12" customWidth="1"/>
    <col min="1537" max="1537" width="10.7109375" style="12" customWidth="1"/>
    <col min="1538" max="1538" width="11.42578125" style="12"/>
    <col min="1539" max="1539" width="10" style="12" bestFit="1" customWidth="1"/>
    <col min="1540" max="1540" width="8.7109375" style="12" customWidth="1"/>
    <col min="1541" max="1791" width="11.42578125" style="12"/>
    <col min="1792" max="1792" width="32.7109375" style="12" customWidth="1"/>
    <col min="1793" max="1793" width="10.7109375" style="12" customWidth="1"/>
    <col min="1794" max="1794" width="11.42578125" style="12"/>
    <col min="1795" max="1795" width="10" style="12" bestFit="1" customWidth="1"/>
    <col min="1796" max="1796" width="8.7109375" style="12" customWidth="1"/>
    <col min="1797" max="2047" width="11.42578125" style="12"/>
    <col min="2048" max="2048" width="32.7109375" style="12" customWidth="1"/>
    <col min="2049" max="2049" width="10.7109375" style="12" customWidth="1"/>
    <col min="2050" max="2050" width="11.42578125" style="12"/>
    <col min="2051" max="2051" width="10" style="12" bestFit="1" customWidth="1"/>
    <col min="2052" max="2052" width="8.7109375" style="12" customWidth="1"/>
    <col min="2053" max="2303" width="11.42578125" style="12"/>
    <col min="2304" max="2304" width="32.7109375" style="12" customWidth="1"/>
    <col min="2305" max="2305" width="10.7109375" style="12" customWidth="1"/>
    <col min="2306" max="2306" width="11.42578125" style="12"/>
    <col min="2307" max="2307" width="10" style="12" bestFit="1" customWidth="1"/>
    <col min="2308" max="2308" width="8.7109375" style="12" customWidth="1"/>
    <col min="2309" max="2559" width="11.42578125" style="12"/>
    <col min="2560" max="2560" width="32.7109375" style="12" customWidth="1"/>
    <col min="2561" max="2561" width="10.7109375" style="12" customWidth="1"/>
    <col min="2562" max="2562" width="11.42578125" style="12"/>
    <col min="2563" max="2563" width="10" style="12" bestFit="1" customWidth="1"/>
    <col min="2564" max="2564" width="8.7109375" style="12" customWidth="1"/>
    <col min="2565" max="2815" width="11.42578125" style="12"/>
    <col min="2816" max="2816" width="32.7109375" style="12" customWidth="1"/>
    <col min="2817" max="2817" width="10.7109375" style="12" customWidth="1"/>
    <col min="2818" max="2818" width="11.42578125" style="12"/>
    <col min="2819" max="2819" width="10" style="12" bestFit="1" customWidth="1"/>
    <col min="2820" max="2820" width="8.7109375" style="12" customWidth="1"/>
    <col min="2821" max="3071" width="11.42578125" style="12"/>
    <col min="3072" max="3072" width="32.7109375" style="12" customWidth="1"/>
    <col min="3073" max="3073" width="10.7109375" style="12" customWidth="1"/>
    <col min="3074" max="3074" width="11.42578125" style="12"/>
    <col min="3075" max="3075" width="10" style="12" bestFit="1" customWidth="1"/>
    <col min="3076" max="3076" width="8.7109375" style="12" customWidth="1"/>
    <col min="3077" max="3327" width="11.42578125" style="12"/>
    <col min="3328" max="3328" width="32.7109375" style="12" customWidth="1"/>
    <col min="3329" max="3329" width="10.7109375" style="12" customWidth="1"/>
    <col min="3330" max="3330" width="11.42578125" style="12"/>
    <col min="3331" max="3331" width="10" style="12" bestFit="1" customWidth="1"/>
    <col min="3332" max="3332" width="8.7109375" style="12" customWidth="1"/>
    <col min="3333" max="3583" width="11.42578125" style="12"/>
    <col min="3584" max="3584" width="32.7109375" style="12" customWidth="1"/>
    <col min="3585" max="3585" width="10.7109375" style="12" customWidth="1"/>
    <col min="3586" max="3586" width="11.42578125" style="12"/>
    <col min="3587" max="3587" width="10" style="12" bestFit="1" customWidth="1"/>
    <col min="3588" max="3588" width="8.7109375" style="12" customWidth="1"/>
    <col min="3589" max="3839" width="11.42578125" style="12"/>
    <col min="3840" max="3840" width="32.7109375" style="12" customWidth="1"/>
    <col min="3841" max="3841" width="10.7109375" style="12" customWidth="1"/>
    <col min="3842" max="3842" width="11.42578125" style="12"/>
    <col min="3843" max="3843" width="10" style="12" bestFit="1" customWidth="1"/>
    <col min="3844" max="3844" width="8.7109375" style="12" customWidth="1"/>
    <col min="3845" max="4095" width="11.42578125" style="12"/>
    <col min="4096" max="4096" width="32.7109375" style="12" customWidth="1"/>
    <col min="4097" max="4097" width="10.7109375" style="12" customWidth="1"/>
    <col min="4098" max="4098" width="11.42578125" style="12"/>
    <col min="4099" max="4099" width="10" style="12" bestFit="1" customWidth="1"/>
    <col min="4100" max="4100" width="8.7109375" style="12" customWidth="1"/>
    <col min="4101" max="4351" width="11.42578125" style="12"/>
    <col min="4352" max="4352" width="32.7109375" style="12" customWidth="1"/>
    <col min="4353" max="4353" width="10.7109375" style="12" customWidth="1"/>
    <col min="4354" max="4354" width="11.42578125" style="12"/>
    <col min="4355" max="4355" width="10" style="12" bestFit="1" customWidth="1"/>
    <col min="4356" max="4356" width="8.7109375" style="12" customWidth="1"/>
    <col min="4357" max="4607" width="11.42578125" style="12"/>
    <col min="4608" max="4608" width="32.7109375" style="12" customWidth="1"/>
    <col min="4609" max="4609" width="10.7109375" style="12" customWidth="1"/>
    <col min="4610" max="4610" width="11.42578125" style="12"/>
    <col min="4611" max="4611" width="10" style="12" bestFit="1" customWidth="1"/>
    <col min="4612" max="4612" width="8.7109375" style="12" customWidth="1"/>
    <col min="4613" max="4863" width="11.42578125" style="12"/>
    <col min="4864" max="4864" width="32.7109375" style="12" customWidth="1"/>
    <col min="4865" max="4865" width="10.7109375" style="12" customWidth="1"/>
    <col min="4866" max="4866" width="11.42578125" style="12"/>
    <col min="4867" max="4867" width="10" style="12" bestFit="1" customWidth="1"/>
    <col min="4868" max="4868" width="8.7109375" style="12" customWidth="1"/>
    <col min="4869" max="5119" width="11.42578125" style="12"/>
    <col min="5120" max="5120" width="32.7109375" style="12" customWidth="1"/>
    <col min="5121" max="5121" width="10.7109375" style="12" customWidth="1"/>
    <col min="5122" max="5122" width="11.42578125" style="12"/>
    <col min="5123" max="5123" width="10" style="12" bestFit="1" customWidth="1"/>
    <col min="5124" max="5124" width="8.7109375" style="12" customWidth="1"/>
    <col min="5125" max="5375" width="11.42578125" style="12"/>
    <col min="5376" max="5376" width="32.7109375" style="12" customWidth="1"/>
    <col min="5377" max="5377" width="10.7109375" style="12" customWidth="1"/>
    <col min="5378" max="5378" width="11.42578125" style="12"/>
    <col min="5379" max="5379" width="10" style="12" bestFit="1" customWidth="1"/>
    <col min="5380" max="5380" width="8.7109375" style="12" customWidth="1"/>
    <col min="5381" max="5631" width="11.42578125" style="12"/>
    <col min="5632" max="5632" width="32.7109375" style="12" customWidth="1"/>
    <col min="5633" max="5633" width="10.7109375" style="12" customWidth="1"/>
    <col min="5634" max="5634" width="11.42578125" style="12"/>
    <col min="5635" max="5635" width="10" style="12" bestFit="1" customWidth="1"/>
    <col min="5636" max="5636" width="8.7109375" style="12" customWidth="1"/>
    <col min="5637" max="5887" width="11.42578125" style="12"/>
    <col min="5888" max="5888" width="32.7109375" style="12" customWidth="1"/>
    <col min="5889" max="5889" width="10.7109375" style="12" customWidth="1"/>
    <col min="5890" max="5890" width="11.42578125" style="12"/>
    <col min="5891" max="5891" width="10" style="12" bestFit="1" customWidth="1"/>
    <col min="5892" max="5892" width="8.7109375" style="12" customWidth="1"/>
    <col min="5893" max="6143" width="11.42578125" style="12"/>
    <col min="6144" max="6144" width="32.7109375" style="12" customWidth="1"/>
    <col min="6145" max="6145" width="10.7109375" style="12" customWidth="1"/>
    <col min="6146" max="6146" width="11.42578125" style="12"/>
    <col min="6147" max="6147" width="10" style="12" bestFit="1" customWidth="1"/>
    <col min="6148" max="6148" width="8.7109375" style="12" customWidth="1"/>
    <col min="6149" max="6399" width="11.42578125" style="12"/>
    <col min="6400" max="6400" width="32.7109375" style="12" customWidth="1"/>
    <col min="6401" max="6401" width="10.7109375" style="12" customWidth="1"/>
    <col min="6402" max="6402" width="11.42578125" style="12"/>
    <col min="6403" max="6403" width="10" style="12" bestFit="1" customWidth="1"/>
    <col min="6404" max="6404" width="8.7109375" style="12" customWidth="1"/>
    <col min="6405" max="6655" width="11.42578125" style="12"/>
    <col min="6656" max="6656" width="32.7109375" style="12" customWidth="1"/>
    <col min="6657" max="6657" width="10.7109375" style="12" customWidth="1"/>
    <col min="6658" max="6658" width="11.42578125" style="12"/>
    <col min="6659" max="6659" width="10" style="12" bestFit="1" customWidth="1"/>
    <col min="6660" max="6660" width="8.7109375" style="12" customWidth="1"/>
    <col min="6661" max="6911" width="11.42578125" style="12"/>
    <col min="6912" max="6912" width="32.7109375" style="12" customWidth="1"/>
    <col min="6913" max="6913" width="10.7109375" style="12" customWidth="1"/>
    <col min="6914" max="6914" width="11.42578125" style="12"/>
    <col min="6915" max="6915" width="10" style="12" bestFit="1" customWidth="1"/>
    <col min="6916" max="6916" width="8.7109375" style="12" customWidth="1"/>
    <col min="6917" max="7167" width="11.42578125" style="12"/>
    <col min="7168" max="7168" width="32.7109375" style="12" customWidth="1"/>
    <col min="7169" max="7169" width="10.7109375" style="12" customWidth="1"/>
    <col min="7170" max="7170" width="11.42578125" style="12"/>
    <col min="7171" max="7171" width="10" style="12" bestFit="1" customWidth="1"/>
    <col min="7172" max="7172" width="8.7109375" style="12" customWidth="1"/>
    <col min="7173" max="7423" width="11.42578125" style="12"/>
    <col min="7424" max="7424" width="32.7109375" style="12" customWidth="1"/>
    <col min="7425" max="7425" width="10.7109375" style="12" customWidth="1"/>
    <col min="7426" max="7426" width="11.42578125" style="12"/>
    <col min="7427" max="7427" width="10" style="12" bestFit="1" customWidth="1"/>
    <col min="7428" max="7428" width="8.7109375" style="12" customWidth="1"/>
    <col min="7429" max="7679" width="11.42578125" style="12"/>
    <col min="7680" max="7680" width="32.7109375" style="12" customWidth="1"/>
    <col min="7681" max="7681" width="10.7109375" style="12" customWidth="1"/>
    <col min="7682" max="7682" width="11.42578125" style="12"/>
    <col min="7683" max="7683" width="10" style="12" bestFit="1" customWidth="1"/>
    <col min="7684" max="7684" width="8.7109375" style="12" customWidth="1"/>
    <col min="7685" max="7935" width="11.42578125" style="12"/>
    <col min="7936" max="7936" width="32.7109375" style="12" customWidth="1"/>
    <col min="7937" max="7937" width="10.7109375" style="12" customWidth="1"/>
    <col min="7938" max="7938" width="11.42578125" style="12"/>
    <col min="7939" max="7939" width="10" style="12" bestFit="1" customWidth="1"/>
    <col min="7940" max="7940" width="8.7109375" style="12" customWidth="1"/>
    <col min="7941" max="8191" width="11.42578125" style="12"/>
    <col min="8192" max="8192" width="32.7109375" style="12" customWidth="1"/>
    <col min="8193" max="8193" width="10.7109375" style="12" customWidth="1"/>
    <col min="8194" max="8194" width="11.42578125" style="12"/>
    <col min="8195" max="8195" width="10" style="12" bestFit="1" customWidth="1"/>
    <col min="8196" max="8196" width="8.7109375" style="12" customWidth="1"/>
    <col min="8197" max="8447" width="11.42578125" style="12"/>
    <col min="8448" max="8448" width="32.7109375" style="12" customWidth="1"/>
    <col min="8449" max="8449" width="10.7109375" style="12" customWidth="1"/>
    <col min="8450" max="8450" width="11.42578125" style="12"/>
    <col min="8451" max="8451" width="10" style="12" bestFit="1" customWidth="1"/>
    <col min="8452" max="8452" width="8.7109375" style="12" customWidth="1"/>
    <col min="8453" max="8703" width="11.42578125" style="12"/>
    <col min="8704" max="8704" width="32.7109375" style="12" customWidth="1"/>
    <col min="8705" max="8705" width="10.7109375" style="12" customWidth="1"/>
    <col min="8706" max="8706" width="11.42578125" style="12"/>
    <col min="8707" max="8707" width="10" style="12" bestFit="1" customWidth="1"/>
    <col min="8708" max="8708" width="8.7109375" style="12" customWidth="1"/>
    <col min="8709" max="8959" width="11.42578125" style="12"/>
    <col min="8960" max="8960" width="32.7109375" style="12" customWidth="1"/>
    <col min="8961" max="8961" width="10.7109375" style="12" customWidth="1"/>
    <col min="8962" max="8962" width="11.42578125" style="12"/>
    <col min="8963" max="8963" width="10" style="12" bestFit="1" customWidth="1"/>
    <col min="8964" max="8964" width="8.7109375" style="12" customWidth="1"/>
    <col min="8965" max="9215" width="11.42578125" style="12"/>
    <col min="9216" max="9216" width="32.7109375" style="12" customWidth="1"/>
    <col min="9217" max="9217" width="10.7109375" style="12" customWidth="1"/>
    <col min="9218" max="9218" width="11.42578125" style="12"/>
    <col min="9219" max="9219" width="10" style="12" bestFit="1" customWidth="1"/>
    <col min="9220" max="9220" width="8.7109375" style="12" customWidth="1"/>
    <col min="9221" max="9471" width="11.42578125" style="12"/>
    <col min="9472" max="9472" width="32.7109375" style="12" customWidth="1"/>
    <col min="9473" max="9473" width="10.7109375" style="12" customWidth="1"/>
    <col min="9474" max="9474" width="11.42578125" style="12"/>
    <col min="9475" max="9475" width="10" style="12" bestFit="1" customWidth="1"/>
    <col min="9476" max="9476" width="8.7109375" style="12" customWidth="1"/>
    <col min="9477" max="9727" width="11.42578125" style="12"/>
    <col min="9728" max="9728" width="32.7109375" style="12" customWidth="1"/>
    <col min="9729" max="9729" width="10.7109375" style="12" customWidth="1"/>
    <col min="9730" max="9730" width="11.42578125" style="12"/>
    <col min="9731" max="9731" width="10" style="12" bestFit="1" customWidth="1"/>
    <col min="9732" max="9732" width="8.7109375" style="12" customWidth="1"/>
    <col min="9733" max="9983" width="11.42578125" style="12"/>
    <col min="9984" max="9984" width="32.7109375" style="12" customWidth="1"/>
    <col min="9985" max="9985" width="10.7109375" style="12" customWidth="1"/>
    <col min="9986" max="9986" width="11.42578125" style="12"/>
    <col min="9987" max="9987" width="10" style="12" bestFit="1" customWidth="1"/>
    <col min="9988" max="9988" width="8.7109375" style="12" customWidth="1"/>
    <col min="9989" max="10239" width="11.42578125" style="12"/>
    <col min="10240" max="10240" width="32.7109375" style="12" customWidth="1"/>
    <col min="10241" max="10241" width="10.7109375" style="12" customWidth="1"/>
    <col min="10242" max="10242" width="11.42578125" style="12"/>
    <col min="10243" max="10243" width="10" style="12" bestFit="1" customWidth="1"/>
    <col min="10244" max="10244" width="8.7109375" style="12" customWidth="1"/>
    <col min="10245" max="10495" width="11.42578125" style="12"/>
    <col min="10496" max="10496" width="32.7109375" style="12" customWidth="1"/>
    <col min="10497" max="10497" width="10.7109375" style="12" customWidth="1"/>
    <col min="10498" max="10498" width="11.42578125" style="12"/>
    <col min="10499" max="10499" width="10" style="12" bestFit="1" customWidth="1"/>
    <col min="10500" max="10500" width="8.7109375" style="12" customWidth="1"/>
    <col min="10501" max="10751" width="11.42578125" style="12"/>
    <col min="10752" max="10752" width="32.7109375" style="12" customWidth="1"/>
    <col min="10753" max="10753" width="10.7109375" style="12" customWidth="1"/>
    <col min="10754" max="10754" width="11.42578125" style="12"/>
    <col min="10755" max="10755" width="10" style="12" bestFit="1" customWidth="1"/>
    <col min="10756" max="10756" width="8.7109375" style="12" customWidth="1"/>
    <col min="10757" max="11007" width="11.42578125" style="12"/>
    <col min="11008" max="11008" width="32.7109375" style="12" customWidth="1"/>
    <col min="11009" max="11009" width="10.7109375" style="12" customWidth="1"/>
    <col min="11010" max="11010" width="11.42578125" style="12"/>
    <col min="11011" max="11011" width="10" style="12" bestFit="1" customWidth="1"/>
    <col min="11012" max="11012" width="8.7109375" style="12" customWidth="1"/>
    <col min="11013" max="11263" width="11.42578125" style="12"/>
    <col min="11264" max="11264" width="32.7109375" style="12" customWidth="1"/>
    <col min="11265" max="11265" width="10.7109375" style="12" customWidth="1"/>
    <col min="11266" max="11266" width="11.42578125" style="12"/>
    <col min="11267" max="11267" width="10" style="12" bestFit="1" customWidth="1"/>
    <col min="11268" max="11268" width="8.7109375" style="12" customWidth="1"/>
    <col min="11269" max="11519" width="11.42578125" style="12"/>
    <col min="11520" max="11520" width="32.7109375" style="12" customWidth="1"/>
    <col min="11521" max="11521" width="10.7109375" style="12" customWidth="1"/>
    <col min="11522" max="11522" width="11.42578125" style="12"/>
    <col min="11523" max="11523" width="10" style="12" bestFit="1" customWidth="1"/>
    <col min="11524" max="11524" width="8.7109375" style="12" customWidth="1"/>
    <col min="11525" max="11775" width="11.42578125" style="12"/>
    <col min="11776" max="11776" width="32.7109375" style="12" customWidth="1"/>
    <col min="11777" max="11777" width="10.7109375" style="12" customWidth="1"/>
    <col min="11778" max="11778" width="11.42578125" style="12"/>
    <col min="11779" max="11779" width="10" style="12" bestFit="1" customWidth="1"/>
    <col min="11780" max="11780" width="8.7109375" style="12" customWidth="1"/>
    <col min="11781" max="12031" width="11.42578125" style="12"/>
    <col min="12032" max="12032" width="32.7109375" style="12" customWidth="1"/>
    <col min="12033" max="12033" width="10.7109375" style="12" customWidth="1"/>
    <col min="12034" max="12034" width="11.42578125" style="12"/>
    <col min="12035" max="12035" width="10" style="12" bestFit="1" customWidth="1"/>
    <col min="12036" max="12036" width="8.7109375" style="12" customWidth="1"/>
    <col min="12037" max="12287" width="11.42578125" style="12"/>
    <col min="12288" max="12288" width="32.7109375" style="12" customWidth="1"/>
    <col min="12289" max="12289" width="10.7109375" style="12" customWidth="1"/>
    <col min="12290" max="12290" width="11.42578125" style="12"/>
    <col min="12291" max="12291" width="10" style="12" bestFit="1" customWidth="1"/>
    <col min="12292" max="12292" width="8.7109375" style="12" customWidth="1"/>
    <col min="12293" max="12543" width="11.42578125" style="12"/>
    <col min="12544" max="12544" width="32.7109375" style="12" customWidth="1"/>
    <col min="12545" max="12545" width="10.7109375" style="12" customWidth="1"/>
    <col min="12546" max="12546" width="11.42578125" style="12"/>
    <col min="12547" max="12547" width="10" style="12" bestFit="1" customWidth="1"/>
    <col min="12548" max="12548" width="8.7109375" style="12" customWidth="1"/>
    <col min="12549" max="12799" width="11.42578125" style="12"/>
    <col min="12800" max="12800" width="32.7109375" style="12" customWidth="1"/>
    <col min="12801" max="12801" width="10.7109375" style="12" customWidth="1"/>
    <col min="12802" max="12802" width="11.42578125" style="12"/>
    <col min="12803" max="12803" width="10" style="12" bestFit="1" customWidth="1"/>
    <col min="12804" max="12804" width="8.7109375" style="12" customWidth="1"/>
    <col min="12805" max="13055" width="11.42578125" style="12"/>
    <col min="13056" max="13056" width="32.7109375" style="12" customWidth="1"/>
    <col min="13057" max="13057" width="10.7109375" style="12" customWidth="1"/>
    <col min="13058" max="13058" width="11.42578125" style="12"/>
    <col min="13059" max="13059" width="10" style="12" bestFit="1" customWidth="1"/>
    <col min="13060" max="13060" width="8.7109375" style="12" customWidth="1"/>
    <col min="13061" max="13311" width="11.42578125" style="12"/>
    <col min="13312" max="13312" width="32.7109375" style="12" customWidth="1"/>
    <col min="13313" max="13313" width="10.7109375" style="12" customWidth="1"/>
    <col min="13314" max="13314" width="11.42578125" style="12"/>
    <col min="13315" max="13315" width="10" style="12" bestFit="1" customWidth="1"/>
    <col min="13316" max="13316" width="8.7109375" style="12" customWidth="1"/>
    <col min="13317" max="13567" width="11.42578125" style="12"/>
    <col min="13568" max="13568" width="32.7109375" style="12" customWidth="1"/>
    <col min="13569" max="13569" width="10.7109375" style="12" customWidth="1"/>
    <col min="13570" max="13570" width="11.42578125" style="12"/>
    <col min="13571" max="13571" width="10" style="12" bestFit="1" customWidth="1"/>
    <col min="13572" max="13572" width="8.7109375" style="12" customWidth="1"/>
    <col min="13573" max="13823" width="11.42578125" style="12"/>
    <col min="13824" max="13824" width="32.7109375" style="12" customWidth="1"/>
    <col min="13825" max="13825" width="10.7109375" style="12" customWidth="1"/>
    <col min="13826" max="13826" width="11.42578125" style="12"/>
    <col min="13827" max="13827" width="10" style="12" bestFit="1" customWidth="1"/>
    <col min="13828" max="13828" width="8.7109375" style="12" customWidth="1"/>
    <col min="13829" max="14079" width="11.42578125" style="12"/>
    <col min="14080" max="14080" width="32.7109375" style="12" customWidth="1"/>
    <col min="14081" max="14081" width="10.7109375" style="12" customWidth="1"/>
    <col min="14082" max="14082" width="11.42578125" style="12"/>
    <col min="14083" max="14083" width="10" style="12" bestFit="1" customWidth="1"/>
    <col min="14084" max="14084" width="8.7109375" style="12" customWidth="1"/>
    <col min="14085" max="14335" width="11.42578125" style="12"/>
    <col min="14336" max="14336" width="32.7109375" style="12" customWidth="1"/>
    <col min="14337" max="14337" width="10.7109375" style="12" customWidth="1"/>
    <col min="14338" max="14338" width="11.42578125" style="12"/>
    <col min="14339" max="14339" width="10" style="12" bestFit="1" customWidth="1"/>
    <col min="14340" max="14340" width="8.7109375" style="12" customWidth="1"/>
    <col min="14341" max="14591" width="11.42578125" style="12"/>
    <col min="14592" max="14592" width="32.7109375" style="12" customWidth="1"/>
    <col min="14593" max="14593" width="10.7109375" style="12" customWidth="1"/>
    <col min="14594" max="14594" width="11.42578125" style="12"/>
    <col min="14595" max="14595" width="10" style="12" bestFit="1" customWidth="1"/>
    <col min="14596" max="14596" width="8.7109375" style="12" customWidth="1"/>
    <col min="14597" max="14847" width="11.42578125" style="12"/>
    <col min="14848" max="14848" width="32.7109375" style="12" customWidth="1"/>
    <col min="14849" max="14849" width="10.7109375" style="12" customWidth="1"/>
    <col min="14850" max="14850" width="11.42578125" style="12"/>
    <col min="14851" max="14851" width="10" style="12" bestFit="1" customWidth="1"/>
    <col min="14852" max="14852" width="8.7109375" style="12" customWidth="1"/>
    <col min="14853" max="15103" width="11.42578125" style="12"/>
    <col min="15104" max="15104" width="32.7109375" style="12" customWidth="1"/>
    <col min="15105" max="15105" width="10.7109375" style="12" customWidth="1"/>
    <col min="15106" max="15106" width="11.42578125" style="12"/>
    <col min="15107" max="15107" width="10" style="12" bestFit="1" customWidth="1"/>
    <col min="15108" max="15108" width="8.7109375" style="12" customWidth="1"/>
    <col min="15109" max="15359" width="11.42578125" style="12"/>
    <col min="15360" max="15360" width="32.7109375" style="12" customWidth="1"/>
    <col min="15361" max="15361" width="10.7109375" style="12" customWidth="1"/>
    <col min="15362" max="15362" width="11.42578125" style="12"/>
    <col min="15363" max="15363" width="10" style="12" bestFit="1" customWidth="1"/>
    <col min="15364" max="15364" width="8.7109375" style="12" customWidth="1"/>
    <col min="15365" max="15615" width="11.42578125" style="12"/>
    <col min="15616" max="15616" width="32.7109375" style="12" customWidth="1"/>
    <col min="15617" max="15617" width="10.7109375" style="12" customWidth="1"/>
    <col min="15618" max="15618" width="11.42578125" style="12"/>
    <col min="15619" max="15619" width="10" style="12" bestFit="1" customWidth="1"/>
    <col min="15620" max="15620" width="8.7109375" style="12" customWidth="1"/>
    <col min="15621" max="15871" width="11.42578125" style="12"/>
    <col min="15872" max="15872" width="32.7109375" style="12" customWidth="1"/>
    <col min="15873" max="15873" width="10.7109375" style="12" customWidth="1"/>
    <col min="15874" max="15874" width="11.42578125" style="12"/>
    <col min="15875" max="15875" width="10" style="12" bestFit="1" customWidth="1"/>
    <col min="15876" max="15876" width="8.7109375" style="12" customWidth="1"/>
    <col min="15877" max="16127" width="11.42578125" style="12"/>
    <col min="16128" max="16128" width="32.7109375" style="12" customWidth="1"/>
    <col min="16129" max="16129" width="10.7109375" style="12" customWidth="1"/>
    <col min="16130" max="16130" width="11.42578125" style="12"/>
    <col min="16131" max="16131" width="10" style="12" bestFit="1" customWidth="1"/>
    <col min="16132" max="16132" width="8.7109375" style="12" customWidth="1"/>
    <col min="16133" max="16384" width="11.42578125" style="12"/>
  </cols>
  <sheetData>
    <row r="1" spans="1:10" ht="15.75" x14ac:dyDescent="0.25">
      <c r="A1" s="10" t="s">
        <v>29</v>
      </c>
      <c r="B1" s="11"/>
      <c r="C1" s="11"/>
      <c r="D1" s="11"/>
      <c r="E1" s="11"/>
    </row>
    <row r="2" spans="1:10" ht="15.75" x14ac:dyDescent="0.25">
      <c r="A2" s="10"/>
      <c r="B2" s="11"/>
      <c r="C2" s="11"/>
      <c r="D2" s="11"/>
      <c r="E2" s="11"/>
    </row>
    <row r="3" spans="1:10" ht="15" x14ac:dyDescent="0.2">
      <c r="A3" s="64" t="s">
        <v>30</v>
      </c>
      <c r="B3" s="65">
        <v>1600</v>
      </c>
      <c r="C3" s="11"/>
      <c r="D3" s="11"/>
      <c r="E3" s="11"/>
    </row>
    <row r="4" spans="1:10" ht="15" x14ac:dyDescent="0.2">
      <c r="A4" s="64" t="s">
        <v>31</v>
      </c>
      <c r="B4" s="12">
        <v>78</v>
      </c>
      <c r="C4" s="11"/>
      <c r="D4" s="11"/>
      <c r="E4" s="11"/>
    </row>
    <row r="5" spans="1:10" ht="15" x14ac:dyDescent="0.2">
      <c r="A5" s="64" t="s">
        <v>32</v>
      </c>
      <c r="B5" s="65">
        <v>7251.4755089999999</v>
      </c>
      <c r="C5" s="11"/>
      <c r="D5" s="11"/>
      <c r="E5" s="11"/>
    </row>
    <row r="6" spans="1:10" ht="15" x14ac:dyDescent="0.2">
      <c r="A6" s="64" t="s">
        <v>33</v>
      </c>
      <c r="B6" s="66">
        <f>B5/B4</f>
        <v>92.967634730769234</v>
      </c>
      <c r="C6" s="11"/>
      <c r="D6" s="11"/>
      <c r="E6" s="11"/>
    </row>
    <row r="7" spans="1:10" ht="15.75" x14ac:dyDescent="0.25">
      <c r="A7" s="10" t="s">
        <v>21</v>
      </c>
      <c r="B7" s="67">
        <f>B3*B6*B4</f>
        <v>11602360.8144</v>
      </c>
      <c r="C7" s="11"/>
      <c r="D7" s="11"/>
      <c r="E7" s="11"/>
    </row>
    <row r="8" spans="1:10" ht="14.1" customHeight="1" x14ac:dyDescent="0.2">
      <c r="A8" s="13"/>
      <c r="B8" s="13"/>
      <c r="C8" s="13"/>
      <c r="D8" s="14"/>
      <c r="E8" s="15"/>
    </row>
    <row r="9" spans="1:10" ht="14.1" customHeight="1" x14ac:dyDescent="0.2">
      <c r="A9" s="16"/>
      <c r="B9" s="225" t="s">
        <v>0</v>
      </c>
      <c r="C9" s="226"/>
      <c r="D9" s="17" t="s">
        <v>1</v>
      </c>
      <c r="E9" s="18" t="s">
        <v>2</v>
      </c>
      <c r="G9" s="16"/>
      <c r="H9" s="225" t="s">
        <v>0</v>
      </c>
      <c r="I9" s="226"/>
      <c r="J9" s="73" t="s">
        <v>1</v>
      </c>
    </row>
    <row r="10" spans="1:10" ht="14.1" customHeight="1" x14ac:dyDescent="0.2">
      <c r="A10" s="19" t="s">
        <v>3</v>
      </c>
      <c r="B10" s="20"/>
      <c r="C10" s="20"/>
      <c r="D10" s="21"/>
      <c r="E10" s="22"/>
      <c r="G10" s="19" t="s">
        <v>3</v>
      </c>
      <c r="H10" s="20"/>
      <c r="I10" s="20"/>
      <c r="J10" s="58"/>
    </row>
    <row r="11" spans="1:10" ht="14.1" customHeight="1" x14ac:dyDescent="0.2">
      <c r="A11" s="23"/>
      <c r="E11" s="25"/>
      <c r="G11" s="23"/>
      <c r="J11" s="59"/>
    </row>
    <row r="12" spans="1:10" ht="14.1" customHeight="1" x14ac:dyDescent="0.2">
      <c r="A12" s="23" t="s">
        <v>4</v>
      </c>
      <c r="C12" s="26">
        <f>SUM(B13:B16)</f>
        <v>153950</v>
      </c>
      <c r="D12" s="27">
        <f>C12/$C$31</f>
        <v>0.33872536292788968</v>
      </c>
      <c r="E12" s="2">
        <f>C12/$C$38</f>
        <v>0.27990909090909089</v>
      </c>
      <c r="G12" s="23" t="s">
        <v>4</v>
      </c>
      <c r="I12" s="26"/>
      <c r="J12" s="69">
        <v>0.33872536292788968</v>
      </c>
    </row>
    <row r="13" spans="1:10" ht="14.1" customHeight="1" x14ac:dyDescent="0.2">
      <c r="A13" s="28" t="s">
        <v>5</v>
      </c>
      <c r="B13" s="29">
        <v>150000</v>
      </c>
      <c r="D13" s="30">
        <f>B13/$C$31</f>
        <v>0.33003445559716432</v>
      </c>
      <c r="E13" s="3">
        <f>B13/$C$38</f>
        <v>0.27272727272727271</v>
      </c>
      <c r="G13" s="28" t="s">
        <v>5</v>
      </c>
      <c r="H13" s="29">
        <f>I31-SUM(H14:H29)</f>
        <v>3195877.7549270652</v>
      </c>
      <c r="J13" s="70">
        <f>H13/I31</f>
        <v>0.33054077245664443</v>
      </c>
    </row>
    <row r="14" spans="1:10" ht="14.1" customHeight="1" x14ac:dyDescent="0.2">
      <c r="A14" s="28" t="s">
        <v>6</v>
      </c>
      <c r="B14" s="12">
        <v>750</v>
      </c>
      <c r="D14" s="71">
        <f>B14/$C$31</f>
        <v>1.6501722779858217E-3</v>
      </c>
      <c r="E14" s="72">
        <f>B14/$C$38</f>
        <v>1.3636363636363637E-3</v>
      </c>
      <c r="G14" s="28" t="s">
        <v>6</v>
      </c>
      <c r="H14" s="29">
        <f>$I$31*J14</f>
        <v>15954.911812593235</v>
      </c>
      <c r="J14" s="70">
        <v>1.6501722779858217E-3</v>
      </c>
    </row>
    <row r="15" spans="1:10" ht="14.1" customHeight="1" x14ac:dyDescent="0.2">
      <c r="A15" s="28" t="s">
        <v>7</v>
      </c>
      <c r="C15" s="31"/>
      <c r="D15" s="30"/>
      <c r="E15" s="32"/>
      <c r="G15" s="28" t="s">
        <v>7</v>
      </c>
      <c r="I15" s="31"/>
      <c r="J15" s="70"/>
    </row>
    <row r="16" spans="1:10" ht="14.1" customHeight="1" x14ac:dyDescent="0.2">
      <c r="A16" s="28" t="s">
        <v>8</v>
      </c>
      <c r="B16" s="29">
        <v>3200</v>
      </c>
      <c r="C16" s="31"/>
      <c r="D16" s="30">
        <f>B16/$C$31</f>
        <v>7.0407350527395057E-3</v>
      </c>
      <c r="E16" s="3">
        <f>B16/$C$38</f>
        <v>5.8181818181818178E-3</v>
      </c>
      <c r="G16" s="28" t="s">
        <v>8</v>
      </c>
      <c r="H16" s="29">
        <f>$I$31*J16</f>
        <v>68074.290400397804</v>
      </c>
      <c r="I16" s="31"/>
      <c r="J16" s="70">
        <v>7.0407350527395057E-3</v>
      </c>
    </row>
    <row r="17" spans="1:10" ht="14.1" customHeight="1" x14ac:dyDescent="0.2">
      <c r="A17" s="28"/>
      <c r="B17" s="29"/>
      <c r="C17" s="31"/>
      <c r="D17" s="27"/>
      <c r="E17" s="32"/>
      <c r="G17" s="28"/>
      <c r="H17" s="29"/>
      <c r="I17" s="31"/>
      <c r="J17" s="69"/>
    </row>
    <row r="18" spans="1:10" ht="14.1" customHeight="1" x14ac:dyDescent="0.2">
      <c r="A18" s="33" t="s">
        <v>9</v>
      </c>
      <c r="C18" s="26">
        <f>SUM(B19:B23)</f>
        <v>251048</v>
      </c>
      <c r="D18" s="27">
        <f>C18/$C$31</f>
        <v>0.5523632667250461</v>
      </c>
      <c r="E18" s="2">
        <f>C18/$C$38</f>
        <v>0.45645090909090907</v>
      </c>
      <c r="G18" s="33" t="s">
        <v>9</v>
      </c>
      <c r="I18" s="26"/>
      <c r="J18" s="69">
        <v>0.5523632667250461</v>
      </c>
    </row>
    <row r="19" spans="1:10" ht="14.1" customHeight="1" x14ac:dyDescent="0.2">
      <c r="A19" s="28" t="s">
        <v>10</v>
      </c>
      <c r="B19" s="29">
        <v>12306</v>
      </c>
      <c r="C19" s="31"/>
      <c r="D19" s="30">
        <f>B19/$C$31</f>
        <v>2.7076026737191363E-2</v>
      </c>
      <c r="E19" s="3">
        <f>B19/$C$38</f>
        <v>2.2374545454545456E-2</v>
      </c>
      <c r="G19" s="28" t="s">
        <v>10</v>
      </c>
      <c r="H19" s="29">
        <f>$I$31*J19</f>
        <v>261788.19302102979</v>
      </c>
      <c r="I19" s="31"/>
      <c r="J19" s="70">
        <v>2.7076026737191363E-2</v>
      </c>
    </row>
    <row r="20" spans="1:10" ht="14.1" customHeight="1" x14ac:dyDescent="0.2">
      <c r="A20" s="28" t="s">
        <v>11</v>
      </c>
      <c r="B20" s="29">
        <v>8950</v>
      </c>
      <c r="C20" s="31"/>
      <c r="D20" s="30">
        <f>B20/$C$31</f>
        <v>1.9692055850630805E-2</v>
      </c>
      <c r="E20" s="3">
        <f>B20/$C$38</f>
        <v>1.6272727272727272E-2</v>
      </c>
      <c r="G20" s="28" t="s">
        <v>11</v>
      </c>
      <c r="H20" s="29">
        <f t="shared" ref="H20:H22" si="0">$I$31*J20</f>
        <v>190395.2809636126</v>
      </c>
      <c r="I20" s="31"/>
      <c r="J20" s="70">
        <v>1.9692055850630805E-2</v>
      </c>
    </row>
    <row r="21" spans="1:10" ht="14.1" customHeight="1" x14ac:dyDescent="0.2">
      <c r="A21" s="28" t="s">
        <v>12</v>
      </c>
      <c r="B21" s="29">
        <v>1566</v>
      </c>
      <c r="C21" s="31"/>
      <c r="D21" s="30">
        <f>B21/$C$31</f>
        <v>3.4455597164343957E-3</v>
      </c>
      <c r="E21" s="3">
        <f>B21/$C$38</f>
        <v>2.8472727272727274E-3</v>
      </c>
      <c r="G21" s="28" t="s">
        <v>12</v>
      </c>
      <c r="H21" s="29">
        <f t="shared" si="0"/>
        <v>33313.855864694677</v>
      </c>
      <c r="I21" s="31"/>
      <c r="J21" s="70">
        <v>3.4455597164343957E-3</v>
      </c>
    </row>
    <row r="22" spans="1:10" ht="14.1" customHeight="1" x14ac:dyDescent="0.2">
      <c r="A22" s="28" t="s">
        <v>13</v>
      </c>
      <c r="B22" s="29">
        <v>223750</v>
      </c>
      <c r="C22" s="31"/>
      <c r="D22" s="30">
        <f>B22/$C$31</f>
        <v>0.49230139626577013</v>
      </c>
      <c r="E22" s="3">
        <f>B22/$C$38</f>
        <v>0.4068181818181818</v>
      </c>
      <c r="G22" s="28" t="s">
        <v>13</v>
      </c>
      <c r="H22" s="29">
        <f t="shared" si="0"/>
        <v>4759882.0240903152</v>
      </c>
      <c r="I22" s="31"/>
      <c r="J22" s="70">
        <v>0.49230139626577013</v>
      </c>
    </row>
    <row r="23" spans="1:10" ht="14.1" customHeight="1" x14ac:dyDescent="0.2">
      <c r="A23" s="28" t="s">
        <v>14</v>
      </c>
      <c r="B23" s="29">
        <v>4476</v>
      </c>
      <c r="C23" s="31"/>
      <c r="D23" s="30">
        <f>B23/$C$31</f>
        <v>9.8482281550193833E-3</v>
      </c>
      <c r="E23" s="3">
        <f>B23/$C$38</f>
        <v>8.1381818181818187E-3</v>
      </c>
      <c r="G23" s="28" t="s">
        <v>14</v>
      </c>
      <c r="H23" s="29">
        <f>$I$31*J23</f>
        <v>95218.913697556418</v>
      </c>
      <c r="I23" s="31"/>
      <c r="J23" s="70">
        <v>9.8482281550193833E-3</v>
      </c>
    </row>
    <row r="24" spans="1:10" ht="14.1" customHeight="1" x14ac:dyDescent="0.2">
      <c r="A24" s="28"/>
      <c r="B24" s="29"/>
      <c r="C24" s="31"/>
      <c r="D24" s="27"/>
      <c r="E24" s="32"/>
      <c r="G24" s="28"/>
      <c r="H24" s="29"/>
      <c r="I24" s="31"/>
      <c r="J24" s="69"/>
    </row>
    <row r="25" spans="1:10" ht="14.1" customHeight="1" x14ac:dyDescent="0.2">
      <c r="A25" s="33" t="s">
        <v>15</v>
      </c>
      <c r="C25" s="26">
        <f>SUM(B26)</f>
        <v>27500</v>
      </c>
      <c r="D25" s="27">
        <f>C25/$C$31</f>
        <v>6.050631685948013E-2</v>
      </c>
      <c r="E25" s="2">
        <f>C25/$C$38</f>
        <v>0.05</v>
      </c>
      <c r="F25" s="34"/>
      <c r="G25" s="33" t="s">
        <v>15</v>
      </c>
      <c r="I25" s="26"/>
      <c r="J25" s="69"/>
    </row>
    <row r="26" spans="1:10" ht="14.1" customHeight="1" x14ac:dyDescent="0.2">
      <c r="A26" s="28" t="s">
        <v>16</v>
      </c>
      <c r="B26" s="29">
        <v>27500</v>
      </c>
      <c r="C26" s="31"/>
      <c r="D26" s="30">
        <f>B26/$C$31</f>
        <v>6.050631685948013E-2</v>
      </c>
      <c r="E26" s="3">
        <f>B26/$C$38</f>
        <v>0.05</v>
      </c>
      <c r="G26" s="28" t="s">
        <v>16</v>
      </c>
      <c r="H26" s="29">
        <f>I38*0.05</f>
        <v>580118.04072000005</v>
      </c>
      <c r="I26" s="31"/>
      <c r="J26" s="70">
        <f>H26/I31</f>
        <v>6.0000000000000005E-2</v>
      </c>
    </row>
    <row r="27" spans="1:10" ht="14.1" customHeight="1" x14ac:dyDescent="0.2">
      <c r="A27" s="28"/>
      <c r="B27" s="29"/>
      <c r="C27" s="31"/>
      <c r="D27" s="27"/>
      <c r="E27" s="32"/>
      <c r="G27" s="28"/>
      <c r="H27" s="29"/>
      <c r="I27" s="31"/>
      <c r="J27" s="69"/>
    </row>
    <row r="28" spans="1:10" ht="14.1" customHeight="1" x14ac:dyDescent="0.2">
      <c r="A28" s="33" t="s">
        <v>17</v>
      </c>
      <c r="B28" s="31"/>
      <c r="C28" s="26">
        <f>SUM(B29)</f>
        <v>22000</v>
      </c>
      <c r="D28" s="27">
        <f>C28/$C$31</f>
        <v>4.8405053487584102E-2</v>
      </c>
      <c r="E28" s="2">
        <f>C28/$C$38</f>
        <v>0.04</v>
      </c>
      <c r="G28" s="33" t="s">
        <v>17</v>
      </c>
      <c r="H28" s="31"/>
      <c r="I28" s="26"/>
      <c r="J28" s="69">
        <v>4.8405053487584102E-2</v>
      </c>
    </row>
    <row r="29" spans="1:10" ht="14.1" customHeight="1" x14ac:dyDescent="0.2">
      <c r="A29" s="28" t="s">
        <v>18</v>
      </c>
      <c r="B29" s="29">
        <v>22000</v>
      </c>
      <c r="C29" s="31"/>
      <c r="D29" s="30">
        <f>B29/$C$31</f>
        <v>4.8405053487584102E-2</v>
      </c>
      <c r="E29" s="3">
        <f>B29/$C$38</f>
        <v>0.04</v>
      </c>
      <c r="G29" s="28" t="s">
        <v>18</v>
      </c>
      <c r="H29" s="29">
        <f>J29*$I$31</f>
        <v>468010.7465027349</v>
      </c>
      <c r="I29" s="31"/>
      <c r="J29" s="70">
        <v>4.8405053487584102E-2</v>
      </c>
    </row>
    <row r="30" spans="1:10" ht="14.1" customHeight="1" x14ac:dyDescent="0.2">
      <c r="A30" s="35"/>
      <c r="B30" s="13"/>
      <c r="C30" s="13"/>
      <c r="D30" s="36"/>
      <c r="E30" s="4"/>
      <c r="G30" s="35"/>
      <c r="H30" s="13"/>
      <c r="I30" s="13"/>
      <c r="J30" s="63"/>
    </row>
    <row r="31" spans="1:10" ht="14.1" customHeight="1" x14ac:dyDescent="0.2">
      <c r="A31" s="33" t="s">
        <v>19</v>
      </c>
      <c r="B31" s="31"/>
      <c r="C31" s="26">
        <f>SUM(C10:C30)</f>
        <v>454498</v>
      </c>
      <c r="D31" s="27">
        <v>1</v>
      </c>
      <c r="E31" s="2">
        <f>C31/$C$38</f>
        <v>0.82635999999999998</v>
      </c>
      <c r="G31" s="33" t="s">
        <v>19</v>
      </c>
      <c r="H31" s="31"/>
      <c r="I31" s="26">
        <f>I38/J38</f>
        <v>9668634.0120000001</v>
      </c>
      <c r="J31" s="68">
        <v>1</v>
      </c>
    </row>
    <row r="32" spans="1:10" ht="11.1" customHeight="1" x14ac:dyDescent="0.2">
      <c r="A32" s="37"/>
      <c r="B32" s="20"/>
      <c r="C32" s="20"/>
      <c r="D32" s="38"/>
      <c r="E32" s="39"/>
      <c r="G32" s="37"/>
      <c r="H32" s="20"/>
      <c r="I32" s="20"/>
      <c r="J32" s="61"/>
    </row>
    <row r="33" spans="1:10" ht="14.1" customHeight="1" x14ac:dyDescent="0.2">
      <c r="A33" s="33" t="s">
        <v>20</v>
      </c>
      <c r="D33" s="30"/>
      <c r="E33" s="32"/>
      <c r="G33" s="33" t="s">
        <v>20</v>
      </c>
      <c r="J33" s="60"/>
    </row>
    <row r="34" spans="1:10" ht="14.1" customHeight="1" x14ac:dyDescent="0.2">
      <c r="A34" s="33"/>
      <c r="D34" s="30"/>
      <c r="E34" s="32"/>
      <c r="G34" s="33"/>
      <c r="J34" s="60"/>
    </row>
    <row r="35" spans="1:10" ht="14.1" customHeight="1" x14ac:dyDescent="0.2">
      <c r="A35" s="33" t="s">
        <v>21</v>
      </c>
      <c r="B35" s="31"/>
      <c r="C35" s="26">
        <f>SUM(B36)</f>
        <v>550000</v>
      </c>
      <c r="D35" s="27">
        <f>C35/$C$31</f>
        <v>1.2101263371896025</v>
      </c>
      <c r="E35" s="2">
        <f>C35/$C$38</f>
        <v>1</v>
      </c>
      <c r="G35" s="33" t="s">
        <v>21</v>
      </c>
      <c r="H35" s="31"/>
      <c r="I35" s="26">
        <f>SUM(H36)</f>
        <v>11602360.8144</v>
      </c>
      <c r="J35" s="74"/>
    </row>
    <row r="36" spans="1:10" ht="14.1" customHeight="1" x14ac:dyDescent="0.2">
      <c r="A36" s="40" t="s">
        <v>22</v>
      </c>
      <c r="B36" s="29">
        <v>550000</v>
      </c>
      <c r="C36" s="31"/>
      <c r="D36" s="30">
        <f>B36/$C$31</f>
        <v>1.2101263371896025</v>
      </c>
      <c r="E36" s="3">
        <f>B36/$C$38</f>
        <v>1</v>
      </c>
      <c r="G36" s="40" t="s">
        <v>22</v>
      </c>
      <c r="H36" s="29">
        <f>B7</f>
        <v>11602360.8144</v>
      </c>
      <c r="I36" s="31"/>
      <c r="J36" s="60"/>
    </row>
    <row r="37" spans="1:10" ht="14.1" customHeight="1" x14ac:dyDescent="0.2">
      <c r="A37" s="40"/>
      <c r="B37" s="29"/>
      <c r="C37" s="31"/>
      <c r="D37" s="30"/>
      <c r="E37" s="3"/>
      <c r="G37" s="40"/>
      <c r="H37" s="29"/>
      <c r="I37" s="31"/>
      <c r="J37" s="60"/>
    </row>
    <row r="38" spans="1:10" ht="14.1" customHeight="1" x14ac:dyDescent="0.2">
      <c r="A38" s="41" t="s">
        <v>23</v>
      </c>
      <c r="B38" s="20"/>
      <c r="C38" s="42">
        <f>SUM(B36)</f>
        <v>550000</v>
      </c>
      <c r="D38" s="43">
        <f>C38/$C$31</f>
        <v>1.2101263371896025</v>
      </c>
      <c r="E38" s="5">
        <f>C38/$C$38</f>
        <v>1</v>
      </c>
      <c r="G38" s="41" t="s">
        <v>23</v>
      </c>
      <c r="H38" s="20"/>
      <c r="I38" s="42">
        <f>I35</f>
        <v>11602360.8144</v>
      </c>
      <c r="J38" s="75">
        <v>1.2</v>
      </c>
    </row>
    <row r="39" spans="1:10" ht="11.1" customHeight="1" x14ac:dyDescent="0.2">
      <c r="A39" s="44"/>
      <c r="B39" s="45"/>
      <c r="C39" s="45"/>
      <c r="D39" s="46"/>
      <c r="E39" s="47"/>
      <c r="G39" s="44"/>
      <c r="H39" s="45"/>
      <c r="I39" s="45"/>
      <c r="J39" s="62"/>
    </row>
    <row r="40" spans="1:10" ht="14.1" customHeight="1" x14ac:dyDescent="0.2">
      <c r="A40" s="48" t="s">
        <v>24</v>
      </c>
      <c r="B40" s="49"/>
      <c r="C40" s="50">
        <f>C38-C31</f>
        <v>95502</v>
      </c>
      <c r="D40" s="51">
        <f>C40/$C$31</f>
        <v>0.21012633718960261</v>
      </c>
      <c r="E40" s="7">
        <f>C40/$C$38</f>
        <v>0.17363999999999999</v>
      </c>
      <c r="G40" s="48" t="s">
        <v>24</v>
      </c>
      <c r="H40" s="49"/>
      <c r="I40" s="50"/>
      <c r="J40" s="76"/>
    </row>
    <row r="41" spans="1:10" ht="11.1" customHeight="1" x14ac:dyDescent="0.2">
      <c r="A41" s="37"/>
      <c r="B41" s="20"/>
      <c r="C41" s="20"/>
      <c r="D41" s="38"/>
      <c r="E41" s="39"/>
      <c r="G41" s="37"/>
      <c r="H41" s="20"/>
      <c r="I41" s="20"/>
      <c r="J41" s="61"/>
    </row>
    <row r="42" spans="1:10" ht="14.1" customHeight="1" x14ac:dyDescent="0.2">
      <c r="A42" s="33" t="s">
        <v>25</v>
      </c>
      <c r="B42" s="31"/>
      <c r="C42" s="26">
        <f>SUM(B43:B44)</f>
        <v>9869.3230463500204</v>
      </c>
      <c r="D42" s="27">
        <f>C42/$C$31</f>
        <v>2.171477772476451E-2</v>
      </c>
      <c r="E42" s="2">
        <f>C42/$C$38</f>
        <v>1.79442237206364E-2</v>
      </c>
      <c r="G42" s="33" t="s">
        <v>25</v>
      </c>
      <c r="H42" s="31"/>
      <c r="I42" s="26"/>
      <c r="J42" s="74"/>
    </row>
    <row r="43" spans="1:10" ht="14.1" customHeight="1" x14ac:dyDescent="0.2">
      <c r="A43" s="28" t="s">
        <v>26</v>
      </c>
      <c r="B43" s="29">
        <v>6119.3230463500204</v>
      </c>
      <c r="D43" s="30">
        <f>B43/$C$31</f>
        <v>1.3463916334835402E-2</v>
      </c>
      <c r="E43" s="3">
        <f>B43/$C$38</f>
        <v>1.1126041902454583E-2</v>
      </c>
      <c r="G43" s="28" t="s">
        <v>26</v>
      </c>
      <c r="H43" s="29"/>
      <c r="J43" s="60"/>
    </row>
    <row r="44" spans="1:10" ht="14.1" customHeight="1" x14ac:dyDescent="0.2">
      <c r="A44" s="28" t="s">
        <v>27</v>
      </c>
      <c r="B44" s="29">
        <v>3750</v>
      </c>
      <c r="D44" s="30">
        <f>B44/$C$31</f>
        <v>8.2508613899291081E-3</v>
      </c>
      <c r="E44" s="3">
        <f>B44/$C$38</f>
        <v>6.8181818181818179E-3</v>
      </c>
      <c r="G44" s="28" t="s">
        <v>27</v>
      </c>
      <c r="H44" s="29"/>
      <c r="J44" s="60"/>
    </row>
    <row r="45" spans="1:10" ht="11.1" customHeight="1" x14ac:dyDescent="0.2">
      <c r="A45" s="35"/>
      <c r="B45" s="13"/>
      <c r="C45" s="13"/>
      <c r="D45" s="36"/>
      <c r="E45" s="52"/>
      <c r="G45" s="35"/>
      <c r="H45" s="13"/>
      <c r="I45" s="13"/>
      <c r="J45" s="63"/>
    </row>
    <row r="46" spans="1:10" ht="14.1" customHeight="1" x14ac:dyDescent="0.2">
      <c r="A46" s="53" t="s">
        <v>28</v>
      </c>
      <c r="B46" s="54"/>
      <c r="C46" s="55">
        <f>C40-C42</f>
        <v>85632.676953649978</v>
      </c>
      <c r="D46" s="56">
        <f>C46/$C$31</f>
        <v>0.18841155946483809</v>
      </c>
      <c r="E46" s="9">
        <f>C46/$C$38</f>
        <v>0.1556957762793636</v>
      </c>
      <c r="F46" s="31"/>
      <c r="G46" s="53" t="s">
        <v>28</v>
      </c>
      <c r="H46" s="54"/>
      <c r="I46" s="55"/>
      <c r="J46" s="77"/>
    </row>
    <row r="47" spans="1:10" ht="14.1" customHeight="1" x14ac:dyDescent="0.2"/>
  </sheetData>
  <mergeCells count="2">
    <mergeCell ref="B9:C9"/>
    <mergeCell ref="H9:I9"/>
  </mergeCells>
  <pageMargins left="1.1200000000000001" right="0.5" top="1" bottom="1" header="0" footer="0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CD560-0773-4A17-84F8-A846B97CC47B}">
  <dimension ref="A1:I57"/>
  <sheetViews>
    <sheetView topLeftCell="A9" workbookViewId="0">
      <selection activeCell="B6" sqref="B6"/>
    </sheetView>
  </sheetViews>
  <sheetFormatPr baseColWidth="10" defaultRowHeight="15" x14ac:dyDescent="0.25"/>
  <cols>
    <col min="1" max="1" width="51.85546875" bestFit="1" customWidth="1"/>
    <col min="2" max="2" width="12.85546875" bestFit="1" customWidth="1"/>
    <col min="3" max="3" width="15.5703125" bestFit="1" customWidth="1"/>
    <col min="4" max="4" width="13" bestFit="1" customWidth="1"/>
    <col min="5" max="5" width="14.140625" bestFit="1" customWidth="1"/>
    <col min="6" max="6" width="27.42578125" bestFit="1" customWidth="1"/>
    <col min="7" max="7" width="29.5703125" bestFit="1" customWidth="1"/>
    <col min="8" max="8" width="11.7109375" bestFit="1" customWidth="1"/>
  </cols>
  <sheetData>
    <row r="1" spans="1:8" ht="15.75" x14ac:dyDescent="0.25">
      <c r="A1" s="10" t="s">
        <v>29</v>
      </c>
      <c r="B1" s="107" t="s">
        <v>59</v>
      </c>
    </row>
    <row r="2" spans="1:8" ht="15.75" x14ac:dyDescent="0.25">
      <c r="A2" s="10"/>
      <c r="B2" s="11"/>
    </row>
    <row r="3" spans="1:8" ht="15.75" x14ac:dyDescent="0.25">
      <c r="A3" s="64" t="s">
        <v>30</v>
      </c>
      <c r="B3" s="65">
        <v>2371</v>
      </c>
    </row>
    <row r="4" spans="1:8" ht="15.75" x14ac:dyDescent="0.25">
      <c r="A4" s="64" t="s">
        <v>31</v>
      </c>
      <c r="B4" s="12">
        <v>78</v>
      </c>
    </row>
    <row r="5" spans="1:8" ht="15.75" x14ac:dyDescent="0.25">
      <c r="A5" s="64" t="s">
        <v>32</v>
      </c>
      <c r="B5" s="104">
        <v>8123</v>
      </c>
      <c r="C5" s="108"/>
    </row>
    <row r="6" spans="1:8" ht="15.75" x14ac:dyDescent="0.25">
      <c r="A6" s="64" t="s">
        <v>33</v>
      </c>
      <c r="B6" s="66">
        <f>B5/B4</f>
        <v>104.14102564102564</v>
      </c>
    </row>
    <row r="7" spans="1:8" ht="15.75" x14ac:dyDescent="0.25">
      <c r="A7" s="10" t="s">
        <v>21</v>
      </c>
      <c r="B7" s="67">
        <f>B3*B5</f>
        <v>19259633</v>
      </c>
      <c r="D7" s="229"/>
      <c r="E7" s="230">
        <f>B7*0.4</f>
        <v>7703853.2000000002</v>
      </c>
      <c r="F7" s="230">
        <f>B7*0.6</f>
        <v>11555779.799999999</v>
      </c>
      <c r="G7" s="231">
        <f>F7*0.01</f>
        <v>115557.798</v>
      </c>
    </row>
    <row r="8" spans="1:8" ht="15.75" x14ac:dyDescent="0.25">
      <c r="A8" s="10" t="s">
        <v>51</v>
      </c>
      <c r="B8">
        <v>1571</v>
      </c>
      <c r="C8" s="101">
        <v>0.8</v>
      </c>
    </row>
    <row r="9" spans="1:8" ht="15.75" x14ac:dyDescent="0.25">
      <c r="A9" s="10" t="s">
        <v>52</v>
      </c>
      <c r="B9">
        <v>900</v>
      </c>
      <c r="C9" s="101">
        <v>0.2</v>
      </c>
    </row>
    <row r="10" spans="1:8" ht="15.75" x14ac:dyDescent="0.25">
      <c r="A10" s="10" t="s">
        <v>53</v>
      </c>
      <c r="B10" s="109">
        <v>1561.1</v>
      </c>
    </row>
    <row r="11" spans="1:8" ht="15.75" x14ac:dyDescent="0.25">
      <c r="A11" s="10"/>
      <c r="B11" s="67"/>
    </row>
    <row r="12" spans="1:8" x14ac:dyDescent="0.25">
      <c r="A12" s="78"/>
      <c r="B12" s="227" t="s">
        <v>34</v>
      </c>
      <c r="C12" s="228"/>
    </row>
    <row r="13" spans="1:8" x14ac:dyDescent="0.25">
      <c r="A13" s="79"/>
      <c r="B13" s="81"/>
      <c r="C13" s="80"/>
    </row>
    <row r="14" spans="1:8" x14ac:dyDescent="0.25">
      <c r="A14" s="82" t="s">
        <v>3</v>
      </c>
      <c r="B14" s="85"/>
      <c r="C14" s="86"/>
    </row>
    <row r="15" spans="1:8" x14ac:dyDescent="0.25">
      <c r="A15" s="82"/>
      <c r="B15" s="85"/>
      <c r="C15" s="86"/>
    </row>
    <row r="16" spans="1:8" x14ac:dyDescent="0.25">
      <c r="A16" s="82" t="s">
        <v>4</v>
      </c>
      <c r="B16" s="85"/>
      <c r="C16" s="87">
        <f>SUM(B17:B19)</f>
        <v>1075180.9567272682</v>
      </c>
      <c r="E16" t="s">
        <v>54</v>
      </c>
      <c r="F16" t="s">
        <v>55</v>
      </c>
      <c r="G16" t="s">
        <v>56</v>
      </c>
      <c r="H16" t="s">
        <v>57</v>
      </c>
    </row>
    <row r="17" spans="1:9" x14ac:dyDescent="0.25">
      <c r="A17" s="88" t="s">
        <v>35</v>
      </c>
      <c r="B17" s="85">
        <f>H17</f>
        <v>1043865.0065313283</v>
      </c>
      <c r="C17" s="84"/>
      <c r="E17" s="106">
        <f>C41/D41</f>
        <v>17508757.27272727</v>
      </c>
      <c r="F17" s="105">
        <f>E17-SUM(B22:B33)</f>
        <v>1075180.9567272682</v>
      </c>
      <c r="G17" s="103">
        <f>1+D19</f>
        <v>1.03</v>
      </c>
      <c r="H17">
        <f>F17/G17</f>
        <v>1043865.0065313283</v>
      </c>
    </row>
    <row r="18" spans="1:9" x14ac:dyDescent="0.25">
      <c r="A18" s="88" t="s">
        <v>36</v>
      </c>
      <c r="B18" s="100"/>
      <c r="C18" s="84"/>
      <c r="D18" s="102"/>
    </row>
    <row r="19" spans="1:9" x14ac:dyDescent="0.25">
      <c r="A19" s="88" t="s">
        <v>37</v>
      </c>
      <c r="B19" s="85">
        <f>B17*D19</f>
        <v>31315.950195939848</v>
      </c>
      <c r="C19" s="87"/>
      <c r="D19" s="102">
        <v>0.03</v>
      </c>
    </row>
    <row r="20" spans="1:9" x14ac:dyDescent="0.25">
      <c r="A20" s="88"/>
      <c r="B20" s="85"/>
      <c r="C20" s="87"/>
      <c r="D20" s="103"/>
    </row>
    <row r="21" spans="1:9" x14ac:dyDescent="0.25">
      <c r="A21" s="82" t="s">
        <v>9</v>
      </c>
      <c r="B21" s="85"/>
      <c r="C21" s="87">
        <f>SUM(B22:B27)</f>
        <v>14836553.901000001</v>
      </c>
      <c r="D21" s="103"/>
    </row>
    <row r="22" spans="1:9" x14ac:dyDescent="0.25">
      <c r="A22" s="88" t="s">
        <v>38</v>
      </c>
      <c r="B22" s="85">
        <f>B10*B5</f>
        <v>12680815.299999999</v>
      </c>
      <c r="C22" s="87"/>
      <c r="D22" s="103"/>
    </row>
    <row r="23" spans="1:9" x14ac:dyDescent="0.25">
      <c r="A23" s="88" t="s">
        <v>39</v>
      </c>
      <c r="B23" s="85"/>
      <c r="C23" s="87"/>
      <c r="D23" s="102">
        <v>7.0000000000000007E-2</v>
      </c>
    </row>
    <row r="24" spans="1:9" x14ac:dyDescent="0.25">
      <c r="A24" s="88" t="s">
        <v>40</v>
      </c>
      <c r="B24" s="85">
        <f>$B$22*D24</f>
        <v>887657.071</v>
      </c>
      <c r="C24" s="87"/>
      <c r="D24" s="102">
        <v>7.0000000000000007E-2</v>
      </c>
    </row>
    <row r="25" spans="1:9" x14ac:dyDescent="0.25">
      <c r="A25" s="88" t="s">
        <v>41</v>
      </c>
      <c r="B25" s="85">
        <f t="shared" ref="B25:B27" si="0">$B$22*D25</f>
        <v>634040.76500000001</v>
      </c>
      <c r="C25" s="87"/>
      <c r="D25" s="102">
        <v>0.05</v>
      </c>
    </row>
    <row r="26" spans="1:9" x14ac:dyDescent="0.25">
      <c r="A26" s="88" t="s">
        <v>42</v>
      </c>
      <c r="B26" s="85">
        <f t="shared" si="0"/>
        <v>253616.30599999998</v>
      </c>
      <c r="C26" s="87"/>
      <c r="D26" s="102">
        <v>0.02</v>
      </c>
      <c r="I26" s="105"/>
    </row>
    <row r="27" spans="1:9" x14ac:dyDescent="0.25">
      <c r="A27" s="88" t="s">
        <v>43</v>
      </c>
      <c r="B27" s="85">
        <f t="shared" si="0"/>
        <v>380424.45899999997</v>
      </c>
      <c r="C27" s="87"/>
      <c r="D27" s="102">
        <v>0.03</v>
      </c>
    </row>
    <row r="28" spans="1:9" x14ac:dyDescent="0.25">
      <c r="A28" s="88"/>
      <c r="B28" s="85"/>
      <c r="C28" s="87"/>
    </row>
    <row r="29" spans="1:9" x14ac:dyDescent="0.25">
      <c r="A29" s="82" t="s">
        <v>44</v>
      </c>
      <c r="B29" s="1"/>
      <c r="C29" s="87">
        <f>SUM(B30)</f>
        <v>634040.76500000001</v>
      </c>
    </row>
    <row r="30" spans="1:9" x14ac:dyDescent="0.25">
      <c r="A30" s="88" t="s">
        <v>45</v>
      </c>
      <c r="B30" s="85">
        <f t="shared" ref="B30" si="1">$B$22*D30</f>
        <v>634040.76500000001</v>
      </c>
      <c r="C30" s="87"/>
      <c r="D30" s="102">
        <v>0.05</v>
      </c>
    </row>
    <row r="31" spans="1:9" x14ac:dyDescent="0.25">
      <c r="A31" s="88"/>
      <c r="B31" s="85"/>
      <c r="C31" s="87"/>
      <c r="D31" s="102"/>
    </row>
    <row r="32" spans="1:9" x14ac:dyDescent="0.25">
      <c r="A32" s="88" t="s">
        <v>15</v>
      </c>
      <c r="B32" s="85"/>
      <c r="C32" s="87">
        <f>B33</f>
        <v>962981.65</v>
      </c>
      <c r="D32" s="102"/>
    </row>
    <row r="33" spans="1:8" x14ac:dyDescent="0.25">
      <c r="A33" s="88"/>
      <c r="B33" s="85">
        <f>0.05*C41</f>
        <v>962981.65</v>
      </c>
      <c r="C33" s="86"/>
    </row>
    <row r="34" spans="1:8" x14ac:dyDescent="0.25">
      <c r="A34" s="89" t="s">
        <v>19</v>
      </c>
      <c r="B34" s="91"/>
      <c r="C34" s="90">
        <f>SUM(C16,C21,C29,B33)</f>
        <v>17508757.27272727</v>
      </c>
      <c r="D34" s="101">
        <v>1</v>
      </c>
    </row>
    <row r="35" spans="1:8" x14ac:dyDescent="0.25">
      <c r="A35" s="92"/>
      <c r="B35" s="85"/>
      <c r="C35" s="86"/>
      <c r="D35" s="101"/>
    </row>
    <row r="36" spans="1:8" x14ac:dyDescent="0.25">
      <c r="A36" s="82" t="s">
        <v>20</v>
      </c>
      <c r="B36" s="85"/>
      <c r="C36" s="86"/>
      <c r="D36" s="101"/>
    </row>
    <row r="37" spans="1:8" x14ac:dyDescent="0.25">
      <c r="A37" s="82"/>
      <c r="B37" s="85"/>
      <c r="C37" s="86"/>
      <c r="D37" s="101"/>
    </row>
    <row r="38" spans="1:8" x14ac:dyDescent="0.25">
      <c r="A38" s="82" t="s">
        <v>21</v>
      </c>
      <c r="B38" s="1"/>
      <c r="C38" s="87">
        <f>SUM(B39)</f>
        <v>19259633</v>
      </c>
      <c r="D38" s="101"/>
    </row>
    <row r="39" spans="1:8" x14ac:dyDescent="0.25">
      <c r="A39" s="88" t="s">
        <v>46</v>
      </c>
      <c r="B39" s="85">
        <f>B7</f>
        <v>19259633</v>
      </c>
      <c r="C39" s="87"/>
      <c r="D39" s="101"/>
    </row>
    <row r="40" spans="1:8" x14ac:dyDescent="0.25">
      <c r="A40" s="88"/>
      <c r="B40" s="85"/>
      <c r="C40" s="86"/>
      <c r="D40" s="101"/>
    </row>
    <row r="41" spans="1:8" x14ac:dyDescent="0.25">
      <c r="A41" s="93" t="s">
        <v>23</v>
      </c>
      <c r="B41" s="94"/>
      <c r="C41" s="94">
        <f>SUM(C38)</f>
        <v>19259633</v>
      </c>
      <c r="D41" s="101">
        <v>1.1000000000000001</v>
      </c>
      <c r="E41" t="s">
        <v>58</v>
      </c>
      <c r="F41" s="105"/>
      <c r="G41" s="105"/>
      <c r="H41" s="105"/>
    </row>
    <row r="42" spans="1:8" x14ac:dyDescent="0.25">
      <c r="A42" s="95"/>
      <c r="B42" s="85"/>
      <c r="C42" s="86"/>
      <c r="F42" s="105"/>
      <c r="G42" s="105"/>
      <c r="H42" s="105"/>
    </row>
    <row r="43" spans="1:8" x14ac:dyDescent="0.25">
      <c r="A43" s="89" t="s">
        <v>24</v>
      </c>
      <c r="B43" s="96"/>
      <c r="C43" s="6">
        <f>C41-C34</f>
        <v>1750875.7272727303</v>
      </c>
      <c r="F43" s="105"/>
      <c r="G43" s="105"/>
      <c r="H43" s="105"/>
    </row>
    <row r="44" spans="1:8" x14ac:dyDescent="0.25">
      <c r="A44" s="92"/>
      <c r="B44" s="85"/>
      <c r="C44" s="86"/>
      <c r="F44" s="105"/>
      <c r="G44" s="105"/>
      <c r="H44" s="105"/>
    </row>
    <row r="45" spans="1:8" x14ac:dyDescent="0.25">
      <c r="A45" s="89" t="s">
        <v>47</v>
      </c>
      <c r="B45" s="96"/>
      <c r="C45" s="97">
        <v>3</v>
      </c>
      <c r="F45" s="105"/>
      <c r="G45" s="105"/>
      <c r="H45" s="105"/>
    </row>
    <row r="46" spans="1:8" x14ac:dyDescent="0.25">
      <c r="A46" s="83"/>
      <c r="B46" s="85"/>
      <c r="C46" s="86"/>
    </row>
    <row r="47" spans="1:8" x14ac:dyDescent="0.25">
      <c r="A47" s="98" t="s">
        <v>48</v>
      </c>
      <c r="B47" s="99"/>
      <c r="C47" s="8">
        <f>C43/C45</f>
        <v>583625.24242424348</v>
      </c>
    </row>
    <row r="48" spans="1:8" x14ac:dyDescent="0.25">
      <c r="A48" s="83"/>
      <c r="B48" s="85"/>
      <c r="C48" s="86"/>
      <c r="G48" s="101"/>
    </row>
    <row r="49" spans="1:3" x14ac:dyDescent="0.25">
      <c r="A49" s="82" t="s">
        <v>25</v>
      </c>
      <c r="B49" s="85"/>
      <c r="C49" s="87">
        <f>SUM(B50:B51)</f>
        <v>1305180</v>
      </c>
    </row>
    <row r="50" spans="1:3" x14ac:dyDescent="0.25">
      <c r="A50" s="83" t="s">
        <v>49</v>
      </c>
      <c r="B50" s="85">
        <v>1196415</v>
      </c>
      <c r="C50" s="86"/>
    </row>
    <row r="51" spans="1:3" x14ac:dyDescent="0.25">
      <c r="A51" s="28" t="s">
        <v>27</v>
      </c>
      <c r="B51" s="85">
        <v>108765</v>
      </c>
      <c r="C51" s="86"/>
    </row>
    <row r="52" spans="1:3" x14ac:dyDescent="0.25">
      <c r="A52" s="28"/>
      <c r="B52" s="85"/>
      <c r="C52" s="86"/>
    </row>
    <row r="53" spans="1:3" x14ac:dyDescent="0.25">
      <c r="A53" s="89" t="s">
        <v>28</v>
      </c>
      <c r="B53" s="96"/>
      <c r="C53" s="6">
        <f>C43-C49</f>
        <v>445695.72727273032</v>
      </c>
    </row>
    <row r="54" spans="1:3" x14ac:dyDescent="0.25">
      <c r="A54" s="92"/>
      <c r="B54" s="85"/>
      <c r="C54" s="86"/>
    </row>
    <row r="55" spans="1:3" x14ac:dyDescent="0.25">
      <c r="A55" s="89" t="s">
        <v>47</v>
      </c>
      <c r="B55" s="96"/>
      <c r="C55" s="97">
        <v>3</v>
      </c>
    </row>
    <row r="56" spans="1:3" x14ac:dyDescent="0.25">
      <c r="A56" s="83"/>
      <c r="B56" s="85"/>
      <c r="C56" s="86"/>
    </row>
    <row r="57" spans="1:3" x14ac:dyDescent="0.25">
      <c r="A57" s="98" t="s">
        <v>50</v>
      </c>
      <c r="B57" s="99"/>
      <c r="C57" s="8">
        <f>C53/C55</f>
        <v>148565.24242424345</v>
      </c>
    </row>
  </sheetData>
  <mergeCells count="1">
    <mergeCell ref="B12:C1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0464-4C64-4316-8BD0-755D66D0CABE}">
  <sheetPr>
    <pageSetUpPr fitToPage="1"/>
  </sheetPr>
  <dimension ref="A1:AA73"/>
  <sheetViews>
    <sheetView tabSelected="1" zoomScale="84" zoomScaleNormal="84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G73" sqref="G73"/>
    </sheetView>
  </sheetViews>
  <sheetFormatPr baseColWidth="10" defaultRowHeight="12.75" x14ac:dyDescent="0.2"/>
  <cols>
    <col min="1" max="1" width="37.7109375" style="12" customWidth="1"/>
    <col min="2" max="2" width="10.28515625" style="12" bestFit="1" customWidth="1"/>
    <col min="3" max="12" width="11.7109375" style="24" customWidth="1"/>
    <col min="13" max="13" width="11.42578125" style="111" customWidth="1"/>
    <col min="14" max="17" width="11.42578125" style="12"/>
    <col min="18" max="20" width="13.85546875" style="12" bestFit="1" customWidth="1"/>
    <col min="21" max="21" width="11.85546875" style="12" bestFit="1" customWidth="1"/>
    <col min="22" max="22" width="13.85546875" style="12" bestFit="1" customWidth="1"/>
    <col min="23" max="23" width="12.42578125" style="12" bestFit="1" customWidth="1"/>
    <col min="24" max="24" width="13.85546875" style="12" bestFit="1" customWidth="1"/>
    <col min="25" max="25" width="12.42578125" style="12" bestFit="1" customWidth="1"/>
    <col min="26" max="257" width="11.42578125" style="12"/>
    <col min="258" max="258" width="37.7109375" style="12" customWidth="1"/>
    <col min="259" max="268" width="11.7109375" style="12" customWidth="1"/>
    <col min="269" max="513" width="11.42578125" style="12"/>
    <col min="514" max="514" width="37.7109375" style="12" customWidth="1"/>
    <col min="515" max="524" width="11.7109375" style="12" customWidth="1"/>
    <col min="525" max="769" width="11.42578125" style="12"/>
    <col min="770" max="770" width="37.7109375" style="12" customWidth="1"/>
    <col min="771" max="780" width="11.7109375" style="12" customWidth="1"/>
    <col min="781" max="1025" width="11.42578125" style="12"/>
    <col min="1026" max="1026" width="37.7109375" style="12" customWidth="1"/>
    <col min="1027" max="1036" width="11.7109375" style="12" customWidth="1"/>
    <col min="1037" max="1281" width="11.42578125" style="12"/>
    <col min="1282" max="1282" width="37.7109375" style="12" customWidth="1"/>
    <col min="1283" max="1292" width="11.7109375" style="12" customWidth="1"/>
    <col min="1293" max="1537" width="11.42578125" style="12"/>
    <col min="1538" max="1538" width="37.7109375" style="12" customWidth="1"/>
    <col min="1539" max="1548" width="11.7109375" style="12" customWidth="1"/>
    <col min="1549" max="1793" width="11.42578125" style="12"/>
    <col min="1794" max="1794" width="37.7109375" style="12" customWidth="1"/>
    <col min="1795" max="1804" width="11.7109375" style="12" customWidth="1"/>
    <col min="1805" max="2049" width="11.42578125" style="12"/>
    <col min="2050" max="2050" width="37.7109375" style="12" customWidth="1"/>
    <col min="2051" max="2060" width="11.7109375" style="12" customWidth="1"/>
    <col min="2061" max="2305" width="11.42578125" style="12"/>
    <col min="2306" max="2306" width="37.7109375" style="12" customWidth="1"/>
    <col min="2307" max="2316" width="11.7109375" style="12" customWidth="1"/>
    <col min="2317" max="2561" width="11.42578125" style="12"/>
    <col min="2562" max="2562" width="37.7109375" style="12" customWidth="1"/>
    <col min="2563" max="2572" width="11.7109375" style="12" customWidth="1"/>
    <col min="2573" max="2817" width="11.42578125" style="12"/>
    <col min="2818" max="2818" width="37.7109375" style="12" customWidth="1"/>
    <col min="2819" max="2828" width="11.7109375" style="12" customWidth="1"/>
    <col min="2829" max="3073" width="11.42578125" style="12"/>
    <col min="3074" max="3074" width="37.7109375" style="12" customWidth="1"/>
    <col min="3075" max="3084" width="11.7109375" style="12" customWidth="1"/>
    <col min="3085" max="3329" width="11.42578125" style="12"/>
    <col min="3330" max="3330" width="37.7109375" style="12" customWidth="1"/>
    <col min="3331" max="3340" width="11.7109375" style="12" customWidth="1"/>
    <col min="3341" max="3585" width="11.42578125" style="12"/>
    <col min="3586" max="3586" width="37.7109375" style="12" customWidth="1"/>
    <col min="3587" max="3596" width="11.7109375" style="12" customWidth="1"/>
    <col min="3597" max="3841" width="11.42578125" style="12"/>
    <col min="3842" max="3842" width="37.7109375" style="12" customWidth="1"/>
    <col min="3843" max="3852" width="11.7109375" style="12" customWidth="1"/>
    <col min="3853" max="4097" width="11.42578125" style="12"/>
    <col min="4098" max="4098" width="37.7109375" style="12" customWidth="1"/>
    <col min="4099" max="4108" width="11.7109375" style="12" customWidth="1"/>
    <col min="4109" max="4353" width="11.42578125" style="12"/>
    <col min="4354" max="4354" width="37.7109375" style="12" customWidth="1"/>
    <col min="4355" max="4364" width="11.7109375" style="12" customWidth="1"/>
    <col min="4365" max="4609" width="11.42578125" style="12"/>
    <col min="4610" max="4610" width="37.7109375" style="12" customWidth="1"/>
    <col min="4611" max="4620" width="11.7109375" style="12" customWidth="1"/>
    <col min="4621" max="4865" width="11.42578125" style="12"/>
    <col min="4866" max="4866" width="37.7109375" style="12" customWidth="1"/>
    <col min="4867" max="4876" width="11.7109375" style="12" customWidth="1"/>
    <col min="4877" max="5121" width="11.42578125" style="12"/>
    <col min="5122" max="5122" width="37.7109375" style="12" customWidth="1"/>
    <col min="5123" max="5132" width="11.7109375" style="12" customWidth="1"/>
    <col min="5133" max="5377" width="11.42578125" style="12"/>
    <col min="5378" max="5378" width="37.7109375" style="12" customWidth="1"/>
    <col min="5379" max="5388" width="11.7109375" style="12" customWidth="1"/>
    <col min="5389" max="5633" width="11.42578125" style="12"/>
    <col min="5634" max="5634" width="37.7109375" style="12" customWidth="1"/>
    <col min="5635" max="5644" width="11.7109375" style="12" customWidth="1"/>
    <col min="5645" max="5889" width="11.42578125" style="12"/>
    <col min="5890" max="5890" width="37.7109375" style="12" customWidth="1"/>
    <col min="5891" max="5900" width="11.7109375" style="12" customWidth="1"/>
    <col min="5901" max="6145" width="11.42578125" style="12"/>
    <col min="6146" max="6146" width="37.7109375" style="12" customWidth="1"/>
    <col min="6147" max="6156" width="11.7109375" style="12" customWidth="1"/>
    <col min="6157" max="6401" width="11.42578125" style="12"/>
    <col min="6402" max="6402" width="37.7109375" style="12" customWidth="1"/>
    <col min="6403" max="6412" width="11.7109375" style="12" customWidth="1"/>
    <col min="6413" max="6657" width="11.42578125" style="12"/>
    <col min="6658" max="6658" width="37.7109375" style="12" customWidth="1"/>
    <col min="6659" max="6668" width="11.7109375" style="12" customWidth="1"/>
    <col min="6669" max="6913" width="11.42578125" style="12"/>
    <col min="6914" max="6914" width="37.7109375" style="12" customWidth="1"/>
    <col min="6915" max="6924" width="11.7109375" style="12" customWidth="1"/>
    <col min="6925" max="7169" width="11.42578125" style="12"/>
    <col min="7170" max="7170" width="37.7109375" style="12" customWidth="1"/>
    <col min="7171" max="7180" width="11.7109375" style="12" customWidth="1"/>
    <col min="7181" max="7425" width="11.42578125" style="12"/>
    <col min="7426" max="7426" width="37.7109375" style="12" customWidth="1"/>
    <col min="7427" max="7436" width="11.7109375" style="12" customWidth="1"/>
    <col min="7437" max="7681" width="11.42578125" style="12"/>
    <col min="7682" max="7682" width="37.7109375" style="12" customWidth="1"/>
    <col min="7683" max="7692" width="11.7109375" style="12" customWidth="1"/>
    <col min="7693" max="7937" width="11.42578125" style="12"/>
    <col min="7938" max="7938" width="37.7109375" style="12" customWidth="1"/>
    <col min="7939" max="7948" width="11.7109375" style="12" customWidth="1"/>
    <col min="7949" max="8193" width="11.42578125" style="12"/>
    <col min="8194" max="8194" width="37.7109375" style="12" customWidth="1"/>
    <col min="8195" max="8204" width="11.7109375" style="12" customWidth="1"/>
    <col min="8205" max="8449" width="11.42578125" style="12"/>
    <col min="8450" max="8450" width="37.7109375" style="12" customWidth="1"/>
    <col min="8451" max="8460" width="11.7109375" style="12" customWidth="1"/>
    <col min="8461" max="8705" width="11.42578125" style="12"/>
    <col min="8706" max="8706" width="37.7109375" style="12" customWidth="1"/>
    <col min="8707" max="8716" width="11.7109375" style="12" customWidth="1"/>
    <col min="8717" max="8961" width="11.42578125" style="12"/>
    <col min="8962" max="8962" width="37.7109375" style="12" customWidth="1"/>
    <col min="8963" max="8972" width="11.7109375" style="12" customWidth="1"/>
    <col min="8973" max="9217" width="11.42578125" style="12"/>
    <col min="9218" max="9218" width="37.7109375" style="12" customWidth="1"/>
    <col min="9219" max="9228" width="11.7109375" style="12" customWidth="1"/>
    <col min="9229" max="9473" width="11.42578125" style="12"/>
    <col min="9474" max="9474" width="37.7109375" style="12" customWidth="1"/>
    <col min="9475" max="9484" width="11.7109375" style="12" customWidth="1"/>
    <col min="9485" max="9729" width="11.42578125" style="12"/>
    <col min="9730" max="9730" width="37.7109375" style="12" customWidth="1"/>
    <col min="9731" max="9740" width="11.7109375" style="12" customWidth="1"/>
    <col min="9741" max="9985" width="11.42578125" style="12"/>
    <col min="9986" max="9986" width="37.7109375" style="12" customWidth="1"/>
    <col min="9987" max="9996" width="11.7109375" style="12" customWidth="1"/>
    <col min="9997" max="10241" width="11.42578125" style="12"/>
    <col min="10242" max="10242" width="37.7109375" style="12" customWidth="1"/>
    <col min="10243" max="10252" width="11.7109375" style="12" customWidth="1"/>
    <col min="10253" max="10497" width="11.42578125" style="12"/>
    <col min="10498" max="10498" width="37.7109375" style="12" customWidth="1"/>
    <col min="10499" max="10508" width="11.7109375" style="12" customWidth="1"/>
    <col min="10509" max="10753" width="11.42578125" style="12"/>
    <col min="10754" max="10754" width="37.7109375" style="12" customWidth="1"/>
    <col min="10755" max="10764" width="11.7109375" style="12" customWidth="1"/>
    <col min="10765" max="11009" width="11.42578125" style="12"/>
    <col min="11010" max="11010" width="37.7109375" style="12" customWidth="1"/>
    <col min="11011" max="11020" width="11.7109375" style="12" customWidth="1"/>
    <col min="11021" max="11265" width="11.42578125" style="12"/>
    <col min="11266" max="11266" width="37.7109375" style="12" customWidth="1"/>
    <col min="11267" max="11276" width="11.7109375" style="12" customWidth="1"/>
    <col min="11277" max="11521" width="11.42578125" style="12"/>
    <col min="11522" max="11522" width="37.7109375" style="12" customWidth="1"/>
    <col min="11523" max="11532" width="11.7109375" style="12" customWidth="1"/>
    <col min="11533" max="11777" width="11.42578125" style="12"/>
    <col min="11778" max="11778" width="37.7109375" style="12" customWidth="1"/>
    <col min="11779" max="11788" width="11.7109375" style="12" customWidth="1"/>
    <col min="11789" max="12033" width="11.42578125" style="12"/>
    <col min="12034" max="12034" width="37.7109375" style="12" customWidth="1"/>
    <col min="12035" max="12044" width="11.7109375" style="12" customWidth="1"/>
    <col min="12045" max="12289" width="11.42578125" style="12"/>
    <col min="12290" max="12290" width="37.7109375" style="12" customWidth="1"/>
    <col min="12291" max="12300" width="11.7109375" style="12" customWidth="1"/>
    <col min="12301" max="12545" width="11.42578125" style="12"/>
    <col min="12546" max="12546" width="37.7109375" style="12" customWidth="1"/>
    <col min="12547" max="12556" width="11.7109375" style="12" customWidth="1"/>
    <col min="12557" max="12801" width="11.42578125" style="12"/>
    <col min="12802" max="12802" width="37.7109375" style="12" customWidth="1"/>
    <col min="12803" max="12812" width="11.7109375" style="12" customWidth="1"/>
    <col min="12813" max="13057" width="11.42578125" style="12"/>
    <col min="13058" max="13058" width="37.7109375" style="12" customWidth="1"/>
    <col min="13059" max="13068" width="11.7109375" style="12" customWidth="1"/>
    <col min="13069" max="13313" width="11.42578125" style="12"/>
    <col min="13314" max="13314" width="37.7109375" style="12" customWidth="1"/>
    <col min="13315" max="13324" width="11.7109375" style="12" customWidth="1"/>
    <col min="13325" max="13569" width="11.42578125" style="12"/>
    <col min="13570" max="13570" width="37.7109375" style="12" customWidth="1"/>
    <col min="13571" max="13580" width="11.7109375" style="12" customWidth="1"/>
    <col min="13581" max="13825" width="11.42578125" style="12"/>
    <col min="13826" max="13826" width="37.7109375" style="12" customWidth="1"/>
    <col min="13827" max="13836" width="11.7109375" style="12" customWidth="1"/>
    <col min="13837" max="14081" width="11.42578125" style="12"/>
    <col min="14082" max="14082" width="37.7109375" style="12" customWidth="1"/>
    <col min="14083" max="14092" width="11.7109375" style="12" customWidth="1"/>
    <col min="14093" max="14337" width="11.42578125" style="12"/>
    <col min="14338" max="14338" width="37.7109375" style="12" customWidth="1"/>
    <col min="14339" max="14348" width="11.7109375" style="12" customWidth="1"/>
    <col min="14349" max="14593" width="11.42578125" style="12"/>
    <col min="14594" max="14594" width="37.7109375" style="12" customWidth="1"/>
    <col min="14595" max="14604" width="11.7109375" style="12" customWidth="1"/>
    <col min="14605" max="14849" width="11.42578125" style="12"/>
    <col min="14850" max="14850" width="37.7109375" style="12" customWidth="1"/>
    <col min="14851" max="14860" width="11.7109375" style="12" customWidth="1"/>
    <col min="14861" max="15105" width="11.42578125" style="12"/>
    <col min="15106" max="15106" width="37.7109375" style="12" customWidth="1"/>
    <col min="15107" max="15116" width="11.7109375" style="12" customWidth="1"/>
    <col min="15117" max="15361" width="11.42578125" style="12"/>
    <col min="15362" max="15362" width="37.7109375" style="12" customWidth="1"/>
    <col min="15363" max="15372" width="11.7109375" style="12" customWidth="1"/>
    <col min="15373" max="15617" width="11.42578125" style="12"/>
    <col min="15618" max="15618" width="37.7109375" style="12" customWidth="1"/>
    <col min="15619" max="15628" width="11.7109375" style="12" customWidth="1"/>
    <col min="15629" max="15873" width="11.42578125" style="12"/>
    <col min="15874" max="15874" width="37.7109375" style="12" customWidth="1"/>
    <col min="15875" max="15884" width="11.7109375" style="12" customWidth="1"/>
    <col min="15885" max="16129" width="11.42578125" style="12"/>
    <col min="16130" max="16130" width="37.7109375" style="12" customWidth="1"/>
    <col min="16131" max="16140" width="11.7109375" style="12" customWidth="1"/>
    <col min="16141" max="16384" width="11.42578125" style="12"/>
  </cols>
  <sheetData>
    <row r="1" spans="1:13" ht="15.75" x14ac:dyDescent="0.25">
      <c r="A1" s="10" t="s">
        <v>87</v>
      </c>
      <c r="B1" s="10" t="s">
        <v>101</v>
      </c>
      <c r="C1" s="110">
        <f>M13*0.4</f>
        <v>7703853.2000000002</v>
      </c>
      <c r="E1" s="24">
        <v>4.8599999999999997E-2</v>
      </c>
    </row>
    <row r="2" spans="1:13" x14ac:dyDescent="0.2">
      <c r="A2" s="13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12"/>
    </row>
    <row r="3" spans="1:13" s="31" customFormat="1" x14ac:dyDescent="0.2">
      <c r="A3" s="133"/>
      <c r="B3" s="209" t="s">
        <v>100</v>
      </c>
      <c r="C3" s="184">
        <v>36130</v>
      </c>
      <c r="D3" s="184">
        <v>36220</v>
      </c>
      <c r="E3" s="184">
        <v>36312</v>
      </c>
      <c r="F3" s="184">
        <v>36404</v>
      </c>
      <c r="G3" s="184">
        <v>36495</v>
      </c>
      <c r="H3" s="184">
        <v>36586</v>
      </c>
      <c r="I3" s="184">
        <v>36678</v>
      </c>
      <c r="J3" s="184">
        <v>36770</v>
      </c>
      <c r="K3" s="184">
        <v>36861</v>
      </c>
      <c r="L3" s="184">
        <v>36951</v>
      </c>
      <c r="M3" s="135" t="s">
        <v>61</v>
      </c>
    </row>
    <row r="4" spans="1:13" s="31" customFormat="1" x14ac:dyDescent="0.2">
      <c r="A4" s="33"/>
      <c r="C4" s="117"/>
      <c r="D4" s="117"/>
      <c r="E4" s="117"/>
      <c r="F4" s="117"/>
      <c r="G4" s="117"/>
      <c r="H4" s="117"/>
      <c r="I4" s="117"/>
      <c r="J4" s="117"/>
      <c r="K4" s="117"/>
      <c r="L4" s="117"/>
      <c r="M4" s="118"/>
    </row>
    <row r="5" spans="1:13" x14ac:dyDescent="0.2">
      <c r="A5" s="140" t="s">
        <v>88</v>
      </c>
      <c r="B5" s="168"/>
      <c r="C5" s="139"/>
      <c r="D5" s="139"/>
      <c r="E5" s="139"/>
      <c r="F5" s="139"/>
      <c r="G5" s="139"/>
      <c r="H5" s="139"/>
      <c r="I5" s="139"/>
      <c r="J5" s="139"/>
      <c r="K5" s="139"/>
      <c r="L5" s="139"/>
      <c r="M5" s="118"/>
    </row>
    <row r="6" spans="1:13" x14ac:dyDescent="0.2">
      <c r="A6" s="140"/>
      <c r="B6" s="168"/>
      <c r="C6" s="139"/>
      <c r="D6" s="139"/>
      <c r="E6" s="139"/>
      <c r="F6" s="222"/>
      <c r="G6" s="139"/>
      <c r="H6" s="139"/>
      <c r="I6" s="139"/>
      <c r="J6" s="139"/>
      <c r="K6" s="139"/>
      <c r="L6" s="139"/>
      <c r="M6" s="118"/>
    </row>
    <row r="7" spans="1:13" x14ac:dyDescent="0.2">
      <c r="A7" s="140" t="s">
        <v>91</v>
      </c>
      <c r="B7" s="168"/>
      <c r="C7" s="139"/>
      <c r="D7" s="139"/>
      <c r="E7" s="139"/>
      <c r="F7" s="222">
        <v>3.2000000000000001E-2</v>
      </c>
      <c r="G7" s="222">
        <v>3.2000000000000001E-2</v>
      </c>
      <c r="H7" s="222">
        <v>3.2000000000000001E-2</v>
      </c>
      <c r="I7" s="222">
        <v>0.624</v>
      </c>
      <c r="J7" s="222">
        <v>0.24</v>
      </c>
      <c r="K7" s="222">
        <v>0.04</v>
      </c>
      <c r="L7" s="222">
        <v>0</v>
      </c>
      <c r="M7" s="118"/>
    </row>
    <row r="8" spans="1:13" x14ac:dyDescent="0.2">
      <c r="A8" s="140"/>
      <c r="B8" s="168"/>
      <c r="C8" s="139"/>
      <c r="D8" s="139"/>
      <c r="E8" s="139"/>
      <c r="F8" s="139"/>
      <c r="G8" s="139"/>
      <c r="H8" s="139"/>
      <c r="I8" s="139"/>
      <c r="J8" s="139"/>
      <c r="K8" s="139"/>
      <c r="L8" s="139"/>
      <c r="M8" s="118"/>
    </row>
    <row r="9" spans="1:13" x14ac:dyDescent="0.2">
      <c r="A9" s="140" t="s">
        <v>92</v>
      </c>
      <c r="B9" s="168"/>
      <c r="C9" s="139"/>
      <c r="D9" s="139"/>
      <c r="E9" s="185"/>
      <c r="F9" s="185"/>
      <c r="G9" s="185"/>
      <c r="H9" s="185"/>
      <c r="I9" s="139"/>
      <c r="J9" s="139"/>
      <c r="K9" s="139"/>
      <c r="L9" s="139"/>
      <c r="M9" s="186"/>
    </row>
    <row r="10" spans="1:13" x14ac:dyDescent="0.2">
      <c r="A10" s="33"/>
      <c r="B10" s="31"/>
      <c r="C10" s="139"/>
      <c r="D10" s="139"/>
      <c r="E10" s="139"/>
      <c r="F10" s="139"/>
      <c r="G10" s="139"/>
      <c r="H10" s="139"/>
      <c r="I10" s="139"/>
      <c r="J10" s="139"/>
      <c r="K10" s="139"/>
      <c r="L10" s="139"/>
      <c r="M10" s="186"/>
    </row>
    <row r="11" spans="1:13" x14ac:dyDescent="0.2">
      <c r="A11" s="119" t="s">
        <v>62</v>
      </c>
      <c r="B11" s="210"/>
      <c r="C11" s="120"/>
      <c r="D11" s="120"/>
      <c r="E11" s="120"/>
      <c r="F11" s="120"/>
      <c r="G11" s="120"/>
      <c r="H11" s="120"/>
      <c r="I11" s="120"/>
      <c r="J11" s="120"/>
      <c r="K11" s="120"/>
      <c r="L11" s="120"/>
      <c r="M11" s="121"/>
    </row>
    <row r="12" spans="1:13" x14ac:dyDescent="0.2">
      <c r="A12" s="187"/>
      <c r="B12" s="211"/>
      <c r="C12" s="188"/>
      <c r="D12" s="188"/>
      <c r="E12" s="188"/>
      <c r="F12" s="188"/>
      <c r="G12" s="188"/>
      <c r="H12" s="188"/>
      <c r="I12" s="188"/>
      <c r="J12" s="188"/>
      <c r="K12" s="188"/>
      <c r="L12" s="188"/>
      <c r="M12" s="189"/>
    </row>
    <row r="13" spans="1:13" x14ac:dyDescent="0.2">
      <c r="A13" s="33" t="s">
        <v>21</v>
      </c>
      <c r="B13" s="26">
        <f>'Estático caso 5'!C41</f>
        <v>19259633</v>
      </c>
      <c r="C13" s="139"/>
      <c r="D13" s="139"/>
      <c r="E13" s="139"/>
      <c r="F13" s="139">
        <f>$B$13*F$7</f>
        <v>616308.25600000005</v>
      </c>
      <c r="G13" s="139">
        <f t="shared" ref="G13:L13" si="0">$B$13*G$7</f>
        <v>616308.25600000005</v>
      </c>
      <c r="H13" s="139">
        <f t="shared" si="0"/>
        <v>616308.25600000005</v>
      </c>
      <c r="I13" s="139">
        <f t="shared" si="0"/>
        <v>12018010.992000001</v>
      </c>
      <c r="J13" s="139">
        <f t="shared" si="0"/>
        <v>4622311.92</v>
      </c>
      <c r="K13" s="139">
        <f>$B$13*K$7</f>
        <v>770385.32000000007</v>
      </c>
      <c r="L13" s="139">
        <f t="shared" si="0"/>
        <v>0</v>
      </c>
      <c r="M13" s="165">
        <f>SUM(C13:L13)</f>
        <v>19259633</v>
      </c>
    </row>
    <row r="14" spans="1:13" x14ac:dyDescent="0.2">
      <c r="A14" s="33"/>
      <c r="B14" s="26"/>
      <c r="C14" s="139"/>
      <c r="D14" s="139"/>
      <c r="E14" s="139"/>
      <c r="F14" s="139"/>
      <c r="G14" s="139"/>
      <c r="H14" s="139"/>
      <c r="I14" s="139"/>
      <c r="J14" s="139"/>
      <c r="K14" s="139"/>
      <c r="L14" s="139"/>
      <c r="M14" s="146"/>
    </row>
    <row r="15" spans="1:13" x14ac:dyDescent="0.2">
      <c r="A15" s="33" t="s">
        <v>103</v>
      </c>
      <c r="B15" s="26"/>
      <c r="C15" s="139"/>
      <c r="D15" s="139">
        <f>C31</f>
        <v>544898.08263205574</v>
      </c>
      <c r="E15" s="139">
        <f t="shared" ref="E15:J15" si="1">D31</f>
        <v>63280.528322700746</v>
      </c>
      <c r="F15" s="139">
        <f t="shared" si="1"/>
        <v>193374.74779945306</v>
      </c>
      <c r="G15" s="139">
        <f t="shared" si="1"/>
        <v>46405.720769980551</v>
      </c>
      <c r="H15" s="139">
        <f t="shared" si="1"/>
        <v>40921.408315346489</v>
      </c>
      <c r="I15" s="139">
        <f t="shared" si="1"/>
        <v>50413.487563751602</v>
      </c>
      <c r="J15" s="139">
        <f t="shared" si="1"/>
        <v>36280.836238348427</v>
      </c>
      <c r="K15" s="139">
        <f>J31</f>
        <v>26366.886801125314</v>
      </c>
      <c r="L15" s="139">
        <f>SUM(K31:L31)</f>
        <v>52733.773602250629</v>
      </c>
      <c r="M15" s="146">
        <f>SUM(D15:L15)</f>
        <v>1054675.4720450127</v>
      </c>
    </row>
    <row r="16" spans="1:13" x14ac:dyDescent="0.2">
      <c r="A16" s="153"/>
      <c r="B16" s="212"/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6"/>
    </row>
    <row r="17" spans="1:27" x14ac:dyDescent="0.2">
      <c r="A17" s="142" t="s">
        <v>65</v>
      </c>
      <c r="B17" s="221">
        <f>B13</f>
        <v>19259633</v>
      </c>
      <c r="C17" s="143">
        <f>SUM(C13:C15)</f>
        <v>0</v>
      </c>
      <c r="D17" s="143">
        <f t="shared" ref="D17:L17" si="2">SUM(D13:D15)</f>
        <v>544898.08263205574</v>
      </c>
      <c r="E17" s="143">
        <f t="shared" si="2"/>
        <v>63280.528322700746</v>
      </c>
      <c r="F17" s="143">
        <f t="shared" si="2"/>
        <v>809683.00379945314</v>
      </c>
      <c r="G17" s="143">
        <f t="shared" si="2"/>
        <v>662713.97676998063</v>
      </c>
      <c r="H17" s="143">
        <f t="shared" si="2"/>
        <v>657229.66431534651</v>
      </c>
      <c r="I17" s="143">
        <f t="shared" si="2"/>
        <v>12068424.479563752</v>
      </c>
      <c r="J17" s="143">
        <f t="shared" si="2"/>
        <v>4658592.7562383488</v>
      </c>
      <c r="K17" s="143">
        <f t="shared" si="2"/>
        <v>796752.20680112543</v>
      </c>
      <c r="L17" s="143">
        <f t="shared" si="2"/>
        <v>52733.773602250629</v>
      </c>
      <c r="M17" s="165"/>
    </row>
    <row r="18" spans="1:27" x14ac:dyDescent="0.2">
      <c r="A18" s="140"/>
      <c r="B18" s="168"/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18"/>
    </row>
    <row r="19" spans="1:27" x14ac:dyDescent="0.2">
      <c r="A19" s="133" t="s">
        <v>66</v>
      </c>
      <c r="B19" s="209"/>
      <c r="C19" s="134"/>
      <c r="D19" s="134"/>
      <c r="E19" s="134"/>
      <c r="F19" s="134"/>
      <c r="G19" s="134"/>
      <c r="H19" s="134"/>
      <c r="I19" s="134"/>
      <c r="J19" s="134"/>
      <c r="K19" s="134"/>
      <c r="L19" s="134"/>
      <c r="M19" s="135"/>
    </row>
    <row r="20" spans="1:27" x14ac:dyDescent="0.2">
      <c r="A20" s="136"/>
      <c r="B20" s="214"/>
      <c r="C20" s="223">
        <f>R32</f>
        <v>0.27179487179487183</v>
      </c>
      <c r="D20" s="223">
        <f t="shared" ref="D20:L20" si="3">S32</f>
        <v>0.11452991452991453</v>
      </c>
      <c r="E20" s="223">
        <f t="shared" si="3"/>
        <v>0.17094017094017094</v>
      </c>
      <c r="F20" s="223">
        <f t="shared" si="3"/>
        <v>8.7179487179487175E-2</v>
      </c>
      <c r="G20" s="223">
        <f t="shared" si="3"/>
        <v>6.632478632478632E-2</v>
      </c>
      <c r="H20" s="223">
        <f t="shared" si="3"/>
        <v>9.367521367521367E-2</v>
      </c>
      <c r="I20" s="223">
        <f t="shared" si="3"/>
        <v>5.88034188034188E-2</v>
      </c>
      <c r="J20" s="223">
        <f t="shared" si="3"/>
        <v>4.2735042735042736E-2</v>
      </c>
      <c r="K20" s="223">
        <f t="shared" si="3"/>
        <v>4.2735042735042736E-2</v>
      </c>
      <c r="L20" s="223">
        <f t="shared" si="3"/>
        <v>5.128205128205128E-2</v>
      </c>
      <c r="M20" s="138"/>
      <c r="Q20" s="232">
        <v>0.85470085470085466</v>
      </c>
      <c r="R20" s="233">
        <v>0.2</v>
      </c>
      <c r="S20" s="233">
        <v>0.12</v>
      </c>
      <c r="T20" s="233">
        <v>0.2</v>
      </c>
      <c r="U20" s="233">
        <v>8.7999999999999995E-2</v>
      </c>
      <c r="V20" s="233">
        <v>7.7600000000000002E-2</v>
      </c>
      <c r="W20" s="233">
        <v>9.5600000000000004E-2</v>
      </c>
      <c r="X20" s="233">
        <v>6.88E-2</v>
      </c>
      <c r="Y20" s="233">
        <v>0.05</v>
      </c>
      <c r="Z20" s="233">
        <v>0.05</v>
      </c>
      <c r="AA20" s="233">
        <v>0.05</v>
      </c>
    </row>
    <row r="21" spans="1:27" x14ac:dyDescent="0.2">
      <c r="A21" s="140"/>
      <c r="B21" s="168"/>
      <c r="C21" s="224">
        <v>0</v>
      </c>
      <c r="D21" s="224">
        <v>0</v>
      </c>
      <c r="E21" s="224">
        <v>0</v>
      </c>
      <c r="F21" s="224">
        <v>0.16</v>
      </c>
      <c r="G21" s="224">
        <v>0.16</v>
      </c>
      <c r="H21" s="224">
        <v>0.16</v>
      </c>
      <c r="I21" s="224">
        <v>0.24</v>
      </c>
      <c r="J21" s="224">
        <v>0.24</v>
      </c>
      <c r="K21" s="224">
        <v>0.04</v>
      </c>
      <c r="L21" s="224">
        <v>0</v>
      </c>
      <c r="M21" s="118"/>
      <c r="Q21" s="232">
        <v>5.9829059829059825E-2</v>
      </c>
      <c r="R21" s="12">
        <v>0.4</v>
      </c>
      <c r="S21" s="12">
        <v>0.2</v>
      </c>
      <c r="T21" s="12">
        <v>0</v>
      </c>
      <c r="U21" s="12">
        <v>0.2</v>
      </c>
      <c r="V21" s="12">
        <v>0</v>
      </c>
      <c r="W21" s="12">
        <v>0.2</v>
      </c>
      <c r="X21" s="12">
        <v>0</v>
      </c>
      <c r="Y21" s="12">
        <v>0</v>
      </c>
      <c r="Z21" s="12">
        <v>0</v>
      </c>
      <c r="AA21" s="12">
        <v>0</v>
      </c>
    </row>
    <row r="22" spans="1:27" x14ac:dyDescent="0.2">
      <c r="A22" s="140"/>
      <c r="B22" s="168"/>
      <c r="C22" s="12">
        <v>0.51665000000000005</v>
      </c>
      <c r="D22" s="12">
        <v>0.06</v>
      </c>
      <c r="E22" s="12">
        <v>0.18335000000000001</v>
      </c>
      <c r="F22" s="12">
        <v>4.3999999999999997E-2</v>
      </c>
      <c r="G22" s="12">
        <v>3.8800000000000001E-2</v>
      </c>
      <c r="H22" s="12">
        <v>4.7800000000000002E-2</v>
      </c>
      <c r="I22" s="12">
        <v>3.44E-2</v>
      </c>
      <c r="J22" s="12">
        <v>2.5000000000000001E-2</v>
      </c>
      <c r="K22" s="12">
        <v>2.5000000000000001E-2</v>
      </c>
      <c r="L22" s="12">
        <v>2.5000000000000001E-2</v>
      </c>
      <c r="M22" s="118"/>
      <c r="Q22" s="232">
        <v>4.2735042735042736E-2</v>
      </c>
      <c r="R22" s="12">
        <v>0.8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0.2</v>
      </c>
    </row>
    <row r="23" spans="1:27" x14ac:dyDescent="0.2">
      <c r="A23" s="33" t="s">
        <v>4</v>
      </c>
      <c r="B23" s="26">
        <f>'Estático caso 5'!C16</f>
        <v>1075180.9567272682</v>
      </c>
      <c r="C23" s="139">
        <f>B23*0.83333333333</f>
        <v>895984.13060247293</v>
      </c>
      <c r="D23" s="139"/>
      <c r="E23" s="139">
        <f>B23*0.16666666666</f>
        <v>179196.82611404348</v>
      </c>
      <c r="F23" s="139"/>
      <c r="G23" s="139"/>
      <c r="H23" s="139"/>
      <c r="I23" s="139"/>
      <c r="J23" s="139"/>
      <c r="K23" s="139"/>
      <c r="L23" s="139"/>
      <c r="M23" s="165">
        <f t="shared" ref="M23:M29" si="4">SUM(C23:L23)</f>
        <v>1075180.9567165165</v>
      </c>
      <c r="Q23" s="232">
        <v>1.7094017094017092E-2</v>
      </c>
      <c r="R23" s="12">
        <v>1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</row>
    <row r="24" spans="1:27" x14ac:dyDescent="0.2">
      <c r="A24" s="140"/>
      <c r="B24" s="168"/>
      <c r="C24" s="139"/>
      <c r="D24" s="139"/>
      <c r="E24" s="139"/>
      <c r="F24" s="139"/>
      <c r="G24" s="139"/>
      <c r="H24" s="139"/>
      <c r="I24" s="139"/>
      <c r="J24" s="139"/>
      <c r="K24" s="139"/>
      <c r="L24" s="139"/>
      <c r="M24" s="165"/>
      <c r="Q24" s="232">
        <v>2.564102564102564E-2</v>
      </c>
      <c r="R24" s="12">
        <v>1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</row>
    <row r="25" spans="1:27" x14ac:dyDescent="0.2">
      <c r="A25" s="33" t="s">
        <v>9</v>
      </c>
      <c r="B25" s="26">
        <f>'Estático caso 5'!C21</f>
        <v>14836553.901000001</v>
      </c>
      <c r="C25" s="139">
        <f>C20*$B$25</f>
        <v>4032499.2654000008</v>
      </c>
      <c r="D25" s="139">
        <f t="shared" ref="D25:L25" si="5">D20*$B$25</f>
        <v>1699229.2501999999</v>
      </c>
      <c r="E25" s="139">
        <f t="shared" si="5"/>
        <v>2536163.06</v>
      </c>
      <c r="F25" s="139">
        <f t="shared" si="5"/>
        <v>1293443.1606000001</v>
      </c>
      <c r="G25" s="139">
        <f t="shared" si="5"/>
        <v>984031.26727999991</v>
      </c>
      <c r="H25" s="139">
        <f t="shared" si="5"/>
        <v>1389817.3568799999</v>
      </c>
      <c r="I25" s="139">
        <f t="shared" si="5"/>
        <v>872440.09263999993</v>
      </c>
      <c r="J25" s="139">
        <f t="shared" si="5"/>
        <v>634040.76500000001</v>
      </c>
      <c r="K25" s="139">
        <f t="shared" si="5"/>
        <v>634040.76500000001</v>
      </c>
      <c r="L25" s="139">
        <f t="shared" si="5"/>
        <v>760848.91799999995</v>
      </c>
      <c r="M25" s="165">
        <f t="shared" si="4"/>
        <v>14836553.901000001</v>
      </c>
    </row>
    <row r="26" spans="1:27" x14ac:dyDescent="0.2">
      <c r="A26" s="140"/>
      <c r="B26" s="168"/>
      <c r="C26" s="139"/>
      <c r="D26" s="139"/>
      <c r="E26" s="139"/>
      <c r="F26" s="139"/>
      <c r="G26" s="139"/>
      <c r="H26" s="139"/>
      <c r="I26" s="139"/>
      <c r="J26" s="139"/>
      <c r="K26" s="139"/>
      <c r="L26" s="139"/>
      <c r="M26" s="165"/>
    </row>
    <row r="27" spans="1:27" x14ac:dyDescent="0.2">
      <c r="A27" s="33" t="s">
        <v>15</v>
      </c>
      <c r="B27" s="26">
        <f>'Estático caso 5'!C32</f>
        <v>962981.65</v>
      </c>
      <c r="C27" s="139">
        <f>$B$27*C21</f>
        <v>0</v>
      </c>
      <c r="D27" s="139">
        <f t="shared" ref="D27:L27" si="6">$B$27*D21</f>
        <v>0</v>
      </c>
      <c r="E27" s="139">
        <f t="shared" si="6"/>
        <v>0</v>
      </c>
      <c r="F27" s="139">
        <f t="shared" si="6"/>
        <v>154077.06400000001</v>
      </c>
      <c r="G27" s="139">
        <f t="shared" si="6"/>
        <v>154077.06400000001</v>
      </c>
      <c r="H27" s="139">
        <f t="shared" si="6"/>
        <v>154077.06400000001</v>
      </c>
      <c r="I27" s="139">
        <f t="shared" si="6"/>
        <v>231115.59599999999</v>
      </c>
      <c r="J27" s="139">
        <f t="shared" si="6"/>
        <v>231115.59599999999</v>
      </c>
      <c r="K27" s="139">
        <f t="shared" si="6"/>
        <v>38519.266000000003</v>
      </c>
      <c r="L27" s="139">
        <f t="shared" si="6"/>
        <v>0</v>
      </c>
      <c r="M27" s="165">
        <f t="shared" si="4"/>
        <v>962981.65000000014</v>
      </c>
      <c r="R27" s="234">
        <f>$Q20*R20</f>
        <v>0.17094017094017094</v>
      </c>
      <c r="S27" s="234">
        <f t="shared" ref="S27:AA27" si="7">$Q20*S20</f>
        <v>0.10256410256410256</v>
      </c>
      <c r="T27" s="234">
        <f t="shared" si="7"/>
        <v>0.17094017094017094</v>
      </c>
      <c r="U27" s="234">
        <f t="shared" si="7"/>
        <v>7.521367521367521E-2</v>
      </c>
      <c r="V27" s="234">
        <f t="shared" si="7"/>
        <v>6.632478632478632E-2</v>
      </c>
      <c r="W27" s="234">
        <f t="shared" si="7"/>
        <v>8.1709401709401705E-2</v>
      </c>
      <c r="X27" s="234">
        <f t="shared" si="7"/>
        <v>5.88034188034188E-2</v>
      </c>
      <c r="Y27" s="234">
        <f t="shared" si="7"/>
        <v>4.2735042735042736E-2</v>
      </c>
      <c r="Z27" s="234">
        <f t="shared" si="7"/>
        <v>4.2735042735042736E-2</v>
      </c>
      <c r="AA27" s="234">
        <f t="shared" si="7"/>
        <v>4.2735042735042736E-2</v>
      </c>
    </row>
    <row r="28" spans="1:27" x14ac:dyDescent="0.2">
      <c r="A28" s="33"/>
      <c r="B28" s="31"/>
      <c r="C28" s="139"/>
      <c r="D28" s="139"/>
      <c r="E28" s="139"/>
      <c r="F28" s="139"/>
      <c r="G28" s="139"/>
      <c r="H28" s="139"/>
      <c r="I28" s="139"/>
      <c r="J28" s="139"/>
      <c r="K28" s="139"/>
      <c r="L28" s="139"/>
      <c r="M28" s="165"/>
      <c r="R28" s="234">
        <f t="shared" ref="R28:AA33" si="8">$Q21*R21</f>
        <v>2.393162393162393E-2</v>
      </c>
      <c r="S28" s="234">
        <f t="shared" si="8"/>
        <v>1.1965811965811965E-2</v>
      </c>
      <c r="T28" s="234">
        <f t="shared" si="8"/>
        <v>0</v>
      </c>
      <c r="U28" s="234">
        <f t="shared" si="8"/>
        <v>1.1965811965811965E-2</v>
      </c>
      <c r="V28" s="234">
        <f t="shared" si="8"/>
        <v>0</v>
      </c>
      <c r="W28" s="234">
        <f t="shared" si="8"/>
        <v>1.1965811965811965E-2</v>
      </c>
      <c r="X28" s="234">
        <f t="shared" si="8"/>
        <v>0</v>
      </c>
      <c r="Y28" s="234">
        <f t="shared" si="8"/>
        <v>0</v>
      </c>
      <c r="Z28" s="234">
        <f t="shared" si="8"/>
        <v>0</v>
      </c>
      <c r="AA28" s="234">
        <f t="shared" si="8"/>
        <v>0</v>
      </c>
    </row>
    <row r="29" spans="1:27" x14ac:dyDescent="0.2">
      <c r="A29" s="33" t="s">
        <v>17</v>
      </c>
      <c r="B29" s="26">
        <f>'Estático caso 5'!C29</f>
        <v>634040.76500000001</v>
      </c>
      <c r="C29" s="139"/>
      <c r="D29" s="139"/>
      <c r="E29" s="139">
        <f>B29*1</f>
        <v>634040.76500000001</v>
      </c>
      <c r="F29" s="139"/>
      <c r="G29" s="139"/>
      <c r="H29" s="139"/>
      <c r="I29" s="139"/>
      <c r="J29" s="139"/>
      <c r="K29" s="139"/>
      <c r="L29" s="139"/>
      <c r="M29" s="165">
        <f t="shared" si="4"/>
        <v>634040.76500000001</v>
      </c>
      <c r="R29" s="234">
        <f t="shared" si="8"/>
        <v>3.4188034188034191E-2</v>
      </c>
      <c r="S29" s="234">
        <f t="shared" si="8"/>
        <v>0</v>
      </c>
      <c r="T29" s="234">
        <f t="shared" si="8"/>
        <v>0</v>
      </c>
      <c r="U29" s="234">
        <f t="shared" si="8"/>
        <v>0</v>
      </c>
      <c r="V29" s="234">
        <f t="shared" si="8"/>
        <v>0</v>
      </c>
      <c r="W29" s="234">
        <f t="shared" si="8"/>
        <v>0</v>
      </c>
      <c r="X29" s="234">
        <f t="shared" si="8"/>
        <v>0</v>
      </c>
      <c r="Y29" s="234">
        <f t="shared" si="8"/>
        <v>0</v>
      </c>
      <c r="Z29" s="234">
        <f t="shared" si="8"/>
        <v>0</v>
      </c>
      <c r="AA29" s="234">
        <f t="shared" si="8"/>
        <v>8.5470085470085479E-3</v>
      </c>
    </row>
    <row r="30" spans="1:27" x14ac:dyDescent="0.2">
      <c r="A30" s="33"/>
      <c r="B30" s="26"/>
      <c r="C30" s="139"/>
      <c r="D30" s="139"/>
      <c r="E30" s="139"/>
      <c r="F30" s="139"/>
      <c r="G30" s="139"/>
      <c r="H30" s="139"/>
      <c r="I30" s="139"/>
      <c r="J30" s="139"/>
      <c r="K30" s="139"/>
      <c r="L30" s="139"/>
      <c r="M30" s="165"/>
      <c r="R30" s="234">
        <f t="shared" si="8"/>
        <v>1.7094017094017092E-2</v>
      </c>
      <c r="S30" s="234">
        <f t="shared" si="8"/>
        <v>0</v>
      </c>
      <c r="T30" s="234">
        <f t="shared" si="8"/>
        <v>0</v>
      </c>
      <c r="U30" s="234">
        <f t="shared" si="8"/>
        <v>0</v>
      </c>
      <c r="V30" s="234">
        <f t="shared" si="8"/>
        <v>0</v>
      </c>
      <c r="W30" s="234">
        <f t="shared" si="8"/>
        <v>0</v>
      </c>
      <c r="X30" s="234">
        <f t="shared" si="8"/>
        <v>0</v>
      </c>
      <c r="Y30" s="234">
        <f t="shared" si="8"/>
        <v>0</v>
      </c>
      <c r="Z30" s="234">
        <f t="shared" si="8"/>
        <v>0</v>
      </c>
      <c r="AA30" s="234">
        <f t="shared" si="8"/>
        <v>0</v>
      </c>
    </row>
    <row r="31" spans="1:27" x14ac:dyDescent="0.2">
      <c r="A31" s="33" t="s">
        <v>102</v>
      </c>
      <c r="B31" s="26">
        <f>(0.16*'Estático caso 5'!B17) + (0.07*'Estático caso 5'!B22)</f>
        <v>1054675.4720450125</v>
      </c>
      <c r="C31" s="139">
        <f>$B$31*C22</f>
        <v>544898.08263205574</v>
      </c>
      <c r="D31" s="139">
        <f t="shared" ref="D31:K31" si="9">$B$31*D22</f>
        <v>63280.528322700746</v>
      </c>
      <c r="E31" s="139">
        <f t="shared" si="9"/>
        <v>193374.74779945306</v>
      </c>
      <c r="F31" s="139">
        <f t="shared" si="9"/>
        <v>46405.720769980551</v>
      </c>
      <c r="G31" s="139">
        <f t="shared" si="9"/>
        <v>40921.408315346489</v>
      </c>
      <c r="H31" s="139">
        <f t="shared" si="9"/>
        <v>50413.487563751602</v>
      </c>
      <c r="I31" s="139">
        <f t="shared" si="9"/>
        <v>36280.836238348427</v>
      </c>
      <c r="J31" s="139">
        <f t="shared" si="9"/>
        <v>26366.886801125314</v>
      </c>
      <c r="K31" s="139">
        <f t="shared" si="9"/>
        <v>26366.886801125314</v>
      </c>
      <c r="L31" s="139">
        <f>$B$31*L22</f>
        <v>26366.886801125314</v>
      </c>
      <c r="M31" s="165">
        <f>SUM(C31:L31)</f>
        <v>1054675.4720450127</v>
      </c>
      <c r="R31" s="234">
        <f t="shared" si="8"/>
        <v>2.564102564102564E-2</v>
      </c>
      <c r="S31" s="234">
        <f t="shared" si="8"/>
        <v>0</v>
      </c>
      <c r="T31" s="234">
        <f t="shared" si="8"/>
        <v>0</v>
      </c>
      <c r="U31" s="234">
        <f t="shared" si="8"/>
        <v>0</v>
      </c>
      <c r="V31" s="234">
        <f t="shared" si="8"/>
        <v>0</v>
      </c>
      <c r="W31" s="234">
        <f t="shared" si="8"/>
        <v>0</v>
      </c>
      <c r="X31" s="234">
        <f t="shared" si="8"/>
        <v>0</v>
      </c>
      <c r="Y31" s="234">
        <f t="shared" si="8"/>
        <v>0</v>
      </c>
      <c r="Z31" s="234">
        <f t="shared" si="8"/>
        <v>0</v>
      </c>
      <c r="AA31" s="234">
        <f t="shared" si="8"/>
        <v>0</v>
      </c>
    </row>
    <row r="32" spans="1:27" x14ac:dyDescent="0.2">
      <c r="A32" s="33"/>
      <c r="B32" s="31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65"/>
      <c r="R32" s="235">
        <f>SUM(R27:R31)</f>
        <v>0.27179487179487183</v>
      </c>
      <c r="S32" s="235">
        <f t="shared" ref="S32:AA32" si="10">SUM(S27:S31)</f>
        <v>0.11452991452991453</v>
      </c>
      <c r="T32" s="235">
        <f t="shared" si="10"/>
        <v>0.17094017094017094</v>
      </c>
      <c r="U32" s="235">
        <f t="shared" si="10"/>
        <v>8.7179487179487175E-2</v>
      </c>
      <c r="V32" s="235">
        <f t="shared" si="10"/>
        <v>6.632478632478632E-2</v>
      </c>
      <c r="W32" s="235">
        <f t="shared" si="10"/>
        <v>9.367521367521367E-2</v>
      </c>
      <c r="X32" s="235">
        <f t="shared" si="10"/>
        <v>5.88034188034188E-2</v>
      </c>
      <c r="Y32" s="235">
        <f t="shared" si="10"/>
        <v>4.2735042735042736E-2</v>
      </c>
      <c r="Z32" s="235">
        <f t="shared" si="10"/>
        <v>4.2735042735042736E-2</v>
      </c>
      <c r="AA32" s="235">
        <f t="shared" si="10"/>
        <v>5.128205128205128E-2</v>
      </c>
    </row>
    <row r="33" spans="1:14" x14ac:dyDescent="0.2">
      <c r="A33" s="142" t="s">
        <v>68</v>
      </c>
      <c r="B33" s="213"/>
      <c r="C33" s="143">
        <f>SUM(C23:C31)</f>
        <v>5473381.4786345288</v>
      </c>
      <c r="D33" s="143">
        <f t="shared" ref="D33:L33" si="11">SUM(D23:D31)</f>
        <v>1762509.7785227005</v>
      </c>
      <c r="E33" s="143">
        <f t="shared" si="11"/>
        <v>3542775.3989134966</v>
      </c>
      <c r="F33" s="143">
        <f t="shared" si="11"/>
        <v>1493925.9453699805</v>
      </c>
      <c r="G33" s="143">
        <f t="shared" si="11"/>
        <v>1179029.7395953466</v>
      </c>
      <c r="H33" s="143">
        <f t="shared" si="11"/>
        <v>1594307.9084437515</v>
      </c>
      <c r="I33" s="143">
        <f t="shared" si="11"/>
        <v>1139836.5248783482</v>
      </c>
      <c r="J33" s="143">
        <f t="shared" si="11"/>
        <v>891523.2478011254</v>
      </c>
      <c r="K33" s="143">
        <f t="shared" si="11"/>
        <v>698926.91780112532</v>
      </c>
      <c r="L33" s="143">
        <f t="shared" si="11"/>
        <v>787215.80480112531</v>
      </c>
      <c r="M33" s="165">
        <f>SUM(C33:L33)</f>
        <v>18563432.74476153</v>
      </c>
    </row>
    <row r="34" spans="1:14" x14ac:dyDescent="0.2">
      <c r="A34" s="144"/>
      <c r="B34" s="215"/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6"/>
    </row>
    <row r="35" spans="1:14" x14ac:dyDescent="0.2">
      <c r="A35" s="119" t="s">
        <v>69</v>
      </c>
      <c r="B35" s="210"/>
      <c r="C35" s="166">
        <f>C17-C33</f>
        <v>-5473381.4786345288</v>
      </c>
      <c r="D35" s="166">
        <f t="shared" ref="D35:K35" si="12">D17-D33</f>
        <v>-1217611.6958906448</v>
      </c>
      <c r="E35" s="166">
        <f t="shared" si="12"/>
        <v>-3479494.8705907958</v>
      </c>
      <c r="F35" s="166">
        <f t="shared" si="12"/>
        <v>-684242.94157052739</v>
      </c>
      <c r="G35" s="166">
        <f t="shared" si="12"/>
        <v>-516315.76282536599</v>
      </c>
      <c r="H35" s="166">
        <f t="shared" si="12"/>
        <v>-937078.244128405</v>
      </c>
      <c r="I35" s="166">
        <f t="shared" si="12"/>
        <v>10928587.954685405</v>
      </c>
      <c r="J35" s="166">
        <f>J17-J33</f>
        <v>3767069.5084372233</v>
      </c>
      <c r="K35" s="166">
        <f t="shared" si="12"/>
        <v>97825.289000000106</v>
      </c>
      <c r="L35" s="166">
        <f>L17-L33</f>
        <v>-734482.0311988747</v>
      </c>
      <c r="M35" s="148">
        <f>SUM(C35:L35)</f>
        <v>1750875.7272834857</v>
      </c>
    </row>
    <row r="36" spans="1:14" ht="12.75" customHeight="1" x14ac:dyDescent="0.2">
      <c r="A36" s="33"/>
      <c r="B36" s="31"/>
      <c r="C36" s="117"/>
      <c r="D36" s="117"/>
      <c r="E36" s="117"/>
      <c r="F36" s="117"/>
      <c r="G36" s="117"/>
      <c r="H36" s="117"/>
      <c r="I36" s="117"/>
      <c r="J36" s="117"/>
      <c r="K36" s="117"/>
      <c r="L36" s="117"/>
      <c r="M36" s="118"/>
    </row>
    <row r="37" spans="1:14" x14ac:dyDescent="0.2">
      <c r="A37" s="133" t="s">
        <v>70</v>
      </c>
      <c r="B37" s="209"/>
      <c r="C37" s="190">
        <f>C35</f>
        <v>-5473381.4786345288</v>
      </c>
      <c r="D37" s="190">
        <f>C37+D35</f>
        <v>-6690993.1745251734</v>
      </c>
      <c r="E37" s="190">
        <f>D37+E35</f>
        <v>-10170488.04511597</v>
      </c>
      <c r="F37" s="190">
        <f t="shared" ref="F37:L37" si="13">E37+F35</f>
        <v>-10854730.986686498</v>
      </c>
      <c r="G37" s="190">
        <f t="shared" si="13"/>
        <v>-11371046.749511864</v>
      </c>
      <c r="H37" s="190">
        <f t="shared" si="13"/>
        <v>-12308124.993640268</v>
      </c>
      <c r="I37" s="190">
        <f t="shared" si="13"/>
        <v>-1379537.0389548633</v>
      </c>
      <c r="J37" s="190">
        <f t="shared" si="13"/>
        <v>2387532.4694823599</v>
      </c>
      <c r="K37" s="190">
        <f t="shared" si="13"/>
        <v>2485357.7584823603</v>
      </c>
      <c r="L37" s="190">
        <f t="shared" si="13"/>
        <v>1750875.7272834857</v>
      </c>
      <c r="M37" s="150">
        <f>L37</f>
        <v>1750875.7272834857</v>
      </c>
    </row>
    <row r="38" spans="1:14" x14ac:dyDescent="0.2">
      <c r="A38" s="41"/>
      <c r="B38" s="216"/>
      <c r="C38" s="151"/>
      <c r="D38" s="151"/>
      <c r="E38" s="151"/>
      <c r="F38" s="151"/>
      <c r="G38" s="151"/>
      <c r="H38" s="151"/>
      <c r="I38" s="151"/>
      <c r="J38" s="151"/>
      <c r="K38" s="151"/>
      <c r="L38" s="151"/>
      <c r="M38" s="152"/>
    </row>
    <row r="39" spans="1:14" x14ac:dyDescent="0.2">
      <c r="A39" s="153"/>
      <c r="B39" s="212"/>
      <c r="C39" s="145"/>
      <c r="D39" s="145"/>
      <c r="E39" s="145"/>
      <c r="F39" s="145"/>
      <c r="G39" s="145"/>
      <c r="H39" s="145"/>
      <c r="I39" s="145"/>
      <c r="J39" s="145"/>
      <c r="K39" s="145"/>
      <c r="L39" s="145"/>
      <c r="M39" s="154"/>
    </row>
    <row r="40" spans="1:14" x14ac:dyDescent="0.2">
      <c r="A40" s="155" t="s">
        <v>71</v>
      </c>
      <c r="B40" s="217"/>
      <c r="C40" s="156"/>
      <c r="D40" s="156"/>
      <c r="E40" s="156"/>
      <c r="F40" s="156"/>
      <c r="G40" s="156"/>
      <c r="H40" s="156"/>
      <c r="I40" s="156"/>
      <c r="J40" s="156"/>
      <c r="K40" s="156"/>
      <c r="L40" s="156"/>
      <c r="M40" s="157"/>
    </row>
    <row r="41" spans="1:14" x14ac:dyDescent="0.2">
      <c r="A41" s="158"/>
      <c r="B41" s="218"/>
      <c r="C41" s="159"/>
      <c r="D41" s="159"/>
      <c r="E41" s="159"/>
      <c r="F41" s="159"/>
      <c r="G41" s="159"/>
      <c r="H41" s="159"/>
      <c r="I41" s="159"/>
      <c r="J41" s="159"/>
      <c r="K41" s="159"/>
      <c r="L41" s="159"/>
      <c r="M41" s="160"/>
    </row>
    <row r="42" spans="1:14" x14ac:dyDescent="0.2">
      <c r="A42" s="33" t="s">
        <v>72</v>
      </c>
      <c r="B42" s="31"/>
      <c r="C42" s="12"/>
      <c r="D42" s="139"/>
      <c r="E42" s="139">
        <f>(-E37+E48-C1)/0.9875</f>
        <v>2614878.6259402228</v>
      </c>
      <c r="F42" s="139">
        <f>(-F35+E49)/0.9875</f>
        <v>725077.18164627953</v>
      </c>
      <c r="G42" s="139">
        <f>(-G35+F49)/0.9875</f>
        <v>531772.60818467673</v>
      </c>
      <c r="H42" s="139">
        <f>(-H35+G49)/0.9875</f>
        <v>955482.81652440387</v>
      </c>
      <c r="I42" s="139">
        <f>I50-H60</f>
        <v>3492950.2237044172</v>
      </c>
      <c r="J42" s="139">
        <f>J50-I60</f>
        <v>2773387.1519999998</v>
      </c>
      <c r="K42" s="139">
        <f>K50-J60</f>
        <v>462231.19200000004</v>
      </c>
      <c r="L42" s="139">
        <f t="shared" ref="L42" si="14">L50-K60</f>
        <v>0</v>
      </c>
      <c r="M42" s="141">
        <f>0.6*M13</f>
        <v>11555779.799999999</v>
      </c>
      <c r="N42" s="29">
        <f>SUM(E42:K42)</f>
        <v>11555779.799999999</v>
      </c>
    </row>
    <row r="43" spans="1:14" x14ac:dyDescent="0.2">
      <c r="A43" s="144"/>
      <c r="B43" s="215"/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6"/>
    </row>
    <row r="44" spans="1:14" x14ac:dyDescent="0.2">
      <c r="A44" s="144" t="s">
        <v>73</v>
      </c>
      <c r="B44" s="215"/>
      <c r="C44" s="145">
        <f t="shared" ref="C44" si="15">SUM(C41:C43)</f>
        <v>0</v>
      </c>
      <c r="D44" s="145">
        <f t="shared" ref="D44" si="16">SUM(D41:D43)</f>
        <v>0</v>
      </c>
      <c r="E44" s="145">
        <f t="shared" ref="E44" si="17">SUM(E41:E43)</f>
        <v>2614878.6259402228</v>
      </c>
      <c r="F44" s="145">
        <f t="shared" ref="F44" si="18">SUM(F41:F43)</f>
        <v>725077.18164627953</v>
      </c>
      <c r="G44" s="145">
        <f t="shared" ref="G44" si="19">SUM(G41:G43)</f>
        <v>531772.60818467673</v>
      </c>
      <c r="H44" s="145">
        <f t="shared" ref="H44" si="20">SUM(H41:H43)</f>
        <v>955482.81652440387</v>
      </c>
      <c r="I44" s="145">
        <f t="shared" ref="I44" si="21">SUM(I41:I43)</f>
        <v>3492950.2237044172</v>
      </c>
      <c r="J44" s="145">
        <f t="shared" ref="J44" si="22">SUM(J41:J43)</f>
        <v>2773387.1519999998</v>
      </c>
      <c r="K44" s="145">
        <f t="shared" ref="K44" si="23">SUM(K41:K43)</f>
        <v>462231.19200000004</v>
      </c>
      <c r="L44" s="145">
        <f t="shared" ref="L44" si="24">SUM(L41:L43)</f>
        <v>0</v>
      </c>
      <c r="M44" s="146">
        <f>SUM(C44:L44)</f>
        <v>11555779.799999999</v>
      </c>
    </row>
    <row r="45" spans="1:14" x14ac:dyDescent="0.2">
      <c r="A45" s="144"/>
      <c r="B45" s="21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6"/>
    </row>
    <row r="46" spans="1:14" x14ac:dyDescent="0.2">
      <c r="A46" s="133" t="s">
        <v>74</v>
      </c>
      <c r="B46" s="209"/>
      <c r="C46" s="134"/>
      <c r="D46" s="134"/>
      <c r="E46" s="134"/>
      <c r="F46" s="134"/>
      <c r="G46" s="134"/>
      <c r="H46" s="134"/>
      <c r="I46" s="134"/>
      <c r="J46" s="134"/>
      <c r="K46" s="134"/>
      <c r="L46" s="134"/>
      <c r="M46" s="135"/>
    </row>
    <row r="47" spans="1:14" x14ac:dyDescent="0.2">
      <c r="A47" s="158"/>
      <c r="B47" s="218"/>
      <c r="C47" s="159"/>
      <c r="D47" s="159"/>
      <c r="E47" s="159"/>
      <c r="F47" s="159"/>
      <c r="G47" s="159"/>
      <c r="H47" s="159"/>
      <c r="I47" s="159"/>
      <c r="J47" s="159"/>
      <c r="K47" s="159"/>
      <c r="L47" s="159"/>
      <c r="M47" s="160"/>
    </row>
    <row r="48" spans="1:14" x14ac:dyDescent="0.2">
      <c r="A48" s="33" t="s">
        <v>99</v>
      </c>
      <c r="B48" s="31"/>
      <c r="C48" s="12"/>
      <c r="D48" s="139"/>
      <c r="E48" s="139">
        <f>0.01*M42</f>
        <v>115557.798</v>
      </c>
      <c r="F48" s="139"/>
      <c r="G48" s="139"/>
      <c r="H48" s="139"/>
      <c r="I48" s="139"/>
      <c r="J48" s="139"/>
      <c r="K48" s="139"/>
      <c r="L48" s="139"/>
      <c r="M48" s="141">
        <f>SUM(E48:L48)</f>
        <v>115557.798</v>
      </c>
    </row>
    <row r="49" spans="1:13" x14ac:dyDescent="0.2">
      <c r="A49" s="33" t="s">
        <v>75</v>
      </c>
      <c r="B49" s="31"/>
      <c r="C49" s="139"/>
      <c r="D49" s="139"/>
      <c r="E49" s="139">
        <f>E42*E1/4</f>
        <v>31770.775305173705</v>
      </c>
      <c r="F49" s="139">
        <f>F42*E1/4</f>
        <v>8809.6877570022953</v>
      </c>
      <c r="G49" s="139">
        <f>G42*E1/4</f>
        <v>6461.0371894438222</v>
      </c>
      <c r="H49" s="139">
        <f>H42*E1/4</f>
        <v>11609.116220771506</v>
      </c>
      <c r="I49" s="139"/>
      <c r="J49" s="139"/>
      <c r="K49" s="139"/>
      <c r="L49" s="139"/>
      <c r="M49" s="141">
        <f>SUM(E49:L49)</f>
        <v>58650.616472391324</v>
      </c>
    </row>
    <row r="50" spans="1:13" x14ac:dyDescent="0.2">
      <c r="A50" s="33" t="s">
        <v>76</v>
      </c>
      <c r="B50" s="31"/>
      <c r="C50" s="139"/>
      <c r="D50" s="139"/>
      <c r="E50" s="139"/>
      <c r="F50" s="139"/>
      <c r="G50" s="139"/>
      <c r="H50" s="139"/>
      <c r="I50" s="139">
        <f>0.6*SUM(F13:I13)</f>
        <v>8320161.4560000002</v>
      </c>
      <c r="J50" s="139">
        <f>0.6*J13</f>
        <v>2773387.1519999998</v>
      </c>
      <c r="K50" s="139">
        <f>0.6*K13</f>
        <v>462231.19200000004</v>
      </c>
      <c r="L50" s="139">
        <v>0</v>
      </c>
      <c r="M50" s="141">
        <f>SUM(I50:L50)</f>
        <v>11555779.799999999</v>
      </c>
    </row>
    <row r="51" spans="1:13" x14ac:dyDescent="0.2">
      <c r="A51" s="144"/>
      <c r="B51" s="215"/>
      <c r="C51" s="145"/>
      <c r="D51" s="145"/>
      <c r="E51" s="145"/>
      <c r="F51" s="145"/>
      <c r="G51" s="145"/>
      <c r="H51" s="145"/>
      <c r="I51" s="145"/>
      <c r="J51" s="145"/>
      <c r="K51" s="145"/>
      <c r="L51" s="145"/>
      <c r="M51" s="146"/>
    </row>
    <row r="52" spans="1:13" x14ac:dyDescent="0.2">
      <c r="A52" s="142" t="s">
        <v>77</v>
      </c>
      <c r="B52" s="213"/>
      <c r="C52" s="143">
        <f>SUM(C47:C51)</f>
        <v>0</v>
      </c>
      <c r="D52" s="143">
        <f t="shared" ref="D52:L52" si="25">SUM(D47:D51)</f>
        <v>0</v>
      </c>
      <c r="E52" s="143">
        <f t="shared" si="25"/>
        <v>147328.57330517369</v>
      </c>
      <c r="F52" s="143">
        <f t="shared" si="25"/>
        <v>8809.6877570022953</v>
      </c>
      <c r="G52" s="143">
        <f t="shared" si="25"/>
        <v>6461.0371894438222</v>
      </c>
      <c r="H52" s="143">
        <f t="shared" si="25"/>
        <v>11609.116220771506</v>
      </c>
      <c r="I52" s="143">
        <f>SUM(I47:I51)</f>
        <v>8320161.4560000002</v>
      </c>
      <c r="J52" s="143">
        <f t="shared" si="25"/>
        <v>2773387.1519999998</v>
      </c>
      <c r="K52" s="143">
        <f t="shared" si="25"/>
        <v>462231.19200000004</v>
      </c>
      <c r="L52" s="143">
        <f t="shared" si="25"/>
        <v>0</v>
      </c>
      <c r="M52" s="146">
        <f>SUM(C52:L52)</f>
        <v>11729988.214472393</v>
      </c>
    </row>
    <row r="53" spans="1:13" ht="12.75" customHeight="1" x14ac:dyDescent="0.2">
      <c r="A53" s="161"/>
      <c r="B53" s="219"/>
      <c r="C53" s="143"/>
      <c r="D53" s="143"/>
      <c r="E53" s="143"/>
      <c r="F53" s="143"/>
      <c r="G53" s="143"/>
      <c r="H53" s="143"/>
      <c r="I53" s="143"/>
      <c r="J53" s="143"/>
      <c r="K53" s="143"/>
      <c r="L53" s="143"/>
      <c r="M53" s="162"/>
    </row>
    <row r="54" spans="1:13" x14ac:dyDescent="0.2">
      <c r="A54" s="119" t="s">
        <v>78</v>
      </c>
      <c r="B54" s="210"/>
      <c r="C54" s="163">
        <f>C44-C52</f>
        <v>0</v>
      </c>
      <c r="D54" s="163">
        <f t="shared" ref="D54:L54" si="26">D44-D52</f>
        <v>0</v>
      </c>
      <c r="E54" s="163">
        <f>E44-E52</f>
        <v>2467550.052635049</v>
      </c>
      <c r="F54" s="163">
        <f t="shared" si="26"/>
        <v>716267.49388927722</v>
      </c>
      <c r="G54" s="163">
        <f t="shared" si="26"/>
        <v>525311.57099523291</v>
      </c>
      <c r="H54" s="163">
        <f>H44-H52</f>
        <v>943873.70030363242</v>
      </c>
      <c r="I54" s="163">
        <f>I44-I52</f>
        <v>-4827211.232295583</v>
      </c>
      <c r="J54" s="163">
        <f t="shared" si="26"/>
        <v>0</v>
      </c>
      <c r="K54" s="163">
        <f t="shared" si="26"/>
        <v>0</v>
      </c>
      <c r="L54" s="163">
        <f t="shared" si="26"/>
        <v>0</v>
      </c>
      <c r="M54" s="164">
        <f>SUM(C54:L54)</f>
        <v>-174208.4144723909</v>
      </c>
    </row>
    <row r="55" spans="1:13" ht="12.75" customHeight="1" x14ac:dyDescent="0.2">
      <c r="A55" s="161"/>
      <c r="B55" s="219"/>
      <c r="C55" s="143"/>
      <c r="D55" s="143"/>
      <c r="E55" s="143"/>
      <c r="F55" s="143"/>
      <c r="G55" s="143"/>
      <c r="H55" s="143"/>
      <c r="I55" s="143"/>
      <c r="J55" s="143"/>
      <c r="K55" s="143"/>
      <c r="L55" s="143"/>
      <c r="M55" s="165"/>
    </row>
    <row r="56" spans="1:13" s="31" customFormat="1" x14ac:dyDescent="0.2">
      <c r="A56" s="119" t="s">
        <v>79</v>
      </c>
      <c r="B56" s="210"/>
      <c r="C56" s="166">
        <f>C44+C11-C52+C35</f>
        <v>-5473381.4786345288</v>
      </c>
      <c r="D56" s="166">
        <f t="shared" ref="D56:K56" si="27">D44-D52+D35</f>
        <v>-1217611.6958906448</v>
      </c>
      <c r="E56" s="166">
        <f t="shared" si="27"/>
        <v>-1011944.8179557468</v>
      </c>
      <c r="F56" s="166">
        <f>F44-F52+F35</f>
        <v>32024.552318749833</v>
      </c>
      <c r="G56" s="166">
        <f t="shared" si="27"/>
        <v>8995.8081698669121</v>
      </c>
      <c r="H56" s="166">
        <f t="shared" si="27"/>
        <v>6795.4561752274167</v>
      </c>
      <c r="I56" s="166">
        <f>I44-I52+I35</f>
        <v>6101376.7223898219</v>
      </c>
      <c r="J56" s="166">
        <f t="shared" si="27"/>
        <v>3767069.5084372233</v>
      </c>
      <c r="K56" s="166">
        <f t="shared" si="27"/>
        <v>97825.289000000106</v>
      </c>
      <c r="L56" s="166">
        <f>L44-L52+L35</f>
        <v>-734482.0311988747</v>
      </c>
      <c r="M56" s="148">
        <f>SUM(C56:L56)</f>
        <v>1576667.3128110948</v>
      </c>
    </row>
    <row r="57" spans="1:13" ht="12.75" customHeight="1" x14ac:dyDescent="0.2">
      <c r="A57" s="140"/>
      <c r="B57" s="168"/>
      <c r="C57" s="139"/>
      <c r="D57" s="139"/>
      <c r="E57" s="139"/>
      <c r="F57" s="139"/>
      <c r="G57" s="139"/>
      <c r="H57" s="139"/>
      <c r="I57" s="139"/>
      <c r="J57" s="139"/>
      <c r="K57" s="139"/>
      <c r="L57" s="139"/>
      <c r="M57" s="141"/>
    </row>
    <row r="58" spans="1:13" s="31" customFormat="1" x14ac:dyDescent="0.2">
      <c r="A58" s="119" t="s">
        <v>80</v>
      </c>
      <c r="B58" s="210"/>
      <c r="C58" s="166">
        <f>C56</f>
        <v>-5473381.4786345288</v>
      </c>
      <c r="D58" s="166">
        <f t="shared" ref="D58:L58" si="28">D56+C58</f>
        <v>-6690993.1745251734</v>
      </c>
      <c r="E58" s="166">
        <f>E56+D58</f>
        <v>-7702937.9924809206</v>
      </c>
      <c r="F58" s="166">
        <f t="shared" si="28"/>
        <v>-7670913.4401621707</v>
      </c>
      <c r="G58" s="166">
        <f t="shared" si="28"/>
        <v>-7661917.6319923038</v>
      </c>
      <c r="H58" s="166">
        <f t="shared" si="28"/>
        <v>-7655122.1758170761</v>
      </c>
      <c r="I58" s="166">
        <f>I56+H58</f>
        <v>-1553745.4534272542</v>
      </c>
      <c r="J58" s="166">
        <f t="shared" si="28"/>
        <v>2213324.055009969</v>
      </c>
      <c r="K58" s="166">
        <f t="shared" si="28"/>
        <v>2311149.3440099694</v>
      </c>
      <c r="L58" s="166">
        <f t="shared" si="28"/>
        <v>1576667.3128110948</v>
      </c>
      <c r="M58" s="148">
        <f>L58</f>
        <v>1576667.3128110948</v>
      </c>
    </row>
    <row r="59" spans="1:13" ht="12.75" customHeight="1" x14ac:dyDescent="0.2">
      <c r="A59" s="140"/>
      <c r="B59" s="168"/>
      <c r="C59" s="139"/>
      <c r="D59" s="139"/>
      <c r="E59" s="139"/>
      <c r="F59" s="139"/>
      <c r="G59" s="139"/>
      <c r="H59" s="139"/>
      <c r="I59" s="139"/>
      <c r="J59" s="139"/>
      <c r="K59" s="139"/>
      <c r="L59" s="139"/>
      <c r="M59" s="154"/>
    </row>
    <row r="60" spans="1:13" x14ac:dyDescent="0.2">
      <c r="A60" s="167" t="s">
        <v>81</v>
      </c>
      <c r="B60" s="220"/>
      <c r="C60" s="143"/>
      <c r="D60" s="143"/>
      <c r="E60" s="143">
        <f>E42</f>
        <v>2614878.6259402228</v>
      </c>
      <c r="F60" s="143">
        <f>E60+F42</f>
        <v>3339955.8075865023</v>
      </c>
      <c r="G60" s="143">
        <f>F60+G42</f>
        <v>3871728.4157711789</v>
      </c>
      <c r="H60" s="143">
        <f t="shared" ref="H60:L60" si="29">G60+H42</f>
        <v>4827211.232295583</v>
      </c>
      <c r="I60" s="143">
        <v>0</v>
      </c>
      <c r="J60" s="143">
        <v>0</v>
      </c>
      <c r="K60" s="143">
        <v>0</v>
      </c>
      <c r="L60" s="143">
        <f t="shared" si="29"/>
        <v>0</v>
      </c>
      <c r="M60" s="162"/>
    </row>
    <row r="61" spans="1:13" x14ac:dyDescent="0.2">
      <c r="A61" s="168"/>
      <c r="B61" s="168"/>
      <c r="C61" s="139"/>
      <c r="D61" s="139"/>
      <c r="E61" s="139"/>
      <c r="F61" s="139"/>
      <c r="G61" s="139"/>
      <c r="H61" s="139"/>
      <c r="I61" s="139"/>
      <c r="J61" s="139"/>
      <c r="K61" s="139"/>
      <c r="L61" s="139"/>
    </row>
    <row r="62" spans="1:13" x14ac:dyDescent="0.2">
      <c r="C62" s="139"/>
      <c r="D62" s="139"/>
      <c r="E62" s="139"/>
      <c r="F62" s="139"/>
      <c r="G62" s="139"/>
      <c r="H62" s="139"/>
      <c r="I62" s="139"/>
      <c r="J62" s="139"/>
      <c r="K62" s="139"/>
      <c r="L62" s="139"/>
    </row>
    <row r="63" spans="1:13" s="24" customFormat="1" x14ac:dyDescent="0.2">
      <c r="A63" s="12"/>
      <c r="B63" s="12"/>
      <c r="E63" s="169"/>
      <c r="F63" s="149" t="s">
        <v>82</v>
      </c>
      <c r="G63" s="149" t="s">
        <v>83</v>
      </c>
      <c r="H63" s="170" t="s">
        <v>84</v>
      </c>
      <c r="M63" s="111"/>
    </row>
    <row r="64" spans="1:13" s="24" customFormat="1" x14ac:dyDescent="0.2">
      <c r="A64" s="12"/>
      <c r="B64" s="12"/>
      <c r="E64" s="171"/>
      <c r="F64" s="117"/>
      <c r="G64" s="117"/>
      <c r="H64" s="172"/>
      <c r="M64" s="111"/>
    </row>
    <row r="65" spans="1:13" s="24" customFormat="1" x14ac:dyDescent="0.2">
      <c r="A65" s="12"/>
      <c r="B65" s="12"/>
      <c r="E65" s="173" t="s">
        <v>85</v>
      </c>
      <c r="F65" s="57">
        <v>2.5000000000000001E-2</v>
      </c>
      <c r="G65" s="174">
        <f>NPV($F65/4,$D$35:$L$35)+$C$35</f>
        <v>1329176.3202635609</v>
      </c>
      <c r="H65" s="174">
        <f>NPV($F65/4,$D$56:$L$56)+$C$56</f>
        <v>1246391.0178364161</v>
      </c>
      <c r="M65" s="111"/>
    </row>
    <row r="66" spans="1:13" s="24" customFormat="1" x14ac:dyDescent="0.2">
      <c r="A66" s="12"/>
      <c r="B66" s="12"/>
      <c r="E66" s="173"/>
      <c r="F66" s="57">
        <v>0.05</v>
      </c>
      <c r="G66" s="174">
        <f t="shared" ref="G65:G70" si="30">NPV($F66/4,$D$35:$L$35)+$C$35</f>
        <v>927538.73280533683</v>
      </c>
      <c r="H66" s="174">
        <f t="shared" ref="H65:H70" si="31">NPV($F66/4,$D$56:$L$56)+$C$56</f>
        <v>930984.32691581361</v>
      </c>
      <c r="M66" s="111"/>
    </row>
    <row r="67" spans="1:13" s="24" customFormat="1" x14ac:dyDescent="0.2">
      <c r="A67" s="12"/>
      <c r="B67" s="12"/>
      <c r="E67" s="173"/>
      <c r="F67" s="57">
        <v>0.1</v>
      </c>
      <c r="G67" s="174">
        <f t="shared" si="30"/>
        <v>180447.48297511227</v>
      </c>
      <c r="H67" s="174">
        <f t="shared" si="31"/>
        <v>341886.77578716259</v>
      </c>
      <c r="M67" s="111"/>
    </row>
    <row r="68" spans="1:13" s="24" customFormat="1" x14ac:dyDescent="0.2">
      <c r="A68" s="12"/>
      <c r="B68" s="12"/>
      <c r="E68" s="176"/>
      <c r="F68" s="57">
        <v>0.2</v>
      </c>
      <c r="G68" s="174">
        <f t="shared" si="30"/>
        <v>-1114065.5382611807</v>
      </c>
      <c r="H68" s="174">
        <f t="shared" si="31"/>
        <v>-687600.58195534442</v>
      </c>
      <c r="M68" s="111"/>
    </row>
    <row r="69" spans="1:13" s="24" customFormat="1" x14ac:dyDescent="0.2">
      <c r="A69" s="12"/>
      <c r="B69" s="12"/>
      <c r="E69" s="176"/>
      <c r="F69" s="57">
        <v>0.3</v>
      </c>
      <c r="G69" s="174">
        <f t="shared" si="30"/>
        <v>-2183418.7282840963</v>
      </c>
      <c r="H69" s="174">
        <f t="shared" si="31"/>
        <v>-1548630.2692215173</v>
      </c>
      <c r="M69" s="111"/>
    </row>
    <row r="70" spans="1:13" s="24" customFormat="1" x14ac:dyDescent="0.2">
      <c r="A70" s="12"/>
      <c r="B70" s="12"/>
      <c r="E70" s="176"/>
      <c r="F70" s="57">
        <v>0.4</v>
      </c>
      <c r="G70" s="174">
        <f t="shared" si="30"/>
        <v>-3068351.6914620167</v>
      </c>
      <c r="H70" s="174">
        <f t="shared" si="31"/>
        <v>-2270880.4751887699</v>
      </c>
      <c r="M70" s="111"/>
    </row>
    <row r="71" spans="1:13" s="24" customFormat="1" x14ac:dyDescent="0.2">
      <c r="A71" s="12"/>
      <c r="B71" s="12"/>
      <c r="E71" s="176"/>
      <c r="G71" s="110"/>
      <c r="H71" s="177"/>
      <c r="M71" s="111"/>
    </row>
    <row r="72" spans="1:13" s="24" customFormat="1" x14ac:dyDescent="0.2">
      <c r="A72" s="12"/>
      <c r="B72" s="12"/>
      <c r="E72" s="178" t="s">
        <v>86</v>
      </c>
      <c r="G72" s="179">
        <f>IRR(C35:L35)*4</f>
        <v>0.11283810336211975</v>
      </c>
      <c r="H72" s="180">
        <f>IRR(C56:L56)*4</f>
        <v>0.13125099583990352</v>
      </c>
      <c r="M72" s="111"/>
    </row>
    <row r="73" spans="1:13" s="24" customFormat="1" x14ac:dyDescent="0.2">
      <c r="A73" s="12"/>
      <c r="B73" s="12"/>
      <c r="E73" s="181"/>
      <c r="F73" s="182"/>
      <c r="G73" s="182"/>
      <c r="H73" s="183"/>
      <c r="M73" s="111"/>
    </row>
  </sheetData>
  <pageMargins left="0.17" right="0.17" top="1.08" bottom="0.89" header="0" footer="0"/>
  <pageSetup paperSize="9" scale="88" fitToHeight="5" orientation="landscape" r:id="rId1"/>
  <headerFooter alignWithMargins="0"/>
  <rowBreaks count="2" manualBreakCount="2">
    <brk id="38" max="16383" man="1"/>
    <brk id="61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71C8F-1C86-4963-AAAB-689701B8D063}">
  <sheetPr>
    <pageSetUpPr fitToPage="1"/>
  </sheetPr>
  <dimension ref="A1:F69"/>
  <sheetViews>
    <sheetView workbookViewId="0">
      <selection activeCell="C12" sqref="C12"/>
    </sheetView>
  </sheetViews>
  <sheetFormatPr baseColWidth="10" defaultRowHeight="12.75" x14ac:dyDescent="0.2"/>
  <cols>
    <col min="1" max="1" width="37.7109375" style="12" customWidth="1"/>
    <col min="2" max="5" width="11.7109375" style="24" customWidth="1"/>
    <col min="6" max="6" width="11.42578125" style="111"/>
    <col min="7" max="256" width="11.42578125" style="12"/>
    <col min="257" max="257" width="37.7109375" style="12" customWidth="1"/>
    <col min="258" max="261" width="11.7109375" style="12" customWidth="1"/>
    <col min="262" max="512" width="11.42578125" style="12"/>
    <col min="513" max="513" width="37.7109375" style="12" customWidth="1"/>
    <col min="514" max="517" width="11.7109375" style="12" customWidth="1"/>
    <col min="518" max="768" width="11.42578125" style="12"/>
    <col min="769" max="769" width="37.7109375" style="12" customWidth="1"/>
    <col min="770" max="773" width="11.7109375" style="12" customWidth="1"/>
    <col min="774" max="1024" width="11.42578125" style="12"/>
    <col min="1025" max="1025" width="37.7109375" style="12" customWidth="1"/>
    <col min="1026" max="1029" width="11.7109375" style="12" customWidth="1"/>
    <col min="1030" max="1280" width="11.42578125" style="12"/>
    <col min="1281" max="1281" width="37.7109375" style="12" customWidth="1"/>
    <col min="1282" max="1285" width="11.7109375" style="12" customWidth="1"/>
    <col min="1286" max="1536" width="11.42578125" style="12"/>
    <col min="1537" max="1537" width="37.7109375" style="12" customWidth="1"/>
    <col min="1538" max="1541" width="11.7109375" style="12" customWidth="1"/>
    <col min="1542" max="1792" width="11.42578125" style="12"/>
    <col min="1793" max="1793" width="37.7109375" style="12" customWidth="1"/>
    <col min="1794" max="1797" width="11.7109375" style="12" customWidth="1"/>
    <col min="1798" max="2048" width="11.42578125" style="12"/>
    <col min="2049" max="2049" width="37.7109375" style="12" customWidth="1"/>
    <col min="2050" max="2053" width="11.7109375" style="12" customWidth="1"/>
    <col min="2054" max="2304" width="11.42578125" style="12"/>
    <col min="2305" max="2305" width="37.7109375" style="12" customWidth="1"/>
    <col min="2306" max="2309" width="11.7109375" style="12" customWidth="1"/>
    <col min="2310" max="2560" width="11.42578125" style="12"/>
    <col min="2561" max="2561" width="37.7109375" style="12" customWidth="1"/>
    <col min="2562" max="2565" width="11.7109375" style="12" customWidth="1"/>
    <col min="2566" max="2816" width="11.42578125" style="12"/>
    <col min="2817" max="2817" width="37.7109375" style="12" customWidth="1"/>
    <col min="2818" max="2821" width="11.7109375" style="12" customWidth="1"/>
    <col min="2822" max="3072" width="11.42578125" style="12"/>
    <col min="3073" max="3073" width="37.7109375" style="12" customWidth="1"/>
    <col min="3074" max="3077" width="11.7109375" style="12" customWidth="1"/>
    <col min="3078" max="3328" width="11.42578125" style="12"/>
    <col min="3329" max="3329" width="37.7109375" style="12" customWidth="1"/>
    <col min="3330" max="3333" width="11.7109375" style="12" customWidth="1"/>
    <col min="3334" max="3584" width="11.42578125" style="12"/>
    <col min="3585" max="3585" width="37.7109375" style="12" customWidth="1"/>
    <col min="3586" max="3589" width="11.7109375" style="12" customWidth="1"/>
    <col min="3590" max="3840" width="11.42578125" style="12"/>
    <col min="3841" max="3841" width="37.7109375" style="12" customWidth="1"/>
    <col min="3842" max="3845" width="11.7109375" style="12" customWidth="1"/>
    <col min="3846" max="4096" width="11.42578125" style="12"/>
    <col min="4097" max="4097" width="37.7109375" style="12" customWidth="1"/>
    <col min="4098" max="4101" width="11.7109375" style="12" customWidth="1"/>
    <col min="4102" max="4352" width="11.42578125" style="12"/>
    <col min="4353" max="4353" width="37.7109375" style="12" customWidth="1"/>
    <col min="4354" max="4357" width="11.7109375" style="12" customWidth="1"/>
    <col min="4358" max="4608" width="11.42578125" style="12"/>
    <col min="4609" max="4609" width="37.7109375" style="12" customWidth="1"/>
    <col min="4610" max="4613" width="11.7109375" style="12" customWidth="1"/>
    <col min="4614" max="4864" width="11.42578125" style="12"/>
    <col min="4865" max="4865" width="37.7109375" style="12" customWidth="1"/>
    <col min="4866" max="4869" width="11.7109375" style="12" customWidth="1"/>
    <col min="4870" max="5120" width="11.42578125" style="12"/>
    <col min="5121" max="5121" width="37.7109375" style="12" customWidth="1"/>
    <col min="5122" max="5125" width="11.7109375" style="12" customWidth="1"/>
    <col min="5126" max="5376" width="11.42578125" style="12"/>
    <col min="5377" max="5377" width="37.7109375" style="12" customWidth="1"/>
    <col min="5378" max="5381" width="11.7109375" style="12" customWidth="1"/>
    <col min="5382" max="5632" width="11.42578125" style="12"/>
    <col min="5633" max="5633" width="37.7109375" style="12" customWidth="1"/>
    <col min="5634" max="5637" width="11.7109375" style="12" customWidth="1"/>
    <col min="5638" max="5888" width="11.42578125" style="12"/>
    <col min="5889" max="5889" width="37.7109375" style="12" customWidth="1"/>
    <col min="5890" max="5893" width="11.7109375" style="12" customWidth="1"/>
    <col min="5894" max="6144" width="11.42578125" style="12"/>
    <col min="6145" max="6145" width="37.7109375" style="12" customWidth="1"/>
    <col min="6146" max="6149" width="11.7109375" style="12" customWidth="1"/>
    <col min="6150" max="6400" width="11.42578125" style="12"/>
    <col min="6401" max="6401" width="37.7109375" style="12" customWidth="1"/>
    <col min="6402" max="6405" width="11.7109375" style="12" customWidth="1"/>
    <col min="6406" max="6656" width="11.42578125" style="12"/>
    <col min="6657" max="6657" width="37.7109375" style="12" customWidth="1"/>
    <col min="6658" max="6661" width="11.7109375" style="12" customWidth="1"/>
    <col min="6662" max="6912" width="11.42578125" style="12"/>
    <col min="6913" max="6913" width="37.7109375" style="12" customWidth="1"/>
    <col min="6914" max="6917" width="11.7109375" style="12" customWidth="1"/>
    <col min="6918" max="7168" width="11.42578125" style="12"/>
    <col min="7169" max="7169" width="37.7109375" style="12" customWidth="1"/>
    <col min="7170" max="7173" width="11.7109375" style="12" customWidth="1"/>
    <col min="7174" max="7424" width="11.42578125" style="12"/>
    <col min="7425" max="7425" width="37.7109375" style="12" customWidth="1"/>
    <col min="7426" max="7429" width="11.7109375" style="12" customWidth="1"/>
    <col min="7430" max="7680" width="11.42578125" style="12"/>
    <col min="7681" max="7681" width="37.7109375" style="12" customWidth="1"/>
    <col min="7682" max="7685" width="11.7109375" style="12" customWidth="1"/>
    <col min="7686" max="7936" width="11.42578125" style="12"/>
    <col min="7937" max="7937" width="37.7109375" style="12" customWidth="1"/>
    <col min="7938" max="7941" width="11.7109375" style="12" customWidth="1"/>
    <col min="7942" max="8192" width="11.42578125" style="12"/>
    <col min="8193" max="8193" width="37.7109375" style="12" customWidth="1"/>
    <col min="8194" max="8197" width="11.7109375" style="12" customWidth="1"/>
    <col min="8198" max="8448" width="11.42578125" style="12"/>
    <col min="8449" max="8449" width="37.7109375" style="12" customWidth="1"/>
    <col min="8450" max="8453" width="11.7109375" style="12" customWidth="1"/>
    <col min="8454" max="8704" width="11.42578125" style="12"/>
    <col min="8705" max="8705" width="37.7109375" style="12" customWidth="1"/>
    <col min="8706" max="8709" width="11.7109375" style="12" customWidth="1"/>
    <col min="8710" max="8960" width="11.42578125" style="12"/>
    <col min="8961" max="8961" width="37.7109375" style="12" customWidth="1"/>
    <col min="8962" max="8965" width="11.7109375" style="12" customWidth="1"/>
    <col min="8966" max="9216" width="11.42578125" style="12"/>
    <col min="9217" max="9217" width="37.7109375" style="12" customWidth="1"/>
    <col min="9218" max="9221" width="11.7109375" style="12" customWidth="1"/>
    <col min="9222" max="9472" width="11.42578125" style="12"/>
    <col min="9473" max="9473" width="37.7109375" style="12" customWidth="1"/>
    <col min="9474" max="9477" width="11.7109375" style="12" customWidth="1"/>
    <col min="9478" max="9728" width="11.42578125" style="12"/>
    <col min="9729" max="9729" width="37.7109375" style="12" customWidth="1"/>
    <col min="9730" max="9733" width="11.7109375" style="12" customWidth="1"/>
    <col min="9734" max="9984" width="11.42578125" style="12"/>
    <col min="9985" max="9985" width="37.7109375" style="12" customWidth="1"/>
    <col min="9986" max="9989" width="11.7109375" style="12" customWidth="1"/>
    <col min="9990" max="10240" width="11.42578125" style="12"/>
    <col min="10241" max="10241" width="37.7109375" style="12" customWidth="1"/>
    <col min="10242" max="10245" width="11.7109375" style="12" customWidth="1"/>
    <col min="10246" max="10496" width="11.42578125" style="12"/>
    <col min="10497" max="10497" width="37.7109375" style="12" customWidth="1"/>
    <col min="10498" max="10501" width="11.7109375" style="12" customWidth="1"/>
    <col min="10502" max="10752" width="11.42578125" style="12"/>
    <col min="10753" max="10753" width="37.7109375" style="12" customWidth="1"/>
    <col min="10754" max="10757" width="11.7109375" style="12" customWidth="1"/>
    <col min="10758" max="11008" width="11.42578125" style="12"/>
    <col min="11009" max="11009" width="37.7109375" style="12" customWidth="1"/>
    <col min="11010" max="11013" width="11.7109375" style="12" customWidth="1"/>
    <col min="11014" max="11264" width="11.42578125" style="12"/>
    <col min="11265" max="11265" width="37.7109375" style="12" customWidth="1"/>
    <col min="11266" max="11269" width="11.7109375" style="12" customWidth="1"/>
    <col min="11270" max="11520" width="11.42578125" style="12"/>
    <col min="11521" max="11521" width="37.7109375" style="12" customWidth="1"/>
    <col min="11522" max="11525" width="11.7109375" style="12" customWidth="1"/>
    <col min="11526" max="11776" width="11.42578125" style="12"/>
    <col min="11777" max="11777" width="37.7109375" style="12" customWidth="1"/>
    <col min="11778" max="11781" width="11.7109375" style="12" customWidth="1"/>
    <col min="11782" max="12032" width="11.42578125" style="12"/>
    <col min="12033" max="12033" width="37.7109375" style="12" customWidth="1"/>
    <col min="12034" max="12037" width="11.7109375" style="12" customWidth="1"/>
    <col min="12038" max="12288" width="11.42578125" style="12"/>
    <col min="12289" max="12289" width="37.7109375" style="12" customWidth="1"/>
    <col min="12290" max="12293" width="11.7109375" style="12" customWidth="1"/>
    <col min="12294" max="12544" width="11.42578125" style="12"/>
    <col min="12545" max="12545" width="37.7109375" style="12" customWidth="1"/>
    <col min="12546" max="12549" width="11.7109375" style="12" customWidth="1"/>
    <col min="12550" max="12800" width="11.42578125" style="12"/>
    <col min="12801" max="12801" width="37.7109375" style="12" customWidth="1"/>
    <col min="12802" max="12805" width="11.7109375" style="12" customWidth="1"/>
    <col min="12806" max="13056" width="11.42578125" style="12"/>
    <col min="13057" max="13057" width="37.7109375" style="12" customWidth="1"/>
    <col min="13058" max="13061" width="11.7109375" style="12" customWidth="1"/>
    <col min="13062" max="13312" width="11.42578125" style="12"/>
    <col min="13313" max="13313" width="37.7109375" style="12" customWidth="1"/>
    <col min="13314" max="13317" width="11.7109375" style="12" customWidth="1"/>
    <col min="13318" max="13568" width="11.42578125" style="12"/>
    <col min="13569" max="13569" width="37.7109375" style="12" customWidth="1"/>
    <col min="13570" max="13573" width="11.7109375" style="12" customWidth="1"/>
    <col min="13574" max="13824" width="11.42578125" style="12"/>
    <col min="13825" max="13825" width="37.7109375" style="12" customWidth="1"/>
    <col min="13826" max="13829" width="11.7109375" style="12" customWidth="1"/>
    <col min="13830" max="14080" width="11.42578125" style="12"/>
    <col min="14081" max="14081" width="37.7109375" style="12" customWidth="1"/>
    <col min="14082" max="14085" width="11.7109375" style="12" customWidth="1"/>
    <col min="14086" max="14336" width="11.42578125" style="12"/>
    <col min="14337" max="14337" width="37.7109375" style="12" customWidth="1"/>
    <col min="14338" max="14341" width="11.7109375" style="12" customWidth="1"/>
    <col min="14342" max="14592" width="11.42578125" style="12"/>
    <col min="14593" max="14593" width="37.7109375" style="12" customWidth="1"/>
    <col min="14594" max="14597" width="11.7109375" style="12" customWidth="1"/>
    <col min="14598" max="14848" width="11.42578125" style="12"/>
    <col min="14849" max="14849" width="37.7109375" style="12" customWidth="1"/>
    <col min="14850" max="14853" width="11.7109375" style="12" customWidth="1"/>
    <col min="14854" max="15104" width="11.42578125" style="12"/>
    <col min="15105" max="15105" width="37.7109375" style="12" customWidth="1"/>
    <col min="15106" max="15109" width="11.7109375" style="12" customWidth="1"/>
    <col min="15110" max="15360" width="11.42578125" style="12"/>
    <col min="15361" max="15361" width="37.7109375" style="12" customWidth="1"/>
    <col min="15362" max="15365" width="11.7109375" style="12" customWidth="1"/>
    <col min="15366" max="15616" width="11.42578125" style="12"/>
    <col min="15617" max="15617" width="37.7109375" style="12" customWidth="1"/>
    <col min="15618" max="15621" width="11.7109375" style="12" customWidth="1"/>
    <col min="15622" max="15872" width="11.42578125" style="12"/>
    <col min="15873" max="15873" width="37.7109375" style="12" customWidth="1"/>
    <col min="15874" max="15877" width="11.7109375" style="12" customWidth="1"/>
    <col min="15878" max="16128" width="11.42578125" style="12"/>
    <col min="16129" max="16129" width="37.7109375" style="12" customWidth="1"/>
    <col min="16130" max="16133" width="11.7109375" style="12" customWidth="1"/>
    <col min="16134" max="16384" width="11.42578125" style="12"/>
  </cols>
  <sheetData>
    <row r="1" spans="1:6" ht="15.75" x14ac:dyDescent="0.25">
      <c r="A1" s="10" t="s">
        <v>60</v>
      </c>
      <c r="B1" s="110"/>
      <c r="C1" s="110"/>
    </row>
    <row r="2" spans="1:6" x14ac:dyDescent="0.2">
      <c r="A2" s="13"/>
      <c r="B2" s="14"/>
      <c r="C2" s="14"/>
      <c r="D2" s="14"/>
      <c r="E2" s="14"/>
      <c r="F2" s="112"/>
    </row>
    <row r="3" spans="1:6" s="116" customFormat="1" x14ac:dyDescent="0.2">
      <c r="A3" s="113"/>
      <c r="B3" s="114">
        <v>0</v>
      </c>
      <c r="C3" s="114">
        <v>1</v>
      </c>
      <c r="D3" s="114">
        <v>2</v>
      </c>
      <c r="E3" s="114">
        <v>3</v>
      </c>
      <c r="F3" s="115" t="s">
        <v>61</v>
      </c>
    </row>
    <row r="4" spans="1:6" s="31" customFormat="1" x14ac:dyDescent="0.2">
      <c r="A4" s="33"/>
      <c r="B4" s="117"/>
      <c r="C4" s="117"/>
      <c r="D4" s="117"/>
      <c r="E4" s="117"/>
      <c r="F4" s="118"/>
    </row>
    <row r="5" spans="1:6" x14ac:dyDescent="0.2">
      <c r="A5" s="119" t="s">
        <v>62</v>
      </c>
      <c r="B5" s="120"/>
      <c r="C5" s="120"/>
      <c r="D5" s="120"/>
      <c r="E5" s="120"/>
      <c r="F5" s="121"/>
    </row>
    <row r="6" spans="1:6" x14ac:dyDescent="0.2">
      <c r="A6" s="122"/>
      <c r="B6" s="123"/>
      <c r="C6" s="123"/>
      <c r="D6" s="123"/>
      <c r="E6" s="123"/>
      <c r="F6" s="124"/>
    </row>
    <row r="7" spans="1:6" x14ac:dyDescent="0.2">
      <c r="A7" s="122" t="s">
        <v>21</v>
      </c>
      <c r="B7" s="123"/>
      <c r="C7" s="123"/>
      <c r="D7" s="123"/>
      <c r="E7" s="123">
        <f>'[1]Hipótesis Partida_5'!F27</f>
        <v>29000000</v>
      </c>
      <c r="F7" s="125">
        <f>SUM(B7:E7)</f>
        <v>29000000</v>
      </c>
    </row>
    <row r="8" spans="1:6" x14ac:dyDescent="0.2">
      <c r="A8" s="122"/>
      <c r="B8" s="123"/>
      <c r="C8" s="123"/>
      <c r="D8" s="123"/>
      <c r="E8" s="123"/>
      <c r="F8" s="124"/>
    </row>
    <row r="9" spans="1:6" x14ac:dyDescent="0.2">
      <c r="A9" s="122" t="s">
        <v>63</v>
      </c>
      <c r="B9" s="123"/>
      <c r="C9" s="123"/>
      <c r="D9" s="123"/>
      <c r="E9" s="123"/>
      <c r="F9" s="125">
        <f>SUM(B9:E9)</f>
        <v>0</v>
      </c>
    </row>
    <row r="10" spans="1:6" x14ac:dyDescent="0.2">
      <c r="A10" s="122"/>
      <c r="B10" s="123"/>
      <c r="C10" s="123"/>
      <c r="D10" s="123"/>
      <c r="E10" s="123"/>
      <c r="F10" s="125"/>
    </row>
    <row r="11" spans="1:6" x14ac:dyDescent="0.2">
      <c r="A11" s="122" t="s">
        <v>64</v>
      </c>
      <c r="B11" s="123"/>
      <c r="C11" s="123">
        <f>B25</f>
        <v>2400000</v>
      </c>
      <c r="D11" s="123">
        <f>C25</f>
        <v>175000.00000000003</v>
      </c>
      <c r="E11" s="123">
        <f>'[1]Cuenta Resultados_5'!D32*0.07</f>
        <v>2030000.0000000002</v>
      </c>
      <c r="F11" s="125">
        <f>SUM(B11:E11)</f>
        <v>4605000</v>
      </c>
    </row>
    <row r="12" spans="1:6" x14ac:dyDescent="0.2">
      <c r="A12" s="126"/>
      <c r="B12" s="127"/>
      <c r="C12" s="127"/>
      <c r="D12" s="127"/>
      <c r="E12" s="127"/>
      <c r="F12" s="128"/>
    </row>
    <row r="13" spans="1:6" x14ac:dyDescent="0.2">
      <c r="A13" s="129" t="s">
        <v>65</v>
      </c>
      <c r="B13" s="130">
        <f>SUM(B6:B12)</f>
        <v>0</v>
      </c>
      <c r="C13" s="130">
        <f>SUM(C6:C12)</f>
        <v>2400000</v>
      </c>
      <c r="D13" s="130">
        <f>SUM(D6:D12)</f>
        <v>175000.00000000003</v>
      </c>
      <c r="E13" s="130">
        <f>SUM(E6:E12)</f>
        <v>31030000</v>
      </c>
      <c r="F13" s="131">
        <f>SUM(B13:E13)</f>
        <v>33605000</v>
      </c>
    </row>
    <row r="14" spans="1:6" x14ac:dyDescent="0.2">
      <c r="A14" s="132"/>
      <c r="B14" s="123"/>
      <c r="C14" s="123"/>
      <c r="D14" s="123"/>
      <c r="E14" s="123"/>
      <c r="F14" s="124"/>
    </row>
    <row r="15" spans="1:6" x14ac:dyDescent="0.2">
      <c r="A15" s="133" t="s">
        <v>66</v>
      </c>
      <c r="B15" s="134"/>
      <c r="C15" s="134"/>
      <c r="D15" s="134"/>
      <c r="E15" s="134"/>
      <c r="F15" s="135"/>
    </row>
    <row r="16" spans="1:6" x14ac:dyDescent="0.2">
      <c r="A16" s="136"/>
      <c r="B16" s="137"/>
      <c r="C16" s="137"/>
      <c r="D16" s="137"/>
      <c r="E16" s="137"/>
      <c r="F16" s="138"/>
    </row>
    <row r="17" spans="1:6" x14ac:dyDescent="0.2">
      <c r="A17" s="33" t="s">
        <v>4</v>
      </c>
      <c r="B17" s="139">
        <f>'[1]Cuenta Resultados_5'!E7</f>
        <v>15450000</v>
      </c>
      <c r="C17" s="139"/>
      <c r="D17" s="139"/>
      <c r="E17" s="139"/>
      <c r="F17" s="125">
        <f>SUM(B17:E17)</f>
        <v>15450000</v>
      </c>
    </row>
    <row r="18" spans="1:6" x14ac:dyDescent="0.2">
      <c r="A18" s="140"/>
      <c r="B18" s="139"/>
      <c r="C18" s="139"/>
      <c r="D18" s="139"/>
      <c r="E18" s="139"/>
      <c r="F18" s="141"/>
    </row>
    <row r="19" spans="1:6" x14ac:dyDescent="0.2">
      <c r="A19" s="33" t="s">
        <v>9</v>
      </c>
      <c r="B19" s="139"/>
      <c r="C19" s="139">
        <f>'[1]Cuenta Resultados_5'!$E$12/2</f>
        <v>3300000</v>
      </c>
      <c r="D19" s="139">
        <f>'[1]Cuenta Resultados_5'!$E$12/2</f>
        <v>3300000</v>
      </c>
      <c r="E19" s="139"/>
      <c r="F19" s="125">
        <f>SUM(B19:E19)</f>
        <v>6600000</v>
      </c>
    </row>
    <row r="20" spans="1:6" x14ac:dyDescent="0.2">
      <c r="A20" s="140"/>
      <c r="B20" s="139"/>
      <c r="C20" s="139"/>
      <c r="D20" s="139"/>
      <c r="E20" s="139"/>
      <c r="F20" s="141"/>
    </row>
    <row r="21" spans="1:6" x14ac:dyDescent="0.2">
      <c r="A21" s="33" t="s">
        <v>44</v>
      </c>
      <c r="B21" s="139"/>
      <c r="C21" s="139">
        <f>'[1]Cuenta Resultados_5'!$E$20/2</f>
        <v>125000</v>
      </c>
      <c r="D21" s="139">
        <f>'[1]Cuenta Resultados_5'!$E$20/2</f>
        <v>125000</v>
      </c>
      <c r="E21" s="139"/>
      <c r="F21" s="125">
        <f>SUM(B21:E21)</f>
        <v>250000</v>
      </c>
    </row>
    <row r="22" spans="1:6" x14ac:dyDescent="0.2">
      <c r="A22" s="33"/>
      <c r="B22" s="139"/>
      <c r="C22" s="139"/>
      <c r="D22" s="139"/>
      <c r="E22" s="139"/>
      <c r="F22" s="141"/>
    </row>
    <row r="23" spans="1:6" x14ac:dyDescent="0.2">
      <c r="A23" s="33" t="s">
        <v>67</v>
      </c>
      <c r="B23" s="139"/>
      <c r="C23" s="139"/>
      <c r="D23" s="139"/>
      <c r="E23" s="139"/>
      <c r="F23" s="125">
        <f>SUM(B23:E23)</f>
        <v>0</v>
      </c>
    </row>
    <row r="24" spans="1:6" x14ac:dyDescent="0.2">
      <c r="A24" s="33"/>
      <c r="B24" s="139"/>
      <c r="C24" s="139"/>
      <c r="D24" s="139"/>
      <c r="E24" s="139"/>
      <c r="F24" s="125"/>
    </row>
    <row r="25" spans="1:6" x14ac:dyDescent="0.2">
      <c r="A25" s="33" t="s">
        <v>64</v>
      </c>
      <c r="B25" s="139">
        <f>'[1]Cuenta Resultados_5'!D8*0.16</f>
        <v>2400000</v>
      </c>
      <c r="C25" s="139">
        <f>('[1]Cuenta Resultados_5'!$D$13*0.07)/2</f>
        <v>175000.00000000003</v>
      </c>
      <c r="D25" s="139">
        <f>('[1]Cuenta Resultados_5'!$D$13*0.07)/2</f>
        <v>175000.00000000003</v>
      </c>
      <c r="E25" s="139">
        <f>E11-D25</f>
        <v>1855000.0000000002</v>
      </c>
      <c r="F25" s="125">
        <f>SUM(B25:E25)</f>
        <v>4605000</v>
      </c>
    </row>
    <row r="26" spans="1:6" x14ac:dyDescent="0.2">
      <c r="A26" s="33"/>
      <c r="B26" s="139"/>
      <c r="C26" s="139"/>
      <c r="D26" s="139"/>
      <c r="E26" s="139"/>
      <c r="F26" s="141"/>
    </row>
    <row r="27" spans="1:6" x14ac:dyDescent="0.2">
      <c r="A27" s="142" t="s">
        <v>68</v>
      </c>
      <c r="B27" s="143">
        <f>SUM(B16:B26)</f>
        <v>17850000</v>
      </c>
      <c r="C27" s="143">
        <f>SUM(C16:C26)</f>
        <v>3600000</v>
      </c>
      <c r="D27" s="143">
        <f>SUM(D16:D26)</f>
        <v>3600000</v>
      </c>
      <c r="E27" s="143">
        <f>SUM(E16:E26)</f>
        <v>1855000.0000000002</v>
      </c>
      <c r="F27" s="131">
        <f>SUM(B27:E27)</f>
        <v>26905000</v>
      </c>
    </row>
    <row r="28" spans="1:6" x14ac:dyDescent="0.2">
      <c r="A28" s="144"/>
      <c r="B28" s="145"/>
      <c r="C28" s="145"/>
      <c r="D28" s="145"/>
      <c r="E28" s="145"/>
      <c r="F28" s="146"/>
    </row>
    <row r="29" spans="1:6" x14ac:dyDescent="0.2">
      <c r="A29" s="119" t="s">
        <v>69</v>
      </c>
      <c r="B29" s="147">
        <f>B13-B27</f>
        <v>-17850000</v>
      </c>
      <c r="C29" s="147">
        <f>C13-C27</f>
        <v>-1200000</v>
      </c>
      <c r="D29" s="147">
        <f>D13-D27</f>
        <v>-3425000</v>
      </c>
      <c r="E29" s="147">
        <f>E13-E27</f>
        <v>29175000</v>
      </c>
      <c r="F29" s="148">
        <f>F13-F27</f>
        <v>6700000</v>
      </c>
    </row>
    <row r="30" spans="1:6" ht="12.75" customHeight="1" x14ac:dyDescent="0.2">
      <c r="A30" s="33"/>
      <c r="B30" s="117"/>
      <c r="C30" s="117"/>
      <c r="D30" s="117"/>
      <c r="E30" s="117"/>
      <c r="F30" s="118"/>
    </row>
    <row r="31" spans="1:6" x14ac:dyDescent="0.2">
      <c r="A31" s="133" t="s">
        <v>70</v>
      </c>
      <c r="B31" s="149">
        <f>B29</f>
        <v>-17850000</v>
      </c>
      <c r="C31" s="149">
        <f>C29+B31</f>
        <v>-19050000</v>
      </c>
      <c r="D31" s="149">
        <f>D29+C31</f>
        <v>-22475000</v>
      </c>
      <c r="E31" s="149">
        <f>E29+D31</f>
        <v>6700000</v>
      </c>
      <c r="F31" s="150">
        <f>E31</f>
        <v>6700000</v>
      </c>
    </row>
    <row r="32" spans="1:6" x14ac:dyDescent="0.2">
      <c r="A32" s="41"/>
      <c r="B32" s="151"/>
      <c r="C32" s="151"/>
      <c r="D32" s="151"/>
      <c r="E32" s="151"/>
      <c r="F32" s="152"/>
    </row>
    <row r="33" spans="1:6" x14ac:dyDescent="0.2">
      <c r="A33" s="153"/>
      <c r="B33" s="145"/>
      <c r="C33" s="145"/>
      <c r="D33" s="145"/>
      <c r="E33" s="145"/>
      <c r="F33" s="154"/>
    </row>
    <row r="34" spans="1:6" x14ac:dyDescent="0.2">
      <c r="A34" s="155" t="s">
        <v>71</v>
      </c>
      <c r="B34" s="156"/>
      <c r="C34" s="156"/>
      <c r="D34" s="156"/>
      <c r="E34" s="156"/>
      <c r="F34" s="157"/>
    </row>
    <row r="35" spans="1:6" x14ac:dyDescent="0.2">
      <c r="A35" s="158"/>
      <c r="B35" s="159"/>
      <c r="C35" s="159"/>
      <c r="D35" s="159"/>
      <c r="E35" s="159"/>
      <c r="F35" s="160"/>
    </row>
    <row r="36" spans="1:6" x14ac:dyDescent="0.2">
      <c r="A36" s="33" t="s">
        <v>72</v>
      </c>
      <c r="B36" s="139">
        <f>('[1]Hipótesis Partida_5'!C32)</f>
        <v>10500000</v>
      </c>
      <c r="C36" s="139">
        <f>'[1]Hipótesis Partida_5'!$E$33/2</f>
        <v>4030000</v>
      </c>
      <c r="D36" s="139">
        <f>'[1]Hipótesis Partida_5'!$E$33/2</f>
        <v>4030000</v>
      </c>
      <c r="E36" s="139"/>
      <c r="F36" s="125">
        <f>SUM(B36:E36)</f>
        <v>18560000</v>
      </c>
    </row>
    <row r="37" spans="1:6" x14ac:dyDescent="0.2">
      <c r="A37" s="144"/>
      <c r="B37" s="145"/>
      <c r="C37" s="145"/>
      <c r="D37" s="145"/>
      <c r="E37" s="145"/>
      <c r="F37" s="146"/>
    </row>
    <row r="38" spans="1:6" x14ac:dyDescent="0.2">
      <c r="A38" s="144" t="s">
        <v>73</v>
      </c>
      <c r="B38" s="145">
        <f>SUM(B35:B37)</f>
        <v>10500000</v>
      </c>
      <c r="C38" s="145">
        <f>SUM(C35:C37)</f>
        <v>4030000</v>
      </c>
      <c r="D38" s="145">
        <f>SUM(D35:D37)</f>
        <v>4030000</v>
      </c>
      <c r="E38" s="145">
        <f>SUM(E35:E37)</f>
        <v>0</v>
      </c>
      <c r="F38" s="131">
        <f>SUM(B38:E38)</f>
        <v>18560000</v>
      </c>
    </row>
    <row r="39" spans="1:6" x14ac:dyDescent="0.2">
      <c r="A39" s="144"/>
      <c r="B39" s="145"/>
      <c r="C39" s="145"/>
      <c r="D39" s="145"/>
      <c r="E39" s="145"/>
      <c r="F39" s="146"/>
    </row>
    <row r="40" spans="1:6" x14ac:dyDescent="0.2">
      <c r="A40" s="133" t="s">
        <v>74</v>
      </c>
      <c r="B40" s="134"/>
      <c r="C40" s="134"/>
      <c r="D40" s="134"/>
      <c r="E40" s="134"/>
      <c r="F40" s="135"/>
    </row>
    <row r="41" spans="1:6" x14ac:dyDescent="0.2">
      <c r="A41" s="158"/>
      <c r="B41" s="159"/>
      <c r="C41" s="159"/>
      <c r="D41" s="159"/>
      <c r="E41" s="159"/>
      <c r="F41" s="160"/>
    </row>
    <row r="42" spans="1:6" x14ac:dyDescent="0.2">
      <c r="A42" s="33" t="s">
        <v>75</v>
      </c>
      <c r="B42" s="139"/>
      <c r="C42" s="139">
        <f>B53*'[1]Hipótesis Partida_5'!$B$35</f>
        <v>472500</v>
      </c>
      <c r="D42" s="139">
        <f>C53*'[1]Hipótesis Partida_5'!$B$35</f>
        <v>653850</v>
      </c>
      <c r="E42" s="139">
        <f>D53*'[1]Hipótesis Partida_5'!$B$35</f>
        <v>835200</v>
      </c>
      <c r="F42" s="125">
        <f>SUM(B42:E42)</f>
        <v>1961550</v>
      </c>
    </row>
    <row r="43" spans="1:6" x14ac:dyDescent="0.2">
      <c r="A43" s="33" t="s">
        <v>76</v>
      </c>
      <c r="B43" s="139"/>
      <c r="C43" s="139"/>
      <c r="D43" s="139"/>
      <c r="E43" s="139">
        <f>'[1]Hipótesis Partida_5'!C32+'[1]Hipótesis Partida_5'!E33</f>
        <v>18560000</v>
      </c>
      <c r="F43" s="125">
        <f>SUM(B43:E43)</f>
        <v>18560000</v>
      </c>
    </row>
    <row r="44" spans="1:6" x14ac:dyDescent="0.2">
      <c r="A44" s="144"/>
      <c r="B44" s="145"/>
      <c r="C44" s="145"/>
      <c r="D44" s="145"/>
      <c r="E44" s="145"/>
      <c r="F44" s="146"/>
    </row>
    <row r="45" spans="1:6" x14ac:dyDescent="0.2">
      <c r="A45" s="142" t="s">
        <v>77</v>
      </c>
      <c r="B45" s="143">
        <f>SUM(B41:B44)</f>
        <v>0</v>
      </c>
      <c r="C45" s="143">
        <f>SUM(C41:C44)</f>
        <v>472500</v>
      </c>
      <c r="D45" s="143">
        <f>SUM(D41:D44)</f>
        <v>653850</v>
      </c>
      <c r="E45" s="143">
        <f>SUM(E41:E44)</f>
        <v>19395200</v>
      </c>
      <c r="F45" s="131">
        <f>SUM(B45:E45)</f>
        <v>20521550</v>
      </c>
    </row>
    <row r="46" spans="1:6" ht="12.75" customHeight="1" x14ac:dyDescent="0.2">
      <c r="A46" s="161"/>
      <c r="B46" s="143"/>
      <c r="C46" s="143"/>
      <c r="D46" s="143"/>
      <c r="E46" s="143"/>
      <c r="F46" s="162"/>
    </row>
    <row r="47" spans="1:6" x14ac:dyDescent="0.2">
      <c r="A47" s="119" t="s">
        <v>78</v>
      </c>
      <c r="B47" s="163">
        <f>B38-B45</f>
        <v>10500000</v>
      </c>
      <c r="C47" s="163">
        <f>C38-C45</f>
        <v>3557500</v>
      </c>
      <c r="D47" s="163">
        <f>D38-D45</f>
        <v>3376150</v>
      </c>
      <c r="E47" s="163">
        <f>E38-E45</f>
        <v>-19395200</v>
      </c>
      <c r="F47" s="164">
        <f>SUM(B47:E47)</f>
        <v>-1961550</v>
      </c>
    </row>
    <row r="48" spans="1:6" ht="12.75" customHeight="1" x14ac:dyDescent="0.2">
      <c r="A48" s="161"/>
      <c r="B48" s="143"/>
      <c r="C48" s="143"/>
      <c r="D48" s="143"/>
      <c r="E48" s="143"/>
      <c r="F48" s="165"/>
    </row>
    <row r="49" spans="1:6" s="31" customFormat="1" x14ac:dyDescent="0.2">
      <c r="A49" s="119" t="s">
        <v>79</v>
      </c>
      <c r="B49" s="166">
        <f>B47+B29</f>
        <v>-7350000</v>
      </c>
      <c r="C49" s="166">
        <f>C47+C29</f>
        <v>2357500</v>
      </c>
      <c r="D49" s="166">
        <f>D47+D29</f>
        <v>-48850</v>
      </c>
      <c r="E49" s="166">
        <f>E47+E29</f>
        <v>9779800</v>
      </c>
      <c r="F49" s="148">
        <f>SUM(B49:E49)</f>
        <v>4738450</v>
      </c>
    </row>
    <row r="50" spans="1:6" ht="12.75" customHeight="1" x14ac:dyDescent="0.2">
      <c r="A50" s="140"/>
      <c r="B50" s="139"/>
      <c r="C50" s="139"/>
      <c r="D50" s="139"/>
      <c r="E50" s="139"/>
      <c r="F50" s="141"/>
    </row>
    <row r="51" spans="1:6" s="31" customFormat="1" x14ac:dyDescent="0.2">
      <c r="A51" s="119" t="s">
        <v>80</v>
      </c>
      <c r="B51" s="166">
        <f>B49</f>
        <v>-7350000</v>
      </c>
      <c r="C51" s="166">
        <f>B51+C49</f>
        <v>-4992500</v>
      </c>
      <c r="D51" s="166">
        <f>C51+D49</f>
        <v>-5041350</v>
      </c>
      <c r="E51" s="166">
        <f>D51+E49</f>
        <v>4738450</v>
      </c>
      <c r="F51" s="148">
        <f>E51</f>
        <v>4738450</v>
      </c>
    </row>
    <row r="52" spans="1:6" ht="12.75" customHeight="1" x14ac:dyDescent="0.2">
      <c r="A52" s="140"/>
      <c r="B52" s="139"/>
      <c r="C52" s="139"/>
      <c r="D52" s="139"/>
      <c r="E52" s="139"/>
      <c r="F52" s="154"/>
    </row>
    <row r="53" spans="1:6" x14ac:dyDescent="0.2">
      <c r="A53" s="167" t="s">
        <v>81</v>
      </c>
      <c r="B53" s="143">
        <f>B38</f>
        <v>10500000</v>
      </c>
      <c r="C53" s="143">
        <f>C38+B53-C43</f>
        <v>14530000</v>
      </c>
      <c r="D53" s="143">
        <f>D38+C53-D43</f>
        <v>18560000</v>
      </c>
      <c r="E53" s="143">
        <f>E38+D53-E43</f>
        <v>0</v>
      </c>
      <c r="F53" s="162"/>
    </row>
    <row r="54" spans="1:6" x14ac:dyDescent="0.2">
      <c r="A54" s="168"/>
      <c r="B54" s="139"/>
      <c r="C54" s="139"/>
      <c r="D54" s="139"/>
      <c r="E54" s="139"/>
    </row>
    <row r="59" spans="1:6" x14ac:dyDescent="0.2">
      <c r="B59" s="169"/>
      <c r="C59" s="149" t="s">
        <v>82</v>
      </c>
      <c r="D59" s="149" t="s">
        <v>83</v>
      </c>
      <c r="E59" s="170" t="s">
        <v>84</v>
      </c>
    </row>
    <row r="60" spans="1:6" x14ac:dyDescent="0.2">
      <c r="B60" s="171"/>
      <c r="C60" s="117"/>
      <c r="D60" s="117"/>
      <c r="E60" s="172"/>
    </row>
    <row r="61" spans="1:6" x14ac:dyDescent="0.2">
      <c r="B61" s="173" t="s">
        <v>85</v>
      </c>
      <c r="C61" s="57">
        <v>2.5000000000000001E-2</v>
      </c>
      <c r="D61" s="174">
        <f t="shared" ref="D61:D66" si="0">NPV($C61,$C$29:$E$29)+$B$29</f>
        <v>4811191.799306456</v>
      </c>
      <c r="E61" s="175">
        <f t="shared" ref="E61:E66" si="1">NPV($C61,$C$49:$E$49)+$B$49</f>
        <v>3985020.385658944</v>
      </c>
    </row>
    <row r="62" spans="1:6" x14ac:dyDescent="0.2">
      <c r="B62" s="173"/>
      <c r="C62" s="57">
        <v>0.05</v>
      </c>
      <c r="D62" s="174">
        <f t="shared" si="0"/>
        <v>3103028.8305798471</v>
      </c>
      <c r="E62" s="175">
        <f t="shared" si="1"/>
        <v>3299088.6513335481</v>
      </c>
    </row>
    <row r="63" spans="1:6" x14ac:dyDescent="0.2">
      <c r="B63" s="173"/>
      <c r="C63" s="57">
        <v>0.1</v>
      </c>
      <c r="D63" s="174">
        <f t="shared" si="0"/>
        <v>148121.712997742</v>
      </c>
      <c r="E63" s="175">
        <f t="shared" si="1"/>
        <v>2100518.4072126206</v>
      </c>
    </row>
    <row r="64" spans="1:6" x14ac:dyDescent="0.2">
      <c r="B64" s="176"/>
      <c r="C64" s="57">
        <v>0.2</v>
      </c>
      <c r="D64" s="174">
        <f t="shared" si="0"/>
        <v>-4344791.666666666</v>
      </c>
      <c r="E64" s="175">
        <f t="shared" si="1"/>
        <v>240266.20370370336</v>
      </c>
    </row>
    <row r="65" spans="2:5" x14ac:dyDescent="0.2">
      <c r="B65" s="176"/>
      <c r="C65" s="57">
        <v>0.3</v>
      </c>
      <c r="D65" s="174">
        <f t="shared" si="0"/>
        <v>-7520232.1347291768</v>
      </c>
      <c r="E65" s="175">
        <f t="shared" si="1"/>
        <v>-1114010.0136549845</v>
      </c>
    </row>
    <row r="66" spans="2:5" x14ac:dyDescent="0.2">
      <c r="B66" s="176"/>
      <c r="C66" s="57">
        <v>0.4</v>
      </c>
      <c r="D66" s="174">
        <f t="shared" si="0"/>
        <v>-9822303.2069970816</v>
      </c>
      <c r="E66" s="175">
        <f t="shared" si="1"/>
        <v>-2126927.842565597</v>
      </c>
    </row>
    <row r="67" spans="2:5" x14ac:dyDescent="0.2">
      <c r="B67" s="176"/>
      <c r="D67" s="110"/>
      <c r="E67" s="177"/>
    </row>
    <row r="68" spans="2:5" x14ac:dyDescent="0.2">
      <c r="B68" s="178" t="s">
        <v>86</v>
      </c>
      <c r="D68" s="179">
        <f>IRR(B29:E29)</f>
        <v>0.10277568663967696</v>
      </c>
      <c r="E68" s="180">
        <f>IRR(B49:E49)</f>
        <v>0.21565419957338006</v>
      </c>
    </row>
    <row r="69" spans="2:5" x14ac:dyDescent="0.2">
      <c r="B69" s="181"/>
      <c r="C69" s="182"/>
      <c r="D69" s="182"/>
      <c r="E69" s="183"/>
    </row>
  </sheetData>
  <pageMargins left="3.17" right="0.75" top="0.46" bottom="0.25" header="0" footer="0"/>
  <pageSetup paperSize="9" scale="63" orientation="landscape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1BD10-9B0C-46C7-B50F-737186533992}">
  <sheetPr>
    <pageSetUpPr fitToPage="1"/>
  </sheetPr>
  <dimension ref="A1:L75"/>
  <sheetViews>
    <sheetView zoomScale="84" zoomScaleNormal="8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52" sqref="E52"/>
    </sheetView>
  </sheetViews>
  <sheetFormatPr baseColWidth="10" defaultRowHeight="12.75" x14ac:dyDescent="0.2"/>
  <cols>
    <col min="1" max="1" width="37.7109375" style="12" customWidth="1"/>
    <col min="2" max="11" width="11.7109375" style="24" customWidth="1"/>
    <col min="12" max="12" width="11.42578125" style="111" customWidth="1"/>
    <col min="13" max="256" width="11.42578125" style="12"/>
    <col min="257" max="257" width="37.7109375" style="12" customWidth="1"/>
    <col min="258" max="267" width="11.7109375" style="12" customWidth="1"/>
    <col min="268" max="512" width="11.42578125" style="12"/>
    <col min="513" max="513" width="37.7109375" style="12" customWidth="1"/>
    <col min="514" max="523" width="11.7109375" style="12" customWidth="1"/>
    <col min="524" max="768" width="11.42578125" style="12"/>
    <col min="769" max="769" width="37.7109375" style="12" customWidth="1"/>
    <col min="770" max="779" width="11.7109375" style="12" customWidth="1"/>
    <col min="780" max="1024" width="11.42578125" style="12"/>
    <col min="1025" max="1025" width="37.7109375" style="12" customWidth="1"/>
    <col min="1026" max="1035" width="11.7109375" style="12" customWidth="1"/>
    <col min="1036" max="1280" width="11.42578125" style="12"/>
    <col min="1281" max="1281" width="37.7109375" style="12" customWidth="1"/>
    <col min="1282" max="1291" width="11.7109375" style="12" customWidth="1"/>
    <col min="1292" max="1536" width="11.42578125" style="12"/>
    <col min="1537" max="1537" width="37.7109375" style="12" customWidth="1"/>
    <col min="1538" max="1547" width="11.7109375" style="12" customWidth="1"/>
    <col min="1548" max="1792" width="11.42578125" style="12"/>
    <col min="1793" max="1793" width="37.7109375" style="12" customWidth="1"/>
    <col min="1794" max="1803" width="11.7109375" style="12" customWidth="1"/>
    <col min="1804" max="2048" width="11.42578125" style="12"/>
    <col min="2049" max="2049" width="37.7109375" style="12" customWidth="1"/>
    <col min="2050" max="2059" width="11.7109375" style="12" customWidth="1"/>
    <col min="2060" max="2304" width="11.42578125" style="12"/>
    <col min="2305" max="2305" width="37.7109375" style="12" customWidth="1"/>
    <col min="2306" max="2315" width="11.7109375" style="12" customWidth="1"/>
    <col min="2316" max="2560" width="11.42578125" style="12"/>
    <col min="2561" max="2561" width="37.7109375" style="12" customWidth="1"/>
    <col min="2562" max="2571" width="11.7109375" style="12" customWidth="1"/>
    <col min="2572" max="2816" width="11.42578125" style="12"/>
    <col min="2817" max="2817" width="37.7109375" style="12" customWidth="1"/>
    <col min="2818" max="2827" width="11.7109375" style="12" customWidth="1"/>
    <col min="2828" max="3072" width="11.42578125" style="12"/>
    <col min="3073" max="3073" width="37.7109375" style="12" customWidth="1"/>
    <col min="3074" max="3083" width="11.7109375" style="12" customWidth="1"/>
    <col min="3084" max="3328" width="11.42578125" style="12"/>
    <col min="3329" max="3329" width="37.7109375" style="12" customWidth="1"/>
    <col min="3330" max="3339" width="11.7109375" style="12" customWidth="1"/>
    <col min="3340" max="3584" width="11.42578125" style="12"/>
    <col min="3585" max="3585" width="37.7109375" style="12" customWidth="1"/>
    <col min="3586" max="3595" width="11.7109375" style="12" customWidth="1"/>
    <col min="3596" max="3840" width="11.42578125" style="12"/>
    <col min="3841" max="3841" width="37.7109375" style="12" customWidth="1"/>
    <col min="3842" max="3851" width="11.7109375" style="12" customWidth="1"/>
    <col min="3852" max="4096" width="11.42578125" style="12"/>
    <col min="4097" max="4097" width="37.7109375" style="12" customWidth="1"/>
    <col min="4098" max="4107" width="11.7109375" style="12" customWidth="1"/>
    <col min="4108" max="4352" width="11.42578125" style="12"/>
    <col min="4353" max="4353" width="37.7109375" style="12" customWidth="1"/>
    <col min="4354" max="4363" width="11.7109375" style="12" customWidth="1"/>
    <col min="4364" max="4608" width="11.42578125" style="12"/>
    <col min="4609" max="4609" width="37.7109375" style="12" customWidth="1"/>
    <col min="4610" max="4619" width="11.7109375" style="12" customWidth="1"/>
    <col min="4620" max="4864" width="11.42578125" style="12"/>
    <col min="4865" max="4865" width="37.7109375" style="12" customWidth="1"/>
    <col min="4866" max="4875" width="11.7109375" style="12" customWidth="1"/>
    <col min="4876" max="5120" width="11.42578125" style="12"/>
    <col min="5121" max="5121" width="37.7109375" style="12" customWidth="1"/>
    <col min="5122" max="5131" width="11.7109375" style="12" customWidth="1"/>
    <col min="5132" max="5376" width="11.42578125" style="12"/>
    <col min="5377" max="5377" width="37.7109375" style="12" customWidth="1"/>
    <col min="5378" max="5387" width="11.7109375" style="12" customWidth="1"/>
    <col min="5388" max="5632" width="11.42578125" style="12"/>
    <col min="5633" max="5633" width="37.7109375" style="12" customWidth="1"/>
    <col min="5634" max="5643" width="11.7109375" style="12" customWidth="1"/>
    <col min="5644" max="5888" width="11.42578125" style="12"/>
    <col min="5889" max="5889" width="37.7109375" style="12" customWidth="1"/>
    <col min="5890" max="5899" width="11.7109375" style="12" customWidth="1"/>
    <col min="5900" max="6144" width="11.42578125" style="12"/>
    <col min="6145" max="6145" width="37.7109375" style="12" customWidth="1"/>
    <col min="6146" max="6155" width="11.7109375" style="12" customWidth="1"/>
    <col min="6156" max="6400" width="11.42578125" style="12"/>
    <col min="6401" max="6401" width="37.7109375" style="12" customWidth="1"/>
    <col min="6402" max="6411" width="11.7109375" style="12" customWidth="1"/>
    <col min="6412" max="6656" width="11.42578125" style="12"/>
    <col min="6657" max="6657" width="37.7109375" style="12" customWidth="1"/>
    <col min="6658" max="6667" width="11.7109375" style="12" customWidth="1"/>
    <col min="6668" max="6912" width="11.42578125" style="12"/>
    <col min="6913" max="6913" width="37.7109375" style="12" customWidth="1"/>
    <col min="6914" max="6923" width="11.7109375" style="12" customWidth="1"/>
    <col min="6924" max="7168" width="11.42578125" style="12"/>
    <col min="7169" max="7169" width="37.7109375" style="12" customWidth="1"/>
    <col min="7170" max="7179" width="11.7109375" style="12" customWidth="1"/>
    <col min="7180" max="7424" width="11.42578125" style="12"/>
    <col min="7425" max="7425" width="37.7109375" style="12" customWidth="1"/>
    <col min="7426" max="7435" width="11.7109375" style="12" customWidth="1"/>
    <col min="7436" max="7680" width="11.42578125" style="12"/>
    <col min="7681" max="7681" width="37.7109375" style="12" customWidth="1"/>
    <col min="7682" max="7691" width="11.7109375" style="12" customWidth="1"/>
    <col min="7692" max="7936" width="11.42578125" style="12"/>
    <col min="7937" max="7937" width="37.7109375" style="12" customWidth="1"/>
    <col min="7938" max="7947" width="11.7109375" style="12" customWidth="1"/>
    <col min="7948" max="8192" width="11.42578125" style="12"/>
    <col min="8193" max="8193" width="37.7109375" style="12" customWidth="1"/>
    <col min="8194" max="8203" width="11.7109375" style="12" customWidth="1"/>
    <col min="8204" max="8448" width="11.42578125" style="12"/>
    <col min="8449" max="8449" width="37.7109375" style="12" customWidth="1"/>
    <col min="8450" max="8459" width="11.7109375" style="12" customWidth="1"/>
    <col min="8460" max="8704" width="11.42578125" style="12"/>
    <col min="8705" max="8705" width="37.7109375" style="12" customWidth="1"/>
    <col min="8706" max="8715" width="11.7109375" style="12" customWidth="1"/>
    <col min="8716" max="8960" width="11.42578125" style="12"/>
    <col min="8961" max="8961" width="37.7109375" style="12" customWidth="1"/>
    <col min="8962" max="8971" width="11.7109375" style="12" customWidth="1"/>
    <col min="8972" max="9216" width="11.42578125" style="12"/>
    <col min="9217" max="9217" width="37.7109375" style="12" customWidth="1"/>
    <col min="9218" max="9227" width="11.7109375" style="12" customWidth="1"/>
    <col min="9228" max="9472" width="11.42578125" style="12"/>
    <col min="9473" max="9473" width="37.7109375" style="12" customWidth="1"/>
    <col min="9474" max="9483" width="11.7109375" style="12" customWidth="1"/>
    <col min="9484" max="9728" width="11.42578125" style="12"/>
    <col min="9729" max="9729" width="37.7109375" style="12" customWidth="1"/>
    <col min="9730" max="9739" width="11.7109375" style="12" customWidth="1"/>
    <col min="9740" max="9984" width="11.42578125" style="12"/>
    <col min="9985" max="9985" width="37.7109375" style="12" customWidth="1"/>
    <col min="9986" max="9995" width="11.7109375" style="12" customWidth="1"/>
    <col min="9996" max="10240" width="11.42578125" style="12"/>
    <col min="10241" max="10241" width="37.7109375" style="12" customWidth="1"/>
    <col min="10242" max="10251" width="11.7109375" style="12" customWidth="1"/>
    <col min="10252" max="10496" width="11.42578125" style="12"/>
    <col min="10497" max="10497" width="37.7109375" style="12" customWidth="1"/>
    <col min="10498" max="10507" width="11.7109375" style="12" customWidth="1"/>
    <col min="10508" max="10752" width="11.42578125" style="12"/>
    <col min="10753" max="10753" width="37.7109375" style="12" customWidth="1"/>
    <col min="10754" max="10763" width="11.7109375" style="12" customWidth="1"/>
    <col min="10764" max="11008" width="11.42578125" style="12"/>
    <col min="11009" max="11009" width="37.7109375" style="12" customWidth="1"/>
    <col min="11010" max="11019" width="11.7109375" style="12" customWidth="1"/>
    <col min="11020" max="11264" width="11.42578125" style="12"/>
    <col min="11265" max="11265" width="37.7109375" style="12" customWidth="1"/>
    <col min="11266" max="11275" width="11.7109375" style="12" customWidth="1"/>
    <col min="11276" max="11520" width="11.42578125" style="12"/>
    <col min="11521" max="11521" width="37.7109375" style="12" customWidth="1"/>
    <col min="11522" max="11531" width="11.7109375" style="12" customWidth="1"/>
    <col min="11532" max="11776" width="11.42578125" style="12"/>
    <col min="11777" max="11777" width="37.7109375" style="12" customWidth="1"/>
    <col min="11778" max="11787" width="11.7109375" style="12" customWidth="1"/>
    <col min="11788" max="12032" width="11.42578125" style="12"/>
    <col min="12033" max="12033" width="37.7109375" style="12" customWidth="1"/>
    <col min="12034" max="12043" width="11.7109375" style="12" customWidth="1"/>
    <col min="12044" max="12288" width="11.42578125" style="12"/>
    <col min="12289" max="12289" width="37.7109375" style="12" customWidth="1"/>
    <col min="12290" max="12299" width="11.7109375" style="12" customWidth="1"/>
    <col min="12300" max="12544" width="11.42578125" style="12"/>
    <col min="12545" max="12545" width="37.7109375" style="12" customWidth="1"/>
    <col min="12546" max="12555" width="11.7109375" style="12" customWidth="1"/>
    <col min="12556" max="12800" width="11.42578125" style="12"/>
    <col min="12801" max="12801" width="37.7109375" style="12" customWidth="1"/>
    <col min="12802" max="12811" width="11.7109375" style="12" customWidth="1"/>
    <col min="12812" max="13056" width="11.42578125" style="12"/>
    <col min="13057" max="13057" width="37.7109375" style="12" customWidth="1"/>
    <col min="13058" max="13067" width="11.7109375" style="12" customWidth="1"/>
    <col min="13068" max="13312" width="11.42578125" style="12"/>
    <col min="13313" max="13313" width="37.7109375" style="12" customWidth="1"/>
    <col min="13314" max="13323" width="11.7109375" style="12" customWidth="1"/>
    <col min="13324" max="13568" width="11.42578125" style="12"/>
    <col min="13569" max="13569" width="37.7109375" style="12" customWidth="1"/>
    <col min="13570" max="13579" width="11.7109375" style="12" customWidth="1"/>
    <col min="13580" max="13824" width="11.42578125" style="12"/>
    <col min="13825" max="13825" width="37.7109375" style="12" customWidth="1"/>
    <col min="13826" max="13835" width="11.7109375" style="12" customWidth="1"/>
    <col min="13836" max="14080" width="11.42578125" style="12"/>
    <col min="14081" max="14081" width="37.7109375" style="12" customWidth="1"/>
    <col min="14082" max="14091" width="11.7109375" style="12" customWidth="1"/>
    <col min="14092" max="14336" width="11.42578125" style="12"/>
    <col min="14337" max="14337" width="37.7109375" style="12" customWidth="1"/>
    <col min="14338" max="14347" width="11.7109375" style="12" customWidth="1"/>
    <col min="14348" max="14592" width="11.42578125" style="12"/>
    <col min="14593" max="14593" width="37.7109375" style="12" customWidth="1"/>
    <col min="14594" max="14603" width="11.7109375" style="12" customWidth="1"/>
    <col min="14604" max="14848" width="11.42578125" style="12"/>
    <col min="14849" max="14849" width="37.7109375" style="12" customWidth="1"/>
    <col min="14850" max="14859" width="11.7109375" style="12" customWidth="1"/>
    <col min="14860" max="15104" width="11.42578125" style="12"/>
    <col min="15105" max="15105" width="37.7109375" style="12" customWidth="1"/>
    <col min="15106" max="15115" width="11.7109375" style="12" customWidth="1"/>
    <col min="15116" max="15360" width="11.42578125" style="12"/>
    <col min="15361" max="15361" width="37.7109375" style="12" customWidth="1"/>
    <col min="15362" max="15371" width="11.7109375" style="12" customWidth="1"/>
    <col min="15372" max="15616" width="11.42578125" style="12"/>
    <col min="15617" max="15617" width="37.7109375" style="12" customWidth="1"/>
    <col min="15618" max="15627" width="11.7109375" style="12" customWidth="1"/>
    <col min="15628" max="15872" width="11.42578125" style="12"/>
    <col min="15873" max="15873" width="37.7109375" style="12" customWidth="1"/>
    <col min="15874" max="15883" width="11.7109375" style="12" customWidth="1"/>
    <col min="15884" max="16128" width="11.42578125" style="12"/>
    <col min="16129" max="16129" width="37.7109375" style="12" customWidth="1"/>
    <col min="16130" max="16139" width="11.7109375" style="12" customWidth="1"/>
    <col min="16140" max="16384" width="11.42578125" style="12"/>
  </cols>
  <sheetData>
    <row r="1" spans="1:12" ht="15.75" x14ac:dyDescent="0.25">
      <c r="A1" s="10" t="s">
        <v>87</v>
      </c>
      <c r="B1" s="110"/>
    </row>
    <row r="2" spans="1:12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12"/>
    </row>
    <row r="3" spans="1:12" s="31" customFormat="1" x14ac:dyDescent="0.2">
      <c r="A3" s="133"/>
      <c r="B3" s="184">
        <v>36130</v>
      </c>
      <c r="C3" s="184">
        <v>36220</v>
      </c>
      <c r="D3" s="184">
        <v>36312</v>
      </c>
      <c r="E3" s="184">
        <v>36404</v>
      </c>
      <c r="F3" s="184">
        <v>36495</v>
      </c>
      <c r="G3" s="184">
        <v>36586</v>
      </c>
      <c r="H3" s="184">
        <v>36678</v>
      </c>
      <c r="I3" s="184">
        <v>36770</v>
      </c>
      <c r="J3" s="184">
        <v>36861</v>
      </c>
      <c r="K3" s="184">
        <v>36951</v>
      </c>
      <c r="L3" s="135" t="s">
        <v>61</v>
      </c>
    </row>
    <row r="4" spans="1:12" s="31" customFormat="1" x14ac:dyDescent="0.2">
      <c r="A4" s="33"/>
      <c r="B4" s="117"/>
      <c r="C4" s="117"/>
      <c r="D4" s="117"/>
      <c r="E4" s="117"/>
      <c r="F4" s="117"/>
      <c r="G4" s="117"/>
      <c r="H4" s="117"/>
      <c r="I4" s="117"/>
      <c r="J4" s="117"/>
      <c r="K4" s="117"/>
      <c r="L4" s="118"/>
    </row>
    <row r="5" spans="1:12" x14ac:dyDescent="0.2">
      <c r="A5" s="140" t="s">
        <v>88</v>
      </c>
      <c r="B5" s="139"/>
      <c r="C5" s="139"/>
      <c r="D5" s="139" t="s">
        <v>89</v>
      </c>
      <c r="E5" s="139"/>
      <c r="F5" s="139"/>
      <c r="G5" s="139"/>
      <c r="H5" s="139" t="s">
        <v>90</v>
      </c>
      <c r="I5" s="139"/>
      <c r="J5" s="139"/>
      <c r="K5" s="139"/>
      <c r="L5" s="118"/>
    </row>
    <row r="6" spans="1:12" x14ac:dyDescent="0.2">
      <c r="A6" s="140"/>
      <c r="B6" s="139"/>
      <c r="C6" s="139"/>
      <c r="D6" s="139"/>
      <c r="E6" s="139"/>
      <c r="F6" s="139"/>
      <c r="G6" s="139"/>
      <c r="H6" s="139"/>
      <c r="I6" s="139"/>
      <c r="J6" s="139"/>
      <c r="K6" s="139"/>
      <c r="L6" s="118"/>
    </row>
    <row r="7" spans="1:12" x14ac:dyDescent="0.2">
      <c r="A7" s="140" t="s">
        <v>91</v>
      </c>
      <c r="B7" s="139"/>
      <c r="C7" s="139"/>
      <c r="D7" s="139"/>
      <c r="E7" s="139">
        <v>4</v>
      </c>
      <c r="F7" s="139">
        <v>4</v>
      </c>
      <c r="G7" s="139">
        <v>4</v>
      </c>
      <c r="H7" s="139">
        <v>6</v>
      </c>
      <c r="I7" s="139">
        <v>6</v>
      </c>
      <c r="J7" s="139">
        <v>1</v>
      </c>
      <c r="K7" s="139"/>
      <c r="L7" s="118">
        <f>SUM(E7:K7)</f>
        <v>25</v>
      </c>
    </row>
    <row r="8" spans="1:12" x14ac:dyDescent="0.2">
      <c r="A8" s="140"/>
      <c r="B8" s="139"/>
      <c r="C8" s="139"/>
      <c r="D8" s="139"/>
      <c r="E8" s="139"/>
      <c r="F8" s="139"/>
      <c r="G8" s="139"/>
      <c r="H8" s="139"/>
      <c r="I8" s="139"/>
      <c r="J8" s="139"/>
      <c r="K8" s="139"/>
      <c r="L8" s="118"/>
    </row>
    <row r="9" spans="1:12" x14ac:dyDescent="0.2">
      <c r="A9" s="140" t="s">
        <v>92</v>
      </c>
      <c r="B9" s="139"/>
      <c r="C9" s="139"/>
      <c r="D9" s="185">
        <v>0.24</v>
      </c>
      <c r="E9" s="185">
        <v>0.38800000000000001</v>
      </c>
      <c r="F9" s="185">
        <v>0.27800000000000002</v>
      </c>
      <c r="G9" s="185">
        <v>9.4E-2</v>
      </c>
      <c r="H9" s="139" t="s">
        <v>93</v>
      </c>
      <c r="I9" s="139"/>
      <c r="J9" s="139"/>
      <c r="K9" s="139"/>
      <c r="L9" s="186">
        <f>SUM(D9:K9)</f>
        <v>1</v>
      </c>
    </row>
    <row r="10" spans="1:12" x14ac:dyDescent="0.2">
      <c r="A10" s="33"/>
      <c r="B10" s="139"/>
      <c r="C10" s="139"/>
      <c r="D10" s="139"/>
      <c r="E10" s="139"/>
      <c r="F10" s="139"/>
      <c r="G10" s="139"/>
      <c r="H10" s="139"/>
      <c r="I10" s="139"/>
      <c r="J10" s="139"/>
      <c r="K10" s="139"/>
      <c r="L10" s="186"/>
    </row>
    <row r="11" spans="1:12" x14ac:dyDescent="0.2">
      <c r="A11" s="119" t="s">
        <v>62</v>
      </c>
      <c r="B11" s="120"/>
      <c r="C11" s="120"/>
      <c r="D11" s="120"/>
      <c r="E11" s="120"/>
      <c r="F11" s="120"/>
      <c r="G11" s="120"/>
      <c r="H11" s="120"/>
      <c r="I11" s="120"/>
      <c r="J11" s="120"/>
      <c r="K11" s="120"/>
      <c r="L11" s="121"/>
    </row>
    <row r="12" spans="1:12" x14ac:dyDescent="0.2">
      <c r="A12" s="187"/>
      <c r="B12" s="188"/>
      <c r="C12" s="188"/>
      <c r="D12" s="188"/>
      <c r="E12" s="188"/>
      <c r="F12" s="188"/>
      <c r="G12" s="188"/>
      <c r="H12" s="188"/>
      <c r="I12" s="188"/>
      <c r="J12" s="188"/>
      <c r="K12" s="188"/>
      <c r="L12" s="189"/>
    </row>
    <row r="13" spans="1:12" x14ac:dyDescent="0.2">
      <c r="A13" s="33" t="s">
        <v>21</v>
      </c>
      <c r="B13" s="139"/>
      <c r="C13" s="139"/>
      <c r="D13" s="139"/>
      <c r="E13" s="139">
        <f>E7*22000*0.2</f>
        <v>17600</v>
      </c>
      <c r="F13" s="139">
        <f>F7*22000*0.2</f>
        <v>17600</v>
      </c>
      <c r="G13" s="139">
        <f>G7*22000*0.2</f>
        <v>17600</v>
      </c>
      <c r="H13" s="139">
        <f>H7*22000+(E7+F7+G7)*22000*0.8</f>
        <v>343200</v>
      </c>
      <c r="I13" s="139">
        <f>I7*22000</f>
        <v>132000</v>
      </c>
      <c r="J13" s="139">
        <f>J7*22000</f>
        <v>22000</v>
      </c>
      <c r="K13" s="139"/>
      <c r="L13" s="141">
        <f>SUM(B13:K13)</f>
        <v>550000</v>
      </c>
    </row>
    <row r="14" spans="1:12" x14ac:dyDescent="0.2">
      <c r="A14" s="153"/>
      <c r="B14" s="145"/>
      <c r="C14" s="145"/>
      <c r="D14" s="145"/>
      <c r="E14" s="145"/>
      <c r="F14" s="145"/>
      <c r="G14" s="145"/>
      <c r="H14" s="145"/>
      <c r="I14" s="145"/>
      <c r="J14" s="145"/>
      <c r="K14" s="145"/>
      <c r="L14" s="146"/>
    </row>
    <row r="15" spans="1:12" x14ac:dyDescent="0.2">
      <c r="A15" s="142" t="s">
        <v>65</v>
      </c>
      <c r="B15" s="143">
        <f>SUM(B13)</f>
        <v>0</v>
      </c>
      <c r="C15" s="143">
        <f t="shared" ref="C15:K15" si="0">SUM(C13)</f>
        <v>0</v>
      </c>
      <c r="D15" s="143">
        <f t="shared" si="0"/>
        <v>0</v>
      </c>
      <c r="E15" s="143">
        <f t="shared" si="0"/>
        <v>17600</v>
      </c>
      <c r="F15" s="143">
        <f t="shared" si="0"/>
        <v>17600</v>
      </c>
      <c r="G15" s="143">
        <f t="shared" si="0"/>
        <v>17600</v>
      </c>
      <c r="H15" s="143">
        <f t="shared" si="0"/>
        <v>343200</v>
      </c>
      <c r="I15" s="143">
        <f t="shared" si="0"/>
        <v>132000</v>
      </c>
      <c r="J15" s="143">
        <f t="shared" si="0"/>
        <v>22000</v>
      </c>
      <c r="K15" s="143">
        <f t="shared" si="0"/>
        <v>0</v>
      </c>
      <c r="L15" s="165">
        <f>SUM(B15:K15)</f>
        <v>550000</v>
      </c>
    </row>
    <row r="16" spans="1:12" x14ac:dyDescent="0.2">
      <c r="A16" s="140"/>
      <c r="B16" s="139"/>
      <c r="C16" s="139"/>
      <c r="D16" s="139"/>
      <c r="E16" s="139"/>
      <c r="F16" s="139"/>
      <c r="G16" s="139"/>
      <c r="H16" s="139"/>
      <c r="I16" s="139"/>
      <c r="J16" s="139"/>
      <c r="K16" s="139"/>
      <c r="L16" s="118"/>
    </row>
    <row r="17" spans="1:12" x14ac:dyDescent="0.2">
      <c r="A17" s="133" t="s">
        <v>66</v>
      </c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5"/>
    </row>
    <row r="18" spans="1:12" x14ac:dyDescent="0.2">
      <c r="A18" s="136"/>
      <c r="B18" s="137"/>
      <c r="C18" s="137"/>
      <c r="D18" s="137"/>
      <c r="E18" s="137"/>
      <c r="F18" s="137"/>
      <c r="G18" s="137"/>
      <c r="H18" s="137"/>
      <c r="I18" s="137"/>
      <c r="J18" s="137"/>
      <c r="K18" s="137"/>
      <c r="L18" s="138"/>
    </row>
    <row r="19" spans="1:12" x14ac:dyDescent="0.2">
      <c r="A19" s="33" t="s">
        <v>4</v>
      </c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18"/>
    </row>
    <row r="20" spans="1:12" x14ac:dyDescent="0.2">
      <c r="A20" s="140" t="s">
        <v>5</v>
      </c>
      <c r="B20" s="139">
        <v>75000</v>
      </c>
      <c r="C20" s="139"/>
      <c r="D20" s="139">
        <v>75000</v>
      </c>
      <c r="E20" s="139"/>
      <c r="F20" s="139"/>
      <c r="G20" s="139"/>
      <c r="H20" s="139"/>
      <c r="I20" s="139"/>
      <c r="J20" s="139"/>
      <c r="K20" s="139"/>
      <c r="L20" s="141">
        <f>SUM(B20:K20)</f>
        <v>150000</v>
      </c>
    </row>
    <row r="21" spans="1:12" x14ac:dyDescent="0.2">
      <c r="A21" s="140" t="s">
        <v>94</v>
      </c>
      <c r="B21" s="139">
        <v>750</v>
      </c>
      <c r="C21" s="139"/>
      <c r="D21" s="139"/>
      <c r="E21" s="139"/>
      <c r="F21" s="139"/>
      <c r="G21" s="139"/>
      <c r="H21" s="139"/>
      <c r="I21" s="139"/>
      <c r="J21" s="139"/>
      <c r="K21" s="139"/>
      <c r="L21" s="141">
        <f>SUM(B21:K21)</f>
        <v>750</v>
      </c>
    </row>
    <row r="22" spans="1:12" x14ac:dyDescent="0.2">
      <c r="A22" s="140" t="s">
        <v>95</v>
      </c>
      <c r="B22" s="139">
        <v>3200</v>
      </c>
      <c r="C22" s="139"/>
      <c r="D22" s="139"/>
      <c r="E22" s="139"/>
      <c r="F22" s="139"/>
      <c r="G22" s="139"/>
      <c r="H22" s="139"/>
      <c r="I22" s="139"/>
      <c r="J22" s="139"/>
      <c r="K22" s="139"/>
      <c r="L22" s="141">
        <f>SUM(B22:K22)</f>
        <v>3200</v>
      </c>
    </row>
    <row r="23" spans="1:12" x14ac:dyDescent="0.2">
      <c r="A23" s="140"/>
      <c r="B23" s="139"/>
      <c r="C23" s="139"/>
      <c r="D23" s="139"/>
      <c r="E23" s="139"/>
      <c r="F23" s="139"/>
      <c r="G23" s="139"/>
      <c r="H23" s="139"/>
      <c r="I23" s="139"/>
      <c r="J23" s="139"/>
      <c r="K23" s="139"/>
      <c r="L23" s="141"/>
    </row>
    <row r="24" spans="1:12" x14ac:dyDescent="0.2">
      <c r="A24" s="33" t="s">
        <v>9</v>
      </c>
      <c r="B24" s="139"/>
      <c r="C24" s="139"/>
      <c r="D24" s="139"/>
      <c r="E24" s="139"/>
      <c r="F24" s="139"/>
      <c r="G24" s="139"/>
      <c r="H24" s="139"/>
      <c r="I24" s="139"/>
      <c r="J24" s="139"/>
      <c r="K24" s="139"/>
      <c r="L24" s="118"/>
    </row>
    <row r="25" spans="1:12" x14ac:dyDescent="0.2">
      <c r="A25" s="140" t="s">
        <v>10</v>
      </c>
      <c r="B25" s="139">
        <v>4923</v>
      </c>
      <c r="C25" s="139">
        <v>2461</v>
      </c>
      <c r="D25" s="139"/>
      <c r="E25" s="139">
        <v>2461</v>
      </c>
      <c r="F25" s="139"/>
      <c r="G25" s="139">
        <v>2461</v>
      </c>
      <c r="H25" s="139"/>
      <c r="I25" s="139"/>
      <c r="J25" s="139"/>
      <c r="K25" s="139"/>
      <c r="L25" s="141">
        <f t="shared" ref="L25:L33" si="1">SUM(B25:K25)</f>
        <v>12306</v>
      </c>
    </row>
    <row r="26" spans="1:12" x14ac:dyDescent="0.2">
      <c r="A26" s="140" t="s">
        <v>96</v>
      </c>
      <c r="B26" s="139">
        <v>5370</v>
      </c>
      <c r="C26" s="139">
        <v>3580</v>
      </c>
      <c r="D26" s="139"/>
      <c r="E26" s="139"/>
      <c r="F26" s="139"/>
      <c r="G26" s="139"/>
      <c r="H26" s="139"/>
      <c r="I26" s="139"/>
      <c r="J26" s="139"/>
      <c r="K26" s="139"/>
      <c r="L26" s="141">
        <f t="shared" si="1"/>
        <v>8950</v>
      </c>
    </row>
    <row r="27" spans="1:12" x14ac:dyDescent="0.2">
      <c r="A27" s="140" t="s">
        <v>12</v>
      </c>
      <c r="B27" s="139"/>
      <c r="C27" s="139"/>
      <c r="D27" s="139">
        <v>1566</v>
      </c>
      <c r="E27" s="139"/>
      <c r="F27" s="139"/>
      <c r="G27" s="139"/>
      <c r="H27" s="139"/>
      <c r="I27" s="139"/>
      <c r="J27" s="139"/>
      <c r="K27" s="139"/>
      <c r="L27" s="141">
        <f t="shared" si="1"/>
        <v>1566</v>
      </c>
    </row>
    <row r="28" spans="1:12" x14ac:dyDescent="0.2">
      <c r="A28" s="140" t="s">
        <v>97</v>
      </c>
      <c r="B28" s="139"/>
      <c r="C28" s="139"/>
      <c r="D28" s="139"/>
      <c r="E28" s="139">
        <f>223750*D9</f>
        <v>53700</v>
      </c>
      <c r="F28" s="139">
        <f>223750*E9</f>
        <v>86815</v>
      </c>
      <c r="G28" s="139">
        <f>223750*F9</f>
        <v>62202.500000000007</v>
      </c>
      <c r="H28" s="139">
        <f>223750*G9</f>
        <v>21032.5</v>
      </c>
      <c r="I28" s="139"/>
      <c r="J28" s="139"/>
      <c r="K28" s="139"/>
      <c r="L28" s="141">
        <f t="shared" si="1"/>
        <v>223750</v>
      </c>
    </row>
    <row r="29" spans="1:12" x14ac:dyDescent="0.2">
      <c r="A29" s="140" t="s">
        <v>98</v>
      </c>
      <c r="B29" s="139"/>
      <c r="C29" s="139"/>
      <c r="D29" s="139"/>
      <c r="E29" s="139"/>
      <c r="F29" s="139"/>
      <c r="G29" s="139"/>
      <c r="H29" s="139">
        <f>4476/4</f>
        <v>1119</v>
      </c>
      <c r="I29" s="139">
        <f>4476/4</f>
        <v>1119</v>
      </c>
      <c r="J29" s="139">
        <f>4476/4</f>
        <v>1119</v>
      </c>
      <c r="K29" s="139">
        <f>4476/4</f>
        <v>1119</v>
      </c>
      <c r="L29" s="141">
        <f t="shared" si="1"/>
        <v>4476</v>
      </c>
    </row>
    <row r="30" spans="1:12" x14ac:dyDescent="0.2">
      <c r="A30" s="140"/>
      <c r="B30" s="139"/>
      <c r="C30" s="139"/>
      <c r="D30" s="139"/>
      <c r="E30" s="139"/>
      <c r="F30" s="139"/>
      <c r="G30" s="139"/>
      <c r="H30" s="139"/>
      <c r="I30" s="139"/>
      <c r="J30" s="139"/>
      <c r="K30" s="139"/>
      <c r="L30" s="141"/>
    </row>
    <row r="31" spans="1:12" x14ac:dyDescent="0.2">
      <c r="A31" s="33" t="s">
        <v>15</v>
      </c>
      <c r="B31" s="139"/>
      <c r="C31" s="139"/>
      <c r="D31" s="139"/>
      <c r="E31" s="139">
        <f>E7*22000*0.05</f>
        <v>4400</v>
      </c>
      <c r="F31" s="139">
        <f t="shared" ref="F31:J31" si="2">F7*22000*0.05</f>
        <v>4400</v>
      </c>
      <c r="G31" s="139">
        <f t="shared" si="2"/>
        <v>4400</v>
      </c>
      <c r="H31" s="139">
        <f t="shared" si="2"/>
        <v>6600</v>
      </c>
      <c r="I31" s="139">
        <f t="shared" si="2"/>
        <v>6600</v>
      </c>
      <c r="J31" s="139">
        <f t="shared" si="2"/>
        <v>1100</v>
      </c>
      <c r="K31" s="139"/>
      <c r="L31" s="141">
        <f t="shared" si="1"/>
        <v>27500</v>
      </c>
    </row>
    <row r="32" spans="1:12" x14ac:dyDescent="0.2">
      <c r="A32" s="33"/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41"/>
    </row>
    <row r="33" spans="1:12" x14ac:dyDescent="0.2">
      <c r="A33" s="33" t="s">
        <v>17</v>
      </c>
      <c r="B33" s="139"/>
      <c r="C33" s="139"/>
      <c r="D33" s="139">
        <v>22000</v>
      </c>
      <c r="E33" s="139"/>
      <c r="F33" s="139"/>
      <c r="G33" s="139"/>
      <c r="H33" s="139"/>
      <c r="I33" s="139"/>
      <c r="J33" s="139"/>
      <c r="K33" s="139"/>
      <c r="L33" s="141">
        <f t="shared" si="1"/>
        <v>22000</v>
      </c>
    </row>
    <row r="34" spans="1:12" x14ac:dyDescent="0.2">
      <c r="A34" s="33"/>
      <c r="B34" s="139"/>
      <c r="C34" s="139"/>
      <c r="D34" s="139"/>
      <c r="E34" s="139"/>
      <c r="F34" s="139"/>
      <c r="G34" s="139"/>
      <c r="H34" s="139"/>
      <c r="I34" s="139"/>
      <c r="J34" s="139"/>
      <c r="K34" s="139"/>
      <c r="L34" s="141"/>
    </row>
    <row r="35" spans="1:12" x14ac:dyDescent="0.2">
      <c r="A35" s="142" t="s">
        <v>68</v>
      </c>
      <c r="B35" s="143">
        <f>SUM(B18:B34)</f>
        <v>89243</v>
      </c>
      <c r="C35" s="143">
        <f t="shared" ref="C35:K35" si="3">SUM(C18:C34)</f>
        <v>6041</v>
      </c>
      <c r="D35" s="143">
        <f t="shared" si="3"/>
        <v>98566</v>
      </c>
      <c r="E35" s="143">
        <f t="shared" si="3"/>
        <v>60561</v>
      </c>
      <c r="F35" s="143">
        <f t="shared" si="3"/>
        <v>91215</v>
      </c>
      <c r="G35" s="143">
        <f t="shared" si="3"/>
        <v>69063.5</v>
      </c>
      <c r="H35" s="143">
        <f t="shared" si="3"/>
        <v>28751.5</v>
      </c>
      <c r="I35" s="143">
        <f t="shared" si="3"/>
        <v>7719</v>
      </c>
      <c r="J35" s="143">
        <f t="shared" si="3"/>
        <v>2219</v>
      </c>
      <c r="K35" s="143">
        <f t="shared" si="3"/>
        <v>1119</v>
      </c>
      <c r="L35" s="165">
        <f>SUM(B35:K35)</f>
        <v>454498</v>
      </c>
    </row>
    <row r="36" spans="1:12" x14ac:dyDescent="0.2">
      <c r="A36" s="144"/>
      <c r="B36" s="145"/>
      <c r="C36" s="145"/>
      <c r="D36" s="145"/>
      <c r="E36" s="145"/>
      <c r="F36" s="145"/>
      <c r="G36" s="145"/>
      <c r="H36" s="145"/>
      <c r="I36" s="145"/>
      <c r="J36" s="145"/>
      <c r="K36" s="145"/>
      <c r="L36" s="146"/>
    </row>
    <row r="37" spans="1:12" x14ac:dyDescent="0.2">
      <c r="A37" s="119" t="s">
        <v>69</v>
      </c>
      <c r="B37" s="166">
        <f>B15-B35</f>
        <v>-89243</v>
      </c>
      <c r="C37" s="166">
        <f t="shared" ref="C37:K37" si="4">C15-C35</f>
        <v>-6041</v>
      </c>
      <c r="D37" s="166">
        <f t="shared" si="4"/>
        <v>-98566</v>
      </c>
      <c r="E37" s="166">
        <f t="shared" si="4"/>
        <v>-42961</v>
      </c>
      <c r="F37" s="166">
        <f t="shared" si="4"/>
        <v>-73615</v>
      </c>
      <c r="G37" s="166">
        <f t="shared" si="4"/>
        <v>-51463.5</v>
      </c>
      <c r="H37" s="166">
        <f t="shared" si="4"/>
        <v>314448.5</v>
      </c>
      <c r="I37" s="166">
        <f t="shared" si="4"/>
        <v>124281</v>
      </c>
      <c r="J37" s="166">
        <f t="shared" si="4"/>
        <v>19781</v>
      </c>
      <c r="K37" s="166">
        <f t="shared" si="4"/>
        <v>-1119</v>
      </c>
      <c r="L37" s="148">
        <f>L15-L35</f>
        <v>95502</v>
      </c>
    </row>
    <row r="38" spans="1:12" ht="12.75" customHeight="1" x14ac:dyDescent="0.2">
      <c r="A38" s="33"/>
      <c r="B38" s="117"/>
      <c r="C38" s="117"/>
      <c r="D38" s="117"/>
      <c r="E38" s="117"/>
      <c r="F38" s="117"/>
      <c r="G38" s="117"/>
      <c r="H38" s="117"/>
      <c r="I38" s="117"/>
      <c r="J38" s="117"/>
      <c r="K38" s="117"/>
      <c r="L38" s="118"/>
    </row>
    <row r="39" spans="1:12" x14ac:dyDescent="0.2">
      <c r="A39" s="133" t="s">
        <v>70</v>
      </c>
      <c r="B39" s="190">
        <f>B37</f>
        <v>-89243</v>
      </c>
      <c r="C39" s="190">
        <f>B39+C37</f>
        <v>-95284</v>
      </c>
      <c r="D39" s="190">
        <f>C39+D37</f>
        <v>-193850</v>
      </c>
      <c r="E39" s="190">
        <f t="shared" ref="E39:K39" si="5">D39+E37</f>
        <v>-236811</v>
      </c>
      <c r="F39" s="190">
        <f t="shared" si="5"/>
        <v>-310426</v>
      </c>
      <c r="G39" s="190">
        <f t="shared" si="5"/>
        <v>-361889.5</v>
      </c>
      <c r="H39" s="190">
        <f t="shared" si="5"/>
        <v>-47441</v>
      </c>
      <c r="I39" s="190">
        <f t="shared" si="5"/>
        <v>76840</v>
      </c>
      <c r="J39" s="190">
        <f t="shared" si="5"/>
        <v>96621</v>
      </c>
      <c r="K39" s="190">
        <f t="shared" si="5"/>
        <v>95502</v>
      </c>
      <c r="L39" s="150">
        <f>K39</f>
        <v>95502</v>
      </c>
    </row>
    <row r="40" spans="1:12" x14ac:dyDescent="0.2">
      <c r="A40" s="41"/>
      <c r="B40" s="151"/>
      <c r="C40" s="151"/>
      <c r="D40" s="151"/>
      <c r="E40" s="151"/>
      <c r="F40" s="151"/>
      <c r="G40" s="151"/>
      <c r="H40" s="151"/>
      <c r="I40" s="151"/>
      <c r="J40" s="151"/>
      <c r="K40" s="151"/>
      <c r="L40" s="152"/>
    </row>
    <row r="41" spans="1:12" x14ac:dyDescent="0.2">
      <c r="A41" s="153"/>
      <c r="B41" s="145"/>
      <c r="C41" s="145"/>
      <c r="D41" s="145"/>
      <c r="E41" s="145"/>
      <c r="F41" s="145"/>
      <c r="G41" s="145"/>
      <c r="H41" s="145"/>
      <c r="I41" s="145"/>
      <c r="J41" s="145"/>
      <c r="K41" s="145"/>
      <c r="L41" s="154"/>
    </row>
    <row r="42" spans="1:12" x14ac:dyDescent="0.2">
      <c r="A42" s="155" t="s">
        <v>71</v>
      </c>
      <c r="B42" s="156"/>
      <c r="C42" s="156"/>
      <c r="D42" s="156"/>
      <c r="E42" s="156"/>
      <c r="F42" s="156"/>
      <c r="G42" s="156"/>
      <c r="H42" s="156"/>
      <c r="I42" s="156"/>
      <c r="J42" s="156"/>
      <c r="K42" s="156"/>
      <c r="L42" s="157"/>
    </row>
    <row r="43" spans="1:12" x14ac:dyDescent="0.2">
      <c r="A43" s="158"/>
      <c r="B43" s="159"/>
      <c r="C43" s="159"/>
      <c r="D43" s="159"/>
      <c r="E43" s="159"/>
      <c r="F43" s="159"/>
      <c r="G43" s="159"/>
      <c r="H43" s="159"/>
      <c r="I43" s="159"/>
      <c r="J43" s="159"/>
      <c r="K43" s="159"/>
      <c r="L43" s="160"/>
    </row>
    <row r="44" spans="1:12" x14ac:dyDescent="0.2">
      <c r="A44" s="33" t="s">
        <v>72</v>
      </c>
      <c r="B44" s="139"/>
      <c r="C44" s="139"/>
      <c r="D44" s="139">
        <f>(-D39+D50-160000)/0.9875</f>
        <v>38075.949367088608</v>
      </c>
      <c r="E44" s="139">
        <f>(-E37+D51)/0.9875</f>
        <v>43986.784169203653</v>
      </c>
      <c r="F44" s="139">
        <f>(-F37+E51)/0.9875</f>
        <v>75585.604221978385</v>
      </c>
      <c r="G44" s="139">
        <f>(-G37+F51)/0.9875</f>
        <v>54110.485288079377</v>
      </c>
      <c r="H44" s="139">
        <f>H52-G62</f>
        <v>17741.176953649963</v>
      </c>
      <c r="I44" s="139">
        <f>I52-H62</f>
        <v>76500</v>
      </c>
      <c r="J44" s="139">
        <f>J52-I62</f>
        <v>12750</v>
      </c>
      <c r="K44" s="139"/>
      <c r="L44" s="141">
        <f>SUM(B44:K44)</f>
        <v>318750</v>
      </c>
    </row>
    <row r="45" spans="1:12" x14ac:dyDescent="0.2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6"/>
    </row>
    <row r="46" spans="1:12" x14ac:dyDescent="0.2">
      <c r="A46" s="144" t="s">
        <v>73</v>
      </c>
      <c r="B46" s="145">
        <f t="shared" ref="B46:K46" si="6">SUM(B44)</f>
        <v>0</v>
      </c>
      <c r="C46" s="145">
        <f t="shared" si="6"/>
        <v>0</v>
      </c>
      <c r="D46" s="145">
        <f t="shared" si="6"/>
        <v>38075.949367088608</v>
      </c>
      <c r="E46" s="145">
        <f t="shared" si="6"/>
        <v>43986.784169203653</v>
      </c>
      <c r="F46" s="145">
        <f t="shared" si="6"/>
        <v>75585.604221978385</v>
      </c>
      <c r="G46" s="145">
        <f t="shared" si="6"/>
        <v>54110.485288079377</v>
      </c>
      <c r="H46" s="145">
        <f t="shared" si="6"/>
        <v>17741.176953649963</v>
      </c>
      <c r="I46" s="145">
        <f t="shared" si="6"/>
        <v>76500</v>
      </c>
      <c r="J46" s="145">
        <f t="shared" si="6"/>
        <v>12750</v>
      </c>
      <c r="K46" s="145">
        <f t="shared" si="6"/>
        <v>0</v>
      </c>
      <c r="L46" s="146">
        <f>SUM(B46:K46)</f>
        <v>318750</v>
      </c>
    </row>
    <row r="47" spans="1:12" x14ac:dyDescent="0.2">
      <c r="A47" s="144"/>
      <c r="B47" s="145"/>
      <c r="C47" s="145"/>
      <c r="D47" s="145"/>
      <c r="E47" s="145"/>
      <c r="F47" s="145"/>
      <c r="G47" s="145"/>
      <c r="H47" s="145"/>
      <c r="I47" s="145"/>
      <c r="J47" s="145"/>
      <c r="K47" s="145"/>
      <c r="L47" s="146"/>
    </row>
    <row r="48" spans="1:12" x14ac:dyDescent="0.2">
      <c r="A48" s="133" t="s">
        <v>74</v>
      </c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5"/>
    </row>
    <row r="49" spans="1:12" x14ac:dyDescent="0.2">
      <c r="A49" s="158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60"/>
    </row>
    <row r="50" spans="1:12" x14ac:dyDescent="0.2">
      <c r="A50" s="33" t="s">
        <v>99</v>
      </c>
      <c r="B50" s="139"/>
      <c r="C50" s="139"/>
      <c r="D50" s="139">
        <v>3750</v>
      </c>
      <c r="E50" s="139"/>
      <c r="F50" s="139"/>
      <c r="G50" s="139"/>
      <c r="H50" s="139"/>
      <c r="I50" s="139"/>
      <c r="J50" s="139"/>
      <c r="K50" s="139"/>
      <c r="L50" s="141">
        <f>SUM(B50:K50)</f>
        <v>3750</v>
      </c>
    </row>
    <row r="51" spans="1:12" x14ac:dyDescent="0.2">
      <c r="A51" s="33" t="s">
        <v>75</v>
      </c>
      <c r="B51" s="139"/>
      <c r="C51" s="139"/>
      <c r="D51" s="139">
        <f>5%/4*D62</f>
        <v>475.94936708860763</v>
      </c>
      <c r="E51" s="139">
        <f>5%/4*E62</f>
        <v>1025.7841692036534</v>
      </c>
      <c r="F51" s="139">
        <f t="shared" ref="F51:J51" si="7">5%/4*F62</f>
        <v>1970.6042219783831</v>
      </c>
      <c r="G51" s="139">
        <f t="shared" si="7"/>
        <v>2646.9852880793756</v>
      </c>
      <c r="H51" s="139">
        <f t="shared" si="7"/>
        <v>0</v>
      </c>
      <c r="I51" s="139">
        <f t="shared" si="7"/>
        <v>0</v>
      </c>
      <c r="J51" s="139">
        <f t="shared" si="7"/>
        <v>0</v>
      </c>
      <c r="K51" s="139"/>
      <c r="L51" s="141">
        <f>SUM(B51:K51)</f>
        <v>6119.3230463500204</v>
      </c>
    </row>
    <row r="52" spans="1:12" x14ac:dyDescent="0.2">
      <c r="A52" s="33" t="s">
        <v>76</v>
      </c>
      <c r="B52" s="139"/>
      <c r="C52" s="139"/>
      <c r="D52" s="139"/>
      <c r="E52" s="139"/>
      <c r="F52" s="139"/>
      <c r="G52" s="139"/>
      <c r="H52" s="139">
        <f>(E7+F7+G7+H7)*12750</f>
        <v>229500</v>
      </c>
      <c r="I52" s="139">
        <f>I7*12750</f>
        <v>76500</v>
      </c>
      <c r="J52" s="139">
        <f>J7*12750</f>
        <v>12750</v>
      </c>
      <c r="K52" s="139"/>
      <c r="L52" s="141">
        <f>SUM(B52:K52)</f>
        <v>318750</v>
      </c>
    </row>
    <row r="53" spans="1:12" x14ac:dyDescent="0.2">
      <c r="A53" s="144"/>
      <c r="B53" s="145"/>
      <c r="C53" s="145"/>
      <c r="D53" s="145"/>
      <c r="E53" s="145"/>
      <c r="F53" s="145"/>
      <c r="G53" s="145"/>
      <c r="H53" s="145"/>
      <c r="I53" s="145"/>
      <c r="J53" s="145"/>
      <c r="K53" s="145"/>
      <c r="L53" s="146"/>
    </row>
    <row r="54" spans="1:12" x14ac:dyDescent="0.2">
      <c r="A54" s="142" t="s">
        <v>77</v>
      </c>
      <c r="B54" s="143">
        <f>SUM(B49:B53)</f>
        <v>0</v>
      </c>
      <c r="C54" s="143">
        <f t="shared" ref="C54:K54" si="8">SUM(C49:C53)</f>
        <v>0</v>
      </c>
      <c r="D54" s="143">
        <f t="shared" si="8"/>
        <v>4225.9493670886077</v>
      </c>
      <c r="E54" s="143">
        <f t="shared" si="8"/>
        <v>1025.7841692036534</v>
      </c>
      <c r="F54" s="143">
        <f t="shared" si="8"/>
        <v>1970.6042219783831</v>
      </c>
      <c r="G54" s="143">
        <f t="shared" si="8"/>
        <v>2646.9852880793756</v>
      </c>
      <c r="H54" s="143">
        <f t="shared" si="8"/>
        <v>229500</v>
      </c>
      <c r="I54" s="143">
        <f t="shared" si="8"/>
        <v>76500</v>
      </c>
      <c r="J54" s="143">
        <f t="shared" si="8"/>
        <v>12750</v>
      </c>
      <c r="K54" s="143">
        <f t="shared" si="8"/>
        <v>0</v>
      </c>
      <c r="L54" s="146">
        <f>SUM(B54:K54)</f>
        <v>328619.32304635004</v>
      </c>
    </row>
    <row r="55" spans="1:12" ht="12.75" customHeight="1" x14ac:dyDescent="0.2">
      <c r="A55" s="161"/>
      <c r="B55" s="143"/>
      <c r="C55" s="143"/>
      <c r="D55" s="143"/>
      <c r="E55" s="143"/>
      <c r="F55" s="143"/>
      <c r="G55" s="143"/>
      <c r="H55" s="143"/>
      <c r="I55" s="143"/>
      <c r="J55" s="143"/>
      <c r="K55" s="143"/>
      <c r="L55" s="162"/>
    </row>
    <row r="56" spans="1:12" x14ac:dyDescent="0.2">
      <c r="A56" s="119" t="s">
        <v>78</v>
      </c>
      <c r="B56" s="163">
        <f>B46-B54</f>
        <v>0</v>
      </c>
      <c r="C56" s="163">
        <f t="shared" ref="C56:K56" si="9">C46-C54</f>
        <v>0</v>
      </c>
      <c r="D56" s="163">
        <f t="shared" si="9"/>
        <v>33850</v>
      </c>
      <c r="E56" s="163">
        <f t="shared" si="9"/>
        <v>42961</v>
      </c>
      <c r="F56" s="163">
        <f t="shared" si="9"/>
        <v>73615</v>
      </c>
      <c r="G56" s="163">
        <f t="shared" si="9"/>
        <v>51463.5</v>
      </c>
      <c r="H56" s="163">
        <f t="shared" si="9"/>
        <v>-211758.82304635004</v>
      </c>
      <c r="I56" s="163">
        <f t="shared" si="9"/>
        <v>0</v>
      </c>
      <c r="J56" s="163">
        <f t="shared" si="9"/>
        <v>0</v>
      </c>
      <c r="K56" s="163">
        <f t="shared" si="9"/>
        <v>0</v>
      </c>
      <c r="L56" s="164">
        <f>SUM(B56:K56)</f>
        <v>-9869.3230463500367</v>
      </c>
    </row>
    <row r="57" spans="1:12" ht="12.75" customHeight="1" x14ac:dyDescent="0.2">
      <c r="A57" s="161"/>
      <c r="B57" s="143"/>
      <c r="C57" s="143"/>
      <c r="D57" s="143"/>
      <c r="E57" s="143"/>
      <c r="F57" s="143"/>
      <c r="G57" s="143"/>
      <c r="H57" s="143"/>
      <c r="I57" s="143"/>
      <c r="J57" s="143"/>
      <c r="K57" s="143"/>
      <c r="L57" s="165"/>
    </row>
    <row r="58" spans="1:12" s="31" customFormat="1" x14ac:dyDescent="0.2">
      <c r="A58" s="119" t="s">
        <v>79</v>
      </c>
      <c r="B58" s="166">
        <f>B46+B15-B54+B37</f>
        <v>-89243</v>
      </c>
      <c r="C58" s="166">
        <f t="shared" ref="C58:K58" si="10">C46-C54+C37</f>
        <v>-6041</v>
      </c>
      <c r="D58" s="166">
        <f t="shared" si="10"/>
        <v>-64716</v>
      </c>
      <c r="E58" s="166">
        <f>E46-E54+E37</f>
        <v>0</v>
      </c>
      <c r="F58" s="166">
        <f t="shared" si="10"/>
        <v>0</v>
      </c>
      <c r="G58" s="166">
        <f t="shared" si="10"/>
        <v>0</v>
      </c>
      <c r="H58" s="166">
        <f t="shared" si="10"/>
        <v>102689.67695364996</v>
      </c>
      <c r="I58" s="166">
        <f t="shared" si="10"/>
        <v>124281</v>
      </c>
      <c r="J58" s="166">
        <f t="shared" si="10"/>
        <v>19781</v>
      </c>
      <c r="K58" s="166">
        <f t="shared" si="10"/>
        <v>-1119</v>
      </c>
      <c r="L58" s="148">
        <f>SUM(B58:K58)</f>
        <v>85632.676953649963</v>
      </c>
    </row>
    <row r="59" spans="1:12" ht="12.75" customHeight="1" x14ac:dyDescent="0.2">
      <c r="A59" s="140"/>
      <c r="B59" s="139"/>
      <c r="C59" s="139"/>
      <c r="D59" s="139"/>
      <c r="E59" s="139"/>
      <c r="F59" s="139"/>
      <c r="G59" s="139"/>
      <c r="H59" s="139"/>
      <c r="I59" s="139"/>
      <c r="J59" s="139"/>
      <c r="K59" s="139"/>
      <c r="L59" s="141"/>
    </row>
    <row r="60" spans="1:12" s="31" customFormat="1" x14ac:dyDescent="0.2">
      <c r="A60" s="119" t="s">
        <v>80</v>
      </c>
      <c r="B60" s="166">
        <f>B58</f>
        <v>-89243</v>
      </c>
      <c r="C60" s="166">
        <f t="shared" ref="C60:K60" si="11">C58+B60</f>
        <v>-95284</v>
      </c>
      <c r="D60" s="166">
        <f t="shared" si="11"/>
        <v>-160000</v>
      </c>
      <c r="E60" s="166">
        <f t="shared" si="11"/>
        <v>-160000</v>
      </c>
      <c r="F60" s="166">
        <f t="shared" si="11"/>
        <v>-160000</v>
      </c>
      <c r="G60" s="166">
        <f t="shared" si="11"/>
        <v>-160000</v>
      </c>
      <c r="H60" s="166">
        <f t="shared" si="11"/>
        <v>-57310.323046350037</v>
      </c>
      <c r="I60" s="166">
        <f t="shared" si="11"/>
        <v>66970.676953649963</v>
      </c>
      <c r="J60" s="166">
        <f t="shared" si="11"/>
        <v>86751.676953649963</v>
      </c>
      <c r="K60" s="166">
        <f t="shared" si="11"/>
        <v>85632.676953649963</v>
      </c>
      <c r="L60" s="148">
        <f>K60</f>
        <v>85632.676953649963</v>
      </c>
    </row>
    <row r="61" spans="1:12" ht="12.75" customHeight="1" x14ac:dyDescent="0.2">
      <c r="A61" s="140"/>
      <c r="B61" s="139"/>
      <c r="C61" s="139"/>
      <c r="D61" s="139"/>
      <c r="E61" s="139"/>
      <c r="F61" s="139"/>
      <c r="G61" s="139"/>
      <c r="H61" s="139"/>
      <c r="I61" s="139"/>
      <c r="J61" s="139"/>
      <c r="K61" s="139"/>
      <c r="L61" s="154"/>
    </row>
    <row r="62" spans="1:12" x14ac:dyDescent="0.2">
      <c r="A62" s="167" t="s">
        <v>81</v>
      </c>
      <c r="B62" s="143"/>
      <c r="C62" s="143"/>
      <c r="D62" s="143">
        <f>D46</f>
        <v>38075.949367088608</v>
      </c>
      <c r="E62" s="143">
        <f>E46+D62</f>
        <v>82062.73353629226</v>
      </c>
      <c r="F62" s="143">
        <f>F46+E62</f>
        <v>157648.33775827065</v>
      </c>
      <c r="G62" s="143">
        <f>G46+F62</f>
        <v>211758.82304635004</v>
      </c>
      <c r="H62" s="143">
        <f>H46+G62-H52</f>
        <v>0</v>
      </c>
      <c r="I62" s="143">
        <f>I46+H62-I52</f>
        <v>0</v>
      </c>
      <c r="J62" s="143">
        <f>J46+I62-J52</f>
        <v>0</v>
      </c>
      <c r="K62" s="143"/>
      <c r="L62" s="162"/>
    </row>
    <row r="63" spans="1:12" x14ac:dyDescent="0.2">
      <c r="A63" s="168"/>
      <c r="B63" s="139"/>
      <c r="C63" s="139"/>
      <c r="D63" s="139"/>
      <c r="E63" s="139"/>
      <c r="F63" s="139"/>
      <c r="G63" s="139"/>
      <c r="H63" s="139"/>
      <c r="I63" s="139"/>
      <c r="J63" s="139"/>
      <c r="K63" s="139"/>
    </row>
    <row r="64" spans="1:12" x14ac:dyDescent="0.2">
      <c r="B64" s="139"/>
      <c r="C64" s="139"/>
      <c r="D64" s="139"/>
      <c r="E64" s="139"/>
      <c r="F64" s="139"/>
      <c r="G64" s="139"/>
      <c r="H64" s="139"/>
      <c r="I64" s="139"/>
      <c r="J64" s="139"/>
      <c r="K64" s="139"/>
    </row>
    <row r="65" spans="4:7" x14ac:dyDescent="0.2">
      <c r="D65" s="169"/>
      <c r="E65" s="149" t="s">
        <v>82</v>
      </c>
      <c r="F65" s="149" t="s">
        <v>83</v>
      </c>
      <c r="G65" s="170" t="s">
        <v>84</v>
      </c>
    </row>
    <row r="66" spans="4:7" x14ac:dyDescent="0.2">
      <c r="D66" s="171"/>
      <c r="E66" s="117"/>
      <c r="F66" s="117"/>
      <c r="G66" s="172"/>
    </row>
    <row r="67" spans="4:7" x14ac:dyDescent="0.2">
      <c r="D67" s="173" t="s">
        <v>85</v>
      </c>
      <c r="E67" s="57">
        <v>2.5000000000000001E-2</v>
      </c>
      <c r="F67" s="174">
        <f t="shared" ref="F67:F72" si="12">NPV($E67/4,$C$37:$K$37)+$B$37</f>
        <v>83203.419579193578</v>
      </c>
      <c r="G67" s="174">
        <f t="shared" ref="G67:G72" si="13">NPV($E67/4,$C$58:$K$58)+$B$58</f>
        <v>76498.96524568359</v>
      </c>
    </row>
    <row r="68" spans="4:7" x14ac:dyDescent="0.2">
      <c r="D68" s="173"/>
      <c r="E68" s="57">
        <v>0.05</v>
      </c>
      <c r="F68" s="174">
        <f t="shared" si="12"/>
        <v>71545.81778512118</v>
      </c>
      <c r="G68" s="174">
        <f t="shared" si="13"/>
        <v>67816.046433882701</v>
      </c>
    </row>
    <row r="69" spans="4:7" x14ac:dyDescent="0.2">
      <c r="D69" s="173"/>
      <c r="E69" s="57">
        <v>0.1</v>
      </c>
      <c r="F69" s="174">
        <f t="shared" si="12"/>
        <v>50015.866166249645</v>
      </c>
      <c r="G69" s="174">
        <f t="shared" si="13"/>
        <v>51707.165164870967</v>
      </c>
    </row>
    <row r="70" spans="4:7" x14ac:dyDescent="0.2">
      <c r="D70" s="176"/>
      <c r="E70" s="57">
        <v>0.2</v>
      </c>
      <c r="F70" s="174">
        <f t="shared" si="12"/>
        <v>13241.57105484177</v>
      </c>
      <c r="G70" s="174">
        <f t="shared" si="13"/>
        <v>23924.393390173922</v>
      </c>
    </row>
    <row r="71" spans="4:7" x14ac:dyDescent="0.2">
      <c r="D71" s="176"/>
      <c r="E71" s="57">
        <v>0.3</v>
      </c>
      <c r="F71" s="174">
        <f t="shared" si="12"/>
        <v>-16538.007992061495</v>
      </c>
      <c r="G71" s="174">
        <f t="shared" si="13"/>
        <v>1094.1396042994311</v>
      </c>
    </row>
    <row r="72" spans="4:7" x14ac:dyDescent="0.2">
      <c r="D72" s="176"/>
      <c r="E72" s="57">
        <v>0.4</v>
      </c>
      <c r="F72" s="174">
        <f t="shared" si="12"/>
        <v>-40679.175562221251</v>
      </c>
      <c r="G72" s="174">
        <f t="shared" si="13"/>
        <v>-17724.248831699413</v>
      </c>
    </row>
    <row r="73" spans="4:7" x14ac:dyDescent="0.2">
      <c r="D73" s="176"/>
      <c r="F73" s="110"/>
      <c r="G73" s="177"/>
    </row>
    <row r="74" spans="4:7" x14ac:dyDescent="0.2">
      <c r="D74" s="178" t="s">
        <v>86</v>
      </c>
      <c r="F74" s="179">
        <f>IRR(B37:K37)*4</f>
        <v>0.24189282944798762</v>
      </c>
      <c r="G74" s="180">
        <f>IRR(B58:K58)*4</f>
        <v>0.30531666533041513</v>
      </c>
    </row>
    <row r="75" spans="4:7" x14ac:dyDescent="0.2">
      <c r="D75" s="181"/>
      <c r="E75" s="182"/>
      <c r="F75" s="182"/>
      <c r="G75" s="183"/>
    </row>
  </sheetData>
  <pageMargins left="0.17" right="0.17" top="1.08" bottom="0.89" header="0" footer="0"/>
  <pageSetup paperSize="9" scale="88" fitToHeight="5" orientation="landscape" r:id="rId1"/>
  <headerFooter alignWithMargins="0"/>
  <rowBreaks count="2" manualBreakCount="2">
    <brk id="40" max="16383" man="1"/>
    <brk id="63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9D914-B91F-4F86-BF68-5424715F4D65}">
  <sheetPr>
    <pageSetUpPr fitToPage="1"/>
  </sheetPr>
  <dimension ref="A1:L64"/>
  <sheetViews>
    <sheetView zoomScale="84" zoomScaleNormal="84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:K15"/>
    </sheetView>
  </sheetViews>
  <sheetFormatPr baseColWidth="10" defaultRowHeight="12.75" x14ac:dyDescent="0.2"/>
  <cols>
    <col min="1" max="1" width="37.7109375" style="12" customWidth="1"/>
    <col min="2" max="11" width="11.7109375" style="24" customWidth="1"/>
    <col min="12" max="12" width="11.42578125" style="111" customWidth="1"/>
    <col min="13" max="256" width="11.42578125" style="12"/>
    <col min="257" max="257" width="37.7109375" style="12" customWidth="1"/>
    <col min="258" max="267" width="11.7109375" style="12" customWidth="1"/>
    <col min="268" max="512" width="11.42578125" style="12"/>
    <col min="513" max="513" width="37.7109375" style="12" customWidth="1"/>
    <col min="514" max="523" width="11.7109375" style="12" customWidth="1"/>
    <col min="524" max="768" width="11.42578125" style="12"/>
    <col min="769" max="769" width="37.7109375" style="12" customWidth="1"/>
    <col min="770" max="779" width="11.7109375" style="12" customWidth="1"/>
    <col min="780" max="1024" width="11.42578125" style="12"/>
    <col min="1025" max="1025" width="37.7109375" style="12" customWidth="1"/>
    <col min="1026" max="1035" width="11.7109375" style="12" customWidth="1"/>
    <col min="1036" max="1280" width="11.42578125" style="12"/>
    <col min="1281" max="1281" width="37.7109375" style="12" customWidth="1"/>
    <col min="1282" max="1291" width="11.7109375" style="12" customWidth="1"/>
    <col min="1292" max="1536" width="11.42578125" style="12"/>
    <col min="1537" max="1537" width="37.7109375" style="12" customWidth="1"/>
    <col min="1538" max="1547" width="11.7109375" style="12" customWidth="1"/>
    <col min="1548" max="1792" width="11.42578125" style="12"/>
    <col min="1793" max="1793" width="37.7109375" style="12" customWidth="1"/>
    <col min="1794" max="1803" width="11.7109375" style="12" customWidth="1"/>
    <col min="1804" max="2048" width="11.42578125" style="12"/>
    <col min="2049" max="2049" width="37.7109375" style="12" customWidth="1"/>
    <col min="2050" max="2059" width="11.7109375" style="12" customWidth="1"/>
    <col min="2060" max="2304" width="11.42578125" style="12"/>
    <col min="2305" max="2305" width="37.7109375" style="12" customWidth="1"/>
    <col min="2306" max="2315" width="11.7109375" style="12" customWidth="1"/>
    <col min="2316" max="2560" width="11.42578125" style="12"/>
    <col min="2561" max="2561" width="37.7109375" style="12" customWidth="1"/>
    <col min="2562" max="2571" width="11.7109375" style="12" customWidth="1"/>
    <col min="2572" max="2816" width="11.42578125" style="12"/>
    <col min="2817" max="2817" width="37.7109375" style="12" customWidth="1"/>
    <col min="2818" max="2827" width="11.7109375" style="12" customWidth="1"/>
    <col min="2828" max="3072" width="11.42578125" style="12"/>
    <col min="3073" max="3073" width="37.7109375" style="12" customWidth="1"/>
    <col min="3074" max="3083" width="11.7109375" style="12" customWidth="1"/>
    <col min="3084" max="3328" width="11.42578125" style="12"/>
    <col min="3329" max="3329" width="37.7109375" style="12" customWidth="1"/>
    <col min="3330" max="3339" width="11.7109375" style="12" customWidth="1"/>
    <col min="3340" max="3584" width="11.42578125" style="12"/>
    <col min="3585" max="3585" width="37.7109375" style="12" customWidth="1"/>
    <col min="3586" max="3595" width="11.7109375" style="12" customWidth="1"/>
    <col min="3596" max="3840" width="11.42578125" style="12"/>
    <col min="3841" max="3841" width="37.7109375" style="12" customWidth="1"/>
    <col min="3842" max="3851" width="11.7109375" style="12" customWidth="1"/>
    <col min="3852" max="4096" width="11.42578125" style="12"/>
    <col min="4097" max="4097" width="37.7109375" style="12" customWidth="1"/>
    <col min="4098" max="4107" width="11.7109375" style="12" customWidth="1"/>
    <col min="4108" max="4352" width="11.42578125" style="12"/>
    <col min="4353" max="4353" width="37.7109375" style="12" customWidth="1"/>
    <col min="4354" max="4363" width="11.7109375" style="12" customWidth="1"/>
    <col min="4364" max="4608" width="11.42578125" style="12"/>
    <col min="4609" max="4609" width="37.7109375" style="12" customWidth="1"/>
    <col min="4610" max="4619" width="11.7109375" style="12" customWidth="1"/>
    <col min="4620" max="4864" width="11.42578125" style="12"/>
    <col min="4865" max="4865" width="37.7109375" style="12" customWidth="1"/>
    <col min="4866" max="4875" width="11.7109375" style="12" customWidth="1"/>
    <col min="4876" max="5120" width="11.42578125" style="12"/>
    <col min="5121" max="5121" width="37.7109375" style="12" customWidth="1"/>
    <col min="5122" max="5131" width="11.7109375" style="12" customWidth="1"/>
    <col min="5132" max="5376" width="11.42578125" style="12"/>
    <col min="5377" max="5377" width="37.7109375" style="12" customWidth="1"/>
    <col min="5378" max="5387" width="11.7109375" style="12" customWidth="1"/>
    <col min="5388" max="5632" width="11.42578125" style="12"/>
    <col min="5633" max="5633" width="37.7109375" style="12" customWidth="1"/>
    <col min="5634" max="5643" width="11.7109375" style="12" customWidth="1"/>
    <col min="5644" max="5888" width="11.42578125" style="12"/>
    <col min="5889" max="5889" width="37.7109375" style="12" customWidth="1"/>
    <col min="5890" max="5899" width="11.7109375" style="12" customWidth="1"/>
    <col min="5900" max="6144" width="11.42578125" style="12"/>
    <col min="6145" max="6145" width="37.7109375" style="12" customWidth="1"/>
    <col min="6146" max="6155" width="11.7109375" style="12" customWidth="1"/>
    <col min="6156" max="6400" width="11.42578125" style="12"/>
    <col min="6401" max="6401" width="37.7109375" style="12" customWidth="1"/>
    <col min="6402" max="6411" width="11.7109375" style="12" customWidth="1"/>
    <col min="6412" max="6656" width="11.42578125" style="12"/>
    <col min="6657" max="6657" width="37.7109375" style="12" customWidth="1"/>
    <col min="6658" max="6667" width="11.7109375" style="12" customWidth="1"/>
    <col min="6668" max="6912" width="11.42578125" style="12"/>
    <col min="6913" max="6913" width="37.7109375" style="12" customWidth="1"/>
    <col min="6914" max="6923" width="11.7109375" style="12" customWidth="1"/>
    <col min="6924" max="7168" width="11.42578125" style="12"/>
    <col min="7169" max="7169" width="37.7109375" style="12" customWidth="1"/>
    <col min="7170" max="7179" width="11.7109375" style="12" customWidth="1"/>
    <col min="7180" max="7424" width="11.42578125" style="12"/>
    <col min="7425" max="7425" width="37.7109375" style="12" customWidth="1"/>
    <col min="7426" max="7435" width="11.7109375" style="12" customWidth="1"/>
    <col min="7436" max="7680" width="11.42578125" style="12"/>
    <col min="7681" max="7681" width="37.7109375" style="12" customWidth="1"/>
    <col min="7682" max="7691" width="11.7109375" style="12" customWidth="1"/>
    <col min="7692" max="7936" width="11.42578125" style="12"/>
    <col min="7937" max="7937" width="37.7109375" style="12" customWidth="1"/>
    <col min="7938" max="7947" width="11.7109375" style="12" customWidth="1"/>
    <col min="7948" max="8192" width="11.42578125" style="12"/>
    <col min="8193" max="8193" width="37.7109375" style="12" customWidth="1"/>
    <col min="8194" max="8203" width="11.7109375" style="12" customWidth="1"/>
    <col min="8204" max="8448" width="11.42578125" style="12"/>
    <col min="8449" max="8449" width="37.7109375" style="12" customWidth="1"/>
    <col min="8450" max="8459" width="11.7109375" style="12" customWidth="1"/>
    <col min="8460" max="8704" width="11.42578125" style="12"/>
    <col min="8705" max="8705" width="37.7109375" style="12" customWidth="1"/>
    <col min="8706" max="8715" width="11.7109375" style="12" customWidth="1"/>
    <col min="8716" max="8960" width="11.42578125" style="12"/>
    <col min="8961" max="8961" width="37.7109375" style="12" customWidth="1"/>
    <col min="8962" max="8971" width="11.7109375" style="12" customWidth="1"/>
    <col min="8972" max="9216" width="11.42578125" style="12"/>
    <col min="9217" max="9217" width="37.7109375" style="12" customWidth="1"/>
    <col min="9218" max="9227" width="11.7109375" style="12" customWidth="1"/>
    <col min="9228" max="9472" width="11.42578125" style="12"/>
    <col min="9473" max="9473" width="37.7109375" style="12" customWidth="1"/>
    <col min="9474" max="9483" width="11.7109375" style="12" customWidth="1"/>
    <col min="9484" max="9728" width="11.42578125" style="12"/>
    <col min="9729" max="9729" width="37.7109375" style="12" customWidth="1"/>
    <col min="9730" max="9739" width="11.7109375" style="12" customWidth="1"/>
    <col min="9740" max="9984" width="11.42578125" style="12"/>
    <col min="9985" max="9985" width="37.7109375" style="12" customWidth="1"/>
    <col min="9986" max="9995" width="11.7109375" style="12" customWidth="1"/>
    <col min="9996" max="10240" width="11.42578125" style="12"/>
    <col min="10241" max="10241" width="37.7109375" style="12" customWidth="1"/>
    <col min="10242" max="10251" width="11.7109375" style="12" customWidth="1"/>
    <col min="10252" max="10496" width="11.42578125" style="12"/>
    <col min="10497" max="10497" width="37.7109375" style="12" customWidth="1"/>
    <col min="10498" max="10507" width="11.7109375" style="12" customWidth="1"/>
    <col min="10508" max="10752" width="11.42578125" style="12"/>
    <col min="10753" max="10753" width="37.7109375" style="12" customWidth="1"/>
    <col min="10754" max="10763" width="11.7109375" style="12" customWidth="1"/>
    <col min="10764" max="11008" width="11.42578125" style="12"/>
    <col min="11009" max="11009" width="37.7109375" style="12" customWidth="1"/>
    <col min="11010" max="11019" width="11.7109375" style="12" customWidth="1"/>
    <col min="11020" max="11264" width="11.42578125" style="12"/>
    <col min="11265" max="11265" width="37.7109375" style="12" customWidth="1"/>
    <col min="11266" max="11275" width="11.7109375" style="12" customWidth="1"/>
    <col min="11276" max="11520" width="11.42578125" style="12"/>
    <col min="11521" max="11521" width="37.7109375" style="12" customWidth="1"/>
    <col min="11522" max="11531" width="11.7109375" style="12" customWidth="1"/>
    <col min="11532" max="11776" width="11.42578125" style="12"/>
    <col min="11777" max="11777" width="37.7109375" style="12" customWidth="1"/>
    <col min="11778" max="11787" width="11.7109375" style="12" customWidth="1"/>
    <col min="11788" max="12032" width="11.42578125" style="12"/>
    <col min="12033" max="12033" width="37.7109375" style="12" customWidth="1"/>
    <col min="12034" max="12043" width="11.7109375" style="12" customWidth="1"/>
    <col min="12044" max="12288" width="11.42578125" style="12"/>
    <col min="12289" max="12289" width="37.7109375" style="12" customWidth="1"/>
    <col min="12290" max="12299" width="11.7109375" style="12" customWidth="1"/>
    <col min="12300" max="12544" width="11.42578125" style="12"/>
    <col min="12545" max="12545" width="37.7109375" style="12" customWidth="1"/>
    <col min="12546" max="12555" width="11.7109375" style="12" customWidth="1"/>
    <col min="12556" max="12800" width="11.42578125" style="12"/>
    <col min="12801" max="12801" width="37.7109375" style="12" customWidth="1"/>
    <col min="12802" max="12811" width="11.7109375" style="12" customWidth="1"/>
    <col min="12812" max="13056" width="11.42578125" style="12"/>
    <col min="13057" max="13057" width="37.7109375" style="12" customWidth="1"/>
    <col min="13058" max="13067" width="11.7109375" style="12" customWidth="1"/>
    <col min="13068" max="13312" width="11.42578125" style="12"/>
    <col min="13313" max="13313" width="37.7109375" style="12" customWidth="1"/>
    <col min="13314" max="13323" width="11.7109375" style="12" customWidth="1"/>
    <col min="13324" max="13568" width="11.42578125" style="12"/>
    <col min="13569" max="13569" width="37.7109375" style="12" customWidth="1"/>
    <col min="13570" max="13579" width="11.7109375" style="12" customWidth="1"/>
    <col min="13580" max="13824" width="11.42578125" style="12"/>
    <col min="13825" max="13825" width="37.7109375" style="12" customWidth="1"/>
    <col min="13826" max="13835" width="11.7109375" style="12" customWidth="1"/>
    <col min="13836" max="14080" width="11.42578125" style="12"/>
    <col min="14081" max="14081" width="37.7109375" style="12" customWidth="1"/>
    <col min="14082" max="14091" width="11.7109375" style="12" customWidth="1"/>
    <col min="14092" max="14336" width="11.42578125" style="12"/>
    <col min="14337" max="14337" width="37.7109375" style="12" customWidth="1"/>
    <col min="14338" max="14347" width="11.7109375" style="12" customWidth="1"/>
    <col min="14348" max="14592" width="11.42578125" style="12"/>
    <col min="14593" max="14593" width="37.7109375" style="12" customWidth="1"/>
    <col min="14594" max="14603" width="11.7109375" style="12" customWidth="1"/>
    <col min="14604" max="14848" width="11.42578125" style="12"/>
    <col min="14849" max="14849" width="37.7109375" style="12" customWidth="1"/>
    <col min="14850" max="14859" width="11.7109375" style="12" customWidth="1"/>
    <col min="14860" max="15104" width="11.42578125" style="12"/>
    <col min="15105" max="15105" width="37.7109375" style="12" customWidth="1"/>
    <col min="15106" max="15115" width="11.7109375" style="12" customWidth="1"/>
    <col min="15116" max="15360" width="11.42578125" style="12"/>
    <col min="15361" max="15361" width="37.7109375" style="12" customWidth="1"/>
    <col min="15362" max="15371" width="11.7109375" style="12" customWidth="1"/>
    <col min="15372" max="15616" width="11.42578125" style="12"/>
    <col min="15617" max="15617" width="37.7109375" style="12" customWidth="1"/>
    <col min="15618" max="15627" width="11.7109375" style="12" customWidth="1"/>
    <col min="15628" max="15872" width="11.42578125" style="12"/>
    <col min="15873" max="15873" width="37.7109375" style="12" customWidth="1"/>
    <col min="15874" max="15883" width="11.7109375" style="12" customWidth="1"/>
    <col min="15884" max="16128" width="11.42578125" style="12"/>
    <col min="16129" max="16129" width="37.7109375" style="12" customWidth="1"/>
    <col min="16130" max="16139" width="11.7109375" style="12" customWidth="1"/>
    <col min="16140" max="16384" width="11.42578125" style="12"/>
  </cols>
  <sheetData>
    <row r="1" spans="1:12" ht="15.75" x14ac:dyDescent="0.25">
      <c r="A1" s="10" t="s">
        <v>87</v>
      </c>
      <c r="B1" s="110"/>
    </row>
    <row r="2" spans="1:12" x14ac:dyDescent="0.2">
      <c r="A2" s="13"/>
      <c r="B2" s="14"/>
      <c r="C2" s="14"/>
      <c r="D2" s="14"/>
      <c r="E2" s="14"/>
      <c r="F2" s="14"/>
      <c r="G2" s="14"/>
      <c r="H2" s="14"/>
      <c r="I2" s="14"/>
      <c r="J2" s="14"/>
      <c r="K2" s="14"/>
      <c r="L2" s="112"/>
    </row>
    <row r="3" spans="1:12" s="31" customFormat="1" x14ac:dyDescent="0.2">
      <c r="A3" s="133"/>
      <c r="B3" s="184">
        <v>36130</v>
      </c>
      <c r="C3" s="184">
        <v>36220</v>
      </c>
      <c r="D3" s="184">
        <v>36312</v>
      </c>
      <c r="E3" s="184">
        <v>36404</v>
      </c>
      <c r="F3" s="184">
        <v>36495</v>
      </c>
      <c r="G3" s="184">
        <v>36586</v>
      </c>
      <c r="H3" s="184">
        <v>36678</v>
      </c>
      <c r="I3" s="184">
        <v>36770</v>
      </c>
      <c r="J3" s="184">
        <v>36861</v>
      </c>
      <c r="K3" s="184">
        <v>36951</v>
      </c>
      <c r="L3" s="135" t="s">
        <v>61</v>
      </c>
    </row>
    <row r="4" spans="1:12" s="31" customFormat="1" x14ac:dyDescent="0.2">
      <c r="A4" s="33"/>
      <c r="B4" s="191"/>
      <c r="C4" s="191"/>
      <c r="D4" s="191"/>
      <c r="E4" s="191"/>
      <c r="F4" s="191"/>
      <c r="G4" s="191"/>
      <c r="H4" s="191"/>
      <c r="I4" s="191"/>
      <c r="J4" s="191"/>
      <c r="K4" s="191"/>
      <c r="L4" s="191"/>
    </row>
    <row r="5" spans="1:12" x14ac:dyDescent="0.2">
      <c r="A5" s="140" t="s">
        <v>88</v>
      </c>
      <c r="B5" s="191"/>
      <c r="C5" s="191"/>
      <c r="D5" s="191"/>
      <c r="E5" s="191"/>
      <c r="F5" s="191"/>
      <c r="G5" s="191"/>
      <c r="H5" s="191"/>
      <c r="I5" s="191"/>
      <c r="J5" s="191"/>
      <c r="K5" s="191"/>
      <c r="L5" s="191"/>
    </row>
    <row r="6" spans="1:12" x14ac:dyDescent="0.2">
      <c r="A6" s="140"/>
      <c r="B6" s="191"/>
      <c r="C6" s="191"/>
      <c r="D6" s="191"/>
      <c r="E6" s="191"/>
      <c r="F6" s="191"/>
      <c r="G6" s="191"/>
      <c r="H6" s="191"/>
      <c r="I6" s="191"/>
      <c r="J6" s="191"/>
      <c r="K6" s="191"/>
      <c r="L6" s="191"/>
    </row>
    <row r="7" spans="1:12" x14ac:dyDescent="0.2">
      <c r="A7" s="140" t="s">
        <v>91</v>
      </c>
      <c r="B7" s="191">
        <f>'Presupuesto Tesorería'!B7/'Presupuesto Tesorería'!$L7</f>
        <v>0</v>
      </c>
      <c r="C7" s="191">
        <f>'Presupuesto Tesorería'!C7/'Presupuesto Tesorería'!$L7</f>
        <v>0</v>
      </c>
      <c r="D7" s="191">
        <f>'Presupuesto Tesorería'!D7/'Presupuesto Tesorería'!$L7</f>
        <v>0</v>
      </c>
      <c r="E7" s="191">
        <f>'Presupuesto Tesorería'!E7/'Presupuesto Tesorería'!$L7</f>
        <v>0.16</v>
      </c>
      <c r="F7" s="191">
        <f>'Presupuesto Tesorería'!F7/'Presupuesto Tesorería'!$L7</f>
        <v>0.16</v>
      </c>
      <c r="G7" s="191">
        <f>'Presupuesto Tesorería'!G7/'Presupuesto Tesorería'!$L7</f>
        <v>0.16</v>
      </c>
      <c r="H7" s="191">
        <f>'Presupuesto Tesorería'!H7/'Presupuesto Tesorería'!$L7</f>
        <v>0.24</v>
      </c>
      <c r="I7" s="191">
        <f>'Presupuesto Tesorería'!I7/'Presupuesto Tesorería'!$L7</f>
        <v>0.24</v>
      </c>
      <c r="J7" s="191">
        <f>'Presupuesto Tesorería'!J7/'Presupuesto Tesorería'!$L7</f>
        <v>0.04</v>
      </c>
      <c r="K7" s="191">
        <f>'Presupuesto Tesorería'!K7/'Presupuesto Tesorería'!$L7</f>
        <v>0</v>
      </c>
      <c r="L7" s="191">
        <f>'Presupuesto Tesorería'!L7/'Presupuesto Tesorería'!$L7</f>
        <v>1</v>
      </c>
    </row>
    <row r="8" spans="1:12" x14ac:dyDescent="0.2">
      <c r="A8" s="140"/>
      <c r="B8" s="191"/>
      <c r="C8" s="191"/>
      <c r="D8" s="191"/>
      <c r="E8" s="191"/>
      <c r="F8" s="191"/>
      <c r="G8" s="191"/>
      <c r="H8" s="191"/>
      <c r="I8" s="191"/>
      <c r="J8" s="191"/>
      <c r="K8" s="191"/>
      <c r="L8" s="191"/>
    </row>
    <row r="9" spans="1:12" x14ac:dyDescent="0.2">
      <c r="A9" s="140" t="s">
        <v>92</v>
      </c>
      <c r="B9" s="191">
        <f>'Presupuesto Tesorería'!B9/'Presupuesto Tesorería'!$L9</f>
        <v>0</v>
      </c>
      <c r="C9" s="191">
        <f>'Presupuesto Tesorería'!C9/'Presupuesto Tesorería'!$L9</f>
        <v>0</v>
      </c>
      <c r="D9" s="191">
        <f>'Presupuesto Tesorería'!D9/'Presupuesto Tesorería'!$L9</f>
        <v>0.24</v>
      </c>
      <c r="E9" s="191">
        <f>'Presupuesto Tesorería'!E9/'Presupuesto Tesorería'!$L9</f>
        <v>0.38800000000000001</v>
      </c>
      <c r="F9" s="191">
        <f>'Presupuesto Tesorería'!F9/'Presupuesto Tesorería'!$L9</f>
        <v>0.27800000000000002</v>
      </c>
      <c r="G9" s="191">
        <f>'Presupuesto Tesorería'!G9/'Presupuesto Tesorería'!$L9</f>
        <v>9.4E-2</v>
      </c>
      <c r="H9" s="191" t="e">
        <f>'Presupuesto Tesorería'!H9/'Presupuesto Tesorería'!$L9</f>
        <v>#VALUE!</v>
      </c>
      <c r="I9" s="191">
        <f>'Presupuesto Tesorería'!I9/'Presupuesto Tesorería'!$L9</f>
        <v>0</v>
      </c>
      <c r="J9" s="191">
        <f>'Presupuesto Tesorería'!J9/'Presupuesto Tesorería'!$L9</f>
        <v>0</v>
      </c>
      <c r="K9" s="191">
        <f>'Presupuesto Tesorería'!K9/'Presupuesto Tesorería'!$L9</f>
        <v>0</v>
      </c>
      <c r="L9" s="191">
        <f>'Presupuesto Tesorería'!L9/'Presupuesto Tesorería'!$L9</f>
        <v>1</v>
      </c>
    </row>
    <row r="10" spans="1:12" x14ac:dyDescent="0.2">
      <c r="A10" s="33"/>
      <c r="B10" s="191"/>
      <c r="C10" s="191"/>
      <c r="D10" s="191"/>
      <c r="E10" s="191"/>
      <c r="F10" s="191"/>
      <c r="G10" s="191"/>
      <c r="H10" s="191"/>
      <c r="I10" s="191"/>
      <c r="J10" s="191"/>
      <c r="K10" s="191"/>
      <c r="L10" s="191"/>
    </row>
    <row r="11" spans="1:12" x14ac:dyDescent="0.2">
      <c r="A11" s="119" t="s">
        <v>62</v>
      </c>
      <c r="B11" s="192"/>
      <c r="C11" s="192"/>
      <c r="D11" s="192"/>
      <c r="E11" s="192"/>
      <c r="F11" s="192"/>
      <c r="G11" s="192"/>
      <c r="H11" s="192"/>
      <c r="I11" s="192"/>
      <c r="J11" s="192"/>
      <c r="K11" s="192"/>
      <c r="L11" s="193"/>
    </row>
    <row r="12" spans="1:12" x14ac:dyDescent="0.2">
      <c r="A12" s="187"/>
      <c r="B12" s="191"/>
      <c r="C12" s="191"/>
      <c r="D12" s="191"/>
      <c r="E12" s="191"/>
      <c r="F12" s="191"/>
      <c r="G12" s="191"/>
      <c r="H12" s="191"/>
      <c r="I12" s="191"/>
      <c r="J12" s="191"/>
      <c r="K12" s="191"/>
      <c r="L12" s="191"/>
    </row>
    <row r="13" spans="1:12" x14ac:dyDescent="0.2">
      <c r="A13" s="33" t="s">
        <v>21</v>
      </c>
      <c r="B13" s="191">
        <f>'Presupuesto Tesorería'!B13/'Presupuesto Tesorería'!$L13</f>
        <v>0</v>
      </c>
      <c r="C13" s="191">
        <f>'Presupuesto Tesorería'!C13/'Presupuesto Tesorería'!$L13</f>
        <v>0</v>
      </c>
      <c r="D13" s="191">
        <f>'Presupuesto Tesorería'!D13/'Presupuesto Tesorería'!$L13</f>
        <v>0</v>
      </c>
      <c r="E13" s="191">
        <f>'Presupuesto Tesorería'!E13/'Presupuesto Tesorería'!$L13</f>
        <v>3.2000000000000001E-2</v>
      </c>
      <c r="F13" s="191">
        <f>'Presupuesto Tesorería'!F13/'Presupuesto Tesorería'!$L13</f>
        <v>3.2000000000000001E-2</v>
      </c>
      <c r="G13" s="191">
        <f>'Presupuesto Tesorería'!G13/'Presupuesto Tesorería'!$L13</f>
        <v>3.2000000000000001E-2</v>
      </c>
      <c r="H13" s="191">
        <f>'Presupuesto Tesorería'!H13/'Presupuesto Tesorería'!$L13</f>
        <v>0.624</v>
      </c>
      <c r="I13" s="191">
        <f>'Presupuesto Tesorería'!I13/'Presupuesto Tesorería'!$L13</f>
        <v>0.24</v>
      </c>
      <c r="J13" s="191">
        <f>'Presupuesto Tesorería'!J13/'Presupuesto Tesorería'!$L13</f>
        <v>0.04</v>
      </c>
      <c r="K13" s="191">
        <f>'Presupuesto Tesorería'!K13/'Presupuesto Tesorería'!$L13</f>
        <v>0</v>
      </c>
      <c r="L13" s="191">
        <f>'Presupuesto Tesorería'!L13/'Presupuesto Tesorería'!$L13</f>
        <v>1</v>
      </c>
    </row>
    <row r="14" spans="1:12" x14ac:dyDescent="0.2">
      <c r="A14" s="153"/>
      <c r="B14" s="191"/>
      <c r="C14" s="191"/>
      <c r="D14" s="191"/>
      <c r="E14" s="191"/>
      <c r="F14" s="191"/>
      <c r="G14" s="191"/>
      <c r="H14" s="191"/>
      <c r="I14" s="191"/>
      <c r="J14" s="191"/>
      <c r="K14" s="191"/>
      <c r="L14" s="191"/>
    </row>
    <row r="15" spans="1:12" x14ac:dyDescent="0.2">
      <c r="A15" s="142" t="s">
        <v>65</v>
      </c>
      <c r="B15" s="191">
        <f>'Presupuesto Tesorería'!B15/'Presupuesto Tesorería'!$L15</f>
        <v>0</v>
      </c>
      <c r="C15" s="191">
        <f>'Presupuesto Tesorería'!C15/'Presupuesto Tesorería'!$L15</f>
        <v>0</v>
      </c>
      <c r="D15" s="191">
        <f>'Presupuesto Tesorería'!D15/'Presupuesto Tesorería'!$L15</f>
        <v>0</v>
      </c>
      <c r="E15" s="191">
        <f>'Presupuesto Tesorería'!E15/'Presupuesto Tesorería'!$L15</f>
        <v>3.2000000000000001E-2</v>
      </c>
      <c r="F15" s="191">
        <f>'Presupuesto Tesorería'!F15/'Presupuesto Tesorería'!$L15</f>
        <v>3.2000000000000001E-2</v>
      </c>
      <c r="G15" s="191">
        <f>'Presupuesto Tesorería'!G15/'Presupuesto Tesorería'!$L15</f>
        <v>3.2000000000000001E-2</v>
      </c>
      <c r="H15" s="191">
        <f>'Presupuesto Tesorería'!H15/'Presupuesto Tesorería'!$L15</f>
        <v>0.624</v>
      </c>
      <c r="I15" s="191">
        <f>'Presupuesto Tesorería'!I15/'Presupuesto Tesorería'!$L15</f>
        <v>0.24</v>
      </c>
      <c r="J15" s="191">
        <f>'Presupuesto Tesorería'!J15/'Presupuesto Tesorería'!$L15</f>
        <v>0.04</v>
      </c>
      <c r="K15" s="191">
        <f>'Presupuesto Tesorería'!K15/'Presupuesto Tesorería'!$L15</f>
        <v>0</v>
      </c>
      <c r="L15" s="191">
        <f>'Presupuesto Tesorería'!L15/'Presupuesto Tesorería'!$L15</f>
        <v>1</v>
      </c>
    </row>
    <row r="16" spans="1:12" x14ac:dyDescent="0.2">
      <c r="A16" s="140"/>
      <c r="B16" s="191"/>
      <c r="C16" s="191"/>
      <c r="D16" s="191"/>
      <c r="E16" s="191"/>
      <c r="F16" s="191"/>
      <c r="G16" s="191"/>
      <c r="H16" s="191"/>
      <c r="I16" s="191"/>
      <c r="J16" s="191"/>
      <c r="K16" s="191"/>
      <c r="L16" s="191"/>
    </row>
    <row r="17" spans="1:12" x14ac:dyDescent="0.2">
      <c r="A17" s="133" t="s">
        <v>66</v>
      </c>
      <c r="B17" s="194"/>
      <c r="C17" s="194"/>
      <c r="D17" s="194"/>
      <c r="E17" s="194"/>
      <c r="F17" s="194"/>
      <c r="G17" s="194"/>
      <c r="H17" s="194"/>
      <c r="I17" s="194"/>
      <c r="J17" s="194"/>
      <c r="K17" s="194"/>
      <c r="L17" s="195"/>
    </row>
    <row r="18" spans="1:12" x14ac:dyDescent="0.2">
      <c r="A18" s="136"/>
      <c r="B18" s="191"/>
      <c r="C18" s="191"/>
      <c r="D18" s="191"/>
      <c r="E18" s="191"/>
      <c r="F18" s="191"/>
      <c r="G18" s="191"/>
      <c r="H18" s="191"/>
      <c r="I18" s="191"/>
      <c r="J18" s="191"/>
      <c r="K18" s="191"/>
      <c r="L18" s="191"/>
    </row>
    <row r="19" spans="1:12" x14ac:dyDescent="0.2">
      <c r="A19" s="33" t="s">
        <v>4</v>
      </c>
      <c r="B19" s="191">
        <f>AVERAGE(B20:B22)</f>
        <v>0.83333333333333337</v>
      </c>
      <c r="C19" s="191">
        <f t="shared" ref="C19:L19" si="0">AVERAGE(C20:C22)</f>
        <v>0</v>
      </c>
      <c r="D19" s="191">
        <f t="shared" si="0"/>
        <v>0.16666666666666666</v>
      </c>
      <c r="E19" s="191">
        <f t="shared" si="0"/>
        <v>0</v>
      </c>
      <c r="F19" s="191">
        <f t="shared" si="0"/>
        <v>0</v>
      </c>
      <c r="G19" s="191">
        <f t="shared" si="0"/>
        <v>0</v>
      </c>
      <c r="H19" s="191">
        <f t="shared" si="0"/>
        <v>0</v>
      </c>
      <c r="I19" s="191">
        <f t="shared" si="0"/>
        <v>0</v>
      </c>
      <c r="J19" s="191">
        <f t="shared" si="0"/>
        <v>0</v>
      </c>
      <c r="K19" s="191">
        <f t="shared" si="0"/>
        <v>0</v>
      </c>
      <c r="L19" s="191">
        <f t="shared" si="0"/>
        <v>1</v>
      </c>
    </row>
    <row r="20" spans="1:12" x14ac:dyDescent="0.2">
      <c r="A20" s="140" t="s">
        <v>5</v>
      </c>
      <c r="B20" s="191">
        <f>'Presupuesto Tesorería'!B20/'Presupuesto Tesorería'!$L20</f>
        <v>0.5</v>
      </c>
      <c r="C20" s="191">
        <f>'Presupuesto Tesorería'!C20/'Presupuesto Tesorería'!$L20</f>
        <v>0</v>
      </c>
      <c r="D20" s="191">
        <f>'Presupuesto Tesorería'!D20/'Presupuesto Tesorería'!$L20</f>
        <v>0.5</v>
      </c>
      <c r="E20" s="191">
        <f>'Presupuesto Tesorería'!E20/'Presupuesto Tesorería'!$L20</f>
        <v>0</v>
      </c>
      <c r="F20" s="191">
        <f>'Presupuesto Tesorería'!F20/'Presupuesto Tesorería'!$L20</f>
        <v>0</v>
      </c>
      <c r="G20" s="191">
        <f>'Presupuesto Tesorería'!G20/'Presupuesto Tesorería'!$L20</f>
        <v>0</v>
      </c>
      <c r="H20" s="191">
        <f>'Presupuesto Tesorería'!H20/'Presupuesto Tesorería'!$L20</f>
        <v>0</v>
      </c>
      <c r="I20" s="191">
        <f>'Presupuesto Tesorería'!I20/'Presupuesto Tesorería'!$L20</f>
        <v>0</v>
      </c>
      <c r="J20" s="191">
        <f>'Presupuesto Tesorería'!J20/'Presupuesto Tesorería'!$L20</f>
        <v>0</v>
      </c>
      <c r="K20" s="191">
        <f>'Presupuesto Tesorería'!K20/'Presupuesto Tesorería'!$L20</f>
        <v>0</v>
      </c>
      <c r="L20" s="191">
        <f>'Presupuesto Tesorería'!L20/'Presupuesto Tesorería'!$L20</f>
        <v>1</v>
      </c>
    </row>
    <row r="21" spans="1:12" x14ac:dyDescent="0.2">
      <c r="A21" s="140" t="s">
        <v>94</v>
      </c>
      <c r="B21" s="191">
        <f>'Presupuesto Tesorería'!B21/'Presupuesto Tesorería'!$L21</f>
        <v>1</v>
      </c>
      <c r="C21" s="191">
        <f>'Presupuesto Tesorería'!C21/'Presupuesto Tesorería'!$L21</f>
        <v>0</v>
      </c>
      <c r="D21" s="191">
        <f>'Presupuesto Tesorería'!D21/'Presupuesto Tesorería'!$L21</f>
        <v>0</v>
      </c>
      <c r="E21" s="191">
        <f>'Presupuesto Tesorería'!E21/'Presupuesto Tesorería'!$L21</f>
        <v>0</v>
      </c>
      <c r="F21" s="191">
        <f>'Presupuesto Tesorería'!F21/'Presupuesto Tesorería'!$L21</f>
        <v>0</v>
      </c>
      <c r="G21" s="191">
        <f>'Presupuesto Tesorería'!G21/'Presupuesto Tesorería'!$L21</f>
        <v>0</v>
      </c>
      <c r="H21" s="191">
        <f>'Presupuesto Tesorería'!H21/'Presupuesto Tesorería'!$L21</f>
        <v>0</v>
      </c>
      <c r="I21" s="191">
        <f>'Presupuesto Tesorería'!I21/'Presupuesto Tesorería'!$L21</f>
        <v>0</v>
      </c>
      <c r="J21" s="191">
        <f>'Presupuesto Tesorería'!J21/'Presupuesto Tesorería'!$L21</f>
        <v>0</v>
      </c>
      <c r="K21" s="191">
        <f>'Presupuesto Tesorería'!K21/'Presupuesto Tesorería'!$L21</f>
        <v>0</v>
      </c>
      <c r="L21" s="191">
        <f>'Presupuesto Tesorería'!L21/'Presupuesto Tesorería'!$L21</f>
        <v>1</v>
      </c>
    </row>
    <row r="22" spans="1:12" x14ac:dyDescent="0.2">
      <c r="A22" s="140" t="s">
        <v>95</v>
      </c>
      <c r="B22" s="191">
        <f>'Presupuesto Tesorería'!B22/'Presupuesto Tesorería'!$L22</f>
        <v>1</v>
      </c>
      <c r="C22" s="191">
        <f>'Presupuesto Tesorería'!C22/'Presupuesto Tesorería'!$L22</f>
        <v>0</v>
      </c>
      <c r="D22" s="191">
        <f>'Presupuesto Tesorería'!D22/'Presupuesto Tesorería'!$L22</f>
        <v>0</v>
      </c>
      <c r="E22" s="191">
        <f>'Presupuesto Tesorería'!E22/'Presupuesto Tesorería'!$L22</f>
        <v>0</v>
      </c>
      <c r="F22" s="191">
        <f>'Presupuesto Tesorería'!F22/'Presupuesto Tesorería'!$L22</f>
        <v>0</v>
      </c>
      <c r="G22" s="191">
        <f>'Presupuesto Tesorería'!G22/'Presupuesto Tesorería'!$L22</f>
        <v>0</v>
      </c>
      <c r="H22" s="191">
        <f>'Presupuesto Tesorería'!H22/'Presupuesto Tesorería'!$L22</f>
        <v>0</v>
      </c>
      <c r="I22" s="191">
        <f>'Presupuesto Tesorería'!I22/'Presupuesto Tesorería'!$L22</f>
        <v>0</v>
      </c>
      <c r="J22" s="191">
        <f>'Presupuesto Tesorería'!J22/'Presupuesto Tesorería'!$L22</f>
        <v>0</v>
      </c>
      <c r="K22" s="191">
        <f>'Presupuesto Tesorería'!K22/'Presupuesto Tesorería'!$L22</f>
        <v>0</v>
      </c>
      <c r="L22" s="191">
        <f>'Presupuesto Tesorería'!L22/'Presupuesto Tesorería'!$L22</f>
        <v>1</v>
      </c>
    </row>
    <row r="23" spans="1:12" x14ac:dyDescent="0.2">
      <c r="A23" s="140"/>
      <c r="B23" s="191"/>
      <c r="C23" s="191"/>
      <c r="D23" s="191"/>
      <c r="E23" s="191"/>
      <c r="F23" s="191"/>
      <c r="G23" s="191"/>
      <c r="H23" s="191"/>
      <c r="I23" s="191"/>
      <c r="J23" s="191"/>
      <c r="K23" s="191"/>
      <c r="L23" s="191"/>
    </row>
    <row r="24" spans="1:12" x14ac:dyDescent="0.2">
      <c r="A24" s="33" t="s">
        <v>9</v>
      </c>
      <c r="B24" s="191">
        <f>AVERAGE(B25:B29)</f>
        <v>0.20000975134080937</v>
      </c>
      <c r="C24" s="191">
        <f t="shared" ref="C24:L24" si="1">AVERAGE(C25:C29)</f>
        <v>0.11999674955306357</v>
      </c>
      <c r="D24" s="191">
        <f t="shared" si="1"/>
        <v>0.2</v>
      </c>
      <c r="E24" s="191">
        <f t="shared" si="1"/>
        <v>8.7996749553063552E-2</v>
      </c>
      <c r="F24" s="191">
        <f t="shared" si="1"/>
        <v>7.7600000000000002E-2</v>
      </c>
      <c r="G24" s="191">
        <f t="shared" si="1"/>
        <v>9.5596749553063548E-2</v>
      </c>
      <c r="H24" s="191">
        <f t="shared" si="1"/>
        <v>6.88E-2</v>
      </c>
      <c r="I24" s="191">
        <f t="shared" si="1"/>
        <v>0.05</v>
      </c>
      <c r="J24" s="191">
        <f t="shared" si="1"/>
        <v>0.05</v>
      </c>
      <c r="K24" s="191">
        <f t="shared" si="1"/>
        <v>0.05</v>
      </c>
      <c r="L24" s="191">
        <f t="shared" si="1"/>
        <v>1</v>
      </c>
    </row>
    <row r="25" spans="1:12" x14ac:dyDescent="0.2">
      <c r="A25" s="140" t="s">
        <v>10</v>
      </c>
      <c r="B25" s="191">
        <f>'Presupuesto Tesorería'!B25/'Presupuesto Tesorería'!$L25</f>
        <v>0.40004875670404683</v>
      </c>
      <c r="C25" s="191">
        <f>'Presupuesto Tesorería'!C25/'Presupuesto Tesorería'!$L25</f>
        <v>0.19998374776531774</v>
      </c>
      <c r="D25" s="191">
        <f>'Presupuesto Tesorería'!D25/'Presupuesto Tesorería'!$L25</f>
        <v>0</v>
      </c>
      <c r="E25" s="191">
        <f>'Presupuesto Tesorería'!E25/'Presupuesto Tesorería'!$L25</f>
        <v>0.19998374776531774</v>
      </c>
      <c r="F25" s="191">
        <f>'Presupuesto Tesorería'!F25/'Presupuesto Tesorería'!$L25</f>
        <v>0</v>
      </c>
      <c r="G25" s="191">
        <f>'Presupuesto Tesorería'!G25/'Presupuesto Tesorería'!$L25</f>
        <v>0.19998374776531774</v>
      </c>
      <c r="H25" s="191">
        <f>'Presupuesto Tesorería'!H25/'Presupuesto Tesorería'!$L25</f>
        <v>0</v>
      </c>
      <c r="I25" s="191">
        <f>'Presupuesto Tesorería'!I25/'Presupuesto Tesorería'!$L25</f>
        <v>0</v>
      </c>
      <c r="J25" s="191">
        <f>'Presupuesto Tesorería'!J25/'Presupuesto Tesorería'!$L25</f>
        <v>0</v>
      </c>
      <c r="K25" s="191">
        <f>'Presupuesto Tesorería'!K25/'Presupuesto Tesorería'!$L25</f>
        <v>0</v>
      </c>
      <c r="L25" s="191">
        <f>'Presupuesto Tesorería'!L25/'Presupuesto Tesorería'!$L25</f>
        <v>1</v>
      </c>
    </row>
    <row r="26" spans="1:12" x14ac:dyDescent="0.2">
      <c r="A26" s="140" t="s">
        <v>96</v>
      </c>
      <c r="B26" s="191">
        <f>'Presupuesto Tesorería'!B26/'Presupuesto Tesorería'!$L26</f>
        <v>0.6</v>
      </c>
      <c r="C26" s="191">
        <f>'Presupuesto Tesorería'!C26/'Presupuesto Tesorería'!$L26</f>
        <v>0.4</v>
      </c>
      <c r="D26" s="191">
        <f>'Presupuesto Tesorería'!D26/'Presupuesto Tesorería'!$L26</f>
        <v>0</v>
      </c>
      <c r="E26" s="191">
        <f>'Presupuesto Tesorería'!E26/'Presupuesto Tesorería'!$L26</f>
        <v>0</v>
      </c>
      <c r="F26" s="191">
        <f>'Presupuesto Tesorería'!F26/'Presupuesto Tesorería'!$L26</f>
        <v>0</v>
      </c>
      <c r="G26" s="191">
        <f>'Presupuesto Tesorería'!G26/'Presupuesto Tesorería'!$L26</f>
        <v>0</v>
      </c>
      <c r="H26" s="191">
        <f>'Presupuesto Tesorería'!H26/'Presupuesto Tesorería'!$L26</f>
        <v>0</v>
      </c>
      <c r="I26" s="191">
        <f>'Presupuesto Tesorería'!I26/'Presupuesto Tesorería'!$L26</f>
        <v>0</v>
      </c>
      <c r="J26" s="191">
        <f>'Presupuesto Tesorería'!J26/'Presupuesto Tesorería'!$L26</f>
        <v>0</v>
      </c>
      <c r="K26" s="191">
        <f>'Presupuesto Tesorería'!K26/'Presupuesto Tesorería'!$L26</f>
        <v>0</v>
      </c>
      <c r="L26" s="191">
        <f>'Presupuesto Tesorería'!L26/'Presupuesto Tesorería'!$L26</f>
        <v>1</v>
      </c>
    </row>
    <row r="27" spans="1:12" x14ac:dyDescent="0.2">
      <c r="A27" s="140" t="s">
        <v>12</v>
      </c>
      <c r="B27" s="191">
        <f>'Presupuesto Tesorería'!B27/'Presupuesto Tesorería'!$L27</f>
        <v>0</v>
      </c>
      <c r="C27" s="191">
        <f>'Presupuesto Tesorería'!C27/'Presupuesto Tesorería'!$L27</f>
        <v>0</v>
      </c>
      <c r="D27" s="191">
        <f>'Presupuesto Tesorería'!D27/'Presupuesto Tesorería'!$L27</f>
        <v>1</v>
      </c>
      <c r="E27" s="191">
        <f>'Presupuesto Tesorería'!E27/'Presupuesto Tesorería'!$L27</f>
        <v>0</v>
      </c>
      <c r="F27" s="191">
        <f>'Presupuesto Tesorería'!F27/'Presupuesto Tesorería'!$L27</f>
        <v>0</v>
      </c>
      <c r="G27" s="191">
        <f>'Presupuesto Tesorería'!G27/'Presupuesto Tesorería'!$L27</f>
        <v>0</v>
      </c>
      <c r="H27" s="191">
        <f>'Presupuesto Tesorería'!H27/'Presupuesto Tesorería'!$L27</f>
        <v>0</v>
      </c>
      <c r="I27" s="191">
        <f>'Presupuesto Tesorería'!I27/'Presupuesto Tesorería'!$L27</f>
        <v>0</v>
      </c>
      <c r="J27" s="191">
        <f>'Presupuesto Tesorería'!J27/'Presupuesto Tesorería'!$L27</f>
        <v>0</v>
      </c>
      <c r="K27" s="191">
        <f>'Presupuesto Tesorería'!K27/'Presupuesto Tesorería'!$L27</f>
        <v>0</v>
      </c>
      <c r="L27" s="191">
        <f>'Presupuesto Tesorería'!L27/'Presupuesto Tesorería'!$L27</f>
        <v>1</v>
      </c>
    </row>
    <row r="28" spans="1:12" x14ac:dyDescent="0.2">
      <c r="A28" s="140" t="s">
        <v>97</v>
      </c>
      <c r="B28" s="191">
        <f>'Presupuesto Tesorería'!B28/'Presupuesto Tesorería'!$L28</f>
        <v>0</v>
      </c>
      <c r="C28" s="191">
        <f>'Presupuesto Tesorería'!C28/'Presupuesto Tesorería'!$L28</f>
        <v>0</v>
      </c>
      <c r="D28" s="191">
        <f>'Presupuesto Tesorería'!D28/'Presupuesto Tesorería'!$L28</f>
        <v>0</v>
      </c>
      <c r="E28" s="191">
        <f>'Presupuesto Tesorería'!E28/'Presupuesto Tesorería'!$L28</f>
        <v>0.24</v>
      </c>
      <c r="F28" s="191">
        <f>'Presupuesto Tesorería'!F28/'Presupuesto Tesorería'!$L28</f>
        <v>0.38800000000000001</v>
      </c>
      <c r="G28" s="191">
        <f>'Presupuesto Tesorería'!G28/'Presupuesto Tesorería'!$L28</f>
        <v>0.27800000000000002</v>
      </c>
      <c r="H28" s="191">
        <f>'Presupuesto Tesorería'!H28/'Presupuesto Tesorería'!$L28</f>
        <v>9.4E-2</v>
      </c>
      <c r="I28" s="191">
        <f>'Presupuesto Tesorería'!I28/'Presupuesto Tesorería'!$L28</f>
        <v>0</v>
      </c>
      <c r="J28" s="191">
        <f>'Presupuesto Tesorería'!J28/'Presupuesto Tesorería'!$L28</f>
        <v>0</v>
      </c>
      <c r="K28" s="191">
        <f>'Presupuesto Tesorería'!K28/'Presupuesto Tesorería'!$L28</f>
        <v>0</v>
      </c>
      <c r="L28" s="191">
        <f>'Presupuesto Tesorería'!L28/'Presupuesto Tesorería'!$L28</f>
        <v>1</v>
      </c>
    </row>
    <row r="29" spans="1:12" x14ac:dyDescent="0.2">
      <c r="A29" s="140" t="s">
        <v>98</v>
      </c>
      <c r="B29" s="191">
        <f>'Presupuesto Tesorería'!B29/'Presupuesto Tesorería'!$L29</f>
        <v>0</v>
      </c>
      <c r="C29" s="191">
        <f>'Presupuesto Tesorería'!C29/'Presupuesto Tesorería'!$L29</f>
        <v>0</v>
      </c>
      <c r="D29" s="191">
        <f>'Presupuesto Tesorería'!D29/'Presupuesto Tesorería'!$L29</f>
        <v>0</v>
      </c>
      <c r="E29" s="191">
        <f>'Presupuesto Tesorería'!E29/'Presupuesto Tesorería'!$L29</f>
        <v>0</v>
      </c>
      <c r="F29" s="191">
        <f>'Presupuesto Tesorería'!F29/'Presupuesto Tesorería'!$L29</f>
        <v>0</v>
      </c>
      <c r="G29" s="191">
        <f>'Presupuesto Tesorería'!G29/'Presupuesto Tesorería'!$L29</f>
        <v>0</v>
      </c>
      <c r="H29" s="191">
        <f>'Presupuesto Tesorería'!H29/'Presupuesto Tesorería'!$L29</f>
        <v>0.25</v>
      </c>
      <c r="I29" s="191">
        <f>'Presupuesto Tesorería'!I29/'Presupuesto Tesorería'!$L29</f>
        <v>0.25</v>
      </c>
      <c r="J29" s="191">
        <f>'Presupuesto Tesorería'!J29/'Presupuesto Tesorería'!$L29</f>
        <v>0.25</v>
      </c>
      <c r="K29" s="191">
        <f>'Presupuesto Tesorería'!K29/'Presupuesto Tesorería'!$L29</f>
        <v>0.25</v>
      </c>
      <c r="L29" s="191">
        <f>'Presupuesto Tesorería'!L29/'Presupuesto Tesorería'!$L29</f>
        <v>1</v>
      </c>
    </row>
    <row r="30" spans="1:12" x14ac:dyDescent="0.2">
      <c r="A30" s="140"/>
      <c r="B30" s="191"/>
      <c r="C30" s="191"/>
      <c r="D30" s="191"/>
      <c r="E30" s="191"/>
      <c r="F30" s="191"/>
      <c r="G30" s="191"/>
      <c r="H30" s="191"/>
      <c r="I30" s="191"/>
      <c r="J30" s="191"/>
      <c r="K30" s="191"/>
      <c r="L30" s="191"/>
    </row>
    <row r="31" spans="1:12" x14ac:dyDescent="0.2">
      <c r="A31" s="33" t="s">
        <v>15</v>
      </c>
      <c r="B31" s="191">
        <f>'Presupuesto Tesorería'!B31/'Presupuesto Tesorería'!$L31</f>
        <v>0</v>
      </c>
      <c r="C31" s="191">
        <f>'Presupuesto Tesorería'!C31/'Presupuesto Tesorería'!$L31</f>
        <v>0</v>
      </c>
      <c r="D31" s="191">
        <f>'Presupuesto Tesorería'!D31/'Presupuesto Tesorería'!$L31</f>
        <v>0</v>
      </c>
      <c r="E31" s="191">
        <f>'Presupuesto Tesorería'!E31/'Presupuesto Tesorería'!$L31</f>
        <v>0.16</v>
      </c>
      <c r="F31" s="191">
        <f>'Presupuesto Tesorería'!F31/'Presupuesto Tesorería'!$L31</f>
        <v>0.16</v>
      </c>
      <c r="G31" s="191">
        <f>'Presupuesto Tesorería'!G31/'Presupuesto Tesorería'!$L31</f>
        <v>0.16</v>
      </c>
      <c r="H31" s="191">
        <f>'Presupuesto Tesorería'!H31/'Presupuesto Tesorería'!$L31</f>
        <v>0.24</v>
      </c>
      <c r="I31" s="191">
        <f>'Presupuesto Tesorería'!I31/'Presupuesto Tesorería'!$L31</f>
        <v>0.24</v>
      </c>
      <c r="J31" s="191">
        <f>'Presupuesto Tesorería'!J31/'Presupuesto Tesorería'!$L31</f>
        <v>0.04</v>
      </c>
      <c r="K31" s="191">
        <f>'Presupuesto Tesorería'!K31/'Presupuesto Tesorería'!$L31</f>
        <v>0</v>
      </c>
      <c r="L31" s="191">
        <f>'Presupuesto Tesorería'!L31/'Presupuesto Tesorería'!$L31</f>
        <v>1</v>
      </c>
    </row>
    <row r="32" spans="1:12" x14ac:dyDescent="0.2">
      <c r="A32" s="33"/>
      <c r="B32" s="191"/>
      <c r="C32" s="191"/>
      <c r="D32" s="191"/>
      <c r="E32" s="191"/>
      <c r="F32" s="191"/>
      <c r="G32" s="191"/>
      <c r="H32" s="191"/>
      <c r="I32" s="191"/>
      <c r="J32" s="191"/>
      <c r="K32" s="191"/>
      <c r="L32" s="191"/>
    </row>
    <row r="33" spans="1:12" x14ac:dyDescent="0.2">
      <c r="A33" s="33" t="s">
        <v>17</v>
      </c>
      <c r="B33" s="191">
        <f>'Presupuesto Tesorería'!B33/'Presupuesto Tesorería'!$L33</f>
        <v>0</v>
      </c>
      <c r="C33" s="191">
        <f>'Presupuesto Tesorería'!C33/'Presupuesto Tesorería'!$L33</f>
        <v>0</v>
      </c>
      <c r="D33" s="191">
        <f>'Presupuesto Tesorería'!D33/'Presupuesto Tesorería'!$L33</f>
        <v>1</v>
      </c>
      <c r="E33" s="191">
        <f>'Presupuesto Tesorería'!E33/'Presupuesto Tesorería'!$L33</f>
        <v>0</v>
      </c>
      <c r="F33" s="191">
        <f>'Presupuesto Tesorería'!F33/'Presupuesto Tesorería'!$L33</f>
        <v>0</v>
      </c>
      <c r="G33" s="191">
        <f>'Presupuesto Tesorería'!G33/'Presupuesto Tesorería'!$L33</f>
        <v>0</v>
      </c>
      <c r="H33" s="191">
        <f>'Presupuesto Tesorería'!H33/'Presupuesto Tesorería'!$L33</f>
        <v>0</v>
      </c>
      <c r="I33" s="191">
        <f>'Presupuesto Tesorería'!I33/'Presupuesto Tesorería'!$L33</f>
        <v>0</v>
      </c>
      <c r="J33" s="191">
        <f>'Presupuesto Tesorería'!J33/'Presupuesto Tesorería'!$L33</f>
        <v>0</v>
      </c>
      <c r="K33" s="191">
        <f>'Presupuesto Tesorería'!K33/'Presupuesto Tesorería'!$L33</f>
        <v>0</v>
      </c>
      <c r="L33" s="191">
        <f>'Presupuesto Tesorería'!L33/'Presupuesto Tesorería'!$L33</f>
        <v>1</v>
      </c>
    </row>
    <row r="34" spans="1:12" x14ac:dyDescent="0.2">
      <c r="A34" s="33"/>
      <c r="B34" s="191"/>
      <c r="C34" s="191"/>
      <c r="D34" s="191"/>
      <c r="E34" s="191"/>
      <c r="F34" s="191"/>
      <c r="G34" s="191"/>
      <c r="H34" s="191"/>
      <c r="I34" s="191"/>
      <c r="J34" s="191"/>
      <c r="K34" s="191"/>
      <c r="L34" s="191"/>
    </row>
    <row r="35" spans="1:12" x14ac:dyDescent="0.2">
      <c r="A35" s="142" t="s">
        <v>68</v>
      </c>
      <c r="B35" s="191">
        <f>'Presupuesto Tesorería'!B35/'Presupuesto Tesorería'!$L35</f>
        <v>0.19635509947238491</v>
      </c>
      <c r="C35" s="191">
        <f>'Presupuesto Tesorería'!C35/'Presupuesto Tesorería'!$L35</f>
        <v>1.3291587641749798E-2</v>
      </c>
      <c r="D35" s="191">
        <f>'Presupuesto Tesorería'!D35/'Presupuesto Tesorería'!$L35</f>
        <v>0.21686784100260068</v>
      </c>
      <c r="E35" s="191">
        <f>'Presupuesto Tesorería'!E35/'Presupuesto Tesorería'!$L35</f>
        <v>0.13324811110279913</v>
      </c>
      <c r="F35" s="191">
        <f>'Presupuesto Tesorería'!F35/'Presupuesto Tesorería'!$L35</f>
        <v>0.20069395244863564</v>
      </c>
      <c r="G35" s="191">
        <f>'Presupuesto Tesorería'!G35/'Presupuesto Tesorería'!$L35</f>
        <v>0.15195556416089839</v>
      </c>
      <c r="H35" s="191">
        <f>'Presupuesto Tesorería'!H35/'Presupuesto Tesorería'!$L35</f>
        <v>6.3259904334012476E-2</v>
      </c>
      <c r="I35" s="191">
        <f>'Presupuesto Tesorería'!I35/'Presupuesto Tesorería'!$L35</f>
        <v>1.6983573085030079E-2</v>
      </c>
      <c r="J35" s="191">
        <f>'Presupuesto Tesorería'!J35/'Presupuesto Tesorería'!$L35</f>
        <v>4.8823097131340514E-3</v>
      </c>
      <c r="K35" s="191">
        <f>'Presupuesto Tesorería'!K35/'Presupuesto Tesorería'!$L35</f>
        <v>2.4620570387548458E-3</v>
      </c>
      <c r="L35" s="191">
        <f>'Presupuesto Tesorería'!L35/'Presupuesto Tesorería'!$L35</f>
        <v>1</v>
      </c>
    </row>
    <row r="36" spans="1:12" x14ac:dyDescent="0.2">
      <c r="A36" s="144"/>
      <c r="B36" s="191"/>
      <c r="C36" s="191"/>
      <c r="D36" s="191"/>
      <c r="E36" s="191"/>
      <c r="F36" s="191"/>
      <c r="G36" s="191"/>
      <c r="H36" s="191"/>
      <c r="I36" s="191"/>
      <c r="J36" s="191"/>
      <c r="K36" s="191"/>
      <c r="L36" s="191"/>
    </row>
    <row r="37" spans="1:12" x14ac:dyDescent="0.2">
      <c r="A37" s="119" t="s">
        <v>69</v>
      </c>
      <c r="B37" s="191"/>
      <c r="C37" s="191"/>
      <c r="D37" s="191"/>
      <c r="E37" s="191"/>
      <c r="F37" s="191"/>
      <c r="G37" s="191"/>
      <c r="H37" s="191"/>
      <c r="I37" s="191"/>
      <c r="J37" s="191"/>
      <c r="K37" s="191"/>
      <c r="L37" s="191"/>
    </row>
    <row r="38" spans="1:12" ht="12.75" customHeight="1" x14ac:dyDescent="0.2">
      <c r="A38" s="33"/>
      <c r="B38" s="191"/>
      <c r="C38" s="191"/>
      <c r="D38" s="191"/>
      <c r="E38" s="191"/>
      <c r="F38" s="191"/>
      <c r="G38" s="191"/>
      <c r="H38" s="191"/>
      <c r="I38" s="191"/>
      <c r="J38" s="191"/>
      <c r="K38" s="191"/>
      <c r="L38" s="196"/>
    </row>
    <row r="39" spans="1:12" x14ac:dyDescent="0.2">
      <c r="A39" s="133" t="s">
        <v>70</v>
      </c>
      <c r="B39" s="191"/>
      <c r="C39" s="191"/>
      <c r="D39" s="191"/>
      <c r="E39" s="191"/>
      <c r="F39" s="191"/>
      <c r="G39" s="191"/>
      <c r="H39" s="191"/>
      <c r="I39" s="191"/>
      <c r="J39" s="191"/>
      <c r="K39" s="191"/>
      <c r="L39" s="191"/>
    </row>
    <row r="40" spans="1:12" x14ac:dyDescent="0.2">
      <c r="A40" s="41"/>
      <c r="B40" s="197"/>
      <c r="C40" s="197"/>
      <c r="D40" s="197"/>
      <c r="E40" s="197"/>
      <c r="F40" s="197"/>
      <c r="G40" s="197"/>
      <c r="H40" s="197"/>
      <c r="I40" s="197"/>
      <c r="J40" s="197"/>
      <c r="K40" s="197"/>
      <c r="L40" s="198"/>
    </row>
    <row r="41" spans="1:12" x14ac:dyDescent="0.2">
      <c r="A41" s="15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99"/>
    </row>
    <row r="42" spans="1:12" x14ac:dyDescent="0.2">
      <c r="A42" s="155" t="s">
        <v>71</v>
      </c>
      <c r="B42" s="200"/>
      <c r="C42" s="200"/>
      <c r="D42" s="200"/>
      <c r="E42" s="200"/>
      <c r="F42" s="200"/>
      <c r="G42" s="200"/>
      <c r="H42" s="200"/>
      <c r="I42" s="200"/>
      <c r="J42" s="200"/>
      <c r="K42" s="200"/>
      <c r="L42" s="201"/>
    </row>
    <row r="43" spans="1:12" x14ac:dyDescent="0.2">
      <c r="A43" s="158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3"/>
    </row>
    <row r="44" spans="1:12" x14ac:dyDescent="0.2">
      <c r="A44" s="33" t="s">
        <v>72</v>
      </c>
      <c r="B44" s="191">
        <f>'Presupuesto Tesorería'!B44/'Presupuesto Tesorería'!$L44</f>
        <v>0</v>
      </c>
      <c r="C44" s="191">
        <f>'Presupuesto Tesorería'!C44/'Presupuesto Tesorería'!$L44</f>
        <v>0</v>
      </c>
      <c r="D44" s="191">
        <f>'Presupuesto Tesorería'!D44/'Presupuesto Tesorería'!$L44</f>
        <v>0.11945395879870936</v>
      </c>
      <c r="E44" s="191">
        <f>'Presupuesto Tesorería'!E44/'Presupuesto Tesorería'!$L44</f>
        <v>0.13799775425632518</v>
      </c>
      <c r="F44" s="191">
        <f>'Presupuesto Tesorería'!F44/'Presupuesto Tesorería'!$L44</f>
        <v>0.23713130736306945</v>
      </c>
      <c r="G44" s="191">
        <f>'Presupuesto Tesorería'!G44/'Presupuesto Tesorería'!$L44</f>
        <v>0.16975838521750392</v>
      </c>
      <c r="H44" s="191">
        <f>'Presupuesto Tesorería'!H44/'Presupuesto Tesorería'!$L44</f>
        <v>5.5658594364392043E-2</v>
      </c>
      <c r="I44" s="191">
        <f>'Presupuesto Tesorería'!I44/'Presupuesto Tesorería'!$L44</f>
        <v>0.24</v>
      </c>
      <c r="J44" s="191">
        <f>'Presupuesto Tesorería'!J44/'Presupuesto Tesorería'!$L44</f>
        <v>0.04</v>
      </c>
      <c r="K44" s="191">
        <f>'Presupuesto Tesorería'!K44/'Presupuesto Tesorería'!$L44</f>
        <v>0</v>
      </c>
      <c r="L44" s="191">
        <f>'Presupuesto Tesorería'!L44/'Presupuesto Tesorería'!$L44</f>
        <v>1</v>
      </c>
    </row>
    <row r="45" spans="1:12" x14ac:dyDescent="0.2">
      <c r="A45" s="144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99"/>
    </row>
    <row r="46" spans="1:12" x14ac:dyDescent="0.2">
      <c r="A46" s="144" t="s">
        <v>73</v>
      </c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99"/>
    </row>
    <row r="47" spans="1:12" x14ac:dyDescent="0.2">
      <c r="A47" s="144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99"/>
    </row>
    <row r="48" spans="1:12" x14ac:dyDescent="0.2">
      <c r="A48" s="133" t="s">
        <v>74</v>
      </c>
      <c r="B48" s="194"/>
      <c r="C48" s="194"/>
      <c r="D48" s="194"/>
      <c r="E48" s="194"/>
      <c r="F48" s="194"/>
      <c r="G48" s="194"/>
      <c r="H48" s="194"/>
      <c r="I48" s="194"/>
      <c r="J48" s="194"/>
      <c r="K48" s="194"/>
      <c r="L48" s="195"/>
    </row>
    <row r="49" spans="1:12" x14ac:dyDescent="0.2">
      <c r="A49" s="158"/>
      <c r="B49" s="202"/>
      <c r="C49" s="202"/>
      <c r="D49" s="202"/>
      <c r="E49" s="202"/>
      <c r="F49" s="202"/>
      <c r="G49" s="202"/>
      <c r="H49" s="202"/>
      <c r="I49" s="202"/>
      <c r="J49" s="202"/>
      <c r="K49" s="202"/>
      <c r="L49" s="203"/>
    </row>
    <row r="50" spans="1:12" x14ac:dyDescent="0.2">
      <c r="A50" s="33" t="s">
        <v>99</v>
      </c>
      <c r="B50" s="191">
        <f>'Presupuesto Tesorería'!B50/'Presupuesto Tesorería'!$L50</f>
        <v>0</v>
      </c>
      <c r="C50" s="191">
        <f>'Presupuesto Tesorería'!C50/'Presupuesto Tesorería'!$L50</f>
        <v>0</v>
      </c>
      <c r="D50" s="191">
        <f>'Presupuesto Tesorería'!D50/'Presupuesto Tesorería'!$L50</f>
        <v>1</v>
      </c>
      <c r="E50" s="191">
        <f>'Presupuesto Tesorería'!E50/'Presupuesto Tesorería'!$L50</f>
        <v>0</v>
      </c>
      <c r="F50" s="191">
        <f>'Presupuesto Tesorería'!F50/'Presupuesto Tesorería'!$L50</f>
        <v>0</v>
      </c>
      <c r="G50" s="191">
        <f>'Presupuesto Tesorería'!G50/'Presupuesto Tesorería'!$L50</f>
        <v>0</v>
      </c>
      <c r="H50" s="191">
        <f>'Presupuesto Tesorería'!H50/'Presupuesto Tesorería'!$L50</f>
        <v>0</v>
      </c>
      <c r="I50" s="191">
        <f>'Presupuesto Tesorería'!I50/'Presupuesto Tesorería'!$L50</f>
        <v>0</v>
      </c>
      <c r="J50" s="191">
        <f>'Presupuesto Tesorería'!J50/'Presupuesto Tesorería'!$L50</f>
        <v>0</v>
      </c>
      <c r="K50" s="191">
        <f>'Presupuesto Tesorería'!K50/'Presupuesto Tesorería'!$L50</f>
        <v>0</v>
      </c>
      <c r="L50" s="191">
        <f>'Presupuesto Tesorería'!L50/'Presupuesto Tesorería'!$L50</f>
        <v>1</v>
      </c>
    </row>
    <row r="51" spans="1:12" x14ac:dyDescent="0.2">
      <c r="A51" s="33" t="s">
        <v>75</v>
      </c>
      <c r="B51" s="191">
        <f>'Presupuesto Tesorería'!B51/'Presupuesto Tesorería'!$L51</f>
        <v>0</v>
      </c>
      <c r="C51" s="191">
        <f>'Presupuesto Tesorería'!C51/'Presupuesto Tesorería'!$L51</f>
        <v>0</v>
      </c>
      <c r="D51" s="191">
        <f>'Presupuesto Tesorería'!D51/'Presupuesto Tesorería'!$L51</f>
        <v>7.7778107722633813E-2</v>
      </c>
      <c r="E51" s="191">
        <f>'Presupuesto Tesorería'!E51/'Presupuesto Tesorería'!$L51</f>
        <v>0.16763033450497447</v>
      </c>
      <c r="F51" s="191">
        <f>'Presupuesto Tesorería'!F51/'Presupuesto Tesorería'!$L51</f>
        <v>0.32202977470747929</v>
      </c>
      <c r="G51" s="191">
        <f>'Presupuesto Tesorería'!G51/'Presupuesto Tesorería'!$L51</f>
        <v>0.43256178306491228</v>
      </c>
      <c r="H51" s="191">
        <f>'Presupuesto Tesorería'!H51/'Presupuesto Tesorería'!$L51</f>
        <v>0</v>
      </c>
      <c r="I51" s="191">
        <f>'Presupuesto Tesorería'!I51/'Presupuesto Tesorería'!$L51</f>
        <v>0</v>
      </c>
      <c r="J51" s="191">
        <f>'Presupuesto Tesorería'!J51/'Presupuesto Tesorería'!$L51</f>
        <v>0</v>
      </c>
      <c r="K51" s="191">
        <f>'Presupuesto Tesorería'!K51/'Presupuesto Tesorería'!$L51</f>
        <v>0</v>
      </c>
      <c r="L51" s="191">
        <f>'Presupuesto Tesorería'!L51/'Presupuesto Tesorería'!$L51</f>
        <v>1</v>
      </c>
    </row>
    <row r="52" spans="1:12" x14ac:dyDescent="0.2">
      <c r="A52" s="33" t="s">
        <v>76</v>
      </c>
      <c r="B52" s="191">
        <f>'Presupuesto Tesorería'!B52/'Presupuesto Tesorería'!$L52</f>
        <v>0</v>
      </c>
      <c r="C52" s="191">
        <f>'Presupuesto Tesorería'!C52/'Presupuesto Tesorería'!$L52</f>
        <v>0</v>
      </c>
      <c r="D52" s="191">
        <f>'Presupuesto Tesorería'!D52/'Presupuesto Tesorería'!$L52</f>
        <v>0</v>
      </c>
      <c r="E52" s="191">
        <f>'Presupuesto Tesorería'!E52/'Presupuesto Tesorería'!$L52</f>
        <v>0</v>
      </c>
      <c r="F52" s="191">
        <f>'Presupuesto Tesorería'!F52/'Presupuesto Tesorería'!$L52</f>
        <v>0</v>
      </c>
      <c r="G52" s="191">
        <f>'Presupuesto Tesorería'!G52/'Presupuesto Tesorería'!$L52</f>
        <v>0</v>
      </c>
      <c r="H52" s="191">
        <f>'Presupuesto Tesorería'!H52/'Presupuesto Tesorería'!$L52</f>
        <v>0.72</v>
      </c>
      <c r="I52" s="191">
        <f>'Presupuesto Tesorería'!I52/'Presupuesto Tesorería'!$L52</f>
        <v>0.24</v>
      </c>
      <c r="J52" s="191">
        <f>'Presupuesto Tesorería'!J52/'Presupuesto Tesorería'!$L52</f>
        <v>0.04</v>
      </c>
      <c r="K52" s="191">
        <f>'Presupuesto Tesorería'!K52/'Presupuesto Tesorería'!$L52</f>
        <v>0</v>
      </c>
      <c r="L52" s="191">
        <f>'Presupuesto Tesorería'!L52/'Presupuesto Tesorería'!$L52</f>
        <v>1</v>
      </c>
    </row>
    <row r="53" spans="1:12" x14ac:dyDescent="0.2">
      <c r="A53" s="14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99"/>
    </row>
    <row r="54" spans="1:12" x14ac:dyDescent="0.2">
      <c r="A54" s="142" t="s">
        <v>77</v>
      </c>
      <c r="B54" s="191"/>
      <c r="C54" s="191"/>
      <c r="D54" s="191"/>
      <c r="E54" s="191"/>
      <c r="F54" s="191"/>
      <c r="G54" s="191"/>
      <c r="H54" s="191"/>
      <c r="I54" s="191"/>
      <c r="J54" s="191"/>
      <c r="K54" s="191"/>
      <c r="L54" s="191"/>
    </row>
    <row r="55" spans="1:12" ht="12.75" customHeight="1" x14ac:dyDescent="0.2">
      <c r="A55" s="161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5"/>
    </row>
    <row r="56" spans="1:12" x14ac:dyDescent="0.2">
      <c r="A56" s="119" t="s">
        <v>78</v>
      </c>
      <c r="B56" s="206"/>
      <c r="C56" s="206"/>
      <c r="D56" s="206"/>
      <c r="E56" s="206"/>
      <c r="F56" s="206"/>
      <c r="G56" s="206"/>
      <c r="H56" s="206"/>
      <c r="I56" s="206"/>
      <c r="J56" s="206"/>
      <c r="K56" s="206"/>
      <c r="L56" s="207"/>
    </row>
    <row r="57" spans="1:12" ht="12.75" customHeight="1" x14ac:dyDescent="0.2">
      <c r="A57" s="161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5"/>
    </row>
    <row r="58" spans="1:12" s="31" customFormat="1" x14ac:dyDescent="0.2">
      <c r="A58" s="119" t="s">
        <v>79</v>
      </c>
      <c r="B58" s="208"/>
      <c r="C58" s="208"/>
      <c r="D58" s="208"/>
      <c r="E58" s="208"/>
      <c r="F58" s="208"/>
      <c r="G58" s="208"/>
      <c r="H58" s="208"/>
      <c r="I58" s="208"/>
      <c r="J58" s="208"/>
      <c r="K58" s="208"/>
      <c r="L58" s="193"/>
    </row>
    <row r="59" spans="1:12" ht="12.75" customHeight="1" x14ac:dyDescent="0.2">
      <c r="A59" s="140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196"/>
    </row>
    <row r="60" spans="1:12" s="31" customFormat="1" x14ac:dyDescent="0.2">
      <c r="A60" s="119" t="s">
        <v>80</v>
      </c>
      <c r="B60" s="208"/>
      <c r="C60" s="208"/>
      <c r="D60" s="208"/>
      <c r="E60" s="208"/>
      <c r="F60" s="208"/>
      <c r="G60" s="208"/>
      <c r="H60" s="208"/>
      <c r="I60" s="208"/>
      <c r="J60" s="208"/>
      <c r="K60" s="208"/>
      <c r="L60" s="193"/>
    </row>
    <row r="61" spans="1:12" ht="12.75" customHeight="1" x14ac:dyDescent="0.2">
      <c r="A61" s="140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199"/>
    </row>
    <row r="62" spans="1:12" x14ac:dyDescent="0.2">
      <c r="A62" s="167" t="s">
        <v>81</v>
      </c>
      <c r="B62" s="191"/>
      <c r="C62" s="191"/>
      <c r="D62" s="191"/>
      <c r="E62" s="191"/>
      <c r="F62" s="191"/>
      <c r="G62" s="191"/>
      <c r="H62" s="191"/>
      <c r="I62" s="191"/>
      <c r="J62" s="191"/>
      <c r="K62" s="191"/>
      <c r="L62" s="191"/>
    </row>
    <row r="63" spans="1:12" x14ac:dyDescent="0.2">
      <c r="A63" s="168"/>
      <c r="B63" s="139"/>
      <c r="C63" s="139"/>
      <c r="D63" s="139"/>
      <c r="E63" s="139"/>
      <c r="F63" s="139"/>
      <c r="G63" s="139"/>
      <c r="H63" s="139"/>
      <c r="I63" s="139"/>
      <c r="J63" s="139"/>
      <c r="K63" s="139"/>
    </row>
    <row r="64" spans="1:12" x14ac:dyDescent="0.2">
      <c r="B64" s="139"/>
      <c r="C64" s="139"/>
      <c r="D64" s="139"/>
      <c r="E64" s="139"/>
      <c r="F64" s="139"/>
      <c r="G64" s="139"/>
      <c r="H64" s="139"/>
      <c r="I64" s="139"/>
      <c r="J64" s="139"/>
      <c r="K64" s="139"/>
    </row>
  </sheetData>
  <pageMargins left="0.17" right="0.17" top="1.08" bottom="0.89" header="0" footer="0"/>
  <pageSetup paperSize="9" scale="88" fitToHeight="5" orientation="landscape" r:id="rId1"/>
  <headerFooter alignWithMargins="0"/>
  <rowBreaks count="2" manualBreakCount="2">
    <brk id="40" max="16383" man="1"/>
    <brk id="6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Opcion1</vt:lpstr>
      <vt:lpstr>Estático caso 5</vt:lpstr>
      <vt:lpstr>Presupuesto Tesorería def</vt:lpstr>
      <vt:lpstr>Dinamico caso 5</vt:lpstr>
      <vt:lpstr>Presupuesto Tesorería</vt:lpstr>
      <vt:lpstr>Presupuesto Tesorería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 López Jiménez</dc:creator>
  <cp:lastModifiedBy>Joana Crespo</cp:lastModifiedBy>
  <dcterms:created xsi:type="dcterms:W3CDTF">2024-03-01T11:10:30Z</dcterms:created>
  <dcterms:modified xsi:type="dcterms:W3CDTF">2024-07-05T12:22:11Z</dcterms:modified>
</cp:coreProperties>
</file>