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CE3B1C65-A0DC-4EAE-A301-CE488511BEF0}" xr6:coauthVersionLast="47" xr6:coauthVersionMax="47" xr10:uidLastSave="{00000000-0000-0000-0000-000000000000}"/>
  <bookViews>
    <workbookView xWindow="-108" yWindow="-108" windowWidth="23256" windowHeight="12576" firstSheet="2" activeTab="12" xr2:uid="{00000000-000D-0000-FFFF-FFFF00000000}"/>
  </bookViews>
  <sheets>
    <sheet name="AVI" sheetId="1" r:id="rId1"/>
    <sheet name="AVI-SA" sheetId="4" r:id="rId2"/>
    <sheet name="APRR" sheetId="5" r:id="rId3"/>
    <sheet name="APRR-SA" sheetId="6" r:id="rId4"/>
    <sheet name="TUTTE_ADB" sheetId="2" r:id="rId5"/>
    <sheet name="AGI" sheetId="8" r:id="rId6"/>
    <sheet name="APRA" sheetId="9" r:id="rId7"/>
    <sheet name="ACFR" sheetId="11" r:id="rId8"/>
    <sheet name="ACFA" sheetId="10" r:id="rId9"/>
    <sheet name="ACFREM" sheetId="13" r:id="rId10"/>
    <sheet name="ACFAEM" sheetId="12" r:id="rId11"/>
    <sheet name="ACS" sheetId="15" r:id="rId12"/>
    <sheet name="TUTTE_ARC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6" l="1"/>
  <c r="C29" i="16"/>
  <c r="B29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7" i="16"/>
  <c r="C35" i="10"/>
  <c r="K27" i="10"/>
  <c r="G27" i="10"/>
  <c r="K26" i="10"/>
  <c r="G26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B8" i="10"/>
  <c r="E8" i="16" s="1"/>
  <c r="B9" i="10"/>
  <c r="E9" i="16" s="1"/>
  <c r="B10" i="10"/>
  <c r="E10" i="16" s="1"/>
  <c r="B11" i="10"/>
  <c r="E11" i="16" s="1"/>
  <c r="B12" i="10"/>
  <c r="B13" i="10"/>
  <c r="E13" i="16" s="1"/>
  <c r="B14" i="10"/>
  <c r="E14" i="16" s="1"/>
  <c r="B15" i="10"/>
  <c r="E15" i="16" s="1"/>
  <c r="B16" i="10"/>
  <c r="E16" i="16" s="1"/>
  <c r="B17" i="10"/>
  <c r="E17" i="16" s="1"/>
  <c r="B18" i="10"/>
  <c r="E18" i="16" s="1"/>
  <c r="B19" i="10"/>
  <c r="E19" i="16" s="1"/>
  <c r="B20" i="10"/>
  <c r="B21" i="10"/>
  <c r="E21" i="16" s="1"/>
  <c r="B22" i="10"/>
  <c r="E22" i="16" s="1"/>
  <c r="B23" i="10"/>
  <c r="E23" i="16" s="1"/>
  <c r="B24" i="10"/>
  <c r="E24" i="16" s="1"/>
  <c r="B25" i="10"/>
  <c r="E25" i="16" s="1"/>
  <c r="B26" i="10"/>
  <c r="E26" i="16" s="1"/>
  <c r="B27" i="10"/>
  <c r="B7" i="10"/>
  <c r="E7" i="16" s="1"/>
  <c r="C35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7" i="11"/>
  <c r="C39" i="11"/>
  <c r="C43" i="11" s="1"/>
  <c r="K27" i="11"/>
  <c r="G27" i="11"/>
  <c r="K26" i="11"/>
  <c r="I26" i="11"/>
  <c r="I27" i="11" s="1"/>
  <c r="I28" i="11" s="1"/>
  <c r="G26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C51" i="9"/>
  <c r="C52" i="9"/>
  <c r="C50" i="9"/>
  <c r="C48" i="9"/>
  <c r="C49" i="9"/>
  <c r="C47" i="9"/>
  <c r="C46" i="9"/>
  <c r="C45" i="9"/>
  <c r="C44" i="9"/>
  <c r="C42" i="9"/>
  <c r="C43" i="9"/>
  <c r="C41" i="9"/>
  <c r="C40" i="9"/>
  <c r="C39" i="9"/>
  <c r="C37" i="9"/>
  <c r="C38" i="9"/>
  <c r="C36" i="9"/>
  <c r="K27" i="9"/>
  <c r="G27" i="9"/>
  <c r="I27" i="9" s="1"/>
  <c r="I28" i="9" s="1"/>
  <c r="L26" i="9"/>
  <c r="L27" i="9" s="1"/>
  <c r="I29" i="9" s="1"/>
  <c r="K26" i="9"/>
  <c r="I26" i="9"/>
  <c r="G26" i="9"/>
  <c r="C34" i="9"/>
  <c r="C33" i="9"/>
  <c r="C35" i="9"/>
  <c r="C32" i="9"/>
  <c r="C31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7" i="9"/>
  <c r="C29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7" i="9"/>
  <c r="C51" i="8"/>
  <c r="C52" i="8"/>
  <c r="C50" i="8"/>
  <c r="C48" i="8"/>
  <c r="C49" i="8"/>
  <c r="C47" i="8"/>
  <c r="C46" i="8"/>
  <c r="C45" i="8"/>
  <c r="C44" i="8"/>
  <c r="C42" i="8"/>
  <c r="C43" i="8"/>
  <c r="C41" i="8"/>
  <c r="C40" i="8"/>
  <c r="C39" i="8"/>
  <c r="K27" i="8"/>
  <c r="G27" i="8"/>
  <c r="I27" i="8" s="1"/>
  <c r="I28" i="8" s="1"/>
  <c r="L26" i="8"/>
  <c r="L27" i="8" s="1"/>
  <c r="I29" i="8" s="1"/>
  <c r="K26" i="8"/>
  <c r="I26" i="8"/>
  <c r="G26" i="8"/>
  <c r="C37" i="8"/>
  <c r="C38" i="8"/>
  <c r="C36" i="8"/>
  <c r="C35" i="8"/>
  <c r="C34" i="8"/>
  <c r="C33" i="8"/>
  <c r="C32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7" i="8"/>
  <c r="C31" i="8"/>
  <c r="C29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7" i="8"/>
  <c r="I26" i="10" l="1"/>
  <c r="L26" i="10" s="1"/>
  <c r="L27" i="10" s="1"/>
  <c r="I29" i="10" s="1"/>
  <c r="C40" i="10" s="1"/>
  <c r="C29" i="10"/>
  <c r="D23" i="10" s="1"/>
  <c r="E20" i="16"/>
  <c r="E12" i="16"/>
  <c r="I27" i="10"/>
  <c r="I28" i="10" s="1"/>
  <c r="C39" i="10" s="1"/>
  <c r="C43" i="10" s="1"/>
  <c r="E27" i="16"/>
  <c r="C29" i="11"/>
  <c r="C38" i="11" s="1"/>
  <c r="L26" i="11"/>
  <c r="L27" i="11" s="1"/>
  <c r="I29" i="11" s="1"/>
  <c r="C40" i="11" s="1"/>
  <c r="D12" i="11"/>
  <c r="D20" i="11"/>
  <c r="D24" i="11"/>
  <c r="C31" i="11"/>
  <c r="D10" i="11"/>
  <c r="D22" i="11"/>
  <c r="D7" i="11"/>
  <c r="D11" i="11"/>
  <c r="D15" i="11"/>
  <c r="D19" i="11"/>
  <c r="D9" i="11"/>
  <c r="D13" i="11"/>
  <c r="D17" i="11"/>
  <c r="D21" i="11"/>
  <c r="D25" i="11"/>
  <c r="C33" i="11"/>
  <c r="C36" i="11" s="1"/>
  <c r="E32" i="2"/>
  <c r="D32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7" i="2"/>
  <c r="C35" i="6"/>
  <c r="K27" i="6"/>
  <c r="G27" i="6"/>
  <c r="K26" i="6"/>
  <c r="G26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B8" i="6"/>
  <c r="E8" i="2" s="1"/>
  <c r="B9" i="6"/>
  <c r="E9" i="2" s="1"/>
  <c r="B10" i="6"/>
  <c r="E10" i="2" s="1"/>
  <c r="B11" i="6"/>
  <c r="E11" i="2" s="1"/>
  <c r="B12" i="6"/>
  <c r="E12" i="2" s="1"/>
  <c r="B13" i="6"/>
  <c r="E13" i="2" s="1"/>
  <c r="B14" i="6"/>
  <c r="E14" i="2" s="1"/>
  <c r="B15" i="6"/>
  <c r="E15" i="2" s="1"/>
  <c r="B16" i="6"/>
  <c r="E16" i="2" s="1"/>
  <c r="B17" i="6"/>
  <c r="E17" i="2" s="1"/>
  <c r="B18" i="6"/>
  <c r="E18" i="2" s="1"/>
  <c r="B19" i="6"/>
  <c r="E19" i="2" s="1"/>
  <c r="B20" i="6"/>
  <c r="E20" i="2" s="1"/>
  <c r="B21" i="6"/>
  <c r="E21" i="2" s="1"/>
  <c r="B22" i="6"/>
  <c r="E22" i="2" s="1"/>
  <c r="B23" i="6"/>
  <c r="E23" i="2" s="1"/>
  <c r="B24" i="6"/>
  <c r="E24" i="2" s="1"/>
  <c r="B25" i="6"/>
  <c r="E25" i="2" s="1"/>
  <c r="B26" i="6"/>
  <c r="E26" i="2" s="1"/>
  <c r="B27" i="6"/>
  <c r="E27" i="2" s="1"/>
  <c r="B7" i="6"/>
  <c r="E7" i="2" s="1"/>
  <c r="O39" i="5"/>
  <c r="J39" i="5"/>
  <c r="M40" i="5"/>
  <c r="K27" i="5"/>
  <c r="G27" i="5"/>
  <c r="K26" i="5"/>
  <c r="G26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B8" i="5"/>
  <c r="D8" i="2" s="1"/>
  <c r="B9" i="5"/>
  <c r="D9" i="2" s="1"/>
  <c r="B10" i="5"/>
  <c r="D10" i="2" s="1"/>
  <c r="B11" i="5"/>
  <c r="D11" i="2" s="1"/>
  <c r="B12" i="5"/>
  <c r="D12" i="2" s="1"/>
  <c r="B13" i="5"/>
  <c r="D13" i="2" s="1"/>
  <c r="B14" i="5"/>
  <c r="D14" i="2" s="1"/>
  <c r="B15" i="5"/>
  <c r="D15" i="2" s="1"/>
  <c r="B16" i="5"/>
  <c r="D16" i="2" s="1"/>
  <c r="B17" i="5"/>
  <c r="D17" i="2" s="1"/>
  <c r="B18" i="5"/>
  <c r="D18" i="2" s="1"/>
  <c r="B19" i="5"/>
  <c r="D19" i="2" s="1"/>
  <c r="B20" i="5"/>
  <c r="D20" i="2" s="1"/>
  <c r="B21" i="5"/>
  <c r="D21" i="2" s="1"/>
  <c r="B22" i="5"/>
  <c r="D22" i="2" s="1"/>
  <c r="B23" i="5"/>
  <c r="D23" i="2" s="1"/>
  <c r="B24" i="5"/>
  <c r="D24" i="2" s="1"/>
  <c r="B25" i="5"/>
  <c r="D25" i="2" s="1"/>
  <c r="B26" i="5"/>
  <c r="D26" i="2" s="1"/>
  <c r="B27" i="5"/>
  <c r="D27" i="2" s="1"/>
  <c r="B7" i="5"/>
  <c r="D7" i="2" s="1"/>
  <c r="G52" i="4"/>
  <c r="G53" i="4"/>
  <c r="C35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7" i="4"/>
  <c r="B8" i="4"/>
  <c r="C8" i="2" s="1"/>
  <c r="B9" i="4"/>
  <c r="C9" i="2" s="1"/>
  <c r="B10" i="4"/>
  <c r="C10" i="2" s="1"/>
  <c r="B11" i="4"/>
  <c r="C11" i="2" s="1"/>
  <c r="B12" i="4"/>
  <c r="C12" i="2" s="1"/>
  <c r="B13" i="4"/>
  <c r="C13" i="2" s="1"/>
  <c r="B14" i="4"/>
  <c r="C14" i="2" s="1"/>
  <c r="B15" i="4"/>
  <c r="C15" i="2" s="1"/>
  <c r="B16" i="4"/>
  <c r="C16" i="2" s="1"/>
  <c r="B17" i="4"/>
  <c r="C17" i="2" s="1"/>
  <c r="B18" i="4"/>
  <c r="C18" i="2" s="1"/>
  <c r="B19" i="4"/>
  <c r="C19" i="2" s="1"/>
  <c r="B20" i="4"/>
  <c r="C20" i="2" s="1"/>
  <c r="B21" i="4"/>
  <c r="C21" i="2" s="1"/>
  <c r="B22" i="4"/>
  <c r="C22" i="2" s="1"/>
  <c r="B23" i="4"/>
  <c r="C23" i="2" s="1"/>
  <c r="B24" i="4"/>
  <c r="C24" i="2" s="1"/>
  <c r="B25" i="4"/>
  <c r="C25" i="2" s="1"/>
  <c r="B26" i="4"/>
  <c r="C26" i="2" s="1"/>
  <c r="B27" i="4"/>
  <c r="C27" i="2" s="1"/>
  <c r="B7" i="4"/>
  <c r="C7" i="2" s="1"/>
  <c r="C51" i="1"/>
  <c r="C52" i="1"/>
  <c r="C48" i="1"/>
  <c r="C49" i="1"/>
  <c r="C46" i="1"/>
  <c r="C45" i="1"/>
  <c r="C42" i="1"/>
  <c r="J39" i="1" s="1"/>
  <c r="C43" i="1"/>
  <c r="O39" i="1" s="1"/>
  <c r="C40" i="1"/>
  <c r="C39" i="1"/>
  <c r="I29" i="1"/>
  <c r="I28" i="1"/>
  <c r="I27" i="1"/>
  <c r="I26" i="1"/>
  <c r="C37" i="1"/>
  <c r="C38" i="1"/>
  <c r="C35" i="1"/>
  <c r="E8" i="1"/>
  <c r="E9" i="1"/>
  <c r="E10" i="1"/>
  <c r="E11" i="1"/>
  <c r="I35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G26" i="1" s="1"/>
  <c r="K26" i="1" s="1"/>
  <c r="E7" i="1"/>
  <c r="C34" i="1"/>
  <c r="C33" i="1"/>
  <c r="C41" i="1" s="1"/>
  <c r="E39" i="1" s="1"/>
  <c r="C3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7" i="1"/>
  <c r="C31" i="1"/>
  <c r="C30" i="1"/>
  <c r="C29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7" i="1"/>
  <c r="K27" i="4"/>
  <c r="G27" i="4"/>
  <c r="G26" i="4"/>
  <c r="K26" i="4" s="1"/>
  <c r="K27" i="1"/>
  <c r="G27" i="1"/>
  <c r="F10" i="1"/>
  <c r="C8" i="1"/>
  <c r="I35" i="15"/>
  <c r="I34" i="15"/>
  <c r="I33" i="15"/>
  <c r="I35" i="12"/>
  <c r="I34" i="12"/>
  <c r="I33" i="12"/>
  <c r="I35" i="13"/>
  <c r="I34" i="13"/>
  <c r="I33" i="13"/>
  <c r="I35" i="10"/>
  <c r="I34" i="10"/>
  <c r="I33" i="10"/>
  <c r="I35" i="11"/>
  <c r="I34" i="11"/>
  <c r="I33" i="11"/>
  <c r="I34" i="9"/>
  <c r="I35" i="9"/>
  <c r="I33" i="9"/>
  <c r="O39" i="11"/>
  <c r="O39" i="9"/>
  <c r="D19" i="10" l="1"/>
  <c r="D7" i="10"/>
  <c r="D10" i="10"/>
  <c r="D20" i="10"/>
  <c r="D8" i="10"/>
  <c r="D27" i="10"/>
  <c r="D12" i="10"/>
  <c r="D11" i="10"/>
  <c r="C31" i="10"/>
  <c r="D22" i="10"/>
  <c r="D14" i="10"/>
  <c r="E29" i="16"/>
  <c r="C38" i="10"/>
  <c r="C33" i="10"/>
  <c r="D25" i="10"/>
  <c r="D21" i="10"/>
  <c r="D17" i="10"/>
  <c r="D13" i="10"/>
  <c r="D9" i="10"/>
  <c r="D16" i="10"/>
  <c r="D26" i="10"/>
  <c r="D24" i="10"/>
  <c r="D18" i="10"/>
  <c r="D15" i="10"/>
  <c r="D26" i="11"/>
  <c r="D16" i="11"/>
  <c r="D27" i="11"/>
  <c r="D18" i="11"/>
  <c r="D8" i="11"/>
  <c r="C32" i="11" s="1"/>
  <c r="C34" i="11" s="1"/>
  <c r="D23" i="11"/>
  <c r="D14" i="11"/>
  <c r="C41" i="11"/>
  <c r="C29" i="4"/>
  <c r="D21" i="4" s="1"/>
  <c r="I26" i="4"/>
  <c r="I27" i="4" s="1"/>
  <c r="I28" i="4" s="1"/>
  <c r="C39" i="4" s="1"/>
  <c r="C36" i="1"/>
  <c r="I26" i="6"/>
  <c r="L26" i="6" s="1"/>
  <c r="L27" i="6" s="1"/>
  <c r="I29" i="6" s="1"/>
  <c r="C40" i="6" s="1"/>
  <c r="C29" i="6"/>
  <c r="D18" i="6" s="1"/>
  <c r="I27" i="6"/>
  <c r="I28" i="6" s="1"/>
  <c r="C39" i="6" s="1"/>
  <c r="C43" i="6" s="1"/>
  <c r="I26" i="5"/>
  <c r="L26" i="5" s="1"/>
  <c r="L27" i="5" s="1"/>
  <c r="I29" i="5" s="1"/>
  <c r="C40" i="5" s="1"/>
  <c r="C29" i="5"/>
  <c r="M39" i="5"/>
  <c r="M41" i="5" s="1"/>
  <c r="H39" i="1"/>
  <c r="H40" i="1"/>
  <c r="L26" i="1"/>
  <c r="L27" i="1" s="1"/>
  <c r="O39" i="13"/>
  <c r="R39" i="13" s="1"/>
  <c r="O39" i="15"/>
  <c r="O39" i="12"/>
  <c r="O39" i="10"/>
  <c r="R40" i="11"/>
  <c r="R39" i="11"/>
  <c r="R40" i="9"/>
  <c r="R39" i="9"/>
  <c r="A41" i="2"/>
  <c r="A40" i="2"/>
  <c r="A39" i="2"/>
  <c r="A38" i="2"/>
  <c r="A37" i="2"/>
  <c r="A36" i="2"/>
  <c r="I35" i="6"/>
  <c r="I35" i="5"/>
  <c r="I35" i="4"/>
  <c r="C32" i="10" l="1"/>
  <c r="C34" i="10" s="1"/>
  <c r="C37" i="10" s="1"/>
  <c r="C42" i="10"/>
  <c r="C36" i="10"/>
  <c r="C41" i="10"/>
  <c r="E39" i="10" s="1"/>
  <c r="C37" i="11"/>
  <c r="C42" i="11"/>
  <c r="R41" i="11"/>
  <c r="O41" i="11" s="1"/>
  <c r="C46" i="11" s="1"/>
  <c r="C49" i="11" s="1"/>
  <c r="C52" i="11" s="1"/>
  <c r="C30" i="5"/>
  <c r="C33" i="5"/>
  <c r="C36" i="5" s="1"/>
  <c r="D17" i="4"/>
  <c r="D19" i="4"/>
  <c r="D27" i="4"/>
  <c r="D24" i="4"/>
  <c r="D9" i="4"/>
  <c r="D13" i="4"/>
  <c r="D14" i="4"/>
  <c r="D25" i="4"/>
  <c r="D22" i="4"/>
  <c r="D10" i="4"/>
  <c r="C33" i="4"/>
  <c r="C36" i="4" s="1"/>
  <c r="C31" i="4"/>
  <c r="D18" i="4"/>
  <c r="D12" i="4"/>
  <c r="D15" i="4"/>
  <c r="D26" i="4"/>
  <c r="D20" i="4"/>
  <c r="D23" i="4"/>
  <c r="C38" i="4"/>
  <c r="D7" i="4"/>
  <c r="D8" i="4"/>
  <c r="D11" i="4"/>
  <c r="C30" i="4"/>
  <c r="D16" i="4"/>
  <c r="C43" i="4"/>
  <c r="O39" i="4" s="1"/>
  <c r="R40" i="4" s="1"/>
  <c r="C41" i="4"/>
  <c r="E39" i="4" s="1"/>
  <c r="C37" i="2"/>
  <c r="L26" i="4"/>
  <c r="L27" i="4" s="1"/>
  <c r="I29" i="4" s="1"/>
  <c r="C40" i="4" s="1"/>
  <c r="H41" i="1"/>
  <c r="E41" i="1" s="1"/>
  <c r="C44" i="1" s="1"/>
  <c r="C47" i="1" s="1"/>
  <c r="C50" i="1" s="1"/>
  <c r="D7" i="6"/>
  <c r="D27" i="6"/>
  <c r="D20" i="6"/>
  <c r="C38" i="6"/>
  <c r="D15" i="6"/>
  <c r="D21" i="6"/>
  <c r="D10" i="6"/>
  <c r="D24" i="6"/>
  <c r="D26" i="6"/>
  <c r="D11" i="6"/>
  <c r="D22" i="6"/>
  <c r="D14" i="6"/>
  <c r="D13" i="6"/>
  <c r="D8" i="6"/>
  <c r="C31" i="6"/>
  <c r="D23" i="6"/>
  <c r="C30" i="6"/>
  <c r="D25" i="6"/>
  <c r="D12" i="6"/>
  <c r="D19" i="6"/>
  <c r="D9" i="6"/>
  <c r="D17" i="6"/>
  <c r="D16" i="6"/>
  <c r="D17" i="5"/>
  <c r="D11" i="5"/>
  <c r="I27" i="5"/>
  <c r="I28" i="5" s="1"/>
  <c r="C39" i="5" s="1"/>
  <c r="C43" i="5" s="1"/>
  <c r="D12" i="5"/>
  <c r="D8" i="5"/>
  <c r="D22" i="5"/>
  <c r="D9" i="5"/>
  <c r="D14" i="5"/>
  <c r="D19" i="5"/>
  <c r="D15" i="5"/>
  <c r="D7" i="5"/>
  <c r="D10" i="5"/>
  <c r="D26" i="5"/>
  <c r="D24" i="5"/>
  <c r="D13" i="5"/>
  <c r="D18" i="5"/>
  <c r="D25" i="5"/>
  <c r="D20" i="5"/>
  <c r="D27" i="5"/>
  <c r="C31" i="5"/>
  <c r="D16" i="5"/>
  <c r="D23" i="5"/>
  <c r="D21" i="5"/>
  <c r="C38" i="5"/>
  <c r="J41" i="5"/>
  <c r="C45" i="5" s="1"/>
  <c r="R40" i="1"/>
  <c r="R39" i="1"/>
  <c r="R40" i="13"/>
  <c r="R41" i="13" s="1"/>
  <c r="O41" i="13" s="1"/>
  <c r="R40" i="15"/>
  <c r="R39" i="15"/>
  <c r="E39" i="15"/>
  <c r="E39" i="12"/>
  <c r="R40" i="12"/>
  <c r="R39" i="12"/>
  <c r="E39" i="13"/>
  <c r="R40" i="10"/>
  <c r="R39" i="10"/>
  <c r="R41" i="10" s="1"/>
  <c r="O41" i="10" s="1"/>
  <c r="C46" i="10" s="1"/>
  <c r="C49" i="10" s="1"/>
  <c r="C52" i="10" s="1"/>
  <c r="E39" i="11"/>
  <c r="J39" i="9"/>
  <c r="E39" i="9"/>
  <c r="R41" i="9"/>
  <c r="O41" i="9" s="1"/>
  <c r="E37" i="2"/>
  <c r="C35" i="2"/>
  <c r="C32" i="4" l="1"/>
  <c r="C34" i="4" s="1"/>
  <c r="C37" i="4" s="1"/>
  <c r="R39" i="4"/>
  <c r="R41" i="4" s="1"/>
  <c r="O41" i="4" s="1"/>
  <c r="C46" i="4" s="1"/>
  <c r="C49" i="4" s="1"/>
  <c r="C52" i="4" s="1"/>
  <c r="H40" i="4"/>
  <c r="H39" i="4"/>
  <c r="C32" i="6"/>
  <c r="C34" i="6" s="1"/>
  <c r="C37" i="6" s="1"/>
  <c r="C36" i="6"/>
  <c r="E36" i="2" s="1"/>
  <c r="C41" i="6"/>
  <c r="C41" i="5"/>
  <c r="E39" i="5" s="1"/>
  <c r="H40" i="5" s="1"/>
  <c r="C32" i="5"/>
  <c r="C34" i="5" s="1"/>
  <c r="C37" i="5" s="1"/>
  <c r="C48" i="5" s="1"/>
  <c r="R39" i="5"/>
  <c r="R40" i="5"/>
  <c r="R41" i="5" s="1"/>
  <c r="O41" i="5" s="1"/>
  <c r="C46" i="5" s="1"/>
  <c r="C49" i="5" s="1"/>
  <c r="C52" i="5" s="1"/>
  <c r="R41" i="1"/>
  <c r="O41" i="1" s="1"/>
  <c r="E35" i="2"/>
  <c r="H39" i="15"/>
  <c r="H40" i="15"/>
  <c r="R41" i="15"/>
  <c r="O41" i="15" s="1"/>
  <c r="J39" i="15"/>
  <c r="H39" i="12"/>
  <c r="H40" i="12"/>
  <c r="J39" i="12"/>
  <c r="R41" i="12"/>
  <c r="O41" i="12" s="1"/>
  <c r="H39" i="13"/>
  <c r="H40" i="13"/>
  <c r="H39" i="10"/>
  <c r="H40" i="10"/>
  <c r="J39" i="10"/>
  <c r="H39" i="11"/>
  <c r="H40" i="11"/>
  <c r="J39" i="11"/>
  <c r="H39" i="9"/>
  <c r="H40" i="9"/>
  <c r="M40" i="9"/>
  <c r="M39" i="9"/>
  <c r="O39" i="6"/>
  <c r="D36" i="2"/>
  <c r="D37" i="2"/>
  <c r="D35" i="2"/>
  <c r="C36" i="2"/>
  <c r="C7" i="4"/>
  <c r="C7" i="5" s="1"/>
  <c r="C6" i="6"/>
  <c r="A7" i="16"/>
  <c r="I6" i="16"/>
  <c r="A8" i="15"/>
  <c r="C6" i="15"/>
  <c r="A8" i="13"/>
  <c r="C6" i="13"/>
  <c r="A8" i="12"/>
  <c r="C6" i="12"/>
  <c r="A8" i="11"/>
  <c r="C6" i="11"/>
  <c r="A8" i="10"/>
  <c r="C6" i="10"/>
  <c r="A8" i="9"/>
  <c r="A9" i="8"/>
  <c r="A8" i="8"/>
  <c r="C6" i="9"/>
  <c r="E6" i="2"/>
  <c r="D6" i="2"/>
  <c r="C6" i="2"/>
  <c r="B6" i="2"/>
  <c r="F6" i="2"/>
  <c r="C6" i="5"/>
  <c r="C6" i="4"/>
  <c r="E4" i="1"/>
  <c r="A7" i="2"/>
  <c r="A8" i="6"/>
  <c r="A8" i="5"/>
  <c r="A9" i="5" s="1"/>
  <c r="A8" i="4"/>
  <c r="A9" i="4" s="1"/>
  <c r="A8" i="1"/>
  <c r="M41" i="9" l="1"/>
  <c r="J41" i="9" s="1"/>
  <c r="C42" i="4"/>
  <c r="J39" i="4" s="1"/>
  <c r="M40" i="4" s="1"/>
  <c r="C42" i="6"/>
  <c r="J39" i="6" s="1"/>
  <c r="M39" i="6" s="1"/>
  <c r="H39" i="5"/>
  <c r="H41" i="5" s="1"/>
  <c r="E41" i="5" s="1"/>
  <c r="C44" i="5" s="1"/>
  <c r="C47" i="5" s="1"/>
  <c r="C50" i="5" s="1"/>
  <c r="C42" i="5"/>
  <c r="C51" i="5" s="1"/>
  <c r="D32" i="4"/>
  <c r="J39" i="13"/>
  <c r="H41" i="9"/>
  <c r="E41" i="9" s="1"/>
  <c r="C38" i="2"/>
  <c r="H41" i="10"/>
  <c r="E41" i="10" s="1"/>
  <c r="C44" i="10" s="1"/>
  <c r="C47" i="10" s="1"/>
  <c r="C50" i="10" s="1"/>
  <c r="M40" i="15"/>
  <c r="M39" i="15"/>
  <c r="M41" i="15" s="1"/>
  <c r="J41" i="15" s="1"/>
  <c r="H41" i="15"/>
  <c r="E41" i="15" s="1"/>
  <c r="M40" i="12"/>
  <c r="M39" i="12"/>
  <c r="M41" i="12" s="1"/>
  <c r="J41" i="12" s="1"/>
  <c r="H41" i="12"/>
  <c r="E41" i="12" s="1"/>
  <c r="H41" i="13"/>
  <c r="E41" i="13" s="1"/>
  <c r="M40" i="10"/>
  <c r="M39" i="10"/>
  <c r="M40" i="11"/>
  <c r="M39" i="11"/>
  <c r="M41" i="11" s="1"/>
  <c r="J41" i="11" s="1"/>
  <c r="C45" i="11" s="1"/>
  <c r="C48" i="11" s="1"/>
  <c r="C51" i="11" s="1"/>
  <c r="H41" i="11"/>
  <c r="E41" i="11" s="1"/>
  <c r="C44" i="11" s="1"/>
  <c r="C47" i="11" s="1"/>
  <c r="C50" i="11" s="1"/>
  <c r="R40" i="6"/>
  <c r="R39" i="6"/>
  <c r="E39" i="6"/>
  <c r="H40" i="6" s="1"/>
  <c r="E38" i="2"/>
  <c r="D38" i="2"/>
  <c r="A8" i="2"/>
  <c r="A9" i="6"/>
  <c r="A10" i="6" s="1"/>
  <c r="A9" i="1"/>
  <c r="A10" i="8"/>
  <c r="A9" i="10"/>
  <c r="A10" i="10" s="1"/>
  <c r="A9" i="12"/>
  <c r="A9" i="15"/>
  <c r="A9" i="16"/>
  <c r="A9" i="9"/>
  <c r="A9" i="11"/>
  <c r="A9" i="13"/>
  <c r="A8" i="16"/>
  <c r="C7" i="6"/>
  <c r="C7" i="8" s="1"/>
  <c r="A10" i="12"/>
  <c r="A10" i="11"/>
  <c r="A10" i="5"/>
  <c r="A10" i="4"/>
  <c r="M39" i="4" l="1"/>
  <c r="M41" i="4" s="1"/>
  <c r="J41" i="4" s="1"/>
  <c r="C45" i="4" s="1"/>
  <c r="C48" i="4" s="1"/>
  <c r="C51" i="4" s="1"/>
  <c r="M40" i="6"/>
  <c r="M41" i="6" s="1"/>
  <c r="J41" i="6" s="1"/>
  <c r="C45" i="6" s="1"/>
  <c r="C48" i="6" s="1"/>
  <c r="C51" i="6" s="1"/>
  <c r="C7" i="9"/>
  <c r="C7" i="11" s="1"/>
  <c r="C7" i="10" s="1"/>
  <c r="C7" i="13" s="1"/>
  <c r="C7" i="12" s="1"/>
  <c r="C7" i="15" s="1"/>
  <c r="E7" i="8"/>
  <c r="H41" i="4"/>
  <c r="E41" i="4" s="1"/>
  <c r="C44" i="4" s="1"/>
  <c r="C47" i="4" s="1"/>
  <c r="C50" i="4" s="1"/>
  <c r="M39" i="13"/>
  <c r="M40" i="13"/>
  <c r="R41" i="6"/>
  <c r="O41" i="6" s="1"/>
  <c r="C46" i="6" s="1"/>
  <c r="C49" i="6" s="1"/>
  <c r="C52" i="6" s="1"/>
  <c r="M41" i="10"/>
  <c r="J41" i="10" s="1"/>
  <c r="C45" i="10" s="1"/>
  <c r="C48" i="10" s="1"/>
  <c r="C51" i="10" s="1"/>
  <c r="H39" i="6"/>
  <c r="H41" i="6" s="1"/>
  <c r="E41" i="6" s="1"/>
  <c r="A10" i="15"/>
  <c r="A10" i="9"/>
  <c r="A10" i="16"/>
  <c r="A11" i="8"/>
  <c r="A9" i="2"/>
  <c r="A10" i="1"/>
  <c r="A10" i="13"/>
  <c r="A11" i="13" s="1"/>
  <c r="F7" i="2"/>
  <c r="A11" i="15"/>
  <c r="A11" i="12"/>
  <c r="A11" i="11"/>
  <c r="A11" i="10"/>
  <c r="A11" i="6"/>
  <c r="A11" i="5"/>
  <c r="A11" i="4"/>
  <c r="C44" i="6" l="1"/>
  <c r="C47" i="6" s="1"/>
  <c r="C50" i="6" s="1"/>
  <c r="M40" i="1"/>
  <c r="M39" i="1"/>
  <c r="M41" i="1" s="1"/>
  <c r="J41" i="1" s="1"/>
  <c r="M41" i="13"/>
  <c r="J41" i="13" s="1"/>
  <c r="C39" i="2"/>
  <c r="C40" i="2" s="1"/>
  <c r="D39" i="2"/>
  <c r="D40" i="2" s="1"/>
  <c r="D41" i="2" s="1"/>
  <c r="A11" i="1"/>
  <c r="A10" i="2"/>
  <c r="A12" i="8"/>
  <c r="A11" i="16"/>
  <c r="A11" i="9"/>
  <c r="A12" i="15"/>
  <c r="A12" i="13"/>
  <c r="A12" i="12"/>
  <c r="A12" i="11"/>
  <c r="A12" i="10"/>
  <c r="A12" i="6"/>
  <c r="A12" i="5"/>
  <c r="A12" i="4"/>
  <c r="E39" i="2" l="1"/>
  <c r="E40" i="2" s="1"/>
  <c r="E41" i="2" s="1"/>
  <c r="D42" i="2"/>
  <c r="C42" i="2"/>
  <c r="C41" i="2"/>
  <c r="A12" i="16"/>
  <c r="A13" i="8"/>
  <c r="A12" i="9"/>
  <c r="A12" i="1"/>
  <c r="A11" i="2"/>
  <c r="A13" i="15"/>
  <c r="A13" i="13"/>
  <c r="A13" i="12"/>
  <c r="A13" i="11"/>
  <c r="A13" i="10"/>
  <c r="A13" i="6"/>
  <c r="A13" i="5"/>
  <c r="A13" i="4"/>
  <c r="E42" i="2" l="1"/>
  <c r="A13" i="1"/>
  <c r="A12" i="2"/>
  <c r="A13" i="16"/>
  <c r="A14" i="8"/>
  <c r="A13" i="9"/>
  <c r="A14" i="15"/>
  <c r="A14" i="13"/>
  <c r="A14" i="12"/>
  <c r="A14" i="11"/>
  <c r="A14" i="10"/>
  <c r="A14" i="6"/>
  <c r="A14" i="5"/>
  <c r="A14" i="4"/>
  <c r="A14" i="16" l="1"/>
  <c r="A15" i="8"/>
  <c r="A14" i="9"/>
  <c r="A13" i="2"/>
  <c r="A14" i="1"/>
  <c r="A15" i="15"/>
  <c r="A15" i="13"/>
  <c r="A15" i="12"/>
  <c r="A15" i="11"/>
  <c r="A15" i="10"/>
  <c r="A15" i="6"/>
  <c r="A15" i="5"/>
  <c r="A15" i="4"/>
  <c r="A15" i="1" l="1"/>
  <c r="A14" i="2"/>
  <c r="A16" i="8"/>
  <c r="A15" i="16"/>
  <c r="A15" i="9"/>
  <c r="A16" i="15"/>
  <c r="A16" i="13"/>
  <c r="A16" i="12"/>
  <c r="A16" i="11"/>
  <c r="A16" i="10"/>
  <c r="A16" i="6"/>
  <c r="A16" i="5"/>
  <c r="A16" i="4"/>
  <c r="A16" i="1" l="1"/>
  <c r="A15" i="2"/>
  <c r="A16" i="9"/>
  <c r="A16" i="16"/>
  <c r="A17" i="8"/>
  <c r="A17" i="15"/>
  <c r="A17" i="13"/>
  <c r="A17" i="12"/>
  <c r="A17" i="11"/>
  <c r="A17" i="10"/>
  <c r="A17" i="6"/>
  <c r="A17" i="5"/>
  <c r="A17" i="4"/>
  <c r="A17" i="9" l="1"/>
  <c r="A17" i="16"/>
  <c r="A18" i="8"/>
  <c r="A17" i="1"/>
  <c r="A16" i="2"/>
  <c r="A18" i="15"/>
  <c r="A18" i="13"/>
  <c r="A18" i="12"/>
  <c r="A18" i="11"/>
  <c r="A18" i="10"/>
  <c r="A18" i="6"/>
  <c r="A18" i="5"/>
  <c r="A18" i="4"/>
  <c r="A17" i="2" l="1"/>
  <c r="A18" i="1"/>
  <c r="A18" i="9"/>
  <c r="A18" i="16"/>
  <c r="A19" i="8"/>
  <c r="A19" i="15"/>
  <c r="A19" i="13"/>
  <c r="A19" i="12"/>
  <c r="A19" i="11"/>
  <c r="A19" i="10"/>
  <c r="A19" i="6"/>
  <c r="A19" i="5"/>
  <c r="A19" i="4"/>
  <c r="A20" i="8" l="1"/>
  <c r="A19" i="16"/>
  <c r="A19" i="9"/>
  <c r="A19" i="1"/>
  <c r="A18" i="2"/>
  <c r="A20" i="15"/>
  <c r="A20" i="13"/>
  <c r="A20" i="12"/>
  <c r="A20" i="11"/>
  <c r="A20" i="10"/>
  <c r="A20" i="6"/>
  <c r="A20" i="5"/>
  <c r="A20" i="4"/>
  <c r="A20" i="16" l="1"/>
  <c r="A21" i="8"/>
  <c r="A20" i="9"/>
  <c r="A19" i="2"/>
  <c r="A20" i="1"/>
  <c r="A21" i="15"/>
  <c r="A21" i="13"/>
  <c r="A21" i="12"/>
  <c r="A21" i="11"/>
  <c r="A21" i="10"/>
  <c r="A21" i="6"/>
  <c r="A21" i="5"/>
  <c r="A21" i="4"/>
  <c r="A21" i="16" l="1"/>
  <c r="A22" i="8"/>
  <c r="A21" i="1"/>
  <c r="A20" i="2"/>
  <c r="A21" i="9"/>
  <c r="A22" i="15"/>
  <c r="A22" i="13"/>
  <c r="A22" i="12"/>
  <c r="A22" i="11"/>
  <c r="A22" i="10"/>
  <c r="A22" i="6"/>
  <c r="A22" i="5"/>
  <c r="A22" i="4"/>
  <c r="A22" i="9" l="1"/>
  <c r="A22" i="16"/>
  <c r="A23" i="8"/>
  <c r="A21" i="2"/>
  <c r="A22" i="1"/>
  <c r="A23" i="15"/>
  <c r="A23" i="13"/>
  <c r="A23" i="12"/>
  <c r="A23" i="11"/>
  <c r="A23" i="10"/>
  <c r="A23" i="6"/>
  <c r="A23" i="5"/>
  <c r="A23" i="4"/>
  <c r="A24" i="8" l="1"/>
  <c r="A23" i="16"/>
  <c r="A23" i="9"/>
  <c r="A22" i="2"/>
  <c r="A23" i="1"/>
  <c r="A24" i="15"/>
  <c r="A24" i="13"/>
  <c r="A24" i="12"/>
  <c r="A24" i="11"/>
  <c r="A24" i="10"/>
  <c r="A24" i="6"/>
  <c r="A24" i="5"/>
  <c r="A24" i="4"/>
  <c r="A23" i="2" l="1"/>
  <c r="A24" i="1"/>
  <c r="A24" i="9"/>
  <c r="A24" i="16"/>
  <c r="A25" i="8"/>
  <c r="A25" i="15"/>
  <c r="A25" i="13"/>
  <c r="A25" i="12"/>
  <c r="A25" i="11"/>
  <c r="A25" i="10"/>
  <c r="A25" i="6"/>
  <c r="A25" i="5"/>
  <c r="A25" i="4"/>
  <c r="A25" i="1" l="1"/>
  <c r="A24" i="2"/>
  <c r="A25" i="9"/>
  <c r="A25" i="16"/>
  <c r="A26" i="8"/>
  <c r="A26" i="15"/>
  <c r="A26" i="13"/>
  <c r="A26" i="12"/>
  <c r="A26" i="11"/>
  <c r="A26" i="10"/>
  <c r="A26" i="6"/>
  <c r="A26" i="5"/>
  <c r="A26" i="4"/>
  <c r="A25" i="2" l="1"/>
  <c r="A26" i="1"/>
  <c r="A26" i="16"/>
  <c r="A27" i="8"/>
  <c r="A26" i="9"/>
  <c r="A27" i="15"/>
  <c r="A27" i="13"/>
  <c r="A27" i="12"/>
  <c r="A27" i="11"/>
  <c r="A27" i="10"/>
  <c r="A27" i="6"/>
  <c r="A27" i="5"/>
  <c r="A27" i="4"/>
  <c r="A27" i="9" l="1"/>
  <c r="A27" i="16"/>
  <c r="A26" i="2"/>
  <c r="A27" i="1"/>
  <c r="A27" i="2" l="1"/>
  <c r="C10" i="1"/>
  <c r="C20" i="1"/>
  <c r="C19" i="1"/>
  <c r="C15" i="1"/>
  <c r="C11" i="1"/>
  <c r="C27" i="1"/>
  <c r="C27" i="4" s="1"/>
  <c r="C27" i="5" s="1"/>
  <c r="C27" i="6" s="1"/>
  <c r="C27" i="8" s="1"/>
  <c r="C27" i="9" s="1"/>
  <c r="C27" i="11" s="1"/>
  <c r="C27" i="10" s="1"/>
  <c r="C27" i="13" s="1"/>
  <c r="C27" i="12" s="1"/>
  <c r="C27" i="15" s="1"/>
  <c r="C18" i="1"/>
  <c r="C23" i="1"/>
  <c r="C16" i="1"/>
  <c r="C21" i="1"/>
  <c r="C25" i="1"/>
  <c r="C13" i="1"/>
  <c r="C17" i="1"/>
  <c r="C24" i="1"/>
  <c r="C14" i="1"/>
  <c r="C26" i="1"/>
  <c r="C26" i="4" s="1"/>
  <c r="C26" i="5" s="1"/>
  <c r="C26" i="6" s="1"/>
  <c r="C26" i="8" s="1"/>
  <c r="C26" i="9" s="1"/>
  <c r="C26" i="11" s="1"/>
  <c r="C26" i="10" s="1"/>
  <c r="C26" i="13" s="1"/>
  <c r="C26" i="12" s="1"/>
  <c r="C26" i="15" s="1"/>
  <c r="C8" i="4"/>
  <c r="C22" i="1"/>
  <c r="C12" i="1"/>
  <c r="C9" i="1"/>
  <c r="C12" i="4" l="1"/>
  <c r="C12" i="5" s="1"/>
  <c r="C12" i="6" s="1"/>
  <c r="C12" i="8" s="1"/>
  <c r="C12" i="9" s="1"/>
  <c r="C12" i="11" s="1"/>
  <c r="C12" i="10" s="1"/>
  <c r="C12" i="13" s="1"/>
  <c r="C12" i="12" s="1"/>
  <c r="C12" i="15" s="1"/>
  <c r="C18" i="4"/>
  <c r="C18" i="5" s="1"/>
  <c r="C18" i="6" s="1"/>
  <c r="C18" i="8" s="1"/>
  <c r="C18" i="9" s="1"/>
  <c r="C18" i="11" s="1"/>
  <c r="C18" i="10" s="1"/>
  <c r="C18" i="13" s="1"/>
  <c r="C18" i="12" s="1"/>
  <c r="C18" i="15" s="1"/>
  <c r="C22" i="4"/>
  <c r="C22" i="5" s="1"/>
  <c r="C22" i="6" s="1"/>
  <c r="C22" i="8" s="1"/>
  <c r="C22" i="9" s="1"/>
  <c r="C22" i="11" s="1"/>
  <c r="C22" i="10" s="1"/>
  <c r="C22" i="13" s="1"/>
  <c r="C22" i="12" s="1"/>
  <c r="C22" i="15" s="1"/>
  <c r="C20" i="4"/>
  <c r="C20" i="5" s="1"/>
  <c r="C20" i="6" s="1"/>
  <c r="C20" i="8" s="1"/>
  <c r="C20" i="9" s="1"/>
  <c r="C20" i="11" s="1"/>
  <c r="C20" i="10" s="1"/>
  <c r="C20" i="13" s="1"/>
  <c r="C20" i="12" s="1"/>
  <c r="C20" i="15" s="1"/>
  <c r="C14" i="4"/>
  <c r="C14" i="5" s="1"/>
  <c r="C14" i="6" s="1"/>
  <c r="C14" i="8" s="1"/>
  <c r="C14" i="9" s="1"/>
  <c r="C14" i="11" s="1"/>
  <c r="C14" i="10" s="1"/>
  <c r="C14" i="13" s="1"/>
  <c r="C14" i="12" s="1"/>
  <c r="C14" i="15" s="1"/>
  <c r="C19" i="4"/>
  <c r="C19" i="5" s="1"/>
  <c r="C19" i="6" s="1"/>
  <c r="C19" i="8" s="1"/>
  <c r="C19" i="9" s="1"/>
  <c r="C19" i="11" s="1"/>
  <c r="C19" i="10" s="1"/>
  <c r="C19" i="13" s="1"/>
  <c r="C19" i="12" s="1"/>
  <c r="C19" i="15" s="1"/>
  <c r="C24" i="4"/>
  <c r="C24" i="5" s="1"/>
  <c r="C24" i="6" s="1"/>
  <c r="C24" i="8" s="1"/>
  <c r="C24" i="9" s="1"/>
  <c r="C24" i="11" s="1"/>
  <c r="C24" i="10" s="1"/>
  <c r="C24" i="13" s="1"/>
  <c r="C24" i="12" s="1"/>
  <c r="C24" i="15" s="1"/>
  <c r="C21" i="4"/>
  <c r="C21" i="5" s="1"/>
  <c r="C21" i="6" s="1"/>
  <c r="C21" i="8" s="1"/>
  <c r="C21" i="9" s="1"/>
  <c r="C21" i="11" s="1"/>
  <c r="C21" i="10" s="1"/>
  <c r="C21" i="13" s="1"/>
  <c r="C21" i="12" s="1"/>
  <c r="C21" i="15" s="1"/>
  <c r="C17" i="4"/>
  <c r="C17" i="5" s="1"/>
  <c r="C17" i="6" s="1"/>
  <c r="C17" i="8" s="1"/>
  <c r="C17" i="9" s="1"/>
  <c r="C17" i="11" s="1"/>
  <c r="C17" i="10" s="1"/>
  <c r="C17" i="13" s="1"/>
  <c r="C17" i="12" s="1"/>
  <c r="C17" i="15" s="1"/>
  <c r="C16" i="4"/>
  <c r="C16" i="5" s="1"/>
  <c r="C16" i="6" s="1"/>
  <c r="C16" i="8" s="1"/>
  <c r="C16" i="9" s="1"/>
  <c r="C16" i="11" s="1"/>
  <c r="C16" i="10" s="1"/>
  <c r="C16" i="13" s="1"/>
  <c r="C16" i="12" s="1"/>
  <c r="C16" i="15" s="1"/>
  <c r="C11" i="4"/>
  <c r="C11" i="5" s="1"/>
  <c r="C11" i="6" s="1"/>
  <c r="C11" i="8" s="1"/>
  <c r="C11" i="9" s="1"/>
  <c r="C11" i="11" s="1"/>
  <c r="C11" i="10" s="1"/>
  <c r="C11" i="13" s="1"/>
  <c r="C11" i="12" s="1"/>
  <c r="C11" i="15" s="1"/>
  <c r="C10" i="4"/>
  <c r="C10" i="5" s="1"/>
  <c r="C10" i="6" s="1"/>
  <c r="C10" i="8" s="1"/>
  <c r="C10" i="9" s="1"/>
  <c r="C10" i="11" s="1"/>
  <c r="C10" i="10" s="1"/>
  <c r="C10" i="13" s="1"/>
  <c r="C10" i="12" s="1"/>
  <c r="C10" i="15" s="1"/>
  <c r="C25" i="4"/>
  <c r="C25" i="5" s="1"/>
  <c r="C25" i="6" s="1"/>
  <c r="C25" i="8" s="1"/>
  <c r="C25" i="9" s="1"/>
  <c r="C25" i="11" s="1"/>
  <c r="C25" i="10" s="1"/>
  <c r="C25" i="13" s="1"/>
  <c r="C25" i="12" s="1"/>
  <c r="C25" i="15" s="1"/>
  <c r="C9" i="4"/>
  <c r="C9" i="5" s="1"/>
  <c r="C9" i="6" s="1"/>
  <c r="C13" i="4"/>
  <c r="C13" i="5" s="1"/>
  <c r="C13" i="6" s="1"/>
  <c r="C13" i="8" s="1"/>
  <c r="C13" i="9" s="1"/>
  <c r="C13" i="11" s="1"/>
  <c r="C13" i="10" s="1"/>
  <c r="C13" i="13" s="1"/>
  <c r="C13" i="12" s="1"/>
  <c r="C13" i="15" s="1"/>
  <c r="C23" i="4"/>
  <c r="C23" i="5" s="1"/>
  <c r="C23" i="6" s="1"/>
  <c r="C23" i="8" s="1"/>
  <c r="C23" i="9" s="1"/>
  <c r="C23" i="11" s="1"/>
  <c r="C23" i="10" s="1"/>
  <c r="C23" i="13" s="1"/>
  <c r="C23" i="12" s="1"/>
  <c r="C23" i="15" s="1"/>
  <c r="C15" i="4"/>
  <c r="C15" i="5" s="1"/>
  <c r="C15" i="6" s="1"/>
  <c r="C15" i="8" s="1"/>
  <c r="C15" i="9" s="1"/>
  <c r="C15" i="11" s="1"/>
  <c r="C15" i="10" s="1"/>
  <c r="C15" i="13" s="1"/>
  <c r="C15" i="12" s="1"/>
  <c r="C15" i="15" s="1"/>
  <c r="F22" i="2"/>
  <c r="F27" i="2"/>
  <c r="C8" i="5"/>
  <c r="F17" i="2"/>
  <c r="F16" i="2"/>
  <c r="F11" i="2"/>
  <c r="F18" i="2"/>
  <c r="F26" i="2"/>
  <c r="F13" i="2" l="1"/>
  <c r="F19" i="2"/>
  <c r="F15" i="2"/>
  <c r="B35" i="2"/>
  <c r="F12" i="2"/>
  <c r="F25" i="2"/>
  <c r="F20" i="2"/>
  <c r="F14" i="2"/>
  <c r="F24" i="2"/>
  <c r="F23" i="2"/>
  <c r="F21" i="2"/>
  <c r="F9" i="2"/>
  <c r="C9" i="8"/>
  <c r="C9" i="9" s="1"/>
  <c r="C9" i="11" s="1"/>
  <c r="C9" i="10" s="1"/>
  <c r="C9" i="13" s="1"/>
  <c r="C9" i="12" s="1"/>
  <c r="C9" i="15" s="1"/>
  <c r="F10" i="2"/>
  <c r="C8" i="6"/>
  <c r="C8" i="8" s="1"/>
  <c r="C8" i="9" l="1"/>
  <c r="C8" i="11" s="1"/>
  <c r="C8" i="10" s="1"/>
  <c r="C8" i="13" s="1"/>
  <c r="C8" i="12" s="1"/>
  <c r="C8" i="15" s="1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B37" i="2"/>
  <c r="B36" i="2"/>
  <c r="F8" i="2"/>
  <c r="E27" i="8" l="1"/>
  <c r="E29" i="2"/>
  <c r="E33" i="2" s="1"/>
  <c r="C29" i="2"/>
  <c r="C33" i="2" s="1"/>
  <c r="D29" i="2"/>
  <c r="D33" i="2" s="1"/>
  <c r="B29" i="2"/>
  <c r="B33" i="2" s="1"/>
  <c r="E39" i="8" l="1"/>
  <c r="J39" i="8"/>
  <c r="O39" i="8"/>
  <c r="B38" i="2"/>
  <c r="M40" i="8" l="1"/>
  <c r="M39" i="8"/>
  <c r="H39" i="8"/>
  <c r="H40" i="8"/>
  <c r="R39" i="8"/>
  <c r="R40" i="8"/>
  <c r="B39" i="2" l="1"/>
  <c r="B40" i="2" s="1"/>
  <c r="B41" i="2" s="1"/>
  <c r="H41" i="8"/>
  <c r="E41" i="8" s="1"/>
  <c r="M41" i="8"/>
  <c r="J41" i="8" s="1"/>
  <c r="R41" i="8"/>
  <c r="O41" i="8" s="1"/>
  <c r="B4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tc={AABFF4EC-67C1-47EB-8BF4-0C756D20FA00}</author>
    <author>tc={8E5E7E9D-AAE1-4E38-8050-03DF71A6078E}</author>
    <author>tc={C5CF1CA4-3A5B-47BA-8A26-4A01854F4C70}</author>
    <author>tc={6367A1EC-82AD-4072-AE92-324224DF4CEE}</author>
    <author>tc={14DCBA2C-63FC-4310-BC55-F206B93D9A50}</author>
    <author>tc={A05CDE5D-5DDB-406F-B8FD-AE3BEFC0AD11}</author>
    <author>tc={5C74E0DF-E495-4D8F-B411-90B20D8DA484}</author>
    <author>tc={4C40E44D-F4E0-4894-B41B-05F544E15786}</author>
    <author>tc={7F58E2C2-CE88-47EA-A8CB-29B7815A27BF}</author>
    <author>tc={C0B96000-812D-492B-BC73-4E37611EA740}</author>
    <author>tc={A437C383-FD2D-4F3F-AA77-9D9EB0DAB7AF}</author>
    <author>tc={E92F8436-9EA4-4E45-B47A-EB4E96C26330}</author>
    <author>tc={D9AF7EB0-2DE4-4B13-B21E-D59AABCBB59B}</author>
    <author>tc={B14330DE-32F6-4150-85CB-270D44FA66F5}</author>
  </authors>
  <commentList>
    <comment ref="A6" authorId="0" shapeId="0" xr:uid="{AABFF4EC-67C1-47EB-8BF4-0C756D20FA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Importo danno</t>
      </text>
    </comment>
    <comment ref="B6" authorId="1" shapeId="0" xr:uid="{8E5E7E9D-AAE1-4E38-8050-03DF71A6078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Importo risarcimento</t>
      </text>
    </comment>
    <comment ref="G28" authorId="2" shapeId="0" xr:uid="{C5CF1CA4-3A5B-47BA-8A26-4A01854F4C7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Value at risk</t>
      </text>
    </comment>
    <comment ref="A39" authorId="3" shapeId="0" xr:uid="{6367A1EC-82AD-4072-AE92-324224DF4CE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Requisito di capitale: capitale che la società deve avere per essere solvibile al 99,5%</t>
      </text>
    </comment>
    <comment ref="E39" authorId="4" shapeId="0" xr:uid="{14DCBA2C-63FC-4310-BC55-F206B93D9A5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Prestito dell'azionista</t>
      </text>
    </comment>
    <comment ref="H39" authorId="5" shapeId="0" xr:uid="{A05CDE5D-5DDB-406F-B8FD-AE3BEFC0AD11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Prestito capitalizzato all'interesse richiesto: cosa devo dare all'azionista dopo un anno</t>
      </text>
    </comment>
    <comment ref="H40" authorId="6" shapeId="0" xr:uid="{5C74E0DF-E495-4D8F-B411-90B20D8DA48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Capitale prestato alla società capitaliizzato al tasso sicuro</t>
      </text>
    </comment>
    <comment ref="E41" authorId="7" shapeId="0" xr:uid="{4C40E44D-F4E0-4894-B41B-05F544E1578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Differenza attualizzata al tasso richiesto: quanto mi è costato il prestito</t>
      </text>
    </comment>
    <comment ref="A42" authorId="8" shapeId="0" xr:uid="{7F58E2C2-CE88-47EA-A8CB-29B7815A27B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Solvency capital requirement</t>
      </text>
    </comment>
    <comment ref="A44" authorId="9" shapeId="0" xr:uid="{C0B96000-812D-492B-BC73-4E37611EA74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Costo del capitale</t>
      </text>
    </comment>
    <comment ref="E45" authorId="10" shapeId="0" xr:uid="{A437C383-FD2D-4F3F-AA77-9D9EB0DAB7A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Tasso privo di rischio</t>
      </text>
    </comment>
    <comment ref="E46" authorId="11" shapeId="0" xr:uid="{E92F8436-9EA4-4E45-B47A-EB4E96C2633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Extra rendimento che l'azionista richiede all'assicurazione</t>
      </text>
    </comment>
    <comment ref="A47" authorId="12" shapeId="0" xr:uid="{D9AF7EB0-2DE4-4B13-B21E-D59AABCBB59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Guadagno atteso</t>
      </text>
    </comment>
    <comment ref="A50" authorId="13" shapeId="0" xr:uid="{B14330DE-32F6-4150-85CB-270D44FA66F5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Ritorno su capitale di rischio aggiustato: rendimento dell'azionista, quanto guadagna ogni euro investito</t>
      </text>
    </comment>
  </commentList>
</comments>
</file>

<file path=xl/sharedStrings.xml><?xml version="1.0" encoding="utf-8"?>
<sst xmlns="http://schemas.openxmlformats.org/spreadsheetml/2006/main" count="574" uniqueCount="99">
  <si>
    <t>Z</t>
  </si>
  <si>
    <t>Y</t>
  </si>
  <si>
    <t>ASS. VALORE INTERO</t>
  </si>
  <si>
    <t>V</t>
  </si>
  <si>
    <t>Vr</t>
  </si>
  <si>
    <t>ASS. A PRIMO RISCHIO RELATIVO</t>
  </si>
  <si>
    <t>M</t>
  </si>
  <si>
    <t>ASS. A PRIMO RISCHIO RELATIVO CON SOTTOASSICURAZIONE</t>
  </si>
  <si>
    <t>ASS. A PRIMO RISCHIO ASSOLUTO</t>
  </si>
  <si>
    <t>AVI</t>
  </si>
  <si>
    <t>AVI-SA</t>
  </si>
  <si>
    <t>APRR</t>
  </si>
  <si>
    <t>APRR-SA</t>
  </si>
  <si>
    <t>ASSICURAZIONI DI BENI (INCENDIO, FURTO, TRASPORTI)</t>
  </si>
  <si>
    <t>QUANTIFICAZIONE A PRIORI DEL VALORE DEL BENE</t>
  </si>
  <si>
    <t>PREMIO EQUO</t>
  </si>
  <si>
    <t>TASSO DI PREMIO EQUO</t>
  </si>
  <si>
    <t>Prob(Y=y)</t>
  </si>
  <si>
    <t>TASSO DI PREMIO (V)</t>
  </si>
  <si>
    <t>Y=Z</t>
  </si>
  <si>
    <t>Y=Z*V/Vr</t>
  </si>
  <si>
    <t>Y=MIN(M;Z)</t>
  </si>
  <si>
    <t>Y=MIN(Z*V/Vr;M)</t>
  </si>
  <si>
    <t>Y=f(Z)</t>
  </si>
  <si>
    <t>ASS. A VALORE INTERO - SOTTOASSICURAZIONE</t>
  </si>
  <si>
    <t>M(Massimale di copertura)</t>
  </si>
  <si>
    <t>ASSICURAZIONI DI RC, MALATTIA, SPESE MEDICHE</t>
  </si>
  <si>
    <t>NON SI FA RIFERIMENTO AD UN VALORE ASSICURATO</t>
  </si>
  <si>
    <t>ASS. A GARANZIA ILLIMITATA</t>
  </si>
  <si>
    <t>f(franchigia assoluta)</t>
  </si>
  <si>
    <t>ASS. CON FRANCHIGIA ASSOLUTA</t>
  </si>
  <si>
    <t>ASS. CON FRANCHIGIA RELATIVA</t>
  </si>
  <si>
    <t>Y=MAX(0,Z-f)</t>
  </si>
  <si>
    <t>Y=(0/Z&lt;=f;Z/Z&gt;f)</t>
  </si>
  <si>
    <t>f(franchigia relativa)</t>
  </si>
  <si>
    <t>ASS. CON FRANCHIGIA ASSOLUTA E MASSIMALE</t>
  </si>
  <si>
    <t>M(massimale)</t>
  </si>
  <si>
    <t>ASS. CON FRANCHIGIA RELATIVA E MASSIMALE</t>
  </si>
  <si>
    <t>ASS. CON SCOPERTO</t>
  </si>
  <si>
    <t>s(scoperto)</t>
  </si>
  <si>
    <t>Y=(1-s)*Z</t>
  </si>
  <si>
    <t>AGI</t>
  </si>
  <si>
    <t>APRA</t>
  </si>
  <si>
    <t>ACFR</t>
  </si>
  <si>
    <t>ACFA</t>
  </si>
  <si>
    <t>ACFAEM</t>
  </si>
  <si>
    <t>ACS</t>
  </si>
  <si>
    <t>ACFREM</t>
  </si>
  <si>
    <t>f</t>
  </si>
  <si>
    <t>s</t>
  </si>
  <si>
    <t>V'(valore assicurato)</t>
  </si>
  <si>
    <t>V(Valore del bene)</t>
  </si>
  <si>
    <t>V'</t>
  </si>
  <si>
    <t>E(Y)</t>
  </si>
  <si>
    <t>VAR(Y)</t>
  </si>
  <si>
    <t>(Y-E(Y))^2*PROB(Y=y)</t>
  </si>
  <si>
    <t>Prob(Y&lt;=y)</t>
  </si>
  <si>
    <t>PP(PVA)</t>
  </si>
  <si>
    <t>a=</t>
  </si>
  <si>
    <t>PP(PV)</t>
  </si>
  <si>
    <t>b=</t>
  </si>
  <si>
    <t>c=</t>
  </si>
  <si>
    <t>PP(PP)</t>
  </si>
  <si>
    <t>VaR(Y,0,995)</t>
  </si>
  <si>
    <t>VaR(Y,0999)</t>
  </si>
  <si>
    <t>SCR(PVA)</t>
  </si>
  <si>
    <t>SCR(PV)</t>
  </si>
  <si>
    <t>SCR(PP)</t>
  </si>
  <si>
    <t>CAR(PVA)=E(U,PVA)</t>
  </si>
  <si>
    <t>CAR(PV)=E(U,PV)</t>
  </si>
  <si>
    <t>CAR(PP)=E(U,PP)</t>
  </si>
  <si>
    <t>i=irf+icoc</t>
  </si>
  <si>
    <t>irf=</t>
  </si>
  <si>
    <t>icoc=</t>
  </si>
  <si>
    <t>COC(PVA)</t>
  </si>
  <si>
    <t>PVA</t>
  </si>
  <si>
    <t>PV</t>
  </si>
  <si>
    <t>PP</t>
  </si>
  <si>
    <t>COC(PV)</t>
  </si>
  <si>
    <t>COC(PP)</t>
  </si>
  <si>
    <t>E(U,PVA,NCOC)</t>
  </si>
  <si>
    <t>E(U,PV,NCOC)</t>
  </si>
  <si>
    <t>E(U,PP,NCOC)</t>
  </si>
  <si>
    <t>RORAC(PVA)</t>
  </si>
  <si>
    <t>RORAC(PV)</t>
  </si>
  <si>
    <t>RORAC(PP)</t>
  </si>
  <si>
    <t>E(U,PVA,NCOC)/PP(PVA)</t>
  </si>
  <si>
    <t>prima la franchigia e poi il massimale</t>
  </si>
  <si>
    <t>E(U)&gt;0, PR(Y&gt;PP)=(1-0,76)=0,24</t>
  </si>
  <si>
    <t>solvency capital requirement</t>
  </si>
  <si>
    <t>minimo margine di solvibilità</t>
  </si>
  <si>
    <t>premium risk</t>
  </si>
  <si>
    <t>rischio di tariffazione ovvero il rischio di liquidare un importo maggiore del premio</t>
  </si>
  <si>
    <t>VaR(Y;99,5%)</t>
  </si>
  <si>
    <t>VaR(Y;99,9%)</t>
  </si>
  <si>
    <t>SOLVENCY RATIO=FONDI PROPRI/SCR</t>
  </si>
  <si>
    <t>RORAC</t>
  </si>
  <si>
    <t>RETURN ON RISK ADJUSTED CAPITAL</t>
  </si>
  <si>
    <t>RORAC=E(U,NCOC)/SCR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</si>
</sst>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0_-;\-* #,##0.000_-;_-* &quot;-&quot;??_-;_-@_-"/>
    <numFmt numFmtId="165" formatCode="_-* #,##0.00\ _€_-;\-* #,##0.00\ _€_-;_-* &quot;-&quot;??\ _€_-;_-@_-"/>
    <numFmt numFmtId="166" formatCode="_-* #,##0.000\ _€_-;\-* #,##0.000\ _€_-;_-* &quot;-&quot;???\ _€_-;_-@_-"/>
    <numFmt numFmtId="167" formatCode="_-* #,##0.00\ _€_-;\-* #,##0.00\ _€_-;_-* &quot;-&quot;???\ _€_-;_-@_-"/>
    <numFmt numFmtId="168" formatCode="0.0000"/>
    <numFmt numFmtId="169" formatCode="_-* #,##0.0000_-;\-* #,##0.0000_-;_-* &quot;-&quot;????_-;_-@_-"/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2" fontId="0" fillId="0" borderId="1" xfId="0" applyNumberFormat="1" applyBorder="1"/>
    <xf numFmtId="43" fontId="0" fillId="0" borderId="0" xfId="1" applyFont="1"/>
    <xf numFmtId="43" fontId="0" fillId="0" borderId="1" xfId="1" applyFont="1" applyBorder="1"/>
    <xf numFmtId="0" fontId="2" fillId="0" borderId="1" xfId="0" applyFont="1" applyBorder="1"/>
    <xf numFmtId="0" fontId="2" fillId="2" borderId="1" xfId="0" applyFont="1" applyFill="1" applyBorder="1"/>
    <xf numFmtId="10" fontId="0" fillId="0" borderId="1" xfId="2" applyNumberFormat="1" applyFont="1" applyBorder="1"/>
    <xf numFmtId="10" fontId="0" fillId="0" borderId="0" xfId="2" applyNumberFormat="1" applyFont="1"/>
    <xf numFmtId="0" fontId="2" fillId="0" borderId="0" xfId="0" applyFont="1"/>
    <xf numFmtId="9" fontId="0" fillId="0" borderId="0" xfId="0" applyNumberFormat="1"/>
    <xf numFmtId="9" fontId="0" fillId="0" borderId="1" xfId="0" applyNumberFormat="1" applyBorder="1"/>
    <xf numFmtId="164" fontId="0" fillId="0" borderId="1" xfId="1" applyNumberFormat="1" applyFont="1" applyBorder="1"/>
    <xf numFmtId="43" fontId="0" fillId="2" borderId="1" xfId="1" applyFont="1" applyFill="1" applyBorder="1"/>
    <xf numFmtId="164" fontId="0" fillId="0" borderId="1" xfId="2" applyNumberFormat="1" applyFont="1" applyBorder="1"/>
    <xf numFmtId="0" fontId="2" fillId="4" borderId="1" xfId="0" applyFont="1" applyFill="1" applyBorder="1"/>
    <xf numFmtId="10" fontId="2" fillId="2" borderId="1" xfId="2" applyNumberFormat="1" applyFont="1" applyFill="1" applyBorder="1"/>
    <xf numFmtId="43" fontId="0" fillId="4" borderId="1" xfId="1" applyFont="1" applyFill="1" applyBorder="1"/>
    <xf numFmtId="43" fontId="0" fillId="0" borderId="1" xfId="2" applyNumberFormat="1" applyFont="1" applyBorder="1"/>
    <xf numFmtId="2" fontId="2" fillId="2" borderId="1" xfId="0" applyNumberFormat="1" applyFont="1" applyFill="1" applyBorder="1"/>
    <xf numFmtId="43" fontId="0" fillId="0" borderId="0" xfId="0" applyNumberFormat="1"/>
    <xf numFmtId="164" fontId="0" fillId="0" borderId="0" xfId="1" applyNumberFormat="1" applyFont="1"/>
    <xf numFmtId="164" fontId="2" fillId="0" borderId="1" xfId="1" applyNumberFormat="1" applyFont="1" applyBorder="1"/>
    <xf numFmtId="43" fontId="0" fillId="0" borderId="1" xfId="0" applyNumberFormat="1" applyBorder="1"/>
    <xf numFmtId="43" fontId="0" fillId="4" borderId="1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4" borderId="14" xfId="0" applyFill="1" applyBorder="1"/>
    <xf numFmtId="0" fontId="0" fillId="0" borderId="14" xfId="0" applyBorder="1"/>
    <xf numFmtId="0" fontId="0" fillId="0" borderId="15" xfId="0" applyBorder="1"/>
    <xf numFmtId="2" fontId="0" fillId="4" borderId="14" xfId="0" applyNumberFormat="1" applyFill="1" applyBorder="1"/>
    <xf numFmtId="0" fontId="0" fillId="2" borderId="11" xfId="0" applyFill="1" applyBorder="1"/>
    <xf numFmtId="165" fontId="0" fillId="6" borderId="11" xfId="0" applyNumberFormat="1" applyFill="1" applyBorder="1"/>
    <xf numFmtId="0" fontId="0" fillId="2" borderId="1" xfId="0" applyFill="1" applyBorder="1"/>
    <xf numFmtId="43" fontId="0" fillId="2" borderId="1" xfId="0" applyNumberFormat="1" applyFill="1" applyBorder="1"/>
    <xf numFmtId="0" fontId="0" fillId="7" borderId="1" xfId="0" applyFill="1" applyBorder="1"/>
    <xf numFmtId="43" fontId="0" fillId="7" borderId="1" xfId="0" applyNumberFormat="1" applyFill="1" applyBorder="1"/>
    <xf numFmtId="43" fontId="0" fillId="7" borderId="1" xfId="1" applyFont="1" applyFill="1" applyBorder="1"/>
    <xf numFmtId="0" fontId="0" fillId="7" borderId="0" xfId="0" applyFill="1"/>
    <xf numFmtId="165" fontId="0" fillId="5" borderId="1" xfId="0" applyNumberFormat="1" applyFill="1" applyBorder="1"/>
    <xf numFmtId="165" fontId="0" fillId="2" borderId="1" xfId="0" applyNumberFormat="1" applyFill="1" applyBorder="1"/>
    <xf numFmtId="165" fontId="0" fillId="0" borderId="1" xfId="0" applyNumberFormat="1" applyBorder="1"/>
    <xf numFmtId="167" fontId="0" fillId="4" borderId="1" xfId="0" applyNumberFormat="1" applyFill="1" applyBorder="1"/>
    <xf numFmtId="166" fontId="0" fillId="0" borderId="1" xfId="0" applyNumberFormat="1" applyBorder="1"/>
    <xf numFmtId="167" fontId="0" fillId="2" borderId="1" xfId="0" applyNumberFormat="1" applyFill="1" applyBorder="1"/>
    <xf numFmtId="168" fontId="0" fillId="0" borderId="1" xfId="0" applyNumberFormat="1" applyBorder="1"/>
    <xf numFmtId="169" fontId="0" fillId="6" borderId="1" xfId="0" applyNumberFormat="1" applyFill="1" applyBorder="1"/>
    <xf numFmtId="170" fontId="0" fillId="0" borderId="1" xfId="2" applyNumberFormat="1" applyFont="1" applyBorder="1"/>
    <xf numFmtId="9" fontId="0" fillId="0" borderId="1" xfId="2" applyFont="1" applyBorder="1"/>
    <xf numFmtId="164" fontId="0" fillId="5" borderId="1" xfId="1" applyNumberFormat="1" applyFont="1" applyFill="1" applyBorder="1"/>
    <xf numFmtId="43" fontId="0" fillId="5" borderId="0" xfId="1" applyFont="1" applyFill="1"/>
    <xf numFmtId="2" fontId="0" fillId="5" borderId="0" xfId="0" applyNumberFormat="1" applyFill="1"/>
    <xf numFmtId="0" fontId="0" fillId="5" borderId="1" xfId="0" applyFill="1" applyBorder="1"/>
    <xf numFmtId="0" fontId="0" fillId="2" borderId="0" xfId="0" applyFill="1"/>
    <xf numFmtId="9" fontId="0" fillId="2" borderId="0" xfId="0" applyNumberFormat="1" applyFill="1"/>
    <xf numFmtId="43" fontId="0" fillId="2" borderId="0" xfId="0" applyNumberFormat="1" applyFill="1"/>
    <xf numFmtId="170" fontId="0" fillId="7" borderId="1" xfId="2" applyNumberFormat="1" applyFont="1" applyFill="1" applyBorder="1"/>
    <xf numFmtId="43" fontId="0" fillId="3" borderId="1" xfId="1" applyFont="1" applyFill="1" applyBorder="1"/>
    <xf numFmtId="170" fontId="0" fillId="0" borderId="1" xfId="1" applyNumberFormat="1" applyFont="1" applyBorder="1"/>
    <xf numFmtId="170" fontId="0" fillId="0" borderId="0" xfId="0" applyNumberFormat="1"/>
    <xf numFmtId="0" fontId="0" fillId="4" borderId="0" xfId="0" applyFill="1"/>
    <xf numFmtId="170" fontId="0" fillId="4" borderId="1" xfId="2" applyNumberFormat="1" applyFont="1" applyFill="1" applyBorder="1"/>
    <xf numFmtId="170" fontId="0" fillId="0" borderId="1" xfId="0" applyNumberFormat="1" applyBorder="1"/>
    <xf numFmtId="2" fontId="0" fillId="4" borderId="1" xfId="0" applyNumberFormat="1" applyFill="1" applyBorder="1"/>
    <xf numFmtId="165" fontId="0" fillId="0" borderId="12" xfId="0" applyNumberFormat="1" applyBorder="1"/>
    <xf numFmtId="10" fontId="0" fillId="8" borderId="1" xfId="2" applyNumberFormat="1" applyFont="1" applyFill="1" applyBorder="1"/>
    <xf numFmtId="166" fontId="0" fillId="0" borderId="0" xfId="0" applyNumberFormat="1"/>
    <xf numFmtId="43" fontId="0" fillId="8" borderId="1" xfId="1" applyFont="1" applyFill="1" applyBorder="1"/>
    <xf numFmtId="43" fontId="0" fillId="9" borderId="1" xfId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AVI</c:v>
          </c:tx>
          <c:xVal>
            <c:numRef>
              <c:f>TUTTE_ADB!$A$7:$A$27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TUTTE_ADB!$B$7:$B$27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F-4864-8DCE-69AFC3AD3D64}"/>
            </c:ext>
          </c:extLst>
        </c:ser>
        <c:ser>
          <c:idx val="1"/>
          <c:order val="1"/>
          <c:tx>
            <c:v>AVI-SA</c:v>
          </c:tx>
          <c:xVal>
            <c:numRef>
              <c:f>TUTTE_ADB!$A$7:$A$27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TUTTE_ADB!$C$7:$C$27</c:f>
              <c:numCache>
                <c:formatCode>0.00</c:formatCode>
                <c:ptCount val="21"/>
                <c:pt idx="0">
                  <c:v>0</c:v>
                </c:pt>
                <c:pt idx="1">
                  <c:v>0.66926938092582478</c:v>
                </c:pt>
                <c:pt idx="2">
                  <c:v>1.3385387618516496</c:v>
                </c:pt>
                <c:pt idx="3">
                  <c:v>2.0078081427774741</c:v>
                </c:pt>
                <c:pt idx="4">
                  <c:v>2.6770775237032991</c:v>
                </c:pt>
                <c:pt idx="5">
                  <c:v>3.3463469046291241</c:v>
                </c:pt>
                <c:pt idx="6">
                  <c:v>4.0156162855549482</c:v>
                </c:pt>
                <c:pt idx="7">
                  <c:v>4.6848856664807732</c:v>
                </c:pt>
                <c:pt idx="8">
                  <c:v>5.3541550474065982</c:v>
                </c:pt>
                <c:pt idx="9">
                  <c:v>6.0234244283324232</c:v>
                </c:pt>
                <c:pt idx="10">
                  <c:v>6.6926938092582482</c:v>
                </c:pt>
                <c:pt idx="11">
                  <c:v>7.3619631901840723</c:v>
                </c:pt>
                <c:pt idx="12">
                  <c:v>8.0312325711098964</c:v>
                </c:pt>
                <c:pt idx="13">
                  <c:v>8.7005019520357223</c:v>
                </c:pt>
                <c:pt idx="14">
                  <c:v>9.3697713329615464</c:v>
                </c:pt>
                <c:pt idx="15">
                  <c:v>10.039040713887372</c:v>
                </c:pt>
                <c:pt idx="16">
                  <c:v>10.708310094813196</c:v>
                </c:pt>
                <c:pt idx="17">
                  <c:v>11.377579475739021</c:v>
                </c:pt>
                <c:pt idx="18">
                  <c:v>12.046848856664846</c:v>
                </c:pt>
                <c:pt idx="19">
                  <c:v>12.716118237590671</c:v>
                </c:pt>
                <c:pt idx="20">
                  <c:v>13.385387618516496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F-4864-8DCE-69AFC3AD3D64}"/>
            </c:ext>
          </c:extLst>
        </c:ser>
        <c:ser>
          <c:idx val="2"/>
          <c:order val="2"/>
          <c:tx>
            <c:v>APRR</c:v>
          </c:tx>
          <c:xVal>
            <c:numRef>
              <c:f>TUTTE_ADB!$A$7:$A$27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TUTTE_ADB!$D$7:$D$27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16.439138128064293</c:v>
                </c:pt>
                <c:pt idx="18">
                  <c:v>16.439138128064293</c:v>
                </c:pt>
                <c:pt idx="19">
                  <c:v>16.439138128064293</c:v>
                </c:pt>
                <c:pt idx="20">
                  <c:v>16.439138128064293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F-4864-8DCE-69AFC3AD3D64}"/>
            </c:ext>
          </c:extLst>
        </c:ser>
        <c:ser>
          <c:idx val="3"/>
          <c:order val="3"/>
          <c:tx>
            <c:v>APRR-SA</c:v>
          </c:tx>
          <c:xVal>
            <c:numRef>
              <c:f>TUTTE_ADB!$A$7:$A$27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TUTTE_ADB!$E$7:$E$27</c:f>
              <c:numCache>
                <c:formatCode>0.00</c:formatCode>
                <c:ptCount val="21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9.75</c:v>
                </c:pt>
                <c:pt idx="14">
                  <c:v>10.5</c:v>
                </c:pt>
                <c:pt idx="15">
                  <c:v>11.25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F-4864-8DCE-69AFC3AD3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80064"/>
        <c:axId val="129881600"/>
      </c:scatterChart>
      <c:valAx>
        <c:axId val="1298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881600"/>
        <c:crosses val="autoZero"/>
        <c:crossBetween val="midCat"/>
      </c:valAx>
      <c:valAx>
        <c:axId val="129881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988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152400</xdr:rowOff>
    </xdr:from>
    <xdr:to>
      <xdr:col>14</xdr:col>
      <xdr:colOff>466725</xdr:colOff>
      <xdr:row>21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2-20T14:03:08.77" personId="{00000000-0000-0000-0000-000000000000}" id="{AABFF4EC-67C1-47EB-8BF4-0C756D20FA00}">
    <text>Importo danno</text>
  </threadedComment>
  <threadedComment ref="B6" dT="2023-02-20T14:03:18.04" personId="{00000000-0000-0000-0000-000000000000}" id="{8E5E7E9D-AAE1-4E38-8050-03DF71A6078E}">
    <text>Importo risarcimento</text>
  </threadedComment>
  <threadedComment ref="G28" dT="2023-02-20T14:23:00.85" personId="{00000000-0000-0000-0000-000000000000}" id="{C5CF1CA4-3A5B-47BA-8A26-4A01854F4C70}">
    <text>Value at risk</text>
  </threadedComment>
  <threadedComment ref="A39" dT="2023-02-20T14:19:44.84" personId="{00000000-0000-0000-0000-000000000000}" id="{6367A1EC-82AD-4072-AE92-324224DF4CEE}">
    <text>Requisito di capitale: capitale che la società deve avere per essere solvibile al 99,5%</text>
  </threadedComment>
  <threadedComment ref="E39" dT="2023-02-20T14:45:26.21" personId="{00000000-0000-0000-0000-000000000000}" id="{14DCBA2C-63FC-4310-BC55-F206B93D9A50}">
    <text>Prestito dell'azionista</text>
  </threadedComment>
  <threadedComment ref="H39" dT="2023-02-20T14:45:42.78" personId="{00000000-0000-0000-0000-000000000000}" id="{A05CDE5D-5DDB-406F-B8FD-AE3BEFC0AD11}">
    <text>Prestito capitalizzato all'interesse richiesto: cosa devo dare all'azionista dopo un anno</text>
  </threadedComment>
  <threadedComment ref="H40" dT="2023-02-20T14:46:13.92" personId="{00000000-0000-0000-0000-000000000000}" id="{5C74E0DF-E495-4D8F-B411-90B20D8DA484}">
    <text>Capitale prestato alla società capitaliizzato al tasso sicuro</text>
  </threadedComment>
  <threadedComment ref="E41" dT="2023-02-20T14:46:38.67" personId="{00000000-0000-0000-0000-000000000000}" id="{4C40E44D-F4E0-4894-B41B-05F544E15786}">
    <text>Differenza attualizzata al tasso richiesto: quanto mi è costato il prestito</text>
  </threadedComment>
  <threadedComment ref="A42" dT="2023-02-20T14:25:28.00" personId="{00000000-0000-0000-0000-000000000000}" id="{7F58E2C2-CE88-47EA-A8CB-29B7815A27BF}">
    <text>Solvency capital requirement</text>
  </threadedComment>
  <threadedComment ref="A44" dT="2023-02-20T14:33:30.43" personId="{00000000-0000-0000-0000-000000000000}" id="{C0B96000-812D-492B-BC73-4E37611EA740}">
    <text>Costo del capitale</text>
  </threadedComment>
  <threadedComment ref="E45" dT="2023-02-20T14:33:03.25" personId="{00000000-0000-0000-0000-000000000000}" id="{A437C383-FD2D-4F3F-AA77-9D9EB0DAB7AF}">
    <text>Tasso privo di rischio</text>
  </threadedComment>
  <threadedComment ref="E46" dT="2023-02-20T14:38:47.10" personId="{00000000-0000-0000-0000-000000000000}" id="{E92F8436-9EA4-4E45-B47A-EB4E96C26330}">
    <text>Extra rendimento che l'azionista richiede all'assicurazione</text>
  </threadedComment>
  <threadedComment ref="A47" dT="2023-02-20T14:37:16.87" personId="{00000000-0000-0000-0000-000000000000}" id="{D9AF7EB0-2DE4-4B13-B21E-D59AABCBB59B}">
    <text>Guadagno atteso</text>
  </threadedComment>
  <threadedComment ref="A50" dT="2023-02-20T14:35:46.87" personId="{00000000-0000-0000-0000-000000000000}" id="{B14330DE-32F6-4150-85CB-270D44FA66F5}">
    <text>Ritorno su capitale di rischio aggiustato: rendimento dell'azionista, quanto guadagna ogni euro investito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opLeftCell="A22" zoomScale="110" zoomScaleNormal="110" workbookViewId="0">
      <selection activeCell="C33" sqref="C33"/>
    </sheetView>
  </sheetViews>
  <sheetFormatPr defaultRowHeight="14.4" x14ac:dyDescent="0.3"/>
  <cols>
    <col min="1" max="1" width="18.44140625" bestFit="1" customWidth="1"/>
    <col min="2" max="3" width="12.6640625" customWidth="1"/>
    <col min="4" max="4" width="29.33203125" bestFit="1" customWidth="1"/>
    <col min="5" max="5" width="10.6640625" bestFit="1" customWidth="1"/>
    <col min="7" max="7" width="12.5546875" bestFit="1" customWidth="1"/>
  </cols>
  <sheetData>
    <row r="1" spans="1:6" ht="15" thickBot="1" x14ac:dyDescent="0.35">
      <c r="A1" s="73" t="s">
        <v>13</v>
      </c>
      <c r="B1" s="74"/>
      <c r="C1" s="74"/>
      <c r="D1" s="74"/>
      <c r="E1" s="74"/>
      <c r="F1" s="75"/>
    </row>
    <row r="2" spans="1:6" x14ac:dyDescent="0.3">
      <c r="A2" s="76" t="s">
        <v>14</v>
      </c>
      <c r="B2" s="77"/>
      <c r="C2" s="77"/>
      <c r="D2" s="77"/>
      <c r="E2" s="77"/>
      <c r="F2" s="78"/>
    </row>
    <row r="3" spans="1:6" x14ac:dyDescent="0.3">
      <c r="A3" s="80" t="s">
        <v>2</v>
      </c>
      <c r="B3" s="80"/>
      <c r="C3" s="80"/>
      <c r="D3" s="80"/>
      <c r="E3" s="80"/>
      <c r="F3" s="80"/>
    </row>
    <row r="4" spans="1:6" x14ac:dyDescent="0.3">
      <c r="A4" t="s">
        <v>50</v>
      </c>
      <c r="B4">
        <v>20</v>
      </c>
      <c r="D4" t="s">
        <v>51</v>
      </c>
      <c r="E4">
        <f>B4</f>
        <v>20</v>
      </c>
    </row>
    <row r="6" spans="1:6" x14ac:dyDescent="0.3">
      <c r="A6" s="5" t="s">
        <v>0</v>
      </c>
      <c r="B6" s="5" t="s">
        <v>19</v>
      </c>
      <c r="C6" s="5" t="s">
        <v>17</v>
      </c>
      <c r="D6" s="5" t="s">
        <v>55</v>
      </c>
      <c r="E6" s="5" t="s">
        <v>56</v>
      </c>
    </row>
    <row r="7" spans="1:6" x14ac:dyDescent="0.3">
      <c r="A7" s="1">
        <v>0</v>
      </c>
      <c r="B7" s="1">
        <f>A7</f>
        <v>0</v>
      </c>
      <c r="C7" s="51">
        <v>0.7</v>
      </c>
      <c r="D7" s="23">
        <f>(B7-$C$29)^2*C7</f>
        <v>6.9457500000000021</v>
      </c>
      <c r="E7" s="62">
        <f>SUM($C$7:C7)</f>
        <v>0.7</v>
      </c>
    </row>
    <row r="8" spans="1:6" x14ac:dyDescent="0.3">
      <c r="A8" s="1">
        <f>A7+1</f>
        <v>1</v>
      </c>
      <c r="B8" s="1">
        <f t="shared" ref="B8:B27" si="0">A8</f>
        <v>1</v>
      </c>
      <c r="C8" s="51">
        <f>+(1-$C$7)/COUNTA($A$8:$A$27)</f>
        <v>1.5000000000000003E-2</v>
      </c>
      <c r="D8" s="23">
        <f t="shared" ref="D8:D27" si="1">(B8-$C$29)^2*C8</f>
        <v>6.9337500000000038E-2</v>
      </c>
      <c r="E8" s="62">
        <f>SUM($C$7:C8)</f>
        <v>0.71499999999999997</v>
      </c>
    </row>
    <row r="9" spans="1:6" x14ac:dyDescent="0.3">
      <c r="A9" s="1">
        <f t="shared" ref="A9:A26" si="2">A8+1</f>
        <v>2</v>
      </c>
      <c r="B9" s="1">
        <f t="shared" si="0"/>
        <v>2</v>
      </c>
      <c r="C9" s="51">
        <f t="shared" ref="C9:C27" si="3">+(1-$C$7)/COUNTA($A$8:$A$27)</f>
        <v>1.5000000000000003E-2</v>
      </c>
      <c r="D9" s="23">
        <f t="shared" si="1"/>
        <v>1.9837500000000018E-2</v>
      </c>
      <c r="E9" s="62">
        <f>SUM($C$7:C9)</f>
        <v>0.73</v>
      </c>
    </row>
    <row r="10" spans="1:6" x14ac:dyDescent="0.3">
      <c r="A10" s="1">
        <f t="shared" si="2"/>
        <v>3</v>
      </c>
      <c r="B10" s="1">
        <f t="shared" si="0"/>
        <v>3</v>
      </c>
      <c r="C10" s="51">
        <f t="shared" si="3"/>
        <v>1.5000000000000003E-2</v>
      </c>
      <c r="D10" s="23">
        <f t="shared" si="1"/>
        <v>3.3750000000000164E-4</v>
      </c>
      <c r="E10" s="62">
        <f>SUM($C$7:C10)</f>
        <v>0.745</v>
      </c>
      <c r="F10" s="63">
        <f>1-E10</f>
        <v>0.255</v>
      </c>
    </row>
    <row r="11" spans="1:6" x14ac:dyDescent="0.3">
      <c r="A11" s="39">
        <f t="shared" si="2"/>
        <v>4</v>
      </c>
      <c r="B11" s="1">
        <f t="shared" si="0"/>
        <v>4</v>
      </c>
      <c r="C11" s="60">
        <f t="shared" si="3"/>
        <v>1.5000000000000003E-2</v>
      </c>
      <c r="D11" s="23">
        <f t="shared" si="1"/>
        <v>1.0837499999999993E-2</v>
      </c>
      <c r="E11" s="62">
        <f>SUM($C$7:C11)</f>
        <v>0.76</v>
      </c>
    </row>
    <row r="12" spans="1:6" s="42" customFormat="1" x14ac:dyDescent="0.3">
      <c r="A12" s="39">
        <f t="shared" si="2"/>
        <v>5</v>
      </c>
      <c r="B12" s="1">
        <f t="shared" si="0"/>
        <v>5</v>
      </c>
      <c r="C12" s="60">
        <f t="shared" si="3"/>
        <v>1.5000000000000003E-2</v>
      </c>
      <c r="D12" s="23">
        <f t="shared" si="1"/>
        <v>5.1337499999999987E-2</v>
      </c>
      <c r="E12" s="62">
        <f>SUM($C$7:C12)</f>
        <v>0.77500000000000002</v>
      </c>
    </row>
    <row r="13" spans="1:6" s="42" customFormat="1" x14ac:dyDescent="0.3">
      <c r="A13" s="39">
        <f t="shared" si="2"/>
        <v>6</v>
      </c>
      <c r="B13" s="1">
        <f t="shared" si="0"/>
        <v>6</v>
      </c>
      <c r="C13" s="60">
        <f t="shared" si="3"/>
        <v>1.5000000000000003E-2</v>
      </c>
      <c r="D13" s="23">
        <f t="shared" si="1"/>
        <v>0.1218375</v>
      </c>
      <c r="E13" s="62">
        <f>SUM($C$7:C13)</f>
        <v>0.79</v>
      </c>
    </row>
    <row r="14" spans="1:6" x14ac:dyDescent="0.3">
      <c r="A14" s="1">
        <f t="shared" si="2"/>
        <v>7</v>
      </c>
      <c r="B14" s="1">
        <f t="shared" si="0"/>
        <v>7</v>
      </c>
      <c r="C14" s="51">
        <f t="shared" si="3"/>
        <v>1.5000000000000003E-2</v>
      </c>
      <c r="D14" s="23">
        <f t="shared" si="1"/>
        <v>0.22233750000000002</v>
      </c>
      <c r="E14" s="62">
        <f>SUM($C$7:C14)</f>
        <v>0.80500000000000005</v>
      </c>
    </row>
    <row r="15" spans="1:6" x14ac:dyDescent="0.3">
      <c r="A15" s="1">
        <f t="shared" si="2"/>
        <v>8</v>
      </c>
      <c r="B15" s="1">
        <f t="shared" si="0"/>
        <v>8</v>
      </c>
      <c r="C15" s="51">
        <f t="shared" si="3"/>
        <v>1.5000000000000003E-2</v>
      </c>
      <c r="D15" s="23">
        <f t="shared" si="1"/>
        <v>0.35283750000000003</v>
      </c>
      <c r="E15" s="62">
        <f>SUM($C$7:C15)</f>
        <v>0.82000000000000006</v>
      </c>
    </row>
    <row r="16" spans="1:6" x14ac:dyDescent="0.3">
      <c r="A16" s="1">
        <f t="shared" si="2"/>
        <v>9</v>
      </c>
      <c r="B16" s="1">
        <f t="shared" si="0"/>
        <v>9</v>
      </c>
      <c r="C16" s="51">
        <f t="shared" si="3"/>
        <v>1.5000000000000003E-2</v>
      </c>
      <c r="D16" s="23">
        <f t="shared" si="1"/>
        <v>0.5133375</v>
      </c>
      <c r="E16" s="62">
        <f>SUM($C$7:C16)</f>
        <v>0.83500000000000008</v>
      </c>
    </row>
    <row r="17" spans="1:12" x14ac:dyDescent="0.3">
      <c r="A17" s="1">
        <f t="shared" si="2"/>
        <v>10</v>
      </c>
      <c r="B17" s="1">
        <f t="shared" si="0"/>
        <v>10</v>
      </c>
      <c r="C17" s="51">
        <f t="shared" si="3"/>
        <v>1.5000000000000003E-2</v>
      </c>
      <c r="D17" s="23">
        <f t="shared" si="1"/>
        <v>0.7038375</v>
      </c>
      <c r="E17" s="62">
        <f>SUM($C$7:C17)</f>
        <v>0.85000000000000009</v>
      </c>
    </row>
    <row r="18" spans="1:12" x14ac:dyDescent="0.3">
      <c r="A18" s="1">
        <f t="shared" si="2"/>
        <v>11</v>
      </c>
      <c r="B18" s="1">
        <f t="shared" si="0"/>
        <v>11</v>
      </c>
      <c r="C18" s="51">
        <f t="shared" si="3"/>
        <v>1.5000000000000003E-2</v>
      </c>
      <c r="D18" s="23">
        <f t="shared" si="1"/>
        <v>0.92433750000000015</v>
      </c>
      <c r="E18" s="62">
        <f>SUM($C$7:C18)</f>
        <v>0.8650000000000001</v>
      </c>
    </row>
    <row r="19" spans="1:12" x14ac:dyDescent="0.3">
      <c r="A19" s="1">
        <f t="shared" si="2"/>
        <v>12</v>
      </c>
      <c r="B19" s="1">
        <f t="shared" si="0"/>
        <v>12</v>
      </c>
      <c r="C19" s="51">
        <f t="shared" si="3"/>
        <v>1.5000000000000003E-2</v>
      </c>
      <c r="D19" s="23">
        <f t="shared" si="1"/>
        <v>1.1748375000000002</v>
      </c>
      <c r="E19" s="62">
        <f>SUM($C$7:C19)</f>
        <v>0.88000000000000012</v>
      </c>
    </row>
    <row r="20" spans="1:12" x14ac:dyDescent="0.3">
      <c r="A20" s="1">
        <f>A19+1</f>
        <v>13</v>
      </c>
      <c r="B20" s="1">
        <f t="shared" si="0"/>
        <v>13</v>
      </c>
      <c r="C20" s="51">
        <f t="shared" si="3"/>
        <v>1.5000000000000003E-2</v>
      </c>
      <c r="D20" s="23">
        <f t="shared" si="1"/>
        <v>1.4553375000000002</v>
      </c>
      <c r="E20" s="62">
        <f>SUM($C$7:C20)</f>
        <v>0.89500000000000013</v>
      </c>
    </row>
    <row r="21" spans="1:12" x14ac:dyDescent="0.3">
      <c r="A21" s="1">
        <f t="shared" si="2"/>
        <v>14</v>
      </c>
      <c r="B21" s="1">
        <f t="shared" si="0"/>
        <v>14</v>
      </c>
      <c r="C21" s="51">
        <f t="shared" si="3"/>
        <v>1.5000000000000003E-2</v>
      </c>
      <c r="D21" s="23">
        <f t="shared" si="1"/>
        <v>1.7658375000000004</v>
      </c>
      <c r="E21" s="62">
        <f>SUM($C$7:C21)</f>
        <v>0.91000000000000014</v>
      </c>
    </row>
    <row r="22" spans="1:12" x14ac:dyDescent="0.3">
      <c r="A22" s="1">
        <f t="shared" si="2"/>
        <v>15</v>
      </c>
      <c r="B22" s="1">
        <f t="shared" si="0"/>
        <v>15</v>
      </c>
      <c r="C22" s="51">
        <f t="shared" si="3"/>
        <v>1.5000000000000003E-2</v>
      </c>
      <c r="D22" s="23">
        <f t="shared" si="1"/>
        <v>2.1063375</v>
      </c>
      <c r="E22" s="62">
        <f>SUM($C$7:C22)</f>
        <v>0.92500000000000016</v>
      </c>
    </row>
    <row r="23" spans="1:12" x14ac:dyDescent="0.3">
      <c r="A23" s="1">
        <f t="shared" si="2"/>
        <v>16</v>
      </c>
      <c r="B23" s="1">
        <f t="shared" si="0"/>
        <v>16</v>
      </c>
      <c r="C23" s="51">
        <f t="shared" si="3"/>
        <v>1.5000000000000003E-2</v>
      </c>
      <c r="D23" s="23">
        <f t="shared" si="1"/>
        <v>2.4768375000000007</v>
      </c>
      <c r="E23" s="62">
        <f>SUM($C$7:C23)</f>
        <v>0.94000000000000017</v>
      </c>
    </row>
    <row r="24" spans="1:12" x14ac:dyDescent="0.3">
      <c r="A24" s="1">
        <f t="shared" si="2"/>
        <v>17</v>
      </c>
      <c r="B24" s="1">
        <f t="shared" si="0"/>
        <v>17</v>
      </c>
      <c r="C24" s="51">
        <f t="shared" si="3"/>
        <v>1.5000000000000003E-2</v>
      </c>
      <c r="D24" s="23">
        <f t="shared" si="1"/>
        <v>2.8773375000000003</v>
      </c>
      <c r="E24" s="62">
        <f>SUM($C$7:C24)</f>
        <v>0.95500000000000018</v>
      </c>
    </row>
    <row r="25" spans="1:12" x14ac:dyDescent="0.3">
      <c r="A25" s="1">
        <f t="shared" si="2"/>
        <v>18</v>
      </c>
      <c r="B25" s="1">
        <f t="shared" si="0"/>
        <v>18</v>
      </c>
      <c r="C25" s="51">
        <f t="shared" si="3"/>
        <v>1.5000000000000003E-2</v>
      </c>
      <c r="D25" s="23">
        <f t="shared" si="1"/>
        <v>3.3078375000000002</v>
      </c>
      <c r="E25" s="62">
        <f>SUM($C$7:C25)</f>
        <v>0.9700000000000002</v>
      </c>
    </row>
    <row r="26" spans="1:12" x14ac:dyDescent="0.3">
      <c r="A26" s="1">
        <f t="shared" si="2"/>
        <v>19</v>
      </c>
      <c r="B26" s="1">
        <f t="shared" si="0"/>
        <v>19</v>
      </c>
      <c r="C26" s="51">
        <f t="shared" si="3"/>
        <v>1.5000000000000003E-2</v>
      </c>
      <c r="D26" s="23">
        <f t="shared" si="1"/>
        <v>3.7683375000000008</v>
      </c>
      <c r="E26" s="62">
        <f>SUM($C$7:C26)</f>
        <v>0.98500000000000021</v>
      </c>
      <c r="G26" s="66">
        <f>E27-E26</f>
        <v>1.5000000000000013E-2</v>
      </c>
      <c r="I26" s="1">
        <f>B27-B26</f>
        <v>1</v>
      </c>
      <c r="K26" s="63">
        <f>G26</f>
        <v>1.5000000000000013E-2</v>
      </c>
      <c r="L26">
        <f>I26</f>
        <v>1</v>
      </c>
    </row>
    <row r="27" spans="1:12" x14ac:dyDescent="0.3">
      <c r="A27" s="1">
        <f>A26+1</f>
        <v>20</v>
      </c>
      <c r="B27" s="1">
        <f t="shared" si="0"/>
        <v>20</v>
      </c>
      <c r="C27" s="51">
        <f t="shared" si="3"/>
        <v>1.5000000000000003E-2</v>
      </c>
      <c r="D27" s="23">
        <f t="shared" si="1"/>
        <v>4.2588375000000021</v>
      </c>
      <c r="E27" s="62">
        <f>SUM($C$7:C27)</f>
        <v>1.0000000000000002</v>
      </c>
      <c r="G27" s="66">
        <f>99.5%-E26</f>
        <v>9.9999999999997868E-3</v>
      </c>
      <c r="I27" s="2">
        <f>1/1.5</f>
        <v>0.66666666666666663</v>
      </c>
      <c r="K27" s="63">
        <f>99.9%-E26</f>
        <v>1.3999999999999901E-2</v>
      </c>
      <c r="L27">
        <f>L26*K27/K26</f>
        <v>0.93333333333332591</v>
      </c>
    </row>
    <row r="28" spans="1:12" x14ac:dyDescent="0.3">
      <c r="C28" s="3"/>
      <c r="G28" s="1" t="s">
        <v>93</v>
      </c>
      <c r="I28" s="67">
        <f>B26+I27</f>
        <v>19.666666666666668</v>
      </c>
    </row>
    <row r="29" spans="1:12" x14ac:dyDescent="0.3">
      <c r="A29" s="79" t="s">
        <v>15</v>
      </c>
      <c r="B29" s="79"/>
      <c r="C29" s="13">
        <f>SUMPRODUCT(B7:B27,C7:C27)</f>
        <v>3.1500000000000004</v>
      </c>
      <c r="D29" s="20"/>
      <c r="G29" s="1" t="s">
        <v>94</v>
      </c>
      <c r="I29" s="37">
        <f>B26+L27</f>
        <v>19.933333333333326</v>
      </c>
    </row>
    <row r="30" spans="1:12" x14ac:dyDescent="0.3">
      <c r="A30" s="79" t="s">
        <v>16</v>
      </c>
      <c r="B30" s="79"/>
      <c r="C30" s="61">
        <f>C29/B4</f>
        <v>0.15750000000000003</v>
      </c>
    </row>
    <row r="31" spans="1:12" x14ac:dyDescent="0.3">
      <c r="A31" s="1" t="s">
        <v>53</v>
      </c>
      <c r="B31" s="1"/>
      <c r="C31" s="23">
        <f>C29</f>
        <v>3.1500000000000004</v>
      </c>
    </row>
    <row r="32" spans="1:12" x14ac:dyDescent="0.3">
      <c r="A32" s="1" t="s">
        <v>54</v>
      </c>
      <c r="B32" s="1"/>
      <c r="C32" s="23">
        <f>SUM(D7:D27)</f>
        <v>33.127500000000012</v>
      </c>
    </row>
    <row r="33" spans="1:18" x14ac:dyDescent="0.3">
      <c r="A33" s="1" t="s">
        <v>57</v>
      </c>
      <c r="B33" s="1"/>
      <c r="C33" s="43">
        <f>C29+I33*C29</f>
        <v>9.6666666666666679</v>
      </c>
      <c r="H33" t="s">
        <v>58</v>
      </c>
      <c r="I33" s="10">
        <v>2.0687830687830684</v>
      </c>
    </row>
    <row r="34" spans="1:18" x14ac:dyDescent="0.3">
      <c r="A34" s="1" t="s">
        <v>59</v>
      </c>
      <c r="B34" s="1"/>
      <c r="C34" s="44">
        <f>C29+I34*C32</f>
        <v>4.4751000000000012</v>
      </c>
      <c r="H34" t="s">
        <v>60</v>
      </c>
      <c r="I34" s="10">
        <v>0.04</v>
      </c>
    </row>
    <row r="35" spans="1:18" x14ac:dyDescent="0.3">
      <c r="A35" s="1" t="s">
        <v>62</v>
      </c>
      <c r="B35" s="1"/>
      <c r="C35" s="37">
        <f>B11</f>
        <v>4</v>
      </c>
      <c r="D35" t="s">
        <v>88</v>
      </c>
      <c r="H35" t="s">
        <v>61</v>
      </c>
      <c r="I35" s="63">
        <f>+E11</f>
        <v>0.76</v>
      </c>
    </row>
    <row r="36" spans="1:18" x14ac:dyDescent="0.3">
      <c r="A36" s="1" t="s">
        <v>68</v>
      </c>
      <c r="B36" s="1"/>
      <c r="C36" s="45">
        <f>C33-$C$29</f>
        <v>6.5166666666666675</v>
      </c>
    </row>
    <row r="37" spans="1:18" ht="15" thickBot="1" x14ac:dyDescent="0.35">
      <c r="A37" s="1" t="s">
        <v>69</v>
      </c>
      <c r="B37" s="1"/>
      <c r="C37" s="45">
        <f t="shared" ref="C37:C38" si="4">C34-$C$29</f>
        <v>1.3251000000000008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5">
        <f t="shared" si="4"/>
        <v>0.84999999999999964</v>
      </c>
      <c r="E38" s="25">
        <v>0</v>
      </c>
      <c r="F38" s="26"/>
      <c r="G38" s="26"/>
      <c r="H38" s="1">
        <v>1</v>
      </c>
      <c r="J38" s="25">
        <v>0</v>
      </c>
      <c r="K38" s="26"/>
      <c r="L38" s="26"/>
      <c r="M38" s="27">
        <v>1</v>
      </c>
      <c r="O38" s="25">
        <v>0</v>
      </c>
      <c r="P38" s="26"/>
      <c r="Q38" s="26"/>
      <c r="R38" s="27">
        <v>1</v>
      </c>
    </row>
    <row r="39" spans="1:18" x14ac:dyDescent="0.3">
      <c r="A39" s="1" t="s">
        <v>63</v>
      </c>
      <c r="B39" s="1"/>
      <c r="C39" s="46">
        <f>I28</f>
        <v>19.666666666666668</v>
      </c>
      <c r="E39" s="36">
        <f>+C41</f>
        <v>10</v>
      </c>
      <c r="H39" s="1">
        <f>-E39*(1+F45+F46)</f>
        <v>-10.700000000000001</v>
      </c>
      <c r="J39" s="36">
        <f>C42</f>
        <v>15.191566666666667</v>
      </c>
      <c r="M39" s="28">
        <f>-J39*(1+K45+K46)</f>
        <v>-16.254976333333335</v>
      </c>
      <c r="O39" s="36">
        <f>C43</f>
        <v>15.666666666666668</v>
      </c>
      <c r="R39" s="28">
        <f>-O39*(1+P45+P46)</f>
        <v>-16.763333333333335</v>
      </c>
    </row>
    <row r="40" spans="1:18" x14ac:dyDescent="0.3">
      <c r="A40" s="1" t="s">
        <v>64</v>
      </c>
      <c r="B40" s="1"/>
      <c r="C40" s="46">
        <f>I29</f>
        <v>19.933333333333326</v>
      </c>
      <c r="D40" s="20"/>
      <c r="E40" s="29"/>
      <c r="H40" s="1">
        <f>+E39*(1+F45)</f>
        <v>10.1</v>
      </c>
      <c r="J40" s="29"/>
      <c r="M40" s="28">
        <f>+J39*(1+K45)</f>
        <v>15.343482333333334</v>
      </c>
      <c r="O40" s="29"/>
      <c r="R40" s="28">
        <f>+O39*(1+P45)</f>
        <v>15.823333333333334</v>
      </c>
    </row>
    <row r="41" spans="1:18" x14ac:dyDescent="0.3">
      <c r="A41" s="1" t="s">
        <v>65</v>
      </c>
      <c r="B41" s="1"/>
      <c r="C41" s="43">
        <f>$C$39-C33</f>
        <v>10</v>
      </c>
      <c r="E41" s="35">
        <f>+H41/(1+F45)</f>
        <v>-0.59405940594059548</v>
      </c>
      <c r="H41" s="1">
        <f>+H39+H40</f>
        <v>-0.60000000000000142</v>
      </c>
      <c r="J41" s="35">
        <f>+M41/(1+K45)</f>
        <v>-0.90246930693069416</v>
      </c>
      <c r="M41" s="28">
        <f>+M39+M40</f>
        <v>-0.91149400000000114</v>
      </c>
      <c r="O41" s="35">
        <f>+R41/(1+P45)</f>
        <v>-0.93069306930693196</v>
      </c>
      <c r="R41" s="28">
        <f>+R39+R40</f>
        <v>-0.94000000000000128</v>
      </c>
    </row>
    <row r="42" spans="1:18" x14ac:dyDescent="0.3">
      <c r="A42" s="1" t="s">
        <v>66</v>
      </c>
      <c r="B42" s="1"/>
      <c r="C42" s="43">
        <f t="shared" ref="C42:C43" si="5">$C$39-C34</f>
        <v>15.191566666666667</v>
      </c>
      <c r="E42" s="29"/>
      <c r="H42" s="28"/>
      <c r="J42" s="29"/>
      <c r="M42" s="28"/>
      <c r="O42" s="29"/>
      <c r="R42" s="28"/>
    </row>
    <row r="43" spans="1:18" x14ac:dyDescent="0.3">
      <c r="A43" s="1" t="s">
        <v>67</v>
      </c>
      <c r="B43" s="1"/>
      <c r="C43" s="43">
        <f t="shared" si="5"/>
        <v>15.666666666666668</v>
      </c>
      <c r="E43" s="29"/>
      <c r="H43" s="28"/>
      <c r="J43" s="29"/>
      <c r="M43" s="28"/>
      <c r="O43" s="29"/>
      <c r="R43" s="28"/>
    </row>
    <row r="44" spans="1:18" x14ac:dyDescent="0.3">
      <c r="A44" s="1" t="s">
        <v>74</v>
      </c>
      <c r="B44" s="1"/>
      <c r="C44" s="49">
        <f>E41</f>
        <v>-0.59405940594059548</v>
      </c>
      <c r="E44" s="29" t="s">
        <v>71</v>
      </c>
      <c r="H44" s="28"/>
      <c r="J44" s="29" t="s">
        <v>71</v>
      </c>
      <c r="M44" s="28"/>
      <c r="O44" s="29" t="s">
        <v>71</v>
      </c>
      <c r="R44" s="28"/>
    </row>
    <row r="45" spans="1:18" x14ac:dyDescent="0.3">
      <c r="A45" s="1" t="s">
        <v>78</v>
      </c>
      <c r="B45" s="1"/>
      <c r="C45" s="49">
        <f>J41</f>
        <v>-0.90246930693069416</v>
      </c>
      <c r="E45" s="29" t="s">
        <v>72</v>
      </c>
      <c r="F45">
        <v>0.01</v>
      </c>
      <c r="H45" s="28"/>
      <c r="J45" s="29" t="s">
        <v>72</v>
      </c>
      <c r="K45">
        <v>0.01</v>
      </c>
      <c r="M45" s="28"/>
      <c r="O45" s="29" t="s">
        <v>72</v>
      </c>
      <c r="P45">
        <v>0.01</v>
      </c>
      <c r="R45" s="28"/>
    </row>
    <row r="46" spans="1:18" ht="15" thickBot="1" x14ac:dyDescent="0.35">
      <c r="A46" s="1" t="s">
        <v>79</v>
      </c>
      <c r="B46" s="1"/>
      <c r="C46" s="49">
        <f>O41</f>
        <v>-0.93069306930693196</v>
      </c>
      <c r="E46" s="30" t="s">
        <v>73</v>
      </c>
      <c r="F46" s="31">
        <v>0.06</v>
      </c>
      <c r="G46" s="32"/>
      <c r="H46" s="33"/>
      <c r="J46" s="30" t="s">
        <v>73</v>
      </c>
      <c r="K46" s="31">
        <v>0.06</v>
      </c>
      <c r="L46" s="32"/>
      <c r="M46" s="33"/>
      <c r="O46" s="30" t="s">
        <v>73</v>
      </c>
      <c r="P46" s="34">
        <v>0.06</v>
      </c>
      <c r="Q46" s="32"/>
      <c r="R46" s="33"/>
    </row>
    <row r="47" spans="1:18" x14ac:dyDescent="0.3">
      <c r="A47" s="1" t="s">
        <v>80</v>
      </c>
      <c r="B47" s="1"/>
      <c r="C47" s="50">
        <f>C36+C44</f>
        <v>5.922607260726072</v>
      </c>
    </row>
    <row r="48" spans="1:18" x14ac:dyDescent="0.3">
      <c r="A48" s="1" t="s">
        <v>81</v>
      </c>
      <c r="B48" s="1"/>
      <c r="C48" s="50">
        <f t="shared" ref="C48:C49" si="6">C37+C45</f>
        <v>0.42263069306930667</v>
      </c>
    </row>
    <row r="49" spans="1:5" x14ac:dyDescent="0.3">
      <c r="A49" s="1" t="s">
        <v>82</v>
      </c>
      <c r="B49" s="1"/>
      <c r="C49" s="50">
        <f t="shared" si="6"/>
        <v>-8.0693069306932319E-2</v>
      </c>
      <c r="E49" t="s">
        <v>89</v>
      </c>
    </row>
    <row r="50" spans="1:5" x14ac:dyDescent="0.3">
      <c r="A50" s="1" t="s">
        <v>83</v>
      </c>
      <c r="B50" s="1"/>
      <c r="C50" s="65">
        <f>C47/C41</f>
        <v>0.59226072607260716</v>
      </c>
      <c r="E50" t="s">
        <v>90</v>
      </c>
    </row>
    <row r="51" spans="1:5" x14ac:dyDescent="0.3">
      <c r="A51" s="1" t="s">
        <v>84</v>
      </c>
      <c r="B51" s="1"/>
      <c r="C51" s="65">
        <f t="shared" ref="C51:C52" si="7">C48/C42</f>
        <v>2.7820086126906375E-2</v>
      </c>
      <c r="E51" t="s">
        <v>91</v>
      </c>
    </row>
    <row r="52" spans="1:5" x14ac:dyDescent="0.3">
      <c r="A52" s="1" t="s">
        <v>85</v>
      </c>
      <c r="B52" s="1"/>
      <c r="C52" s="65">
        <f t="shared" si="7"/>
        <v>-5.1506214451233394E-3</v>
      </c>
      <c r="E52" t="s">
        <v>92</v>
      </c>
    </row>
    <row r="54" spans="1:5" x14ac:dyDescent="0.3">
      <c r="D54" t="s">
        <v>95</v>
      </c>
    </row>
    <row r="55" spans="1:5" x14ac:dyDescent="0.3">
      <c r="A55" t="s">
        <v>96</v>
      </c>
      <c r="B55" t="s">
        <v>97</v>
      </c>
    </row>
    <row r="56" spans="1:5" x14ac:dyDescent="0.3">
      <c r="A56" t="s">
        <v>98</v>
      </c>
    </row>
  </sheetData>
  <mergeCells count="5">
    <mergeCell ref="A1:F1"/>
    <mergeCell ref="A2:F2"/>
    <mergeCell ref="A29:B29"/>
    <mergeCell ref="A30:B30"/>
    <mergeCell ref="A3:F3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52"/>
  <sheetViews>
    <sheetView zoomScale="120" zoomScaleNormal="120" workbookViewId="0">
      <selection activeCell="A11" sqref="A11"/>
    </sheetView>
  </sheetViews>
  <sheetFormatPr defaultRowHeight="14.4" x14ac:dyDescent="0.3"/>
  <cols>
    <col min="1" max="1" width="23.109375" bestFit="1" customWidth="1"/>
    <col min="2" max="2" width="15.109375" bestFit="1" customWidth="1"/>
  </cols>
  <sheetData>
    <row r="1" spans="1:6" ht="15" thickBot="1" x14ac:dyDescent="0.35">
      <c r="A1" s="73" t="s">
        <v>26</v>
      </c>
      <c r="B1" s="74"/>
      <c r="C1" s="74"/>
      <c r="D1" s="74"/>
      <c r="E1" s="74"/>
      <c r="F1" s="75"/>
    </row>
    <row r="2" spans="1:6" x14ac:dyDescent="0.3">
      <c r="A2" s="76" t="s">
        <v>27</v>
      </c>
      <c r="B2" s="77"/>
      <c r="C2" s="77"/>
      <c r="D2" s="77"/>
      <c r="E2" s="77"/>
      <c r="F2" s="78"/>
    </row>
    <row r="3" spans="1:6" x14ac:dyDescent="0.3">
      <c r="A3" s="80" t="s">
        <v>37</v>
      </c>
      <c r="B3" s="80"/>
      <c r="C3" s="80"/>
      <c r="D3" s="80"/>
      <c r="E3" s="80"/>
      <c r="F3" s="80"/>
    </row>
    <row r="4" spans="1:6" x14ac:dyDescent="0.3">
      <c r="A4" t="s">
        <v>34</v>
      </c>
      <c r="B4">
        <v>15</v>
      </c>
      <c r="D4" t="s">
        <v>87</v>
      </c>
    </row>
    <row r="5" spans="1:6" x14ac:dyDescent="0.3">
      <c r="A5" t="s">
        <v>36</v>
      </c>
      <c r="B5">
        <v>80</v>
      </c>
    </row>
    <row r="6" spans="1:6" x14ac:dyDescent="0.3">
      <c r="A6" s="5" t="s">
        <v>0</v>
      </c>
      <c r="B6" s="5" t="s">
        <v>1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1"/>
      <c r="C7" s="12">
        <f>ACFA!C7</f>
        <v>0.7</v>
      </c>
      <c r="D7" s="23"/>
      <c r="E7" s="4"/>
    </row>
    <row r="8" spans="1:6" x14ac:dyDescent="0.3">
      <c r="A8" s="1">
        <f>A7+5</f>
        <v>5</v>
      </c>
      <c r="B8" s="1"/>
      <c r="C8" s="12">
        <f>ACFA!C8</f>
        <v>1.5000000000000003E-2</v>
      </c>
      <c r="D8" s="23"/>
      <c r="E8" s="4"/>
    </row>
    <row r="9" spans="1:6" x14ac:dyDescent="0.3">
      <c r="A9" s="1">
        <f t="shared" ref="A9:A27" si="0">A8+5</f>
        <v>10</v>
      </c>
      <c r="B9" s="1"/>
      <c r="C9" s="12">
        <f>ACFA!C9</f>
        <v>1.5000000000000003E-2</v>
      </c>
      <c r="D9" s="23"/>
      <c r="E9" s="4"/>
    </row>
    <row r="10" spans="1:6" x14ac:dyDescent="0.3">
      <c r="A10" s="1">
        <f t="shared" si="0"/>
        <v>15</v>
      </c>
      <c r="B10" s="1"/>
      <c r="C10" s="12">
        <f>ACFA!C10</f>
        <v>1.5000000000000003E-2</v>
      </c>
      <c r="D10" s="23"/>
      <c r="E10" s="4"/>
    </row>
    <row r="11" spans="1:6" x14ac:dyDescent="0.3">
      <c r="A11" s="1">
        <f t="shared" si="0"/>
        <v>20</v>
      </c>
      <c r="B11" s="1"/>
      <c r="C11" s="12">
        <f>ACFA!C11</f>
        <v>1.5000000000000003E-2</v>
      </c>
      <c r="D11" s="24"/>
      <c r="E11" s="17"/>
    </row>
    <row r="12" spans="1:6" x14ac:dyDescent="0.3">
      <c r="A12" s="1">
        <f t="shared" si="0"/>
        <v>25</v>
      </c>
      <c r="B12" s="1"/>
      <c r="C12" s="12">
        <f>ACFA!C12</f>
        <v>1.5000000000000003E-2</v>
      </c>
      <c r="D12" s="38"/>
      <c r="E12" s="13"/>
    </row>
    <row r="13" spans="1:6" x14ac:dyDescent="0.3">
      <c r="A13" s="1">
        <f t="shared" si="0"/>
        <v>30</v>
      </c>
      <c r="B13" s="1"/>
      <c r="C13" s="12">
        <f>ACFA!C13</f>
        <v>1.5000000000000003E-2</v>
      </c>
      <c r="D13" s="40"/>
      <c r="E13" s="41"/>
    </row>
    <row r="14" spans="1:6" x14ac:dyDescent="0.3">
      <c r="A14" s="1">
        <f t="shared" si="0"/>
        <v>35</v>
      </c>
      <c r="B14" s="1"/>
      <c r="C14" s="12">
        <f>ACFA!C14</f>
        <v>1.5000000000000003E-2</v>
      </c>
      <c r="D14" s="23"/>
      <c r="E14" s="4"/>
    </row>
    <row r="15" spans="1:6" x14ac:dyDescent="0.3">
      <c r="A15" s="1">
        <f t="shared" si="0"/>
        <v>40</v>
      </c>
      <c r="B15" s="1"/>
      <c r="C15" s="12">
        <f>ACFA!C15</f>
        <v>1.5000000000000003E-2</v>
      </c>
      <c r="D15" s="23"/>
      <c r="E15" s="4"/>
    </row>
    <row r="16" spans="1:6" x14ac:dyDescent="0.3">
      <c r="A16" s="1">
        <f t="shared" si="0"/>
        <v>45</v>
      </c>
      <c r="B16" s="1"/>
      <c r="C16" s="12">
        <f>ACFA!C16</f>
        <v>1.5000000000000003E-2</v>
      </c>
      <c r="D16" s="23"/>
      <c r="E16" s="4"/>
    </row>
    <row r="17" spans="1:5" x14ac:dyDescent="0.3">
      <c r="A17" s="1">
        <f t="shared" si="0"/>
        <v>50</v>
      </c>
      <c r="B17" s="1"/>
      <c r="C17" s="12">
        <f>ACFA!C17</f>
        <v>1.5000000000000003E-2</v>
      </c>
      <c r="D17" s="23"/>
      <c r="E17" s="4"/>
    </row>
    <row r="18" spans="1:5" x14ac:dyDescent="0.3">
      <c r="A18" s="1">
        <f t="shared" si="0"/>
        <v>55</v>
      </c>
      <c r="B18" s="1"/>
      <c r="C18" s="12">
        <f>ACFA!C18</f>
        <v>1.5000000000000003E-2</v>
      </c>
      <c r="D18" s="23"/>
      <c r="E18" s="4"/>
    </row>
    <row r="19" spans="1:5" x14ac:dyDescent="0.3">
      <c r="A19" s="1">
        <f t="shared" si="0"/>
        <v>60</v>
      </c>
      <c r="B19" s="1"/>
      <c r="C19" s="12">
        <f>ACFA!C19</f>
        <v>1.5000000000000003E-2</v>
      </c>
      <c r="D19" s="23"/>
      <c r="E19" s="4"/>
    </row>
    <row r="20" spans="1:5" x14ac:dyDescent="0.3">
      <c r="A20" s="1">
        <f t="shared" si="0"/>
        <v>65</v>
      </c>
      <c r="B20" s="1"/>
      <c r="C20" s="12">
        <f>ACFA!C20</f>
        <v>1.5000000000000003E-2</v>
      </c>
      <c r="D20" s="23"/>
      <c r="E20" s="4"/>
    </row>
    <row r="21" spans="1:5" x14ac:dyDescent="0.3">
      <c r="A21" s="1">
        <f t="shared" si="0"/>
        <v>70</v>
      </c>
      <c r="B21" s="1"/>
      <c r="C21" s="12">
        <f>ACFA!C21</f>
        <v>1.5000000000000003E-2</v>
      </c>
      <c r="D21" s="23"/>
      <c r="E21" s="4"/>
    </row>
    <row r="22" spans="1:5" x14ac:dyDescent="0.3">
      <c r="A22" s="1">
        <f t="shared" si="0"/>
        <v>75</v>
      </c>
      <c r="B22" s="1"/>
      <c r="C22" s="12">
        <f>ACFA!C22</f>
        <v>1.5000000000000003E-2</v>
      </c>
      <c r="D22" s="23"/>
      <c r="E22" s="4"/>
    </row>
    <row r="23" spans="1:5" x14ac:dyDescent="0.3">
      <c r="A23" s="1">
        <f t="shared" si="0"/>
        <v>80</v>
      </c>
      <c r="B23" s="1"/>
      <c r="C23" s="12">
        <f>ACFA!C23</f>
        <v>1.5000000000000003E-2</v>
      </c>
      <c r="D23" s="23"/>
      <c r="E23" s="4"/>
    </row>
    <row r="24" spans="1:5" x14ac:dyDescent="0.3">
      <c r="A24" s="1">
        <f t="shared" si="0"/>
        <v>85</v>
      </c>
      <c r="B24" s="1"/>
      <c r="C24" s="12">
        <f>ACFA!C24</f>
        <v>1.5000000000000003E-2</v>
      </c>
      <c r="D24" s="23"/>
      <c r="E24" s="4"/>
    </row>
    <row r="25" spans="1:5" x14ac:dyDescent="0.3">
      <c r="A25" s="1">
        <f t="shared" si="0"/>
        <v>90</v>
      </c>
      <c r="B25" s="1"/>
      <c r="C25" s="12">
        <f>ACFA!C25</f>
        <v>1.5000000000000003E-2</v>
      </c>
      <c r="D25" s="23"/>
      <c r="E25" s="4"/>
    </row>
    <row r="26" spans="1:5" x14ac:dyDescent="0.3">
      <c r="A26" s="1">
        <f t="shared" si="0"/>
        <v>95</v>
      </c>
      <c r="B26" s="1"/>
      <c r="C26" s="12">
        <f>ACFA!C26</f>
        <v>1.5000000000000003E-2</v>
      </c>
      <c r="D26" s="23"/>
      <c r="E26" s="12"/>
    </row>
    <row r="27" spans="1:5" x14ac:dyDescent="0.3">
      <c r="A27" s="1">
        <f t="shared" si="0"/>
        <v>100</v>
      </c>
      <c r="B27" s="1"/>
      <c r="C27" s="12">
        <f>ACFA!C27</f>
        <v>1.5000000000000003E-2</v>
      </c>
      <c r="D27" s="23"/>
      <c r="E27" s="12"/>
    </row>
    <row r="28" spans="1:5" x14ac:dyDescent="0.3">
      <c r="C28" s="3"/>
    </row>
    <row r="29" spans="1:5" x14ac:dyDescent="0.3">
      <c r="A29" s="79" t="s">
        <v>15</v>
      </c>
      <c r="B29" s="79"/>
      <c r="C29" s="13"/>
    </row>
    <row r="31" spans="1:5" x14ac:dyDescent="0.3">
      <c r="A31" s="1" t="s">
        <v>53</v>
      </c>
      <c r="B31" s="1"/>
      <c r="C31" s="23"/>
    </row>
    <row r="32" spans="1:5" x14ac:dyDescent="0.3">
      <c r="A32" s="1" t="s">
        <v>54</v>
      </c>
      <c r="B32" s="1"/>
      <c r="C32" s="23"/>
    </row>
    <row r="33" spans="1:18" x14ac:dyDescent="0.3">
      <c r="A33" s="1" t="s">
        <v>57</v>
      </c>
      <c r="B33" s="1"/>
      <c r="C33" s="43"/>
      <c r="H33" t="s">
        <v>58</v>
      </c>
      <c r="I33" s="10">
        <f>AGI!I33</f>
        <v>0.35</v>
      </c>
    </row>
    <row r="34" spans="1:18" x14ac:dyDescent="0.3">
      <c r="A34" s="1" t="s">
        <v>59</v>
      </c>
      <c r="B34" s="1"/>
      <c r="C34" s="44"/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7"/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5"/>
    </row>
    <row r="37" spans="1:18" ht="15" thickBot="1" x14ac:dyDescent="0.35">
      <c r="A37" s="1" t="s">
        <v>69</v>
      </c>
      <c r="B37" s="1"/>
      <c r="C37" s="45"/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5"/>
      <c r="E38" s="25">
        <v>0</v>
      </c>
      <c r="F38" s="26"/>
      <c r="G38" s="26"/>
      <c r="H38" s="27">
        <v>1</v>
      </c>
      <c r="J38" s="25">
        <v>0</v>
      </c>
      <c r="K38" s="26"/>
      <c r="L38" s="26"/>
      <c r="M38" s="27">
        <v>1</v>
      </c>
      <c r="O38" s="25">
        <v>0</v>
      </c>
      <c r="P38" s="26"/>
      <c r="Q38" s="26"/>
      <c r="R38" s="27">
        <v>1</v>
      </c>
    </row>
    <row r="39" spans="1:18" x14ac:dyDescent="0.3">
      <c r="A39" s="1" t="s">
        <v>63</v>
      </c>
      <c r="B39" s="1"/>
      <c r="C39" s="46"/>
      <c r="E39" s="36">
        <f>+C41</f>
        <v>0</v>
      </c>
      <c r="H39" s="28">
        <f>-E39*(1+F45+F46)</f>
        <v>0</v>
      </c>
      <c r="J39" s="36">
        <f>C42</f>
        <v>0</v>
      </c>
      <c r="M39" s="28">
        <f>-J39*(1+K45+K46)</f>
        <v>0</v>
      </c>
      <c r="O39" s="36">
        <f>C43</f>
        <v>0</v>
      </c>
      <c r="R39" s="28">
        <f>-O39*(1+P45+P46)</f>
        <v>0</v>
      </c>
    </row>
    <row r="40" spans="1:18" x14ac:dyDescent="0.3">
      <c r="A40" s="1" t="s">
        <v>64</v>
      </c>
      <c r="B40" s="1"/>
      <c r="C40" s="47"/>
      <c r="D40" s="20"/>
      <c r="E40" s="29"/>
      <c r="H40" s="28">
        <f>+E39*(1+F45)</f>
        <v>0</v>
      </c>
      <c r="J40" s="29"/>
      <c r="M40" s="28">
        <f>+J39*(1+K45)</f>
        <v>0</v>
      </c>
      <c r="O40" s="29"/>
      <c r="R40" s="28">
        <f>+O39*(1+P45)</f>
        <v>0</v>
      </c>
    </row>
    <row r="41" spans="1:18" x14ac:dyDescent="0.3">
      <c r="A41" s="1" t="s">
        <v>65</v>
      </c>
      <c r="B41" s="1"/>
      <c r="C41" s="43"/>
      <c r="E41" s="35">
        <f>+H41/(1+F45)</f>
        <v>0</v>
      </c>
      <c r="H41" s="28">
        <f>+H39+H40</f>
        <v>0</v>
      </c>
      <c r="J41" s="35">
        <f>+M41/(1+K45)</f>
        <v>0</v>
      </c>
      <c r="M41" s="28">
        <f>+M39+M40</f>
        <v>0</v>
      </c>
      <c r="O41" s="35">
        <f>+R41/(1+P45)</f>
        <v>0</v>
      </c>
      <c r="R41" s="28">
        <f>+R39+R40</f>
        <v>0</v>
      </c>
    </row>
    <row r="42" spans="1:18" x14ac:dyDescent="0.3">
      <c r="A42" s="1" t="s">
        <v>66</v>
      </c>
      <c r="B42" s="1"/>
      <c r="C42" s="44"/>
      <c r="E42" s="29"/>
      <c r="H42" s="28"/>
      <c r="J42" s="29"/>
      <c r="M42" s="28"/>
      <c r="O42" s="29"/>
      <c r="R42" s="28"/>
    </row>
    <row r="43" spans="1:18" x14ac:dyDescent="0.3">
      <c r="A43" s="1" t="s">
        <v>67</v>
      </c>
      <c r="B43" s="1"/>
      <c r="C43" s="48"/>
      <c r="E43" s="29"/>
      <c r="H43" s="28"/>
      <c r="J43" s="29"/>
      <c r="M43" s="28"/>
      <c r="O43" s="29"/>
      <c r="R43" s="28"/>
    </row>
    <row r="44" spans="1:18" x14ac:dyDescent="0.3">
      <c r="A44" s="1" t="s">
        <v>74</v>
      </c>
      <c r="B44" s="1"/>
      <c r="C44" s="49"/>
      <c r="E44" s="29" t="s">
        <v>71</v>
      </c>
      <c r="H44" s="28"/>
      <c r="J44" s="29" t="s">
        <v>71</v>
      </c>
      <c r="M44" s="28"/>
      <c r="O44" s="29" t="s">
        <v>71</v>
      </c>
      <c r="R44" s="28"/>
    </row>
    <row r="45" spans="1:18" x14ac:dyDescent="0.3">
      <c r="A45" s="1" t="s">
        <v>78</v>
      </c>
      <c r="B45" s="1"/>
      <c r="C45" s="49"/>
      <c r="E45" s="29" t="s">
        <v>72</v>
      </c>
      <c r="F45">
        <v>0.01</v>
      </c>
      <c r="H45" s="28"/>
      <c r="J45" s="29" t="s">
        <v>72</v>
      </c>
      <c r="K45">
        <v>0.01</v>
      </c>
      <c r="M45" s="28"/>
      <c r="O45" s="29" t="s">
        <v>72</v>
      </c>
      <c r="P45">
        <v>0.01</v>
      </c>
      <c r="R45" s="28"/>
    </row>
    <row r="46" spans="1:18" ht="15" thickBot="1" x14ac:dyDescent="0.35">
      <c r="A46" s="1" t="s">
        <v>79</v>
      </c>
      <c r="B46" s="1"/>
      <c r="C46" s="49"/>
      <c r="E46" s="30" t="s">
        <v>73</v>
      </c>
      <c r="F46" s="31">
        <v>0.06</v>
      </c>
      <c r="G46" s="32"/>
      <c r="H46" s="33"/>
      <c r="J46" s="30" t="s">
        <v>73</v>
      </c>
      <c r="K46" s="31">
        <v>0.06</v>
      </c>
      <c r="L46" s="32"/>
      <c r="M46" s="33"/>
      <c r="O46" s="30" t="s">
        <v>73</v>
      </c>
      <c r="P46" s="34">
        <v>0.06</v>
      </c>
      <c r="Q46" s="32"/>
      <c r="R46" s="33"/>
    </row>
    <row r="47" spans="1:18" x14ac:dyDescent="0.3">
      <c r="A47" s="1" t="s">
        <v>80</v>
      </c>
      <c r="B47" s="1"/>
      <c r="C47" s="50"/>
    </row>
    <row r="48" spans="1:18" x14ac:dyDescent="0.3">
      <c r="A48" s="1" t="s">
        <v>81</v>
      </c>
      <c r="B48" s="1"/>
      <c r="C48" s="50"/>
    </row>
    <row r="49" spans="1:3" x14ac:dyDescent="0.3">
      <c r="A49" s="1" t="s">
        <v>82</v>
      </c>
      <c r="B49" s="1"/>
      <c r="C49" s="50"/>
    </row>
    <row r="50" spans="1:3" x14ac:dyDescent="0.3">
      <c r="A50" s="1" t="s">
        <v>83</v>
      </c>
      <c r="B50" s="1"/>
      <c r="C50" s="51"/>
    </row>
    <row r="51" spans="1:3" x14ac:dyDescent="0.3">
      <c r="A51" s="1" t="s">
        <v>84</v>
      </c>
      <c r="B51" s="1"/>
      <c r="C51" s="51"/>
    </row>
    <row r="52" spans="1:3" x14ac:dyDescent="0.3">
      <c r="A52" s="1" t="s">
        <v>85</v>
      </c>
      <c r="B52" s="1"/>
      <c r="C52" s="51"/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52"/>
  <sheetViews>
    <sheetView zoomScale="160" zoomScaleNormal="160" workbookViewId="0">
      <selection activeCell="C29" sqref="C29:C52"/>
    </sheetView>
  </sheetViews>
  <sheetFormatPr defaultRowHeight="14.4" x14ac:dyDescent="0.3"/>
  <cols>
    <col min="1" max="1" width="23.109375" bestFit="1" customWidth="1"/>
    <col min="2" max="2" width="15.109375" bestFit="1" customWidth="1"/>
  </cols>
  <sheetData>
    <row r="1" spans="1:6" ht="15" thickBot="1" x14ac:dyDescent="0.35">
      <c r="A1" s="73" t="s">
        <v>26</v>
      </c>
      <c r="B1" s="74"/>
      <c r="C1" s="74"/>
      <c r="D1" s="74"/>
      <c r="E1" s="74"/>
      <c r="F1" s="75"/>
    </row>
    <row r="2" spans="1:6" x14ac:dyDescent="0.3">
      <c r="A2" s="76" t="s">
        <v>27</v>
      </c>
      <c r="B2" s="77"/>
      <c r="C2" s="77"/>
      <c r="D2" s="77"/>
      <c r="E2" s="77"/>
      <c r="F2" s="78"/>
    </row>
    <row r="3" spans="1:6" x14ac:dyDescent="0.3">
      <c r="A3" s="80" t="s">
        <v>35</v>
      </c>
      <c r="B3" s="80"/>
      <c r="C3" s="80"/>
      <c r="D3" s="80"/>
      <c r="E3" s="80"/>
      <c r="F3" s="80"/>
    </row>
    <row r="4" spans="1:6" x14ac:dyDescent="0.3">
      <c r="A4" t="s">
        <v>29</v>
      </c>
      <c r="B4">
        <v>15</v>
      </c>
    </row>
    <row r="5" spans="1:6" x14ac:dyDescent="0.3">
      <c r="A5" t="s">
        <v>36</v>
      </c>
      <c r="B5">
        <v>80</v>
      </c>
    </row>
    <row r="6" spans="1:6" x14ac:dyDescent="0.3">
      <c r="A6" s="5" t="s">
        <v>0</v>
      </c>
      <c r="B6" s="5" t="s">
        <v>1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1"/>
      <c r="C7" s="4">
        <f>ACFREM!C7</f>
        <v>0.7</v>
      </c>
      <c r="D7" s="23"/>
      <c r="E7" s="4"/>
    </row>
    <row r="8" spans="1:6" x14ac:dyDescent="0.3">
      <c r="A8" s="1">
        <f>A7+5</f>
        <v>5</v>
      </c>
      <c r="B8" s="1"/>
      <c r="C8" s="4">
        <f>ACFREM!C8</f>
        <v>1.5000000000000003E-2</v>
      </c>
      <c r="D8" s="23"/>
      <c r="E8" s="4"/>
    </row>
    <row r="9" spans="1:6" x14ac:dyDescent="0.3">
      <c r="A9" s="1">
        <f t="shared" ref="A9:A27" si="0">A8+5</f>
        <v>10</v>
      </c>
      <c r="B9" s="1"/>
      <c r="C9" s="4">
        <f>ACFREM!C9</f>
        <v>1.5000000000000003E-2</v>
      </c>
      <c r="D9" s="23"/>
      <c r="E9" s="4"/>
    </row>
    <row r="10" spans="1:6" x14ac:dyDescent="0.3">
      <c r="A10" s="1">
        <f t="shared" si="0"/>
        <v>15</v>
      </c>
      <c r="B10" s="1"/>
      <c r="C10" s="4">
        <f>ACFREM!C10</f>
        <v>1.5000000000000003E-2</v>
      </c>
      <c r="D10" s="23"/>
      <c r="E10" s="4"/>
    </row>
    <row r="11" spans="1:6" x14ac:dyDescent="0.3">
      <c r="A11" s="1">
        <f t="shared" si="0"/>
        <v>20</v>
      </c>
      <c r="B11" s="1"/>
      <c r="C11" s="4">
        <f>ACFREM!C11</f>
        <v>1.5000000000000003E-2</v>
      </c>
      <c r="D11" s="24"/>
      <c r="E11" s="17"/>
    </row>
    <row r="12" spans="1:6" x14ac:dyDescent="0.3">
      <c r="A12" s="1">
        <f t="shared" si="0"/>
        <v>25</v>
      </c>
      <c r="B12" s="1"/>
      <c r="C12" s="4">
        <f>ACFREM!C12</f>
        <v>1.5000000000000003E-2</v>
      </c>
      <c r="D12" s="38"/>
      <c r="E12" s="13"/>
    </row>
    <row r="13" spans="1:6" x14ac:dyDescent="0.3">
      <c r="A13" s="1">
        <f t="shared" si="0"/>
        <v>30</v>
      </c>
      <c r="B13" s="1"/>
      <c r="C13" s="4">
        <f>ACFREM!C13</f>
        <v>1.5000000000000003E-2</v>
      </c>
      <c r="D13" s="40"/>
      <c r="E13" s="41"/>
    </row>
    <row r="14" spans="1:6" x14ac:dyDescent="0.3">
      <c r="A14" s="1">
        <f t="shared" si="0"/>
        <v>35</v>
      </c>
      <c r="B14" s="1"/>
      <c r="C14" s="4">
        <f>ACFREM!C14</f>
        <v>1.5000000000000003E-2</v>
      </c>
      <c r="D14" s="23"/>
      <c r="E14" s="4"/>
    </row>
    <row r="15" spans="1:6" x14ac:dyDescent="0.3">
      <c r="A15" s="1">
        <f t="shared" si="0"/>
        <v>40</v>
      </c>
      <c r="B15" s="1"/>
      <c r="C15" s="4">
        <f>ACFREM!C15</f>
        <v>1.5000000000000003E-2</v>
      </c>
      <c r="D15" s="23"/>
      <c r="E15" s="4"/>
    </row>
    <row r="16" spans="1:6" x14ac:dyDescent="0.3">
      <c r="A16" s="1">
        <f t="shared" si="0"/>
        <v>45</v>
      </c>
      <c r="B16" s="1"/>
      <c r="C16" s="4">
        <f>ACFREM!C16</f>
        <v>1.5000000000000003E-2</v>
      </c>
      <c r="D16" s="23"/>
      <c r="E16" s="4"/>
    </row>
    <row r="17" spans="1:5" x14ac:dyDescent="0.3">
      <c r="A17" s="1">
        <f t="shared" si="0"/>
        <v>50</v>
      </c>
      <c r="B17" s="1"/>
      <c r="C17" s="4">
        <f>ACFREM!C17</f>
        <v>1.5000000000000003E-2</v>
      </c>
      <c r="D17" s="23"/>
      <c r="E17" s="4"/>
    </row>
    <row r="18" spans="1:5" x14ac:dyDescent="0.3">
      <c r="A18" s="1">
        <f t="shared" si="0"/>
        <v>55</v>
      </c>
      <c r="B18" s="1"/>
      <c r="C18" s="4">
        <f>ACFREM!C18</f>
        <v>1.5000000000000003E-2</v>
      </c>
      <c r="D18" s="23"/>
      <c r="E18" s="4"/>
    </row>
    <row r="19" spans="1:5" x14ac:dyDescent="0.3">
      <c r="A19" s="1">
        <f t="shared" si="0"/>
        <v>60</v>
      </c>
      <c r="B19" s="1"/>
      <c r="C19" s="4">
        <f>ACFREM!C19</f>
        <v>1.5000000000000003E-2</v>
      </c>
      <c r="D19" s="23"/>
      <c r="E19" s="4"/>
    </row>
    <row r="20" spans="1:5" x14ac:dyDescent="0.3">
      <c r="A20" s="1">
        <f t="shared" si="0"/>
        <v>65</v>
      </c>
      <c r="B20" s="1"/>
      <c r="C20" s="4">
        <f>ACFREM!C20</f>
        <v>1.5000000000000003E-2</v>
      </c>
      <c r="D20" s="23"/>
      <c r="E20" s="4"/>
    </row>
    <row r="21" spans="1:5" x14ac:dyDescent="0.3">
      <c r="A21" s="1">
        <f t="shared" si="0"/>
        <v>70</v>
      </c>
      <c r="B21" s="1"/>
      <c r="C21" s="4">
        <f>ACFREM!C21</f>
        <v>1.5000000000000003E-2</v>
      </c>
      <c r="D21" s="23"/>
      <c r="E21" s="4"/>
    </row>
    <row r="22" spans="1:5" x14ac:dyDescent="0.3">
      <c r="A22" s="1">
        <f t="shared" si="0"/>
        <v>75</v>
      </c>
      <c r="B22" s="1"/>
      <c r="C22" s="4">
        <f>ACFREM!C22</f>
        <v>1.5000000000000003E-2</v>
      </c>
      <c r="D22" s="23"/>
      <c r="E22" s="4"/>
    </row>
    <row r="23" spans="1:5" x14ac:dyDescent="0.3">
      <c r="A23" s="1">
        <f t="shared" si="0"/>
        <v>80</v>
      </c>
      <c r="B23" s="1"/>
      <c r="C23" s="4">
        <f>ACFREM!C23</f>
        <v>1.5000000000000003E-2</v>
      </c>
      <c r="D23" s="23"/>
      <c r="E23" s="4"/>
    </row>
    <row r="24" spans="1:5" x14ac:dyDescent="0.3">
      <c r="A24" s="1">
        <f t="shared" si="0"/>
        <v>85</v>
      </c>
      <c r="B24" s="1"/>
      <c r="C24" s="4">
        <f>ACFREM!C24</f>
        <v>1.5000000000000003E-2</v>
      </c>
      <c r="D24" s="23"/>
      <c r="E24" s="4"/>
    </row>
    <row r="25" spans="1:5" x14ac:dyDescent="0.3">
      <c r="A25" s="1">
        <f t="shared" si="0"/>
        <v>90</v>
      </c>
      <c r="B25" s="1"/>
      <c r="C25" s="4">
        <f>ACFREM!C25</f>
        <v>1.5000000000000003E-2</v>
      </c>
      <c r="D25" s="23"/>
      <c r="E25" s="4"/>
    </row>
    <row r="26" spans="1:5" x14ac:dyDescent="0.3">
      <c r="A26" s="1">
        <f t="shared" si="0"/>
        <v>95</v>
      </c>
      <c r="B26" s="1"/>
      <c r="C26" s="4">
        <f>ACFREM!C26</f>
        <v>1.5000000000000003E-2</v>
      </c>
      <c r="D26" s="23"/>
      <c r="E26" s="12"/>
    </row>
    <row r="27" spans="1:5" x14ac:dyDescent="0.3">
      <c r="A27" s="1">
        <f t="shared" si="0"/>
        <v>100</v>
      </c>
      <c r="B27" s="1"/>
      <c r="C27" s="4">
        <f>ACFREM!C27</f>
        <v>1.5000000000000003E-2</v>
      </c>
      <c r="D27" s="23"/>
      <c r="E27" s="12"/>
    </row>
    <row r="28" spans="1:5" x14ac:dyDescent="0.3">
      <c r="C28" s="3"/>
    </row>
    <row r="29" spans="1:5" x14ac:dyDescent="0.3">
      <c r="A29" s="79" t="s">
        <v>15</v>
      </c>
      <c r="B29" s="79"/>
      <c r="C29" s="13"/>
    </row>
    <row r="31" spans="1:5" x14ac:dyDescent="0.3">
      <c r="A31" s="1" t="s">
        <v>53</v>
      </c>
      <c r="B31" s="1"/>
      <c r="C31" s="23"/>
    </row>
    <row r="32" spans="1:5" x14ac:dyDescent="0.3">
      <c r="A32" s="1" t="s">
        <v>54</v>
      </c>
      <c r="B32" s="1"/>
      <c r="C32" s="23"/>
    </row>
    <row r="33" spans="1:18" x14ac:dyDescent="0.3">
      <c r="A33" s="1" t="s">
        <v>57</v>
      </c>
      <c r="B33" s="1"/>
      <c r="C33" s="43"/>
      <c r="H33" t="s">
        <v>58</v>
      </c>
      <c r="I33" s="10">
        <f>AGI!I33</f>
        <v>0.35</v>
      </c>
    </row>
    <row r="34" spans="1:18" x14ac:dyDescent="0.3">
      <c r="A34" s="1" t="s">
        <v>59</v>
      </c>
      <c r="B34" s="1"/>
      <c r="C34" s="44"/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7"/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5"/>
    </row>
    <row r="37" spans="1:18" ht="15" thickBot="1" x14ac:dyDescent="0.35">
      <c r="A37" s="1" t="s">
        <v>69</v>
      </c>
      <c r="B37" s="1"/>
      <c r="C37" s="45"/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5"/>
      <c r="E38" s="25">
        <v>0</v>
      </c>
      <c r="F38" s="26"/>
      <c r="G38" s="26"/>
      <c r="H38" s="27">
        <v>1</v>
      </c>
      <c r="J38" s="25">
        <v>0</v>
      </c>
      <c r="K38" s="26"/>
      <c r="L38" s="26"/>
      <c r="M38" s="27">
        <v>1</v>
      </c>
      <c r="O38" s="25">
        <v>0</v>
      </c>
      <c r="P38" s="26"/>
      <c r="Q38" s="26"/>
      <c r="R38" s="27">
        <v>1</v>
      </c>
    </row>
    <row r="39" spans="1:18" x14ac:dyDescent="0.3">
      <c r="A39" s="1" t="s">
        <v>63</v>
      </c>
      <c r="B39" s="1"/>
      <c r="C39" s="46"/>
      <c r="E39" s="36">
        <f>+C41</f>
        <v>0</v>
      </c>
      <c r="H39" s="28">
        <f>-E39*(1+F45+F46)</f>
        <v>0</v>
      </c>
      <c r="J39" s="36">
        <f>C42</f>
        <v>0</v>
      </c>
      <c r="M39" s="28">
        <f>-J39*(1+K45+K46)</f>
        <v>0</v>
      </c>
      <c r="O39" s="36">
        <f>C43</f>
        <v>0</v>
      </c>
      <c r="R39" s="28">
        <f>-O39*(1+P45+P46)</f>
        <v>0</v>
      </c>
    </row>
    <row r="40" spans="1:18" x14ac:dyDescent="0.3">
      <c r="A40" s="1" t="s">
        <v>64</v>
      </c>
      <c r="B40" s="1"/>
      <c r="C40" s="47"/>
      <c r="D40" s="20"/>
      <c r="E40" s="29"/>
      <c r="H40" s="28">
        <f>+E39*(1+F45)</f>
        <v>0</v>
      </c>
      <c r="J40" s="29"/>
      <c r="M40" s="28">
        <f>+J39*(1+K45)</f>
        <v>0</v>
      </c>
      <c r="O40" s="29"/>
      <c r="R40" s="28">
        <f>+O39*(1+P45)</f>
        <v>0</v>
      </c>
    </row>
    <row r="41" spans="1:18" x14ac:dyDescent="0.3">
      <c r="A41" s="1" t="s">
        <v>65</v>
      </c>
      <c r="B41" s="1"/>
      <c r="C41" s="43"/>
      <c r="E41" s="35">
        <f>+H41/(1+F45)</f>
        <v>0</v>
      </c>
      <c r="H41" s="28">
        <f>+H39+H40</f>
        <v>0</v>
      </c>
      <c r="J41" s="35">
        <f>+M41/(1+K45)</f>
        <v>0</v>
      </c>
      <c r="M41" s="28">
        <f>+M39+M40</f>
        <v>0</v>
      </c>
      <c r="O41" s="35">
        <f>+R41/(1+P45)</f>
        <v>0</v>
      </c>
      <c r="R41" s="28">
        <f>+R39+R40</f>
        <v>0</v>
      </c>
    </row>
    <row r="42" spans="1:18" x14ac:dyDescent="0.3">
      <c r="A42" s="1" t="s">
        <v>66</v>
      </c>
      <c r="B42" s="1"/>
      <c r="C42" s="44"/>
      <c r="E42" s="29"/>
      <c r="H42" s="28"/>
      <c r="J42" s="29"/>
      <c r="M42" s="28"/>
      <c r="O42" s="29"/>
      <c r="R42" s="28"/>
    </row>
    <row r="43" spans="1:18" x14ac:dyDescent="0.3">
      <c r="A43" s="1" t="s">
        <v>67</v>
      </c>
      <c r="B43" s="1"/>
      <c r="C43" s="48"/>
      <c r="E43" s="29"/>
      <c r="H43" s="28"/>
      <c r="J43" s="29"/>
      <c r="M43" s="28"/>
      <c r="O43" s="29"/>
      <c r="R43" s="28"/>
    </row>
    <row r="44" spans="1:18" x14ac:dyDescent="0.3">
      <c r="A44" s="1" t="s">
        <v>74</v>
      </c>
      <c r="B44" s="1"/>
      <c r="C44" s="49"/>
      <c r="E44" s="29" t="s">
        <v>71</v>
      </c>
      <c r="H44" s="28"/>
      <c r="J44" s="29" t="s">
        <v>71</v>
      </c>
      <c r="M44" s="28"/>
      <c r="O44" s="29" t="s">
        <v>71</v>
      </c>
      <c r="R44" s="28"/>
    </row>
    <row r="45" spans="1:18" x14ac:dyDescent="0.3">
      <c r="A45" s="1" t="s">
        <v>78</v>
      </c>
      <c r="B45" s="1"/>
      <c r="C45" s="49"/>
      <c r="E45" s="29" t="s">
        <v>72</v>
      </c>
      <c r="F45">
        <v>0.01</v>
      </c>
      <c r="H45" s="28"/>
      <c r="J45" s="29" t="s">
        <v>72</v>
      </c>
      <c r="K45">
        <v>0.01</v>
      </c>
      <c r="M45" s="28"/>
      <c r="O45" s="29" t="s">
        <v>72</v>
      </c>
      <c r="P45">
        <v>0.01</v>
      </c>
      <c r="R45" s="28"/>
    </row>
    <row r="46" spans="1:18" ht="15" thickBot="1" x14ac:dyDescent="0.35">
      <c r="A46" s="1" t="s">
        <v>79</v>
      </c>
      <c r="B46" s="1"/>
      <c r="C46" s="49"/>
      <c r="E46" s="30" t="s">
        <v>73</v>
      </c>
      <c r="F46" s="31">
        <v>0.06</v>
      </c>
      <c r="G46" s="32"/>
      <c r="H46" s="33"/>
      <c r="J46" s="30" t="s">
        <v>73</v>
      </c>
      <c r="K46" s="31">
        <v>0.06</v>
      </c>
      <c r="L46" s="32"/>
      <c r="M46" s="33"/>
      <c r="O46" s="30" t="s">
        <v>73</v>
      </c>
      <c r="P46" s="34">
        <v>0.06</v>
      </c>
      <c r="Q46" s="32"/>
      <c r="R46" s="33"/>
    </row>
    <row r="47" spans="1:18" x14ac:dyDescent="0.3">
      <c r="A47" s="1" t="s">
        <v>80</v>
      </c>
      <c r="B47" s="1"/>
      <c r="C47" s="50"/>
    </row>
    <row r="48" spans="1:18" x14ac:dyDescent="0.3">
      <c r="A48" s="1" t="s">
        <v>81</v>
      </c>
      <c r="B48" s="1"/>
      <c r="C48" s="50"/>
    </row>
    <row r="49" spans="1:3" x14ac:dyDescent="0.3">
      <c r="A49" s="1" t="s">
        <v>82</v>
      </c>
      <c r="B49" s="1"/>
      <c r="C49" s="50"/>
    </row>
    <row r="50" spans="1:3" x14ac:dyDescent="0.3">
      <c r="A50" s="1" t="s">
        <v>83</v>
      </c>
      <c r="B50" s="1"/>
      <c r="C50" s="51"/>
    </row>
    <row r="51" spans="1:3" x14ac:dyDescent="0.3">
      <c r="A51" s="1" t="s">
        <v>84</v>
      </c>
      <c r="B51" s="1"/>
      <c r="C51" s="51"/>
    </row>
    <row r="52" spans="1:3" x14ac:dyDescent="0.3">
      <c r="A52" s="1" t="s">
        <v>85</v>
      </c>
      <c r="B52" s="1"/>
      <c r="C52" s="51"/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52"/>
  <sheetViews>
    <sheetView topLeftCell="A35" zoomScale="140" zoomScaleNormal="140" workbookViewId="0">
      <selection activeCell="F46" sqref="F46"/>
    </sheetView>
  </sheetViews>
  <sheetFormatPr defaultRowHeight="14.4" x14ac:dyDescent="0.3"/>
  <cols>
    <col min="1" max="1" width="23.109375" bestFit="1" customWidth="1"/>
    <col min="2" max="2" width="15.109375" bestFit="1" customWidth="1"/>
  </cols>
  <sheetData>
    <row r="1" spans="1:6" ht="15" thickBot="1" x14ac:dyDescent="0.35">
      <c r="A1" s="73" t="s">
        <v>26</v>
      </c>
      <c r="B1" s="74"/>
      <c r="C1" s="74"/>
      <c r="D1" s="74"/>
      <c r="E1" s="74"/>
      <c r="F1" s="75"/>
    </row>
    <row r="2" spans="1:6" x14ac:dyDescent="0.3">
      <c r="A2" s="76" t="s">
        <v>27</v>
      </c>
      <c r="B2" s="77"/>
      <c r="C2" s="77"/>
      <c r="D2" s="77"/>
      <c r="E2" s="77"/>
      <c r="F2" s="78"/>
    </row>
    <row r="3" spans="1:6" x14ac:dyDescent="0.3">
      <c r="A3" s="80" t="s">
        <v>38</v>
      </c>
      <c r="B3" s="80"/>
      <c r="C3" s="80"/>
      <c r="D3" s="80"/>
      <c r="E3" s="80"/>
      <c r="F3" s="80"/>
    </row>
    <row r="4" spans="1:6" x14ac:dyDescent="0.3">
      <c r="A4" t="s">
        <v>39</v>
      </c>
      <c r="B4" s="10">
        <v>0.15</v>
      </c>
    </row>
    <row r="6" spans="1:6" x14ac:dyDescent="0.3">
      <c r="A6" s="5" t="s">
        <v>0</v>
      </c>
      <c r="B6" s="5" t="s">
        <v>40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1"/>
      <c r="C7" s="12">
        <f>ACFAEM!C7</f>
        <v>0.7</v>
      </c>
      <c r="D7" s="23"/>
      <c r="E7" s="4"/>
    </row>
    <row r="8" spans="1:6" x14ac:dyDescent="0.3">
      <c r="A8" s="1">
        <f>A7+5</f>
        <v>5</v>
      </c>
      <c r="B8" s="1"/>
      <c r="C8" s="12">
        <f>ACFAEM!C8</f>
        <v>1.5000000000000003E-2</v>
      </c>
      <c r="D8" s="23"/>
      <c r="E8" s="4"/>
    </row>
    <row r="9" spans="1:6" x14ac:dyDescent="0.3">
      <c r="A9" s="1">
        <f t="shared" ref="A9:A27" si="0">A8+5</f>
        <v>10</v>
      </c>
      <c r="B9" s="1"/>
      <c r="C9" s="12">
        <f>ACFAEM!C9</f>
        <v>1.5000000000000003E-2</v>
      </c>
      <c r="D9" s="23"/>
      <c r="E9" s="4"/>
    </row>
    <row r="10" spans="1:6" x14ac:dyDescent="0.3">
      <c r="A10" s="1">
        <f t="shared" si="0"/>
        <v>15</v>
      </c>
      <c r="B10" s="1"/>
      <c r="C10" s="12">
        <f>ACFAEM!C10</f>
        <v>1.5000000000000003E-2</v>
      </c>
      <c r="D10" s="23"/>
      <c r="E10" s="4"/>
    </row>
    <row r="11" spans="1:6" x14ac:dyDescent="0.3">
      <c r="A11" s="1">
        <f t="shared" si="0"/>
        <v>20</v>
      </c>
      <c r="B11" s="1"/>
      <c r="C11" s="12">
        <f>ACFAEM!C11</f>
        <v>1.5000000000000003E-2</v>
      </c>
      <c r="D11" s="24"/>
      <c r="E11" s="17"/>
    </row>
    <row r="12" spans="1:6" x14ac:dyDescent="0.3">
      <c r="A12" s="1">
        <f t="shared" si="0"/>
        <v>25</v>
      </c>
      <c r="B12" s="1"/>
      <c r="C12" s="12">
        <f>ACFAEM!C12</f>
        <v>1.5000000000000003E-2</v>
      </c>
      <c r="D12" s="38"/>
      <c r="E12" s="13"/>
    </row>
    <row r="13" spans="1:6" x14ac:dyDescent="0.3">
      <c r="A13" s="1">
        <f t="shared" si="0"/>
        <v>30</v>
      </c>
      <c r="B13" s="1"/>
      <c r="C13" s="12">
        <f>ACFAEM!C13</f>
        <v>1.5000000000000003E-2</v>
      </c>
      <c r="D13" s="40"/>
      <c r="E13" s="41"/>
    </row>
    <row r="14" spans="1:6" x14ac:dyDescent="0.3">
      <c r="A14" s="1">
        <f t="shared" si="0"/>
        <v>35</v>
      </c>
      <c r="B14" s="1"/>
      <c r="C14" s="12">
        <f>ACFAEM!C14</f>
        <v>1.5000000000000003E-2</v>
      </c>
      <c r="D14" s="23"/>
      <c r="E14" s="4"/>
    </row>
    <row r="15" spans="1:6" x14ac:dyDescent="0.3">
      <c r="A15" s="1">
        <f t="shared" si="0"/>
        <v>40</v>
      </c>
      <c r="B15" s="1"/>
      <c r="C15" s="12">
        <f>ACFAEM!C15</f>
        <v>1.5000000000000003E-2</v>
      </c>
      <c r="D15" s="23"/>
      <c r="E15" s="4"/>
    </row>
    <row r="16" spans="1:6" x14ac:dyDescent="0.3">
      <c r="A16" s="1">
        <f t="shared" si="0"/>
        <v>45</v>
      </c>
      <c r="B16" s="1"/>
      <c r="C16" s="12">
        <f>ACFAEM!C16</f>
        <v>1.5000000000000003E-2</v>
      </c>
      <c r="D16" s="23"/>
      <c r="E16" s="4"/>
    </row>
    <row r="17" spans="1:5" x14ac:dyDescent="0.3">
      <c r="A17" s="1">
        <f t="shared" si="0"/>
        <v>50</v>
      </c>
      <c r="B17" s="1"/>
      <c r="C17" s="12">
        <f>ACFAEM!C17</f>
        <v>1.5000000000000003E-2</v>
      </c>
      <c r="D17" s="23"/>
      <c r="E17" s="4"/>
    </row>
    <row r="18" spans="1:5" x14ac:dyDescent="0.3">
      <c r="A18" s="1">
        <f t="shared" si="0"/>
        <v>55</v>
      </c>
      <c r="B18" s="1"/>
      <c r="C18" s="12">
        <f>ACFAEM!C18</f>
        <v>1.5000000000000003E-2</v>
      </c>
      <c r="D18" s="23"/>
      <c r="E18" s="4"/>
    </row>
    <row r="19" spans="1:5" x14ac:dyDescent="0.3">
      <c r="A19" s="1">
        <f t="shared" si="0"/>
        <v>60</v>
      </c>
      <c r="B19" s="1"/>
      <c r="C19" s="12">
        <f>ACFAEM!C19</f>
        <v>1.5000000000000003E-2</v>
      </c>
      <c r="D19" s="23"/>
      <c r="E19" s="4"/>
    </row>
    <row r="20" spans="1:5" x14ac:dyDescent="0.3">
      <c r="A20" s="1">
        <f t="shared" si="0"/>
        <v>65</v>
      </c>
      <c r="B20" s="1"/>
      <c r="C20" s="12">
        <f>ACFAEM!C20</f>
        <v>1.5000000000000003E-2</v>
      </c>
      <c r="D20" s="23"/>
      <c r="E20" s="4"/>
    </row>
    <row r="21" spans="1:5" x14ac:dyDescent="0.3">
      <c r="A21" s="1">
        <f t="shared" si="0"/>
        <v>70</v>
      </c>
      <c r="B21" s="1"/>
      <c r="C21" s="12">
        <f>ACFAEM!C21</f>
        <v>1.5000000000000003E-2</v>
      </c>
      <c r="D21" s="23"/>
      <c r="E21" s="4"/>
    </row>
    <row r="22" spans="1:5" x14ac:dyDescent="0.3">
      <c r="A22" s="1">
        <f t="shared" si="0"/>
        <v>75</v>
      </c>
      <c r="B22" s="1"/>
      <c r="C22" s="12">
        <f>ACFAEM!C22</f>
        <v>1.5000000000000003E-2</v>
      </c>
      <c r="D22" s="23"/>
      <c r="E22" s="4"/>
    </row>
    <row r="23" spans="1:5" x14ac:dyDescent="0.3">
      <c r="A23" s="1">
        <f t="shared" si="0"/>
        <v>80</v>
      </c>
      <c r="B23" s="1"/>
      <c r="C23" s="12">
        <f>ACFAEM!C23</f>
        <v>1.5000000000000003E-2</v>
      </c>
      <c r="D23" s="23"/>
      <c r="E23" s="4"/>
    </row>
    <row r="24" spans="1:5" x14ac:dyDescent="0.3">
      <c r="A24" s="1">
        <f t="shared" si="0"/>
        <v>85</v>
      </c>
      <c r="B24" s="1"/>
      <c r="C24" s="12">
        <f>ACFAEM!C24</f>
        <v>1.5000000000000003E-2</v>
      </c>
      <c r="D24" s="23"/>
      <c r="E24" s="4"/>
    </row>
    <row r="25" spans="1:5" x14ac:dyDescent="0.3">
      <c r="A25" s="1">
        <f t="shared" si="0"/>
        <v>90</v>
      </c>
      <c r="B25" s="1"/>
      <c r="C25" s="12">
        <f>ACFAEM!C25</f>
        <v>1.5000000000000003E-2</v>
      </c>
      <c r="D25" s="23"/>
      <c r="E25" s="4"/>
    </row>
    <row r="26" spans="1:5" x14ac:dyDescent="0.3">
      <c r="A26" s="1">
        <f t="shared" si="0"/>
        <v>95</v>
      </c>
      <c r="B26" s="1"/>
      <c r="C26" s="12">
        <f>ACFAEM!C26</f>
        <v>1.5000000000000003E-2</v>
      </c>
      <c r="D26" s="23"/>
      <c r="E26" s="12"/>
    </row>
    <row r="27" spans="1:5" x14ac:dyDescent="0.3">
      <c r="A27" s="1">
        <f t="shared" si="0"/>
        <v>100</v>
      </c>
      <c r="B27" s="1"/>
      <c r="C27" s="12">
        <f>ACFAEM!C27</f>
        <v>1.5000000000000003E-2</v>
      </c>
      <c r="D27" s="23"/>
      <c r="E27" s="12"/>
    </row>
    <row r="28" spans="1:5" x14ac:dyDescent="0.3">
      <c r="C28" s="3"/>
    </row>
    <row r="29" spans="1:5" x14ac:dyDescent="0.3">
      <c r="A29" s="79" t="s">
        <v>15</v>
      </c>
      <c r="B29" s="79"/>
      <c r="C29" s="13"/>
    </row>
    <row r="31" spans="1:5" x14ac:dyDescent="0.3">
      <c r="A31" s="1" t="s">
        <v>53</v>
      </c>
      <c r="B31" s="1"/>
      <c r="C31" s="23"/>
    </row>
    <row r="32" spans="1:5" x14ac:dyDescent="0.3">
      <c r="A32" s="1" t="s">
        <v>54</v>
      </c>
      <c r="B32" s="1"/>
      <c r="C32" s="23"/>
    </row>
    <row r="33" spans="1:18" x14ac:dyDescent="0.3">
      <c r="A33" s="1" t="s">
        <v>57</v>
      </c>
      <c r="B33" s="1"/>
      <c r="C33" s="43"/>
      <c r="H33" t="s">
        <v>58</v>
      </c>
      <c r="I33" s="10">
        <f>AGI!I33</f>
        <v>0.35</v>
      </c>
    </row>
    <row r="34" spans="1:18" x14ac:dyDescent="0.3">
      <c r="A34" s="1" t="s">
        <v>59</v>
      </c>
      <c r="B34" s="1"/>
      <c r="C34" s="44"/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7"/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5"/>
    </row>
    <row r="37" spans="1:18" ht="15" thickBot="1" x14ac:dyDescent="0.35">
      <c r="A37" s="1" t="s">
        <v>69</v>
      </c>
      <c r="B37" s="1"/>
      <c r="C37" s="45"/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5"/>
      <c r="E38" s="25">
        <v>0</v>
      </c>
      <c r="F38" s="26"/>
      <c r="G38" s="26"/>
      <c r="H38" s="27">
        <v>1</v>
      </c>
      <c r="J38" s="25">
        <v>0</v>
      </c>
      <c r="K38" s="26"/>
      <c r="L38" s="26"/>
      <c r="M38" s="27">
        <v>1</v>
      </c>
      <c r="O38" s="25">
        <v>0</v>
      </c>
      <c r="P38" s="26"/>
      <c r="Q38" s="26"/>
      <c r="R38" s="27">
        <v>1</v>
      </c>
    </row>
    <row r="39" spans="1:18" x14ac:dyDescent="0.3">
      <c r="A39" s="1" t="s">
        <v>63</v>
      </c>
      <c r="B39" s="1"/>
      <c r="C39" s="46"/>
      <c r="E39" s="36">
        <f>+C41</f>
        <v>0</v>
      </c>
      <c r="H39" s="28">
        <f>-E39*(1+F45+F46)</f>
        <v>0</v>
      </c>
      <c r="J39" s="36">
        <f>C42</f>
        <v>0</v>
      </c>
      <c r="M39" s="28">
        <f>-J39*(1+K45+K46)</f>
        <v>0</v>
      </c>
      <c r="O39" s="36">
        <f>C43</f>
        <v>0</v>
      </c>
      <c r="R39" s="28">
        <f>-O39*(1+P45+P46)</f>
        <v>0</v>
      </c>
    </row>
    <row r="40" spans="1:18" x14ac:dyDescent="0.3">
      <c r="A40" s="1" t="s">
        <v>64</v>
      </c>
      <c r="B40" s="1"/>
      <c r="C40" s="47"/>
      <c r="D40" s="20"/>
      <c r="E40" s="29"/>
      <c r="H40" s="28">
        <f>+E39*(1+F45)</f>
        <v>0</v>
      </c>
      <c r="J40" s="29"/>
      <c r="M40" s="28">
        <f>+J39*(1+K45)</f>
        <v>0</v>
      </c>
      <c r="O40" s="29"/>
      <c r="R40" s="28">
        <f>+O39*(1+P45)</f>
        <v>0</v>
      </c>
    </row>
    <row r="41" spans="1:18" x14ac:dyDescent="0.3">
      <c r="A41" s="1" t="s">
        <v>65</v>
      </c>
      <c r="B41" s="1"/>
      <c r="C41" s="43"/>
      <c r="E41" s="35">
        <f>+H41/(1+F45)</f>
        <v>0</v>
      </c>
      <c r="H41" s="28">
        <f>+H39+H40</f>
        <v>0</v>
      </c>
      <c r="J41" s="35">
        <f>+M41/(1+K45)</f>
        <v>0</v>
      </c>
      <c r="M41" s="28">
        <f>+M39+M40</f>
        <v>0</v>
      </c>
      <c r="O41" s="35">
        <f>+R41/(1+P45)</f>
        <v>0</v>
      </c>
      <c r="R41" s="28">
        <f>+R39+R40</f>
        <v>0</v>
      </c>
    </row>
    <row r="42" spans="1:18" x14ac:dyDescent="0.3">
      <c r="A42" s="1" t="s">
        <v>66</v>
      </c>
      <c r="B42" s="1"/>
      <c r="C42" s="44"/>
      <c r="E42" s="29"/>
      <c r="H42" s="28"/>
      <c r="J42" s="29"/>
      <c r="M42" s="28"/>
      <c r="O42" s="29"/>
      <c r="R42" s="28"/>
    </row>
    <row r="43" spans="1:18" x14ac:dyDescent="0.3">
      <c r="A43" s="1" t="s">
        <v>67</v>
      </c>
      <c r="B43" s="1"/>
      <c r="C43" s="48"/>
      <c r="E43" s="29"/>
      <c r="H43" s="28"/>
      <c r="J43" s="29"/>
      <c r="M43" s="28"/>
      <c r="O43" s="29"/>
      <c r="R43" s="28"/>
    </row>
    <row r="44" spans="1:18" x14ac:dyDescent="0.3">
      <c r="A44" s="1" t="s">
        <v>74</v>
      </c>
      <c r="B44" s="1"/>
      <c r="C44" s="49"/>
      <c r="E44" s="29" t="s">
        <v>71</v>
      </c>
      <c r="H44" s="28"/>
      <c r="J44" s="29" t="s">
        <v>71</v>
      </c>
      <c r="M44" s="28"/>
      <c r="O44" s="29" t="s">
        <v>71</v>
      </c>
      <c r="R44" s="28"/>
    </row>
    <row r="45" spans="1:18" x14ac:dyDescent="0.3">
      <c r="A45" s="1" t="s">
        <v>78</v>
      </c>
      <c r="B45" s="1"/>
      <c r="C45" s="49"/>
      <c r="E45" s="29" t="s">
        <v>72</v>
      </c>
      <c r="F45">
        <v>0.01</v>
      </c>
      <c r="H45" s="28"/>
      <c r="J45" s="29" t="s">
        <v>72</v>
      </c>
      <c r="K45">
        <v>0.01</v>
      </c>
      <c r="M45" s="28"/>
      <c r="O45" s="29" t="s">
        <v>72</v>
      </c>
      <c r="P45">
        <v>0.01</v>
      </c>
      <c r="R45" s="28"/>
    </row>
    <row r="46" spans="1:18" ht="15" thickBot="1" x14ac:dyDescent="0.35">
      <c r="A46" s="1" t="s">
        <v>79</v>
      </c>
      <c r="B46" s="1"/>
      <c r="C46" s="49"/>
      <c r="E46" s="30" t="s">
        <v>73</v>
      </c>
      <c r="F46" s="31">
        <v>0.06</v>
      </c>
      <c r="G46" s="32"/>
      <c r="H46" s="33"/>
      <c r="J46" s="30" t="s">
        <v>73</v>
      </c>
      <c r="K46" s="31">
        <v>0.06</v>
      </c>
      <c r="L46" s="32"/>
      <c r="M46" s="33"/>
      <c r="O46" s="30" t="s">
        <v>73</v>
      </c>
      <c r="P46" s="34">
        <v>0.06</v>
      </c>
      <c r="Q46" s="32"/>
      <c r="R46" s="33"/>
    </row>
    <row r="47" spans="1:18" x14ac:dyDescent="0.3">
      <c r="A47" s="1" t="s">
        <v>80</v>
      </c>
      <c r="B47" s="1"/>
      <c r="C47" s="50"/>
    </row>
    <row r="48" spans="1:18" x14ac:dyDescent="0.3">
      <c r="A48" s="1" t="s">
        <v>81</v>
      </c>
      <c r="B48" s="1"/>
      <c r="C48" s="50"/>
    </row>
    <row r="49" spans="1:3" x14ac:dyDescent="0.3">
      <c r="A49" s="1" t="s">
        <v>82</v>
      </c>
      <c r="B49" s="1"/>
      <c r="C49" s="50"/>
    </row>
    <row r="50" spans="1:3" x14ac:dyDescent="0.3">
      <c r="A50" s="1" t="s">
        <v>83</v>
      </c>
      <c r="B50" s="1"/>
      <c r="C50" s="51"/>
    </row>
    <row r="51" spans="1:3" x14ac:dyDescent="0.3">
      <c r="A51" s="1" t="s">
        <v>84</v>
      </c>
      <c r="B51" s="1"/>
      <c r="C51" s="51"/>
    </row>
    <row r="52" spans="1:3" x14ac:dyDescent="0.3">
      <c r="A52" s="1" t="s">
        <v>85</v>
      </c>
      <c r="B52" s="1"/>
      <c r="C52" s="51"/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2"/>
  <sheetViews>
    <sheetView tabSelected="1" topLeftCell="A14" workbookViewId="0">
      <selection activeCell="K30" sqref="K30"/>
    </sheetView>
  </sheetViews>
  <sheetFormatPr defaultRowHeight="14.4" x14ac:dyDescent="0.3"/>
  <cols>
    <col min="1" max="1" width="20" bestFit="1" customWidth="1"/>
    <col min="4" max="4" width="10.6640625" bestFit="1" customWidth="1"/>
    <col min="5" max="5" width="17.109375" customWidth="1"/>
  </cols>
  <sheetData>
    <row r="1" spans="1:16" ht="15" thickBot="1" x14ac:dyDescent="0.35">
      <c r="A1" s="73" t="s">
        <v>26</v>
      </c>
      <c r="B1" s="74"/>
      <c r="C1" s="74"/>
      <c r="D1" s="74"/>
      <c r="E1" s="74"/>
      <c r="F1" s="75"/>
    </row>
    <row r="2" spans="1:16" x14ac:dyDescent="0.3">
      <c r="A2" s="76" t="s">
        <v>27</v>
      </c>
      <c r="B2" s="77"/>
      <c r="C2" s="77"/>
      <c r="D2" s="77"/>
      <c r="E2" s="77"/>
      <c r="F2" s="78"/>
    </row>
    <row r="4" spans="1:16" x14ac:dyDescent="0.3">
      <c r="B4" s="84" t="s">
        <v>23</v>
      </c>
      <c r="C4" s="84"/>
      <c r="D4" s="84"/>
      <c r="E4" s="84"/>
      <c r="F4" s="84"/>
      <c r="G4" s="84"/>
      <c r="H4" s="84"/>
    </row>
    <row r="6" spans="1:16" x14ac:dyDescent="0.3">
      <c r="A6" s="5" t="s">
        <v>0</v>
      </c>
      <c r="B6" s="6" t="s">
        <v>41</v>
      </c>
      <c r="C6" s="6" t="s">
        <v>42</v>
      </c>
      <c r="D6" s="6" t="s">
        <v>43</v>
      </c>
      <c r="E6" s="6" t="s">
        <v>44</v>
      </c>
      <c r="F6" s="6" t="s">
        <v>47</v>
      </c>
      <c r="G6" s="6" t="s">
        <v>45</v>
      </c>
      <c r="H6" s="6" t="s">
        <v>46</v>
      </c>
      <c r="I6" s="5" t="str">
        <f>AVI!C6</f>
        <v>Prob(Y=y)</v>
      </c>
    </row>
    <row r="7" spans="1:16" x14ac:dyDescent="0.3">
      <c r="A7" s="1">
        <f>AGI!A7</f>
        <v>0</v>
      </c>
      <c r="B7" s="2">
        <f>AGI!B7</f>
        <v>0</v>
      </c>
      <c r="C7" s="2">
        <f>APRA!B7</f>
        <v>0</v>
      </c>
      <c r="D7" s="2">
        <f>ACFR!B7</f>
        <v>0</v>
      </c>
      <c r="E7" s="2">
        <f>ACFA!B7</f>
        <v>0</v>
      </c>
      <c r="F7" s="2"/>
      <c r="G7" s="2"/>
      <c r="H7" s="2"/>
      <c r="I7" s="18">
        <f>APRA!E7</f>
        <v>0.7</v>
      </c>
      <c r="P7">
        <v>0</v>
      </c>
    </row>
    <row r="8" spans="1:16" x14ac:dyDescent="0.3">
      <c r="A8" s="1">
        <f>AGI!A8</f>
        <v>5</v>
      </c>
      <c r="B8" s="2">
        <f>AGI!B8</f>
        <v>5</v>
      </c>
      <c r="C8" s="2">
        <f>APRA!B8</f>
        <v>5</v>
      </c>
      <c r="D8" s="2">
        <f>ACFR!B8</f>
        <v>0</v>
      </c>
      <c r="E8" s="2">
        <f>ACFA!B8</f>
        <v>0</v>
      </c>
      <c r="F8" s="2"/>
      <c r="G8" s="2"/>
      <c r="H8" s="2"/>
      <c r="I8" s="18">
        <f>APRA!E8</f>
        <v>0.71499999999999997</v>
      </c>
    </row>
    <row r="9" spans="1:16" x14ac:dyDescent="0.3">
      <c r="A9" s="1">
        <f>AGI!A9</f>
        <v>10</v>
      </c>
      <c r="B9" s="2">
        <f>AGI!B9</f>
        <v>10</v>
      </c>
      <c r="C9" s="2">
        <f>APRA!B9</f>
        <v>10</v>
      </c>
      <c r="D9" s="2">
        <f>ACFR!B9</f>
        <v>0</v>
      </c>
      <c r="E9" s="2">
        <f>ACFA!B9</f>
        <v>0</v>
      </c>
      <c r="F9" s="2"/>
      <c r="G9" s="2"/>
      <c r="H9" s="2"/>
      <c r="I9" s="18">
        <f>APRA!E9</f>
        <v>0.73</v>
      </c>
    </row>
    <row r="10" spans="1:16" x14ac:dyDescent="0.3">
      <c r="A10" s="1">
        <f>AGI!A10</f>
        <v>15</v>
      </c>
      <c r="B10" s="2">
        <f>AGI!B10</f>
        <v>15</v>
      </c>
      <c r="C10" s="2">
        <f>APRA!B10</f>
        <v>15</v>
      </c>
      <c r="D10" s="2">
        <f>ACFR!B10</f>
        <v>0</v>
      </c>
      <c r="E10" s="2">
        <f>ACFA!B10</f>
        <v>0</v>
      </c>
      <c r="F10" s="2"/>
      <c r="G10" s="2"/>
      <c r="H10" s="2"/>
      <c r="I10" s="18">
        <f>APRA!E10</f>
        <v>0.745</v>
      </c>
    </row>
    <row r="11" spans="1:16" x14ac:dyDescent="0.3">
      <c r="A11" s="1">
        <f>AGI!A11</f>
        <v>20</v>
      </c>
      <c r="B11" s="2">
        <f>AGI!B11</f>
        <v>20</v>
      </c>
      <c r="C11" s="2">
        <f>APRA!B11</f>
        <v>20</v>
      </c>
      <c r="D11" s="2">
        <f>ACFR!B11</f>
        <v>20</v>
      </c>
      <c r="E11" s="2">
        <f>ACFA!B11</f>
        <v>1.1288523391121821</v>
      </c>
      <c r="F11" s="2"/>
      <c r="G11" s="2"/>
      <c r="H11" s="2"/>
      <c r="I11" s="18">
        <f>APRA!E11</f>
        <v>0.76</v>
      </c>
    </row>
    <row r="12" spans="1:16" x14ac:dyDescent="0.3">
      <c r="A12" s="1">
        <f>AGI!A12</f>
        <v>25</v>
      </c>
      <c r="B12" s="2">
        <f>AGI!B12</f>
        <v>25</v>
      </c>
      <c r="C12" s="2">
        <f>APRA!B12</f>
        <v>25</v>
      </c>
      <c r="D12" s="2">
        <f>ACFR!B12</f>
        <v>25</v>
      </c>
      <c r="E12" s="2">
        <f>ACFA!B12</f>
        <v>6.1288523391121821</v>
      </c>
      <c r="F12" s="2"/>
      <c r="G12" s="2"/>
      <c r="H12" s="2"/>
      <c r="I12" s="18">
        <f>APRA!E12</f>
        <v>0.77500000000000002</v>
      </c>
    </row>
    <row r="13" spans="1:16" x14ac:dyDescent="0.3">
      <c r="A13" s="1">
        <f>AGI!A13</f>
        <v>30</v>
      </c>
      <c r="B13" s="2">
        <f>AGI!B13</f>
        <v>30</v>
      </c>
      <c r="C13" s="2">
        <f>APRA!B13</f>
        <v>30</v>
      </c>
      <c r="D13" s="2">
        <f>ACFR!B13</f>
        <v>30</v>
      </c>
      <c r="E13" s="2">
        <f>ACFA!B13</f>
        <v>11.128852339112182</v>
      </c>
      <c r="F13" s="2"/>
      <c r="G13" s="2"/>
      <c r="H13" s="2"/>
      <c r="I13" s="18">
        <f>APRA!E13</f>
        <v>0.79</v>
      </c>
    </row>
    <row r="14" spans="1:16" x14ac:dyDescent="0.3">
      <c r="A14" s="1">
        <f>AGI!A14</f>
        <v>35</v>
      </c>
      <c r="B14" s="2">
        <f>AGI!B14</f>
        <v>35</v>
      </c>
      <c r="C14" s="2">
        <f>APRA!B14</f>
        <v>35</v>
      </c>
      <c r="D14" s="2">
        <f>ACFR!B14</f>
        <v>35</v>
      </c>
      <c r="E14" s="2">
        <f>ACFA!B14</f>
        <v>16.128852339112182</v>
      </c>
      <c r="F14" s="2"/>
      <c r="G14" s="2"/>
      <c r="H14" s="2"/>
      <c r="I14" s="18">
        <f>APRA!E14</f>
        <v>0.80500000000000005</v>
      </c>
    </row>
    <row r="15" spans="1:16" x14ac:dyDescent="0.3">
      <c r="A15" s="1">
        <f>AGI!A15</f>
        <v>40</v>
      </c>
      <c r="B15" s="2">
        <f>AGI!B15</f>
        <v>40</v>
      </c>
      <c r="C15" s="2">
        <f>APRA!B15</f>
        <v>40</v>
      </c>
      <c r="D15" s="2">
        <f>ACFR!B15</f>
        <v>40</v>
      </c>
      <c r="E15" s="2">
        <f>ACFA!B15</f>
        <v>21.128852339112182</v>
      </c>
      <c r="F15" s="2"/>
      <c r="G15" s="2"/>
      <c r="H15" s="2"/>
      <c r="I15" s="18">
        <f>APRA!E15</f>
        <v>0.82000000000000006</v>
      </c>
    </row>
    <row r="16" spans="1:16" x14ac:dyDescent="0.3">
      <c r="A16" s="1">
        <f>AGI!A16</f>
        <v>45</v>
      </c>
      <c r="B16" s="2">
        <f>AGI!B16</f>
        <v>45</v>
      </c>
      <c r="C16" s="2">
        <f>APRA!B16</f>
        <v>45</v>
      </c>
      <c r="D16" s="2">
        <f>ACFR!B16</f>
        <v>45</v>
      </c>
      <c r="E16" s="2">
        <f>ACFA!B16</f>
        <v>26.128852339112182</v>
      </c>
      <c r="F16" s="2"/>
      <c r="G16" s="2"/>
      <c r="H16" s="2"/>
      <c r="I16" s="18">
        <f>APRA!E16</f>
        <v>0.83500000000000008</v>
      </c>
    </row>
    <row r="17" spans="1:9" x14ac:dyDescent="0.3">
      <c r="A17" s="1">
        <f>AGI!A17</f>
        <v>50</v>
      </c>
      <c r="B17" s="2">
        <f>AGI!B17</f>
        <v>50</v>
      </c>
      <c r="C17" s="2">
        <f>APRA!B17</f>
        <v>50</v>
      </c>
      <c r="D17" s="2">
        <f>ACFR!B17</f>
        <v>50</v>
      </c>
      <c r="E17" s="2">
        <f>ACFA!B17</f>
        <v>31.128852339112182</v>
      </c>
      <c r="F17" s="2"/>
      <c r="G17" s="2"/>
      <c r="H17" s="2"/>
      <c r="I17" s="18">
        <f>APRA!E17</f>
        <v>0.85000000000000009</v>
      </c>
    </row>
    <row r="18" spans="1:9" x14ac:dyDescent="0.3">
      <c r="A18" s="1">
        <f>AGI!A18</f>
        <v>55</v>
      </c>
      <c r="B18" s="2">
        <f>AGI!B18</f>
        <v>55</v>
      </c>
      <c r="C18" s="2">
        <f>APRA!B18</f>
        <v>55</v>
      </c>
      <c r="D18" s="2">
        <f>ACFR!B18</f>
        <v>55</v>
      </c>
      <c r="E18" s="2">
        <f>ACFA!B18</f>
        <v>36.128852339112186</v>
      </c>
      <c r="F18" s="2"/>
      <c r="G18" s="2"/>
      <c r="H18" s="2"/>
      <c r="I18" s="18">
        <f>APRA!E18</f>
        <v>0.8650000000000001</v>
      </c>
    </row>
    <row r="19" spans="1:9" x14ac:dyDescent="0.3">
      <c r="A19" s="1">
        <f>AGI!A19</f>
        <v>60</v>
      </c>
      <c r="B19" s="2">
        <f>AGI!B19</f>
        <v>60</v>
      </c>
      <c r="C19" s="2">
        <f>APRA!B19</f>
        <v>60</v>
      </c>
      <c r="D19" s="2">
        <f>ACFR!B19</f>
        <v>60</v>
      </c>
      <c r="E19" s="2">
        <f>ACFA!B19</f>
        <v>41.128852339112186</v>
      </c>
      <c r="F19" s="2"/>
      <c r="G19" s="2"/>
      <c r="H19" s="2"/>
      <c r="I19" s="18">
        <f>APRA!E19</f>
        <v>0.88000000000000012</v>
      </c>
    </row>
    <row r="20" spans="1:9" x14ac:dyDescent="0.3">
      <c r="A20" s="1">
        <f>AGI!A20</f>
        <v>65</v>
      </c>
      <c r="B20" s="2">
        <f>AGI!B20</f>
        <v>65</v>
      </c>
      <c r="C20" s="2">
        <f>APRA!B20</f>
        <v>65</v>
      </c>
      <c r="D20" s="2">
        <f>ACFR!B20</f>
        <v>65</v>
      </c>
      <c r="E20" s="2">
        <f>ACFA!B20</f>
        <v>46.128852339112186</v>
      </c>
      <c r="F20" s="2"/>
      <c r="G20" s="2"/>
      <c r="H20" s="2"/>
      <c r="I20" s="18">
        <f>APRA!E20</f>
        <v>0.89500000000000013</v>
      </c>
    </row>
    <row r="21" spans="1:9" x14ac:dyDescent="0.3">
      <c r="A21" s="1">
        <f>AGI!A21</f>
        <v>70</v>
      </c>
      <c r="B21" s="2">
        <f>AGI!B21</f>
        <v>70</v>
      </c>
      <c r="C21" s="2">
        <f>APRA!B21</f>
        <v>70</v>
      </c>
      <c r="D21" s="2">
        <f>ACFR!B21</f>
        <v>70</v>
      </c>
      <c r="E21" s="2">
        <f>ACFA!B21</f>
        <v>51.128852339112186</v>
      </c>
      <c r="F21" s="2"/>
      <c r="G21" s="2"/>
      <c r="H21" s="2"/>
      <c r="I21" s="18">
        <f>APRA!E21</f>
        <v>0.91000000000000014</v>
      </c>
    </row>
    <row r="22" spans="1:9" x14ac:dyDescent="0.3">
      <c r="A22" s="1">
        <f>AGI!A22</f>
        <v>75</v>
      </c>
      <c r="B22" s="2">
        <f>AGI!B22</f>
        <v>75</v>
      </c>
      <c r="C22" s="2">
        <f>APRA!B22</f>
        <v>75</v>
      </c>
      <c r="D22" s="2">
        <f>ACFR!B22</f>
        <v>75</v>
      </c>
      <c r="E22" s="2">
        <f>ACFA!B22</f>
        <v>56.128852339112186</v>
      </c>
      <c r="F22" s="2"/>
      <c r="G22" s="2"/>
      <c r="H22" s="2"/>
      <c r="I22" s="18">
        <f>APRA!E22</f>
        <v>0.92500000000000016</v>
      </c>
    </row>
    <row r="23" spans="1:9" x14ac:dyDescent="0.3">
      <c r="A23" s="1">
        <f>AGI!A23</f>
        <v>80</v>
      </c>
      <c r="B23" s="2">
        <f>AGI!B23</f>
        <v>80</v>
      </c>
      <c r="C23" s="2">
        <f>APRA!B23</f>
        <v>80</v>
      </c>
      <c r="D23" s="2">
        <f>ACFR!B23</f>
        <v>80</v>
      </c>
      <c r="E23" s="2">
        <f>ACFA!B23</f>
        <v>61.128852339112186</v>
      </c>
      <c r="F23" s="2"/>
      <c r="G23" s="2"/>
      <c r="H23" s="2"/>
      <c r="I23" s="18">
        <f>APRA!E23</f>
        <v>0.94000000000000017</v>
      </c>
    </row>
    <row r="24" spans="1:9" x14ac:dyDescent="0.3">
      <c r="A24" s="1">
        <f>AGI!A24</f>
        <v>85</v>
      </c>
      <c r="B24" s="2">
        <f>AGI!B24</f>
        <v>85</v>
      </c>
      <c r="C24" s="2">
        <f>APRA!B24</f>
        <v>80</v>
      </c>
      <c r="D24" s="2">
        <f>ACFR!B24</f>
        <v>85</v>
      </c>
      <c r="E24" s="2">
        <f>ACFA!B24</f>
        <v>66.128852339112186</v>
      </c>
      <c r="F24" s="2"/>
      <c r="G24" s="2"/>
      <c r="H24" s="2"/>
      <c r="I24" s="18">
        <f>APRA!E24</f>
        <v>0.95500000000000018</v>
      </c>
    </row>
    <row r="25" spans="1:9" x14ac:dyDescent="0.3">
      <c r="A25" s="1">
        <f>AGI!A25</f>
        <v>90</v>
      </c>
      <c r="B25" s="2">
        <f>AGI!B25</f>
        <v>90</v>
      </c>
      <c r="C25" s="2">
        <f>APRA!B25</f>
        <v>80</v>
      </c>
      <c r="D25" s="2">
        <f>ACFR!B25</f>
        <v>90</v>
      </c>
      <c r="E25" s="2">
        <f>ACFA!B25</f>
        <v>71.128852339112186</v>
      </c>
      <c r="F25" s="2"/>
      <c r="G25" s="2"/>
      <c r="H25" s="2"/>
      <c r="I25" s="18">
        <f>APRA!E25</f>
        <v>0.9700000000000002</v>
      </c>
    </row>
    <row r="26" spans="1:9" x14ac:dyDescent="0.3">
      <c r="A26" s="1">
        <f>AGI!A26</f>
        <v>95</v>
      </c>
      <c r="B26" s="2">
        <f>AGI!B26</f>
        <v>95</v>
      </c>
      <c r="C26" s="2">
        <f>APRA!B26</f>
        <v>80</v>
      </c>
      <c r="D26" s="2">
        <f>ACFR!B26</f>
        <v>95</v>
      </c>
      <c r="E26" s="2">
        <f>ACFA!B26</f>
        <v>76.128852339112186</v>
      </c>
      <c r="F26" s="2"/>
      <c r="G26" s="2"/>
      <c r="H26" s="2"/>
      <c r="I26" s="18">
        <f>APRA!E26</f>
        <v>0.98500000000000021</v>
      </c>
    </row>
    <row r="27" spans="1:9" x14ac:dyDescent="0.3">
      <c r="A27" s="1">
        <f>AGI!A27</f>
        <v>100</v>
      </c>
      <c r="B27" s="2">
        <f>AGI!B27</f>
        <v>100</v>
      </c>
      <c r="C27" s="2">
        <f>APRA!B27</f>
        <v>80</v>
      </c>
      <c r="D27" s="2">
        <f>ACFR!B27</f>
        <v>100</v>
      </c>
      <c r="E27" s="2">
        <f>ACFA!B27</f>
        <v>81.128852339112186</v>
      </c>
      <c r="F27" s="2"/>
      <c r="G27" s="2"/>
      <c r="H27" s="2"/>
      <c r="I27" s="18">
        <f>APRA!E27</f>
        <v>1.0000000000000002</v>
      </c>
    </row>
    <row r="29" spans="1:9" x14ac:dyDescent="0.3">
      <c r="A29" s="5" t="s">
        <v>15</v>
      </c>
      <c r="B29" s="19">
        <f>AGI!C29</f>
        <v>15.750000000000004</v>
      </c>
      <c r="C29" s="19">
        <f>APRA!C29</f>
        <v>15</v>
      </c>
      <c r="D29" s="19">
        <f>ACFR!C29</f>
        <v>15.3</v>
      </c>
      <c r="E29" s="19">
        <f>ACFA!C29</f>
        <v>10.487857346473609</v>
      </c>
      <c r="F29" s="19"/>
      <c r="G29" s="19"/>
      <c r="H29" s="19"/>
    </row>
    <row r="30" spans="1:9" x14ac:dyDescent="0.3">
      <c r="A30" s="5" t="s">
        <v>6</v>
      </c>
      <c r="B30" s="1"/>
      <c r="C30" s="1"/>
      <c r="D30" s="1"/>
      <c r="E30" s="1"/>
      <c r="F30" s="1"/>
      <c r="G30" s="1"/>
      <c r="H30" s="1"/>
    </row>
    <row r="31" spans="1:9" x14ac:dyDescent="0.3">
      <c r="A31" s="5" t="s">
        <v>48</v>
      </c>
      <c r="B31" s="1"/>
      <c r="C31" s="1"/>
      <c r="D31" s="1"/>
      <c r="E31" s="1"/>
      <c r="F31" s="1"/>
      <c r="G31" s="1"/>
      <c r="H31" s="1"/>
    </row>
    <row r="32" spans="1:9" x14ac:dyDescent="0.3">
      <c r="A32" s="5" t="s">
        <v>49</v>
      </c>
      <c r="B32" s="1"/>
      <c r="C32" s="1"/>
      <c r="D32" s="1"/>
      <c r="E32" s="1"/>
      <c r="F32" s="1"/>
      <c r="G32" s="1"/>
      <c r="H32" s="11"/>
    </row>
  </sheetData>
  <mergeCells count="3">
    <mergeCell ref="A1:F1"/>
    <mergeCell ref="A2:F2"/>
    <mergeCell ref="B4:H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3"/>
  <sheetViews>
    <sheetView zoomScale="110" zoomScaleNormal="110" workbookViewId="0">
      <selection activeCell="B4" sqref="B4"/>
    </sheetView>
  </sheetViews>
  <sheetFormatPr defaultRowHeight="14.4" x14ac:dyDescent="0.3"/>
  <cols>
    <col min="1" max="2" width="15.5546875" customWidth="1"/>
    <col min="3" max="3" width="9.44140625" bestFit="1" customWidth="1"/>
    <col min="4" max="4" width="19.109375" bestFit="1" customWidth="1"/>
    <col min="5" max="5" width="10" bestFit="1" customWidth="1"/>
  </cols>
  <sheetData>
    <row r="1" spans="1:6" ht="15" thickBot="1" x14ac:dyDescent="0.35">
      <c r="A1" s="73" t="s">
        <v>13</v>
      </c>
      <c r="B1" s="74"/>
      <c r="C1" s="74"/>
      <c r="D1" s="74"/>
      <c r="E1" s="74"/>
      <c r="F1" s="75"/>
    </row>
    <row r="2" spans="1:6" ht="15" thickBot="1" x14ac:dyDescent="0.35">
      <c r="A2" s="73" t="s">
        <v>14</v>
      </c>
      <c r="B2" s="74"/>
      <c r="C2" s="74"/>
      <c r="D2" s="74"/>
      <c r="E2" s="74"/>
      <c r="F2" s="75"/>
    </row>
    <row r="3" spans="1:6" ht="15" thickBot="1" x14ac:dyDescent="0.35">
      <c r="A3" s="73" t="s">
        <v>24</v>
      </c>
      <c r="B3" s="74"/>
      <c r="C3" s="74"/>
      <c r="D3" s="74"/>
      <c r="E3" s="74"/>
      <c r="F3" s="75"/>
    </row>
    <row r="4" spans="1:6" x14ac:dyDescent="0.3">
      <c r="A4" t="s">
        <v>52</v>
      </c>
      <c r="B4">
        <v>13.385387618516496</v>
      </c>
      <c r="C4" t="s">
        <v>3</v>
      </c>
      <c r="D4">
        <v>20</v>
      </c>
    </row>
    <row r="6" spans="1:6" x14ac:dyDescent="0.3">
      <c r="A6" s="5" t="s">
        <v>0</v>
      </c>
      <c r="B6" s="5" t="s">
        <v>20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2">
        <f>A7*($B$4/$D$4)</f>
        <v>0</v>
      </c>
      <c r="C7" s="12">
        <f>+AVI!C7</f>
        <v>0.7</v>
      </c>
      <c r="D7" s="23">
        <f>(B7-$C$29)^2*C7</f>
        <v>3.1111507881085756</v>
      </c>
      <c r="E7" s="62">
        <f>SUM($C$7:C7)</f>
        <v>0.7</v>
      </c>
    </row>
    <row r="8" spans="1:6" x14ac:dyDescent="0.3">
      <c r="A8" s="1">
        <f>A7+1</f>
        <v>1</v>
      </c>
      <c r="B8" s="2">
        <f t="shared" ref="B8:B27" si="0">A8*($B$4/$D$4)</f>
        <v>0.66926938092582478</v>
      </c>
      <c r="C8" s="12">
        <f>+AVI!C8</f>
        <v>1.5000000000000003E-2</v>
      </c>
      <c r="D8" s="23">
        <f t="shared" ref="D8:D27" si="1">(B8-$C$29)^2*C8</f>
        <v>3.1057757300576385E-2</v>
      </c>
      <c r="E8" s="62">
        <f>SUM($C$7:C8)</f>
        <v>0.71499999999999997</v>
      </c>
    </row>
    <row r="9" spans="1:6" x14ac:dyDescent="0.3">
      <c r="A9" s="1">
        <f t="shared" ref="A9:A26" si="2">A8+1</f>
        <v>2</v>
      </c>
      <c r="B9" s="2">
        <f t="shared" si="0"/>
        <v>1.3385387618516496</v>
      </c>
      <c r="C9" s="12">
        <f>+AVI!C9</f>
        <v>1.5000000000000003E-2</v>
      </c>
      <c r="D9" s="23">
        <f t="shared" si="1"/>
        <v>8.8856428404569549E-3</v>
      </c>
      <c r="E9" s="62">
        <f>SUM($C$7:C9)</f>
        <v>0.73</v>
      </c>
    </row>
    <row r="10" spans="1:6" x14ac:dyDescent="0.3">
      <c r="A10" s="1">
        <f t="shared" si="2"/>
        <v>3</v>
      </c>
      <c r="B10" s="2">
        <f t="shared" si="0"/>
        <v>2.0078081427774741</v>
      </c>
      <c r="C10" s="12">
        <f>+AVI!C10</f>
        <v>1.5000000000000003E-2</v>
      </c>
      <c r="D10" s="23">
        <f t="shared" si="1"/>
        <v>1.5117350768263372E-4</v>
      </c>
      <c r="E10" s="62">
        <f>SUM($C$7:C10)</f>
        <v>0.745</v>
      </c>
    </row>
    <row r="11" spans="1:6" x14ac:dyDescent="0.3">
      <c r="A11" s="1">
        <f t="shared" si="2"/>
        <v>4</v>
      </c>
      <c r="B11" s="2">
        <f t="shared" si="0"/>
        <v>2.6770775237032991</v>
      </c>
      <c r="C11" s="12">
        <f>+AVI!C11</f>
        <v>1.5000000000000003E-2</v>
      </c>
      <c r="D11" s="23">
        <f t="shared" si="1"/>
        <v>4.854349302253415E-3</v>
      </c>
      <c r="E11" s="62">
        <f>SUM($C$7:C11)</f>
        <v>0.76</v>
      </c>
    </row>
    <row r="12" spans="1:6" x14ac:dyDescent="0.3">
      <c r="A12" s="1">
        <f t="shared" si="2"/>
        <v>5</v>
      </c>
      <c r="B12" s="2">
        <f t="shared" si="0"/>
        <v>3.3463469046291241</v>
      </c>
      <c r="C12" s="12">
        <f>+AVI!C12</f>
        <v>1.5000000000000003E-2</v>
      </c>
      <c r="D12" s="23">
        <f t="shared" si="1"/>
        <v>2.299517022416931E-2</v>
      </c>
      <c r="E12" s="62">
        <f>SUM($C$7:C12)</f>
        <v>0.77500000000000002</v>
      </c>
    </row>
    <row r="13" spans="1:6" x14ac:dyDescent="0.3">
      <c r="A13" s="1">
        <f t="shared" si="2"/>
        <v>6</v>
      </c>
      <c r="B13" s="2">
        <f t="shared" si="0"/>
        <v>4.0156162855549482</v>
      </c>
      <c r="C13" s="12">
        <f>+AVI!C13</f>
        <v>1.5000000000000003E-2</v>
      </c>
      <c r="D13" s="23">
        <f t="shared" si="1"/>
        <v>5.4573636273430273E-2</v>
      </c>
      <c r="E13" s="62">
        <f>SUM($C$7:C13)</f>
        <v>0.79</v>
      </c>
    </row>
    <row r="14" spans="1:6" x14ac:dyDescent="0.3">
      <c r="A14" s="1">
        <f t="shared" si="2"/>
        <v>7</v>
      </c>
      <c r="B14" s="2">
        <f t="shared" si="0"/>
        <v>4.6848856664807732</v>
      </c>
      <c r="C14" s="12">
        <f>+AVI!C14</f>
        <v>1.5000000000000003E-2</v>
      </c>
      <c r="D14" s="23">
        <f t="shared" si="1"/>
        <v>9.9589747450036376E-2</v>
      </c>
      <c r="E14" s="62">
        <f>SUM($C$7:C14)</f>
        <v>0.80500000000000005</v>
      </c>
    </row>
    <row r="15" spans="1:6" x14ac:dyDescent="0.3">
      <c r="A15" s="1">
        <f t="shared" si="2"/>
        <v>8</v>
      </c>
      <c r="B15" s="2">
        <f t="shared" si="0"/>
        <v>5.3541550474065982</v>
      </c>
      <c r="C15" s="12">
        <f>+AVI!C15</f>
        <v>1.5000000000000003E-2</v>
      </c>
      <c r="D15" s="23">
        <f t="shared" si="1"/>
        <v>0.1580435037539876</v>
      </c>
      <c r="E15" s="62">
        <f>SUM($C$7:C15)</f>
        <v>0.82000000000000006</v>
      </c>
    </row>
    <row r="16" spans="1:6" x14ac:dyDescent="0.3">
      <c r="A16" s="1">
        <f t="shared" si="2"/>
        <v>9</v>
      </c>
      <c r="B16" s="2">
        <f t="shared" si="0"/>
        <v>6.0234244283324232</v>
      </c>
      <c r="C16" s="12">
        <f>+AVI!C16</f>
        <v>1.5000000000000003E-2</v>
      </c>
      <c r="D16" s="23">
        <f t="shared" si="1"/>
        <v>0.22993490518528392</v>
      </c>
      <c r="E16" s="62">
        <f>SUM($C$7:C16)</f>
        <v>0.83500000000000008</v>
      </c>
    </row>
    <row r="17" spans="1:12" x14ac:dyDescent="0.3">
      <c r="A17" s="1">
        <f t="shared" si="2"/>
        <v>10</v>
      </c>
      <c r="B17" s="2">
        <f t="shared" si="0"/>
        <v>6.6926938092582482</v>
      </c>
      <c r="C17" s="12">
        <f>+AVI!C17</f>
        <v>1.5000000000000003E-2</v>
      </c>
      <c r="D17" s="23">
        <f t="shared" si="1"/>
        <v>0.3152639517439253</v>
      </c>
      <c r="E17" s="62">
        <f>SUM($C$7:C17)</f>
        <v>0.85000000000000009</v>
      </c>
    </row>
    <row r="18" spans="1:12" x14ac:dyDescent="0.3">
      <c r="A18" s="1">
        <f t="shared" si="2"/>
        <v>11</v>
      </c>
      <c r="B18" s="2">
        <f t="shared" si="0"/>
        <v>7.3619631901840723</v>
      </c>
      <c r="C18" s="12">
        <f>+AVI!C18</f>
        <v>1.5000000000000003E-2</v>
      </c>
      <c r="D18" s="23">
        <f t="shared" si="1"/>
        <v>0.41403064342991175</v>
      </c>
      <c r="E18" s="62">
        <f>SUM($C$7:C18)</f>
        <v>0.8650000000000001</v>
      </c>
    </row>
    <row r="19" spans="1:12" x14ac:dyDescent="0.3">
      <c r="A19" s="1">
        <f t="shared" si="2"/>
        <v>12</v>
      </c>
      <c r="B19" s="2">
        <f t="shared" si="0"/>
        <v>8.0312325711098964</v>
      </c>
      <c r="C19" s="12">
        <f>+AVI!C19</f>
        <v>1.5000000000000003E-2</v>
      </c>
      <c r="D19" s="23">
        <f t="shared" si="1"/>
        <v>0.52623498024324322</v>
      </c>
      <c r="E19" s="62">
        <f>SUM($C$7:C19)</f>
        <v>0.88000000000000012</v>
      </c>
    </row>
    <row r="20" spans="1:12" x14ac:dyDescent="0.3">
      <c r="A20" s="1">
        <f>A19+1</f>
        <v>13</v>
      </c>
      <c r="B20" s="2">
        <f t="shared" si="0"/>
        <v>8.7005019520357223</v>
      </c>
      <c r="C20" s="12">
        <f>+AVI!C20</f>
        <v>1.5000000000000003E-2</v>
      </c>
      <c r="D20" s="23">
        <f t="shared" si="1"/>
        <v>0.65187696218392011</v>
      </c>
      <c r="E20" s="62">
        <f>SUM($C$7:C20)</f>
        <v>0.89500000000000013</v>
      </c>
    </row>
    <row r="21" spans="1:12" x14ac:dyDescent="0.3">
      <c r="A21" s="1">
        <f t="shared" si="2"/>
        <v>14</v>
      </c>
      <c r="B21" s="2">
        <f t="shared" si="0"/>
        <v>9.3697713329615464</v>
      </c>
      <c r="C21" s="12">
        <f>+AVI!C21</f>
        <v>1.5000000000000003E-2</v>
      </c>
      <c r="D21" s="23">
        <f t="shared" si="1"/>
        <v>0.79095658925194179</v>
      </c>
      <c r="E21" s="62">
        <f>SUM($C$7:C21)</f>
        <v>0.91000000000000014</v>
      </c>
    </row>
    <row r="22" spans="1:12" x14ac:dyDescent="0.3">
      <c r="A22" s="1">
        <f t="shared" si="2"/>
        <v>15</v>
      </c>
      <c r="B22" s="2">
        <f t="shared" si="0"/>
        <v>10.039040713887372</v>
      </c>
      <c r="C22" s="12">
        <f>+AVI!C22</f>
        <v>1.5000000000000003E-2</v>
      </c>
      <c r="D22" s="23">
        <f t="shared" si="1"/>
        <v>0.94347386144730905</v>
      </c>
      <c r="E22" s="62">
        <f>SUM($C$7:C22)</f>
        <v>0.92500000000000016</v>
      </c>
    </row>
    <row r="23" spans="1:12" x14ac:dyDescent="0.3">
      <c r="A23" s="1">
        <f t="shared" si="2"/>
        <v>16</v>
      </c>
      <c r="B23" s="2">
        <f t="shared" si="0"/>
        <v>10.708310094813196</v>
      </c>
      <c r="C23" s="12">
        <f>+AVI!C23</f>
        <v>1.5000000000000003E-2</v>
      </c>
      <c r="D23" s="23">
        <f t="shared" si="1"/>
        <v>1.1094287787700208</v>
      </c>
      <c r="E23" s="62">
        <f>SUM($C$7:C23)</f>
        <v>0.94000000000000017</v>
      </c>
    </row>
    <row r="24" spans="1:12" x14ac:dyDescent="0.3">
      <c r="A24" s="1">
        <f t="shared" si="2"/>
        <v>17</v>
      </c>
      <c r="B24" s="2">
        <f t="shared" si="0"/>
        <v>11.377579475739021</v>
      </c>
      <c r="C24" s="12">
        <f>+AVI!C24</f>
        <v>1.5000000000000003E-2</v>
      </c>
      <c r="D24" s="23">
        <f t="shared" si="1"/>
        <v>1.2888213412200777</v>
      </c>
      <c r="E24" s="62">
        <f>SUM($C$7:C24)</f>
        <v>0.95500000000000018</v>
      </c>
    </row>
    <row r="25" spans="1:12" x14ac:dyDescent="0.3">
      <c r="A25" s="1">
        <f t="shared" si="2"/>
        <v>18</v>
      </c>
      <c r="B25" s="2">
        <f t="shared" si="0"/>
        <v>12.046848856664846</v>
      </c>
      <c r="C25" s="12">
        <f>+AVI!C25</f>
        <v>1.5000000000000003E-2</v>
      </c>
      <c r="D25" s="23">
        <f t="shared" si="1"/>
        <v>1.4816515487974804</v>
      </c>
      <c r="E25" s="62">
        <f>SUM($C$7:C25)</f>
        <v>0.9700000000000002</v>
      </c>
    </row>
    <row r="26" spans="1:12" x14ac:dyDescent="0.3">
      <c r="A26" s="1">
        <f t="shared" si="2"/>
        <v>19</v>
      </c>
      <c r="B26" s="2">
        <f t="shared" si="0"/>
        <v>12.716118237590671</v>
      </c>
      <c r="C26" s="12">
        <f>+AVI!C26</f>
        <v>1.5000000000000003E-2</v>
      </c>
      <c r="D26" s="23">
        <f t="shared" si="1"/>
        <v>1.6879194015022274</v>
      </c>
      <c r="E26" s="62">
        <f>SUM($C$7:C26)</f>
        <v>0.98500000000000021</v>
      </c>
      <c r="G26" s="63">
        <f>E27-E26</f>
        <v>1.5000000000000013E-2</v>
      </c>
      <c r="I26">
        <f>B27-B26</f>
        <v>0.66926938092582589</v>
      </c>
      <c r="K26" s="63">
        <f>G26</f>
        <v>1.5000000000000013E-2</v>
      </c>
      <c r="L26">
        <f>I26</f>
        <v>0.66926938092582589</v>
      </c>
    </row>
    <row r="27" spans="1:12" x14ac:dyDescent="0.3">
      <c r="A27" s="1">
        <f>A26+1</f>
        <v>20</v>
      </c>
      <c r="B27" s="2">
        <f t="shared" si="0"/>
        <v>13.385387618516496</v>
      </c>
      <c r="C27" s="12">
        <f>+AVI!C27</f>
        <v>1.5000000000000003E-2</v>
      </c>
      <c r="D27" s="23">
        <f t="shared" si="1"/>
        <v>1.9076248993343203</v>
      </c>
      <c r="E27" s="62">
        <f>SUM($C$7:C27)</f>
        <v>1.0000000000000002</v>
      </c>
      <c r="G27" s="63">
        <f>99.5%-E26</f>
        <v>9.9999999999997868E-3</v>
      </c>
      <c r="I27">
        <f>I26*G27/G26</f>
        <v>0.44617958728387397</v>
      </c>
      <c r="K27" s="63">
        <f>99.9%-E26</f>
        <v>1.3999999999999901E-2</v>
      </c>
      <c r="L27">
        <f>L26*K27/K26</f>
        <v>0.62465142219743253</v>
      </c>
    </row>
    <row r="28" spans="1:12" x14ac:dyDescent="0.3">
      <c r="C28" s="3"/>
      <c r="G28" t="s">
        <v>93</v>
      </c>
      <c r="I28" s="64">
        <f>B26+I27</f>
        <v>13.162297824874544</v>
      </c>
    </row>
    <row r="29" spans="1:12" x14ac:dyDescent="0.3">
      <c r="A29" s="79" t="s">
        <v>15</v>
      </c>
      <c r="B29" s="79"/>
      <c r="C29" s="13">
        <f>SUMPRODUCT(B7:B27,C7:C27)</f>
        <v>2.1081985499163483</v>
      </c>
      <c r="D29" s="20"/>
      <c r="G29" t="s">
        <v>94</v>
      </c>
      <c r="I29" s="57">
        <f>B26+L27</f>
        <v>13.340769659788103</v>
      </c>
    </row>
    <row r="30" spans="1:12" x14ac:dyDescent="0.3">
      <c r="A30" s="79" t="s">
        <v>16</v>
      </c>
      <c r="B30" s="79"/>
      <c r="C30" s="61">
        <f>C29/B4</f>
        <v>0.1575</v>
      </c>
    </row>
    <row r="31" spans="1:12" x14ac:dyDescent="0.3">
      <c r="A31" s="1" t="s">
        <v>53</v>
      </c>
      <c r="B31" s="1"/>
      <c r="C31" s="23">
        <f>C29</f>
        <v>2.1081985499163483</v>
      </c>
    </row>
    <row r="32" spans="1:12" x14ac:dyDescent="0.3">
      <c r="A32" s="1" t="s">
        <v>54</v>
      </c>
      <c r="B32" s="1"/>
      <c r="C32" s="23">
        <f>SUM(D7:D27)</f>
        <v>14.838519631870831</v>
      </c>
      <c r="D32" s="20">
        <f>(B4/D4)^2*AVI!C32</f>
        <v>14.838519631870835</v>
      </c>
    </row>
    <row r="33" spans="1:18" x14ac:dyDescent="0.3">
      <c r="A33" s="1" t="s">
        <v>57</v>
      </c>
      <c r="B33" s="1"/>
      <c r="C33" s="43">
        <f>$C$29*I33+$C$29</f>
        <v>3.1622978248745222</v>
      </c>
      <c r="H33" t="s">
        <v>58</v>
      </c>
      <c r="I33" s="10">
        <v>0.5</v>
      </c>
    </row>
    <row r="34" spans="1:18" x14ac:dyDescent="0.3">
      <c r="A34" s="1" t="s">
        <v>59</v>
      </c>
      <c r="B34" s="1"/>
      <c r="C34" s="43">
        <f>C32*I34+$C$29</f>
        <v>2.7017393351911814</v>
      </c>
      <c r="H34" t="s">
        <v>60</v>
      </c>
      <c r="I34" s="10">
        <v>0.04</v>
      </c>
    </row>
    <row r="35" spans="1:18" x14ac:dyDescent="0.3">
      <c r="A35" s="1" t="s">
        <v>62</v>
      </c>
      <c r="B35" s="1"/>
      <c r="C35" s="44">
        <f>A10</f>
        <v>3</v>
      </c>
      <c r="H35" t="s">
        <v>61</v>
      </c>
      <c r="I35" s="20">
        <f>+E11</f>
        <v>0.76</v>
      </c>
    </row>
    <row r="36" spans="1:18" x14ac:dyDescent="0.3">
      <c r="A36" s="1" t="s">
        <v>68</v>
      </c>
      <c r="B36" s="1"/>
      <c r="C36" s="45">
        <f>C33-$C$29</f>
        <v>1.0540992749581739</v>
      </c>
    </row>
    <row r="37" spans="1:18" ht="15" thickBot="1" x14ac:dyDescent="0.35">
      <c r="A37" s="1" t="s">
        <v>69</v>
      </c>
      <c r="B37" s="1"/>
      <c r="C37" s="45">
        <f t="shared" ref="C37:C38" si="3">C34-$C$29</f>
        <v>0.59354078527483312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5">
        <f t="shared" si="3"/>
        <v>0.89180145008365175</v>
      </c>
      <c r="E38" s="25">
        <v>0</v>
      </c>
      <c r="F38" s="26"/>
      <c r="G38" s="26"/>
      <c r="H38" s="27">
        <v>1</v>
      </c>
      <c r="J38" s="25">
        <v>0</v>
      </c>
      <c r="K38" s="26"/>
      <c r="L38" s="26"/>
      <c r="M38" s="27">
        <v>1</v>
      </c>
      <c r="O38" s="25">
        <v>0</v>
      </c>
      <c r="P38" s="26"/>
      <c r="Q38" s="26"/>
      <c r="R38" s="27">
        <v>1</v>
      </c>
    </row>
    <row r="39" spans="1:18" x14ac:dyDescent="0.3">
      <c r="A39" s="1" t="s">
        <v>63</v>
      </c>
      <c r="B39" s="1"/>
      <c r="C39" s="46">
        <f>I28</f>
        <v>13.162297824874544</v>
      </c>
      <c r="E39" s="36">
        <f>C41</f>
        <v>10.000000000000021</v>
      </c>
      <c r="H39" s="68">
        <f>-E39*(1+F45+F46)</f>
        <v>-10.700000000000024</v>
      </c>
      <c r="J39" s="36">
        <f>C42</f>
        <v>10.460558489683363</v>
      </c>
      <c r="M39" s="28">
        <f>-J39*(1+K45+K46)</f>
        <v>-11.192797583961198</v>
      </c>
      <c r="O39" s="36">
        <f>C43</f>
        <v>10.162297824874544</v>
      </c>
      <c r="R39" s="28">
        <f>-O39*(1+P45+P46)</f>
        <v>-10.873658672615763</v>
      </c>
    </row>
    <row r="40" spans="1:18" x14ac:dyDescent="0.3">
      <c r="A40" s="1" t="s">
        <v>64</v>
      </c>
      <c r="B40" s="1"/>
      <c r="C40" s="47">
        <f>I29</f>
        <v>13.340769659788103</v>
      </c>
      <c r="D40" s="20"/>
      <c r="E40" s="29"/>
      <c r="H40" s="68">
        <f>E39*(1+F45)</f>
        <v>10.100000000000021</v>
      </c>
      <c r="J40" s="29"/>
      <c r="M40" s="28">
        <f>+J39*(1+K45)</f>
        <v>10.565164074580197</v>
      </c>
      <c r="O40" s="29"/>
      <c r="R40" s="28">
        <f>+O39*(1+P45)</f>
        <v>10.263920803123289</v>
      </c>
    </row>
    <row r="41" spans="1:18" x14ac:dyDescent="0.3">
      <c r="A41" s="1" t="s">
        <v>65</v>
      </c>
      <c r="B41" s="1"/>
      <c r="C41" s="43">
        <f>$C$39-C33</f>
        <v>10.000000000000021</v>
      </c>
      <c r="E41" s="35">
        <f>H41/(1+F45)</f>
        <v>-0.59405940594059725</v>
      </c>
      <c r="H41" s="28">
        <f>+H39+H40</f>
        <v>-0.6000000000000032</v>
      </c>
      <c r="J41" s="35">
        <f>M41/(1+K45)</f>
        <v>-0.62141931621881263</v>
      </c>
      <c r="M41" s="28">
        <f>+M39+M40</f>
        <v>-0.62763350938100082</v>
      </c>
      <c r="O41" s="35">
        <f>R41/(1+P45)</f>
        <v>-0.60370086088363717</v>
      </c>
      <c r="R41" s="28">
        <f>+R39+R40</f>
        <v>-0.60973786949247355</v>
      </c>
    </row>
    <row r="42" spans="1:18" x14ac:dyDescent="0.3">
      <c r="A42" s="1" t="s">
        <v>66</v>
      </c>
      <c r="B42" s="1"/>
      <c r="C42" s="43">
        <f t="shared" ref="C42:C43" si="4">$C$39-C34</f>
        <v>10.460558489683363</v>
      </c>
      <c r="E42" s="29"/>
      <c r="H42" s="28"/>
      <c r="J42" s="29"/>
      <c r="M42" s="28"/>
      <c r="O42" s="29"/>
      <c r="R42" s="28"/>
    </row>
    <row r="43" spans="1:18" x14ac:dyDescent="0.3">
      <c r="A43" s="1" t="s">
        <v>67</v>
      </c>
      <c r="B43" s="1"/>
      <c r="C43" s="43">
        <f t="shared" si="4"/>
        <v>10.162297824874544</v>
      </c>
      <c r="E43" s="29"/>
      <c r="H43" s="28"/>
      <c r="J43" s="29"/>
      <c r="M43" s="28"/>
      <c r="O43" s="29"/>
      <c r="R43" s="28"/>
    </row>
    <row r="44" spans="1:18" x14ac:dyDescent="0.3">
      <c r="A44" s="1" t="s">
        <v>74</v>
      </c>
      <c r="B44" s="1"/>
      <c r="C44" s="49">
        <f>E41</f>
        <v>-0.59405940594059725</v>
      </c>
      <c r="E44" s="29" t="s">
        <v>71</v>
      </c>
      <c r="H44" s="28"/>
      <c r="J44" s="29" t="s">
        <v>71</v>
      </c>
      <c r="M44" s="28"/>
      <c r="O44" s="29" t="s">
        <v>71</v>
      </c>
      <c r="R44" s="28"/>
    </row>
    <row r="45" spans="1:18" x14ac:dyDescent="0.3">
      <c r="A45" s="1" t="s">
        <v>78</v>
      </c>
      <c r="B45" s="1"/>
      <c r="C45" s="49">
        <f>J41</f>
        <v>-0.62141931621881263</v>
      </c>
      <c r="E45" s="29" t="s">
        <v>72</v>
      </c>
      <c r="F45">
        <v>0.01</v>
      </c>
      <c r="H45" s="28"/>
      <c r="J45" s="29" t="s">
        <v>72</v>
      </c>
      <c r="K45">
        <v>0.01</v>
      </c>
      <c r="M45" s="28"/>
      <c r="O45" s="29" t="s">
        <v>72</v>
      </c>
      <c r="P45">
        <v>0.01</v>
      </c>
      <c r="R45" s="28"/>
    </row>
    <row r="46" spans="1:18" ht="15" thickBot="1" x14ac:dyDescent="0.35">
      <c r="A46" s="1" t="s">
        <v>79</v>
      </c>
      <c r="B46" s="1"/>
      <c r="C46" s="49">
        <f>O41</f>
        <v>-0.60370086088363717</v>
      </c>
      <c r="E46" s="30" t="s">
        <v>73</v>
      </c>
      <c r="F46" s="31">
        <v>0.06</v>
      </c>
      <c r="G46" s="32"/>
      <c r="H46" s="33"/>
      <c r="J46" s="30" t="s">
        <v>73</v>
      </c>
      <c r="K46" s="31">
        <v>0.06</v>
      </c>
      <c r="L46" s="32"/>
      <c r="M46" s="33"/>
      <c r="O46" s="30" t="s">
        <v>73</v>
      </c>
      <c r="P46" s="31">
        <v>0.06</v>
      </c>
      <c r="Q46" s="32"/>
      <c r="R46" s="33"/>
    </row>
    <row r="47" spans="1:18" x14ac:dyDescent="0.3">
      <c r="A47" s="1" t="s">
        <v>80</v>
      </c>
      <c r="B47" s="1"/>
      <c r="C47" s="50">
        <f>C36+C44</f>
        <v>0.46003986901757665</v>
      </c>
    </row>
    <row r="48" spans="1:18" x14ac:dyDescent="0.3">
      <c r="A48" s="1" t="s">
        <v>81</v>
      </c>
      <c r="B48" s="1"/>
      <c r="C48" s="50">
        <f t="shared" ref="C48:C49" si="5">C37+C45</f>
        <v>-2.7878530943979518E-2</v>
      </c>
    </row>
    <row r="49" spans="1:7" x14ac:dyDescent="0.3">
      <c r="A49" s="1" t="s">
        <v>82</v>
      </c>
      <c r="B49" s="1"/>
      <c r="C49" s="50">
        <f t="shared" si="5"/>
        <v>0.28810058920001458</v>
      </c>
    </row>
    <row r="50" spans="1:7" x14ac:dyDescent="0.3">
      <c r="A50" s="1" t="s">
        <v>83</v>
      </c>
      <c r="B50" s="1"/>
      <c r="C50" s="65">
        <f>C47/C41</f>
        <v>4.6003986901757568E-2</v>
      </c>
    </row>
    <row r="51" spans="1:7" x14ac:dyDescent="0.3">
      <c r="A51" s="1" t="s">
        <v>84</v>
      </c>
      <c r="B51" s="1"/>
      <c r="C51" s="65">
        <f t="shared" ref="C51:C52" si="6">C48/C42</f>
        <v>-2.6651092263835132E-3</v>
      </c>
      <c r="G51" s="68"/>
    </row>
    <row r="52" spans="1:7" x14ac:dyDescent="0.3">
      <c r="A52" s="1" t="s">
        <v>85</v>
      </c>
      <c r="B52" s="1"/>
      <c r="C52" s="65">
        <f t="shared" si="6"/>
        <v>2.8349945471468335E-2</v>
      </c>
      <c r="G52" s="68">
        <f>D51*(1+E57)</f>
        <v>0</v>
      </c>
    </row>
    <row r="53" spans="1:7" x14ac:dyDescent="0.3">
      <c r="G53" s="28">
        <f>+G51+G52</f>
        <v>0</v>
      </c>
    </row>
  </sheetData>
  <mergeCells count="5">
    <mergeCell ref="A29:B29"/>
    <mergeCell ref="A30:B30"/>
    <mergeCell ref="A1:F1"/>
    <mergeCell ref="A2:F2"/>
    <mergeCell ref="A3:F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2"/>
  <sheetViews>
    <sheetView workbookViewId="0">
      <selection activeCell="C41" sqref="C41"/>
    </sheetView>
  </sheetViews>
  <sheetFormatPr defaultRowHeight="14.4" x14ac:dyDescent="0.3"/>
  <cols>
    <col min="1" max="1" width="23.109375" bestFit="1" customWidth="1"/>
    <col min="2" max="2" width="11.33203125" bestFit="1" customWidth="1"/>
    <col min="3" max="3" width="9" bestFit="1" customWidth="1"/>
    <col min="4" max="4" width="19.5546875" bestFit="1" customWidth="1"/>
  </cols>
  <sheetData>
    <row r="1" spans="1:6" ht="15" thickBot="1" x14ac:dyDescent="0.35">
      <c r="A1" s="73" t="s">
        <v>13</v>
      </c>
      <c r="B1" s="74"/>
      <c r="C1" s="74"/>
      <c r="D1" s="74"/>
      <c r="E1" s="74"/>
      <c r="F1" s="75"/>
    </row>
    <row r="2" spans="1:6" ht="15" thickBot="1" x14ac:dyDescent="0.35">
      <c r="A2" s="73" t="s">
        <v>14</v>
      </c>
      <c r="B2" s="74"/>
      <c r="C2" s="74"/>
      <c r="D2" s="74"/>
      <c r="E2" s="74"/>
      <c r="F2" s="75"/>
    </row>
    <row r="3" spans="1:6" ht="15" thickBot="1" x14ac:dyDescent="0.35">
      <c r="A3" s="73" t="s">
        <v>5</v>
      </c>
      <c r="B3" s="74"/>
      <c r="C3" s="74"/>
      <c r="D3" s="74"/>
      <c r="E3" s="74"/>
      <c r="F3" s="75"/>
    </row>
    <row r="4" spans="1:6" x14ac:dyDescent="0.3">
      <c r="A4" t="s">
        <v>25</v>
      </c>
      <c r="B4" s="54">
        <v>16.439138128064293</v>
      </c>
      <c r="C4" t="s">
        <v>3</v>
      </c>
      <c r="D4">
        <v>20</v>
      </c>
    </row>
    <row r="6" spans="1:6" x14ac:dyDescent="0.3">
      <c r="A6" s="5" t="s">
        <v>0</v>
      </c>
      <c r="B6" s="5" t="s">
        <v>21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23">
        <f>MIN(A7,$B$4)</f>
        <v>0</v>
      </c>
      <c r="C7" s="12">
        <f>+'AVI-SA'!C7</f>
        <v>0.7</v>
      </c>
      <c r="D7" s="23">
        <f>(B7-$C$29)^2*C7</f>
        <v>6.4111487708569168</v>
      </c>
      <c r="E7" s="62">
        <f>SUM($C$7:C7)</f>
        <v>0.7</v>
      </c>
    </row>
    <row r="8" spans="1:6" x14ac:dyDescent="0.3">
      <c r="A8" s="1">
        <f>A7+1</f>
        <v>1</v>
      </c>
      <c r="B8" s="23">
        <f t="shared" ref="B8:B27" si="0">MIN(A8,$B$4)</f>
        <v>1</v>
      </c>
      <c r="C8" s="12">
        <f>+'AVI-SA'!C8</f>
        <v>1.5000000000000003E-2</v>
      </c>
      <c r="D8" s="23">
        <f t="shared" ref="D8:D27" si="1">(B8-$C$29)^2*C8</f>
        <v>6.1591310744989622E-2</v>
      </c>
      <c r="E8" s="62">
        <f>SUM($C$7:C8)</f>
        <v>0.71499999999999997</v>
      </c>
    </row>
    <row r="9" spans="1:6" x14ac:dyDescent="0.3">
      <c r="A9" s="1">
        <f t="shared" ref="A9:A26" si="2">A8+1</f>
        <v>2</v>
      </c>
      <c r="B9" s="23">
        <f t="shared" si="0"/>
        <v>2</v>
      </c>
      <c r="C9" s="12">
        <f>+'AVI-SA'!C9</f>
        <v>1.5000000000000003E-2</v>
      </c>
      <c r="D9" s="23">
        <f t="shared" si="1"/>
        <v>1.5800862114473846E-2</v>
      </c>
      <c r="E9" s="62">
        <f>SUM($C$7:C9)</f>
        <v>0.73</v>
      </c>
    </row>
    <row r="10" spans="1:6" x14ac:dyDescent="0.3">
      <c r="A10" s="1">
        <f t="shared" si="2"/>
        <v>3</v>
      </c>
      <c r="B10" s="23">
        <f t="shared" si="0"/>
        <v>3</v>
      </c>
      <c r="C10" s="12">
        <f>+'AVI-SA'!C10</f>
        <v>1.5000000000000003E-2</v>
      </c>
      <c r="D10" s="23">
        <f t="shared" si="1"/>
        <v>1.0413483958070936E-5</v>
      </c>
      <c r="E10" s="62">
        <f>SUM($C$7:C10)</f>
        <v>0.745</v>
      </c>
    </row>
    <row r="11" spans="1:6" x14ac:dyDescent="0.3">
      <c r="A11" s="1">
        <f t="shared" si="2"/>
        <v>4</v>
      </c>
      <c r="B11" s="23">
        <f t="shared" si="0"/>
        <v>4</v>
      </c>
      <c r="C11" s="12">
        <f>+'AVI-SA'!C11</f>
        <v>1.5000000000000003E-2</v>
      </c>
      <c r="D11" s="23">
        <f t="shared" si="1"/>
        <v>1.4219964853442305E-2</v>
      </c>
      <c r="E11" s="62">
        <f>SUM($C$7:C11)</f>
        <v>0.76</v>
      </c>
    </row>
    <row r="12" spans="1:6" x14ac:dyDescent="0.3">
      <c r="A12" s="1">
        <f t="shared" si="2"/>
        <v>5</v>
      </c>
      <c r="B12" s="23">
        <f t="shared" si="0"/>
        <v>5</v>
      </c>
      <c r="C12" s="12">
        <f>+'AVI-SA'!C12</f>
        <v>1.5000000000000003E-2</v>
      </c>
      <c r="D12" s="23">
        <f t="shared" si="1"/>
        <v>5.8429516222926546E-2</v>
      </c>
      <c r="E12" s="62">
        <f>SUM($C$7:C12)</f>
        <v>0.77500000000000002</v>
      </c>
    </row>
    <row r="13" spans="1:6" x14ac:dyDescent="0.3">
      <c r="A13" s="1">
        <f t="shared" si="2"/>
        <v>6</v>
      </c>
      <c r="B13" s="23">
        <f t="shared" si="0"/>
        <v>6</v>
      </c>
      <c r="C13" s="12">
        <f>+'AVI-SA'!C13</f>
        <v>1.5000000000000003E-2</v>
      </c>
      <c r="D13" s="23">
        <f t="shared" si="1"/>
        <v>0.13263906759241079</v>
      </c>
      <c r="E13" s="62">
        <f>SUM($C$7:C13)</f>
        <v>0.79</v>
      </c>
    </row>
    <row r="14" spans="1:6" x14ac:dyDescent="0.3">
      <c r="A14" s="1">
        <f t="shared" si="2"/>
        <v>7</v>
      </c>
      <c r="B14" s="23">
        <f t="shared" si="0"/>
        <v>7</v>
      </c>
      <c r="C14" s="12">
        <f>+'AVI-SA'!C14</f>
        <v>1.5000000000000003E-2</v>
      </c>
      <c r="D14" s="23">
        <f t="shared" si="1"/>
        <v>0.23684861896189505</v>
      </c>
      <c r="E14" s="62">
        <f>SUM($C$7:C14)</f>
        <v>0.80500000000000005</v>
      </c>
    </row>
    <row r="15" spans="1:6" x14ac:dyDescent="0.3">
      <c r="A15" s="1">
        <f t="shared" si="2"/>
        <v>8</v>
      </c>
      <c r="B15" s="23">
        <f t="shared" si="0"/>
        <v>8</v>
      </c>
      <c r="C15" s="12">
        <f>+'AVI-SA'!C15</f>
        <v>1.5000000000000003E-2</v>
      </c>
      <c r="D15" s="23">
        <f t="shared" si="1"/>
        <v>0.37105817033137922</v>
      </c>
      <c r="E15" s="62">
        <f>SUM($C$7:C15)</f>
        <v>0.82000000000000006</v>
      </c>
    </row>
    <row r="16" spans="1:6" x14ac:dyDescent="0.3">
      <c r="A16" s="1">
        <f t="shared" si="2"/>
        <v>9</v>
      </c>
      <c r="B16" s="23">
        <f t="shared" si="0"/>
        <v>9</v>
      </c>
      <c r="C16" s="12">
        <f>+'AVI-SA'!C16</f>
        <v>1.5000000000000003E-2</v>
      </c>
      <c r="D16" s="23">
        <f t="shared" si="1"/>
        <v>0.53526772170086345</v>
      </c>
      <c r="E16" s="62">
        <f>SUM($C$7:C16)</f>
        <v>0.83500000000000008</v>
      </c>
    </row>
    <row r="17" spans="1:12" x14ac:dyDescent="0.3">
      <c r="A17" s="1">
        <f t="shared" si="2"/>
        <v>10</v>
      </c>
      <c r="B17" s="23">
        <f t="shared" si="0"/>
        <v>10</v>
      </c>
      <c r="C17" s="12">
        <f>+'AVI-SA'!C17</f>
        <v>1.5000000000000003E-2</v>
      </c>
      <c r="D17" s="23">
        <f t="shared" si="1"/>
        <v>0.72947727307034771</v>
      </c>
      <c r="E17" s="62">
        <f>SUM($C$7:C17)</f>
        <v>0.85000000000000009</v>
      </c>
    </row>
    <row r="18" spans="1:12" x14ac:dyDescent="0.3">
      <c r="A18" s="1">
        <f t="shared" si="2"/>
        <v>11</v>
      </c>
      <c r="B18" s="23">
        <f t="shared" si="0"/>
        <v>11</v>
      </c>
      <c r="C18" s="12">
        <f>+'AVI-SA'!C18</f>
        <v>1.5000000000000003E-2</v>
      </c>
      <c r="D18" s="23">
        <f t="shared" si="1"/>
        <v>0.95368682443983199</v>
      </c>
      <c r="E18" s="62">
        <f>SUM($C$7:C18)</f>
        <v>0.8650000000000001</v>
      </c>
    </row>
    <row r="19" spans="1:12" x14ac:dyDescent="0.3">
      <c r="A19" s="1">
        <f t="shared" si="2"/>
        <v>12</v>
      </c>
      <c r="B19" s="23">
        <f t="shared" si="0"/>
        <v>12</v>
      </c>
      <c r="C19" s="12">
        <f>+'AVI-SA'!C19</f>
        <v>1.5000000000000003E-2</v>
      </c>
      <c r="D19" s="23">
        <f t="shared" si="1"/>
        <v>1.2078963758093162</v>
      </c>
      <c r="E19" s="62">
        <f>SUM($C$7:C19)</f>
        <v>0.88000000000000012</v>
      </c>
    </row>
    <row r="20" spans="1:12" x14ac:dyDescent="0.3">
      <c r="A20" s="1">
        <f>A19+1</f>
        <v>13</v>
      </c>
      <c r="B20" s="23">
        <f t="shared" si="0"/>
        <v>13</v>
      </c>
      <c r="C20" s="12">
        <f>+'AVI-SA'!C20</f>
        <v>1.5000000000000003E-2</v>
      </c>
      <c r="D20" s="23">
        <f t="shared" si="1"/>
        <v>1.4921059271788004</v>
      </c>
      <c r="E20" s="62">
        <f>SUM($C$7:C20)</f>
        <v>0.89500000000000013</v>
      </c>
    </row>
    <row r="21" spans="1:12" x14ac:dyDescent="0.3">
      <c r="A21" s="1">
        <f t="shared" si="2"/>
        <v>14</v>
      </c>
      <c r="B21" s="23">
        <f t="shared" si="0"/>
        <v>14</v>
      </c>
      <c r="C21" s="12">
        <f>+'AVI-SA'!C21</f>
        <v>1.5000000000000003E-2</v>
      </c>
      <c r="D21" s="23">
        <f t="shared" si="1"/>
        <v>1.8063154785482847</v>
      </c>
      <c r="E21" s="62">
        <f>SUM($C$7:C21)</f>
        <v>0.91000000000000014</v>
      </c>
    </row>
    <row r="22" spans="1:12" x14ac:dyDescent="0.3">
      <c r="A22" s="1">
        <f t="shared" si="2"/>
        <v>15</v>
      </c>
      <c r="B22" s="23">
        <f t="shared" si="0"/>
        <v>15</v>
      </c>
      <c r="C22" s="12">
        <f>+'AVI-SA'!C22</f>
        <v>1.5000000000000003E-2</v>
      </c>
      <c r="D22" s="23">
        <f t="shared" si="1"/>
        <v>2.1505250299177692</v>
      </c>
      <c r="E22" s="62">
        <f>SUM($C$7:C22)</f>
        <v>0.92500000000000016</v>
      </c>
    </row>
    <row r="23" spans="1:12" x14ac:dyDescent="0.3">
      <c r="A23" s="1">
        <f t="shared" si="2"/>
        <v>16</v>
      </c>
      <c r="B23" s="23">
        <f t="shared" si="0"/>
        <v>16</v>
      </c>
      <c r="C23" s="12">
        <f>+'AVI-SA'!C23</f>
        <v>1.5000000000000003E-2</v>
      </c>
      <c r="D23" s="23">
        <f t="shared" si="1"/>
        <v>2.5247345812872535</v>
      </c>
      <c r="E23" s="62">
        <f>SUM($C$7:C23)</f>
        <v>0.94000000000000017</v>
      </c>
    </row>
    <row r="24" spans="1:12" x14ac:dyDescent="0.3">
      <c r="A24" s="1">
        <f t="shared" si="2"/>
        <v>17</v>
      </c>
      <c r="B24" s="23">
        <f t="shared" si="0"/>
        <v>16.439138128064293</v>
      </c>
      <c r="C24" s="12">
        <f>+'AVI-SA'!C24</f>
        <v>1.5000000000000003E-2</v>
      </c>
      <c r="D24" s="23">
        <f t="shared" si="1"/>
        <v>2.6985439695331892</v>
      </c>
      <c r="E24" s="62">
        <f>SUM($C$7:C24)</f>
        <v>0.95500000000000018</v>
      </c>
    </row>
    <row r="25" spans="1:12" x14ac:dyDescent="0.3">
      <c r="A25" s="1">
        <f t="shared" si="2"/>
        <v>18</v>
      </c>
      <c r="B25" s="23">
        <f t="shared" si="0"/>
        <v>16.439138128064293</v>
      </c>
      <c r="C25" s="12">
        <f>+'AVI-SA'!C25</f>
        <v>1.5000000000000003E-2</v>
      </c>
      <c r="D25" s="23">
        <f t="shared" si="1"/>
        <v>2.6985439695331892</v>
      </c>
      <c r="E25" s="62">
        <f>SUM($C$7:C25)</f>
        <v>0.9700000000000002</v>
      </c>
    </row>
    <row r="26" spans="1:12" x14ac:dyDescent="0.3">
      <c r="A26" s="1">
        <f t="shared" si="2"/>
        <v>19</v>
      </c>
      <c r="B26" s="23">
        <f t="shared" si="0"/>
        <v>16.439138128064293</v>
      </c>
      <c r="C26" s="12">
        <f>+'AVI-SA'!C26</f>
        <v>1.5000000000000003E-2</v>
      </c>
      <c r="D26" s="23">
        <f t="shared" si="1"/>
        <v>2.6985439695331892</v>
      </c>
      <c r="E26" s="62">
        <f>SUM($C$7:C26)</f>
        <v>0.98500000000000021</v>
      </c>
      <c r="G26" s="63">
        <f>E27-E26</f>
        <v>1.5000000000000013E-2</v>
      </c>
      <c r="I26">
        <f>B27-B26</f>
        <v>0</v>
      </c>
      <c r="K26" s="63">
        <f>G26</f>
        <v>1.5000000000000013E-2</v>
      </c>
      <c r="L26">
        <f>I26</f>
        <v>0</v>
      </c>
    </row>
    <row r="27" spans="1:12" x14ac:dyDescent="0.3">
      <c r="A27" s="1">
        <f>A26+1</f>
        <v>20</v>
      </c>
      <c r="B27" s="23">
        <f t="shared" si="0"/>
        <v>16.439138128064293</v>
      </c>
      <c r="C27" s="12">
        <f>+'AVI-SA'!C27</f>
        <v>1.5000000000000003E-2</v>
      </c>
      <c r="D27" s="23">
        <f t="shared" si="1"/>
        <v>2.6985439695331892</v>
      </c>
      <c r="E27" s="62">
        <f>SUM($C$7:C27)</f>
        <v>1.0000000000000002</v>
      </c>
      <c r="G27" s="63">
        <f>99.5%-E26</f>
        <v>9.9999999999997868E-3</v>
      </c>
      <c r="I27">
        <f>I26*G27/G26</f>
        <v>0</v>
      </c>
      <c r="K27" s="63">
        <f>99.9%-E26</f>
        <v>1.3999999999999901E-2</v>
      </c>
      <c r="L27">
        <f>L26*K27/K26</f>
        <v>0</v>
      </c>
    </row>
    <row r="28" spans="1:12" x14ac:dyDescent="0.3">
      <c r="C28" s="3"/>
      <c r="G28" t="s">
        <v>93</v>
      </c>
      <c r="I28" s="64">
        <f>B26+I27</f>
        <v>16.439138128064293</v>
      </c>
    </row>
    <row r="29" spans="1:12" x14ac:dyDescent="0.3">
      <c r="A29" s="79" t="s">
        <v>15</v>
      </c>
      <c r="B29" s="79"/>
      <c r="C29" s="13">
        <f>SUMPRODUCT(B7:B27,C7:C27)</f>
        <v>3.026348287683859</v>
      </c>
      <c r="D29" s="20"/>
      <c r="G29" t="s">
        <v>94</v>
      </c>
      <c r="I29" s="57">
        <f>B26+L27</f>
        <v>16.439138128064293</v>
      </c>
    </row>
    <row r="30" spans="1:12" x14ac:dyDescent="0.3">
      <c r="A30" s="79" t="s">
        <v>16</v>
      </c>
      <c r="B30" s="79"/>
      <c r="C30" s="61">
        <f>C29/B4</f>
        <v>0.18409409691116277</v>
      </c>
    </row>
    <row r="31" spans="1:12" x14ac:dyDescent="0.3">
      <c r="A31" s="1" t="s">
        <v>53</v>
      </c>
      <c r="B31" s="1"/>
      <c r="C31" s="23">
        <f>C29</f>
        <v>3.026348287683859</v>
      </c>
    </row>
    <row r="32" spans="1:12" x14ac:dyDescent="0.3">
      <c r="A32" s="1" t="s">
        <v>54</v>
      </c>
      <c r="B32" s="1"/>
      <c r="C32" s="23">
        <f>SUM(D7:D27)</f>
        <v>29.49593178524762</v>
      </c>
    </row>
    <row r="33" spans="1:18" x14ac:dyDescent="0.3">
      <c r="A33" s="1" t="s">
        <v>57</v>
      </c>
      <c r="B33" s="1"/>
      <c r="C33" s="43">
        <f>$C$29*I33+$C$29</f>
        <v>6.4391381280642968</v>
      </c>
      <c r="H33" t="s">
        <v>58</v>
      </c>
      <c r="I33" s="10">
        <v>1.1276923592268793</v>
      </c>
    </row>
    <row r="34" spans="1:18" x14ac:dyDescent="0.3">
      <c r="A34" s="1" t="s">
        <v>59</v>
      </c>
      <c r="B34" s="1"/>
      <c r="C34" s="43">
        <f>C32*I34+$C$29</f>
        <v>4.2061855590937638</v>
      </c>
      <c r="H34" t="s">
        <v>60</v>
      </c>
      <c r="I34" s="10">
        <v>0.04</v>
      </c>
    </row>
    <row r="35" spans="1:18" x14ac:dyDescent="0.3">
      <c r="A35" s="1" t="s">
        <v>62</v>
      </c>
      <c r="B35" s="1"/>
      <c r="C35" s="44">
        <v>4</v>
      </c>
      <c r="H35" t="s">
        <v>61</v>
      </c>
      <c r="I35" s="20">
        <f>+E11</f>
        <v>0.76</v>
      </c>
    </row>
    <row r="36" spans="1:18" x14ac:dyDescent="0.3">
      <c r="A36" s="1" t="s">
        <v>68</v>
      </c>
      <c r="B36" s="1"/>
      <c r="C36" s="45">
        <f>C33-$C$29</f>
        <v>3.4127898403804378</v>
      </c>
    </row>
    <row r="37" spans="1:18" ht="15" thickBot="1" x14ac:dyDescent="0.35">
      <c r="A37" s="1" t="s">
        <v>69</v>
      </c>
      <c r="B37" s="1"/>
      <c r="C37" s="45">
        <f t="shared" ref="C37:C38" si="3">C34-$C$29</f>
        <v>1.1798372714099048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5">
        <f t="shared" si="3"/>
        <v>0.973651712316141</v>
      </c>
      <c r="E38" s="25">
        <v>0</v>
      </c>
      <c r="F38" s="26"/>
      <c r="G38" s="26"/>
      <c r="H38" s="27">
        <v>1</v>
      </c>
      <c r="J38" s="25">
        <v>0</v>
      </c>
      <c r="K38" s="26"/>
      <c r="L38" s="26"/>
      <c r="M38" s="27">
        <v>1</v>
      </c>
      <c r="O38" s="25">
        <v>0</v>
      </c>
      <c r="P38" s="26"/>
      <c r="Q38" s="26"/>
      <c r="R38" s="27">
        <v>1</v>
      </c>
    </row>
    <row r="39" spans="1:18" x14ac:dyDescent="0.3">
      <c r="A39" s="1" t="s">
        <v>63</v>
      </c>
      <c r="B39" s="1"/>
      <c r="C39" s="46">
        <f>I28</f>
        <v>16.439138128064293</v>
      </c>
      <c r="E39" s="36">
        <f>C41</f>
        <v>9.9999999999999964</v>
      </c>
      <c r="H39" s="68">
        <f>-E39*(1+F45+F46)</f>
        <v>-10.699999999999998</v>
      </c>
      <c r="J39" s="36">
        <f>7.06</f>
        <v>7.06</v>
      </c>
      <c r="M39" s="68">
        <f>-J39*(1+K45+K46)</f>
        <v>-7.5541999999999998</v>
      </c>
      <c r="O39" s="36">
        <f>6</f>
        <v>6</v>
      </c>
      <c r="R39" s="68">
        <f>-O39*(1+P45+P46)</f>
        <v>-6.42</v>
      </c>
    </row>
    <row r="40" spans="1:18" x14ac:dyDescent="0.3">
      <c r="A40" s="1" t="s">
        <v>64</v>
      </c>
      <c r="B40" s="1"/>
      <c r="C40" s="47">
        <f>I29</f>
        <v>16.439138128064293</v>
      </c>
      <c r="D40" s="20"/>
      <c r="E40" s="29"/>
      <c r="H40" s="68">
        <f>E39*(1+F45)</f>
        <v>10.099999999999996</v>
      </c>
      <c r="J40" s="29"/>
      <c r="M40" s="68">
        <f>J39*(1+K45)</f>
        <v>7.1305999999999994</v>
      </c>
      <c r="O40" s="29"/>
      <c r="R40" s="68">
        <f>O39*(1+P45)</f>
        <v>6.0600000000000005</v>
      </c>
    </row>
    <row r="41" spans="1:18" x14ac:dyDescent="0.3">
      <c r="A41" s="1" t="s">
        <v>65</v>
      </c>
      <c r="B41" s="1"/>
      <c r="C41" s="43">
        <f>$C$39-C33</f>
        <v>9.9999999999999964</v>
      </c>
      <c r="E41" s="35">
        <f>H41/(1+F45)</f>
        <v>-0.59405940594059548</v>
      </c>
      <c r="H41" s="28">
        <f>+H39+H40</f>
        <v>-0.60000000000000142</v>
      </c>
      <c r="J41" s="35">
        <f>M41/(1+K45)</f>
        <v>-0.41940594059405983</v>
      </c>
      <c r="M41" s="28">
        <f>+M39+M40</f>
        <v>-0.42360000000000042</v>
      </c>
      <c r="O41" s="35">
        <f>R41/(1+P45)</f>
        <v>-0.35643564356435586</v>
      </c>
      <c r="R41" s="28">
        <f>+R39+R40</f>
        <v>-0.35999999999999943</v>
      </c>
    </row>
    <row r="42" spans="1:18" x14ac:dyDescent="0.3">
      <c r="A42" s="1" t="s">
        <v>66</v>
      </c>
      <c r="B42" s="1"/>
      <c r="C42" s="43">
        <f t="shared" ref="C42:C43" si="4">$C$39-C34</f>
        <v>12.232952568970529</v>
      </c>
      <c r="E42" s="29"/>
      <c r="H42" s="28"/>
      <c r="J42" s="29"/>
      <c r="M42" s="28"/>
      <c r="O42" s="29"/>
      <c r="R42" s="28"/>
    </row>
    <row r="43" spans="1:18" x14ac:dyDescent="0.3">
      <c r="A43" s="1" t="s">
        <v>67</v>
      </c>
      <c r="B43" s="1"/>
      <c r="C43" s="43">
        <f t="shared" si="4"/>
        <v>12.439138128064293</v>
      </c>
      <c r="E43" s="29"/>
      <c r="H43" s="28"/>
      <c r="J43" s="29"/>
      <c r="M43" s="28"/>
      <c r="O43" s="29"/>
      <c r="R43" s="28"/>
    </row>
    <row r="44" spans="1:18" x14ac:dyDescent="0.3">
      <c r="A44" s="1" t="s">
        <v>74</v>
      </c>
      <c r="B44" s="1"/>
      <c r="C44" s="49">
        <f>E41</f>
        <v>-0.59405940594059548</v>
      </c>
      <c r="E44" s="29" t="s">
        <v>71</v>
      </c>
      <c r="H44" s="28"/>
      <c r="J44" s="29" t="s">
        <v>71</v>
      </c>
      <c r="M44" s="28"/>
      <c r="O44" s="29" t="s">
        <v>71</v>
      </c>
      <c r="R44" s="28"/>
    </row>
    <row r="45" spans="1:18" x14ac:dyDescent="0.3">
      <c r="A45" s="1" t="s">
        <v>78</v>
      </c>
      <c r="B45" s="1"/>
      <c r="C45" s="49">
        <f>J41</f>
        <v>-0.41940594059405983</v>
      </c>
      <c r="E45" s="29" t="s">
        <v>72</v>
      </c>
      <c r="F45">
        <v>0.01</v>
      </c>
      <c r="H45" s="28"/>
      <c r="J45" s="29" t="s">
        <v>72</v>
      </c>
      <c r="K45">
        <v>0.01</v>
      </c>
      <c r="M45" s="28"/>
      <c r="O45" s="29" t="s">
        <v>72</v>
      </c>
      <c r="P45">
        <v>0.01</v>
      </c>
      <c r="R45" s="28"/>
    </row>
    <row r="46" spans="1:18" ht="15" thickBot="1" x14ac:dyDescent="0.35">
      <c r="A46" s="1" t="s">
        <v>79</v>
      </c>
      <c r="B46" s="1"/>
      <c r="C46" s="49">
        <f>O41</f>
        <v>-0.35643564356435586</v>
      </c>
      <c r="E46" s="30" t="s">
        <v>73</v>
      </c>
      <c r="F46" s="31">
        <v>0.06</v>
      </c>
      <c r="G46" s="32"/>
      <c r="H46" s="33"/>
      <c r="J46" s="30" t="s">
        <v>73</v>
      </c>
      <c r="K46" s="31">
        <v>0.06</v>
      </c>
      <c r="L46" s="32"/>
      <c r="M46" s="33"/>
      <c r="O46" s="30" t="s">
        <v>73</v>
      </c>
      <c r="P46" s="34">
        <v>0.06</v>
      </c>
      <c r="Q46" s="32"/>
      <c r="R46" s="33"/>
    </row>
    <row r="47" spans="1:18" x14ac:dyDescent="0.3">
      <c r="A47" s="1" t="s">
        <v>80</v>
      </c>
      <c r="B47" s="1"/>
      <c r="C47" s="50">
        <f>C36+C44</f>
        <v>2.8187304344398423</v>
      </c>
    </row>
    <row r="48" spans="1:18" x14ac:dyDescent="0.3">
      <c r="A48" s="1" t="s">
        <v>81</v>
      </c>
      <c r="B48" s="1"/>
      <c r="C48" s="50">
        <f t="shared" ref="C48:C49" si="5">C37+C45</f>
        <v>0.76043133081584502</v>
      </c>
    </row>
    <row r="49" spans="1:3" x14ac:dyDescent="0.3">
      <c r="A49" s="1" t="s">
        <v>82</v>
      </c>
      <c r="B49" s="1"/>
      <c r="C49" s="50">
        <f t="shared" si="5"/>
        <v>0.61721606875178514</v>
      </c>
    </row>
    <row r="50" spans="1:3" x14ac:dyDescent="0.3">
      <c r="A50" s="1" t="s">
        <v>83</v>
      </c>
      <c r="B50" s="1"/>
      <c r="C50" s="65">
        <f>C47/C41</f>
        <v>0.28187304344398434</v>
      </c>
    </row>
    <row r="51" spans="1:3" x14ac:dyDescent="0.3">
      <c r="A51" s="1" t="s">
        <v>84</v>
      </c>
      <c r="B51" s="1"/>
      <c r="C51" s="65">
        <f t="shared" ref="C51:C52" si="6">C48/C42</f>
        <v>6.2162534067590161E-2</v>
      </c>
    </row>
    <row r="52" spans="1:3" x14ac:dyDescent="0.3">
      <c r="A52" s="1" t="s">
        <v>85</v>
      </c>
      <c r="B52" s="1"/>
      <c r="C52" s="65">
        <f t="shared" si="6"/>
        <v>4.9618877320709735E-2</v>
      </c>
    </row>
  </sheetData>
  <mergeCells count="5">
    <mergeCell ref="A29:B29"/>
    <mergeCell ref="A30:B30"/>
    <mergeCell ref="A1:F1"/>
    <mergeCell ref="A2:F2"/>
    <mergeCell ref="A3:F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2"/>
  <sheetViews>
    <sheetView topLeftCell="A30" zoomScaleNormal="100" workbookViewId="0">
      <selection activeCell="C50" sqref="C50"/>
    </sheetView>
  </sheetViews>
  <sheetFormatPr defaultRowHeight="14.4" x14ac:dyDescent="0.3"/>
  <cols>
    <col min="1" max="1" width="23.109375" bestFit="1" customWidth="1"/>
    <col min="2" max="2" width="16.44140625" bestFit="1" customWidth="1"/>
    <col min="3" max="3" width="10.33203125" style="21" bestFit="1" customWidth="1"/>
    <col min="4" max="4" width="19.5546875" bestFit="1" customWidth="1"/>
  </cols>
  <sheetData>
    <row r="1" spans="1:6" ht="15" thickBot="1" x14ac:dyDescent="0.35">
      <c r="A1" s="73" t="s">
        <v>13</v>
      </c>
      <c r="B1" s="74"/>
      <c r="C1" s="74"/>
      <c r="D1" s="74"/>
      <c r="E1" s="74"/>
      <c r="F1" s="75"/>
    </row>
    <row r="2" spans="1:6" x14ac:dyDescent="0.3">
      <c r="A2" s="76" t="s">
        <v>14</v>
      </c>
      <c r="B2" s="77"/>
      <c r="C2" s="77"/>
      <c r="D2" s="77"/>
      <c r="E2" s="77"/>
      <c r="F2" s="78"/>
    </row>
    <row r="3" spans="1:6" x14ac:dyDescent="0.3">
      <c r="A3" s="81" t="s">
        <v>7</v>
      </c>
      <c r="B3" s="82"/>
      <c r="C3" s="82"/>
      <c r="D3" s="82"/>
      <c r="E3" s="82"/>
      <c r="F3" s="83"/>
    </row>
    <row r="4" spans="1:6" x14ac:dyDescent="0.3">
      <c r="A4" t="s">
        <v>25</v>
      </c>
      <c r="B4" s="55">
        <v>12</v>
      </c>
      <c r="C4" s="21" t="s">
        <v>52</v>
      </c>
      <c r="D4">
        <v>15</v>
      </c>
      <c r="E4" t="s">
        <v>3</v>
      </c>
      <c r="F4">
        <v>20</v>
      </c>
    </row>
    <row r="6" spans="1:6" x14ac:dyDescent="0.3">
      <c r="A6" s="5" t="s">
        <v>0</v>
      </c>
      <c r="B6" s="5" t="s">
        <v>22</v>
      </c>
      <c r="C6" s="22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1">
        <f>MIN(A7*($D$4/$F$4),$B$4)</f>
        <v>0</v>
      </c>
      <c r="C7" s="12">
        <f>+APRR!C7</f>
        <v>0.7</v>
      </c>
      <c r="D7" s="23">
        <f>(B7-$C$29)^2*C7</f>
        <v>3.5437500000000024</v>
      </c>
      <c r="E7" s="62">
        <f>SUM($C$7:C7)</f>
        <v>0.7</v>
      </c>
    </row>
    <row r="8" spans="1:6" x14ac:dyDescent="0.3">
      <c r="A8" s="1">
        <f>A7+1</f>
        <v>1</v>
      </c>
      <c r="B8" s="1">
        <f t="shared" ref="B8:B27" si="0">MIN(A8*($D$4/$F$4),$B$4)</f>
        <v>0.75</v>
      </c>
      <c r="C8" s="12">
        <f>+APRR!C8</f>
        <v>1.5000000000000003E-2</v>
      </c>
      <c r="D8" s="23">
        <f t="shared" ref="D8:D27" si="1">(B8-$C$29)^2*C8</f>
        <v>3.3750000000000044E-2</v>
      </c>
      <c r="E8" s="62">
        <f>SUM($C$7:C8)</f>
        <v>0.71499999999999997</v>
      </c>
    </row>
    <row r="9" spans="1:6" x14ac:dyDescent="0.3">
      <c r="A9" s="1">
        <f t="shared" ref="A9:A26" si="2">A8+1</f>
        <v>2</v>
      </c>
      <c r="B9" s="1">
        <f t="shared" si="0"/>
        <v>1.5</v>
      </c>
      <c r="C9" s="12">
        <f>+APRR!C9</f>
        <v>1.5000000000000003E-2</v>
      </c>
      <c r="D9" s="23">
        <f t="shared" si="1"/>
        <v>8.4375000000000214E-3</v>
      </c>
      <c r="E9" s="62">
        <f>SUM($C$7:C9)</f>
        <v>0.73</v>
      </c>
    </row>
    <row r="10" spans="1:6" x14ac:dyDescent="0.3">
      <c r="A10" s="1">
        <f t="shared" si="2"/>
        <v>3</v>
      </c>
      <c r="B10" s="1">
        <f t="shared" si="0"/>
        <v>2.25</v>
      </c>
      <c r="C10" s="12">
        <f>+APRR!C10</f>
        <v>1.5000000000000003E-2</v>
      </c>
      <c r="D10" s="23">
        <f t="shared" si="1"/>
        <v>1.1832913578315179E-32</v>
      </c>
      <c r="E10" s="62">
        <f>SUM($C$7:C10)</f>
        <v>0.745</v>
      </c>
    </row>
    <row r="11" spans="1:6" x14ac:dyDescent="0.3">
      <c r="A11" s="1">
        <f t="shared" si="2"/>
        <v>4</v>
      </c>
      <c r="B11" s="1">
        <f t="shared" si="0"/>
        <v>3</v>
      </c>
      <c r="C11" s="12">
        <f>+APRR!C11</f>
        <v>1.5000000000000003E-2</v>
      </c>
      <c r="D11" s="23">
        <f t="shared" si="1"/>
        <v>8.4374999999999815E-3</v>
      </c>
      <c r="E11" s="62">
        <f>SUM($C$7:C11)</f>
        <v>0.76</v>
      </c>
    </row>
    <row r="12" spans="1:6" x14ac:dyDescent="0.3">
      <c r="A12" s="1">
        <f t="shared" si="2"/>
        <v>5</v>
      </c>
      <c r="B12" s="1">
        <f t="shared" si="0"/>
        <v>3.75</v>
      </c>
      <c r="C12" s="12">
        <f>+APRR!C12</f>
        <v>1.5000000000000003E-2</v>
      </c>
      <c r="D12" s="23">
        <f t="shared" si="1"/>
        <v>3.3749999999999968E-2</v>
      </c>
      <c r="E12" s="62">
        <f>SUM($C$7:C12)</f>
        <v>0.77500000000000002</v>
      </c>
    </row>
    <row r="13" spans="1:6" x14ac:dyDescent="0.3">
      <c r="A13" s="1">
        <f t="shared" si="2"/>
        <v>6</v>
      </c>
      <c r="B13" s="1">
        <f t="shared" si="0"/>
        <v>4.5</v>
      </c>
      <c r="C13" s="12">
        <f>+APRR!C13</f>
        <v>1.5000000000000003E-2</v>
      </c>
      <c r="D13" s="23">
        <f t="shared" si="1"/>
        <v>7.5937499999999963E-2</v>
      </c>
      <c r="E13" s="62">
        <f>SUM($C$7:C13)</f>
        <v>0.79</v>
      </c>
    </row>
    <row r="14" spans="1:6" x14ac:dyDescent="0.3">
      <c r="A14" s="1">
        <f t="shared" si="2"/>
        <v>7</v>
      </c>
      <c r="B14" s="1">
        <f t="shared" si="0"/>
        <v>5.25</v>
      </c>
      <c r="C14" s="12">
        <f>+APRR!C14</f>
        <v>1.5000000000000003E-2</v>
      </c>
      <c r="D14" s="23">
        <f t="shared" si="1"/>
        <v>0.13499999999999995</v>
      </c>
      <c r="E14" s="62">
        <f>SUM($C$7:C14)</f>
        <v>0.80500000000000005</v>
      </c>
    </row>
    <row r="15" spans="1:6" x14ac:dyDescent="0.3">
      <c r="A15" s="1">
        <f t="shared" si="2"/>
        <v>8</v>
      </c>
      <c r="B15" s="1">
        <f t="shared" si="0"/>
        <v>6</v>
      </c>
      <c r="C15" s="12">
        <f>+APRR!C15</f>
        <v>1.5000000000000003E-2</v>
      </c>
      <c r="D15" s="23">
        <f t="shared" si="1"/>
        <v>0.21093749999999994</v>
      </c>
      <c r="E15" s="62">
        <f>SUM($C$7:C15)</f>
        <v>0.82000000000000006</v>
      </c>
    </row>
    <row r="16" spans="1:6" x14ac:dyDescent="0.3">
      <c r="A16" s="1">
        <f t="shared" si="2"/>
        <v>9</v>
      </c>
      <c r="B16" s="1">
        <f t="shared" si="0"/>
        <v>6.75</v>
      </c>
      <c r="C16" s="12">
        <f>+APRR!C16</f>
        <v>1.5000000000000003E-2</v>
      </c>
      <c r="D16" s="23">
        <f t="shared" si="1"/>
        <v>0.30374999999999996</v>
      </c>
      <c r="E16" s="62">
        <f>SUM($C$7:C16)</f>
        <v>0.83500000000000008</v>
      </c>
    </row>
    <row r="17" spans="1:12" x14ac:dyDescent="0.3">
      <c r="A17" s="1">
        <f t="shared" si="2"/>
        <v>10</v>
      </c>
      <c r="B17" s="1">
        <f t="shared" si="0"/>
        <v>7.5</v>
      </c>
      <c r="C17" s="12">
        <f>+APRR!C17</f>
        <v>1.5000000000000003E-2</v>
      </c>
      <c r="D17" s="23">
        <f t="shared" si="1"/>
        <v>0.4134374999999999</v>
      </c>
      <c r="E17" s="62">
        <f>SUM($C$7:C17)</f>
        <v>0.85000000000000009</v>
      </c>
    </row>
    <row r="18" spans="1:12" x14ac:dyDescent="0.3">
      <c r="A18" s="1">
        <f t="shared" si="2"/>
        <v>11</v>
      </c>
      <c r="B18" s="1">
        <f t="shared" si="0"/>
        <v>8.25</v>
      </c>
      <c r="C18" s="12">
        <f>+APRR!C18</f>
        <v>1.5000000000000003E-2</v>
      </c>
      <c r="D18" s="23">
        <f t="shared" si="1"/>
        <v>0.53999999999999992</v>
      </c>
      <c r="E18" s="62">
        <f>SUM($C$7:C18)</f>
        <v>0.8650000000000001</v>
      </c>
    </row>
    <row r="19" spans="1:12" x14ac:dyDescent="0.3">
      <c r="A19" s="1">
        <f t="shared" si="2"/>
        <v>12</v>
      </c>
      <c r="B19" s="1">
        <f t="shared" si="0"/>
        <v>9</v>
      </c>
      <c r="C19" s="12">
        <f>+APRR!C19</f>
        <v>1.5000000000000003E-2</v>
      </c>
      <c r="D19" s="23">
        <f t="shared" si="1"/>
        <v>0.68343749999999992</v>
      </c>
      <c r="E19" s="62">
        <f>SUM($C$7:C19)</f>
        <v>0.88000000000000012</v>
      </c>
    </row>
    <row r="20" spans="1:12" x14ac:dyDescent="0.3">
      <c r="A20" s="1">
        <f>A19+1</f>
        <v>13</v>
      </c>
      <c r="B20" s="1">
        <f t="shared" si="0"/>
        <v>9.75</v>
      </c>
      <c r="C20" s="12">
        <f>+APRR!C20</f>
        <v>1.5000000000000003E-2</v>
      </c>
      <c r="D20" s="23">
        <f t="shared" si="1"/>
        <v>0.84375</v>
      </c>
      <c r="E20" s="62">
        <f>SUM($C$7:C20)</f>
        <v>0.89500000000000013</v>
      </c>
    </row>
    <row r="21" spans="1:12" x14ac:dyDescent="0.3">
      <c r="A21" s="1">
        <f t="shared" si="2"/>
        <v>14</v>
      </c>
      <c r="B21" s="1">
        <f t="shared" si="0"/>
        <v>10.5</v>
      </c>
      <c r="C21" s="12">
        <f>+APRR!C21</f>
        <v>1.5000000000000003E-2</v>
      </c>
      <c r="D21" s="23">
        <f t="shared" si="1"/>
        <v>1.0209375000000003</v>
      </c>
      <c r="E21" s="62">
        <f>SUM($C$7:C21)</f>
        <v>0.91000000000000014</v>
      </c>
    </row>
    <row r="22" spans="1:12" x14ac:dyDescent="0.3">
      <c r="A22" s="1">
        <f t="shared" si="2"/>
        <v>15</v>
      </c>
      <c r="B22" s="1">
        <f t="shared" si="0"/>
        <v>11.25</v>
      </c>
      <c r="C22" s="12">
        <f>+APRR!C22</f>
        <v>1.5000000000000003E-2</v>
      </c>
      <c r="D22" s="23">
        <f t="shared" si="1"/>
        <v>1.2150000000000003</v>
      </c>
      <c r="E22" s="62">
        <f>SUM($C$7:C22)</f>
        <v>0.92500000000000016</v>
      </c>
    </row>
    <row r="23" spans="1:12" x14ac:dyDescent="0.3">
      <c r="A23" s="1">
        <f t="shared" si="2"/>
        <v>16</v>
      </c>
      <c r="B23" s="1">
        <f t="shared" si="0"/>
        <v>12</v>
      </c>
      <c r="C23" s="12">
        <f>+APRR!C23</f>
        <v>1.5000000000000003E-2</v>
      </c>
      <c r="D23" s="23">
        <f t="shared" si="1"/>
        <v>1.4259375000000003</v>
      </c>
      <c r="E23" s="62">
        <f>SUM($C$7:C23)</f>
        <v>0.94000000000000017</v>
      </c>
    </row>
    <row r="24" spans="1:12" x14ac:dyDescent="0.3">
      <c r="A24" s="1">
        <f t="shared" si="2"/>
        <v>17</v>
      </c>
      <c r="B24" s="1">
        <f t="shared" si="0"/>
        <v>12</v>
      </c>
      <c r="C24" s="12">
        <f>+APRR!C24</f>
        <v>1.5000000000000003E-2</v>
      </c>
      <c r="D24" s="23">
        <f t="shared" si="1"/>
        <v>1.4259375000000003</v>
      </c>
      <c r="E24" s="62">
        <f>SUM($C$7:C24)</f>
        <v>0.95500000000000018</v>
      </c>
    </row>
    <row r="25" spans="1:12" x14ac:dyDescent="0.3">
      <c r="A25" s="1">
        <f t="shared" si="2"/>
        <v>18</v>
      </c>
      <c r="B25" s="1">
        <f t="shared" si="0"/>
        <v>12</v>
      </c>
      <c r="C25" s="12">
        <f>+APRR!C25</f>
        <v>1.5000000000000003E-2</v>
      </c>
      <c r="D25" s="23">
        <f t="shared" si="1"/>
        <v>1.4259375000000003</v>
      </c>
      <c r="E25" s="62">
        <f>SUM($C$7:C25)</f>
        <v>0.9700000000000002</v>
      </c>
    </row>
    <row r="26" spans="1:12" x14ac:dyDescent="0.3">
      <c r="A26" s="1">
        <f t="shared" si="2"/>
        <v>19</v>
      </c>
      <c r="B26" s="1">
        <f t="shared" si="0"/>
        <v>12</v>
      </c>
      <c r="C26" s="12">
        <f>+APRR!C26</f>
        <v>1.5000000000000003E-2</v>
      </c>
      <c r="D26" s="23">
        <f t="shared" si="1"/>
        <v>1.4259375000000003</v>
      </c>
      <c r="E26" s="62">
        <f>SUM($C$7:C26)</f>
        <v>0.98500000000000021</v>
      </c>
      <c r="G26" s="63">
        <f>E27-E26</f>
        <v>1.5000000000000013E-2</v>
      </c>
      <c r="I26">
        <f>B27-B26</f>
        <v>0</v>
      </c>
      <c r="K26" s="63">
        <f>G26</f>
        <v>1.5000000000000013E-2</v>
      </c>
      <c r="L26">
        <f>I26</f>
        <v>0</v>
      </c>
    </row>
    <row r="27" spans="1:12" x14ac:dyDescent="0.3">
      <c r="A27" s="1">
        <f>A26+1</f>
        <v>20</v>
      </c>
      <c r="B27" s="1">
        <f t="shared" si="0"/>
        <v>12</v>
      </c>
      <c r="C27" s="12">
        <f>+APRR!C27</f>
        <v>1.5000000000000003E-2</v>
      </c>
      <c r="D27" s="23">
        <f t="shared" si="1"/>
        <v>1.4259375000000003</v>
      </c>
      <c r="E27" s="62">
        <f>SUM($C$7:C27)</f>
        <v>1.0000000000000002</v>
      </c>
      <c r="G27" s="63">
        <f>99.5%-E26</f>
        <v>9.9999999999997868E-3</v>
      </c>
      <c r="I27">
        <f>I26*G27/G26</f>
        <v>0</v>
      </c>
      <c r="K27" s="63">
        <f>99.9%-E26</f>
        <v>1.3999999999999901E-2</v>
      </c>
      <c r="L27">
        <f>L26*K27/K26</f>
        <v>0</v>
      </c>
    </row>
    <row r="28" spans="1:12" x14ac:dyDescent="0.3">
      <c r="G28" t="s">
        <v>93</v>
      </c>
      <c r="I28" s="64">
        <f>B26+I27</f>
        <v>12</v>
      </c>
    </row>
    <row r="29" spans="1:12" x14ac:dyDescent="0.3">
      <c r="A29" s="79" t="s">
        <v>15</v>
      </c>
      <c r="B29" s="79"/>
      <c r="C29" s="13">
        <f>SUMPRODUCT(B7:B27,C7:C27)</f>
        <v>2.2500000000000009</v>
      </c>
      <c r="D29" s="20"/>
      <c r="G29" t="s">
        <v>94</v>
      </c>
      <c r="I29" s="57">
        <f>B26+L27</f>
        <v>12</v>
      </c>
    </row>
    <row r="30" spans="1:12" x14ac:dyDescent="0.3">
      <c r="A30" s="79" t="s">
        <v>16</v>
      </c>
      <c r="B30" s="79"/>
      <c r="C30" s="61">
        <f>C29/B4</f>
        <v>0.18750000000000008</v>
      </c>
    </row>
    <row r="31" spans="1:12" x14ac:dyDescent="0.3">
      <c r="A31" s="1" t="s">
        <v>53</v>
      </c>
      <c r="B31" s="1"/>
      <c r="C31" s="23">
        <f>C29</f>
        <v>2.2500000000000009</v>
      </c>
    </row>
    <row r="32" spans="1:12" x14ac:dyDescent="0.3">
      <c r="A32" s="1" t="s">
        <v>54</v>
      </c>
      <c r="B32" s="1"/>
      <c r="C32" s="23">
        <f>SUM(D7:D27)</f>
        <v>16.200000000000003</v>
      </c>
    </row>
    <row r="33" spans="1:18" x14ac:dyDescent="0.3">
      <c r="A33" s="1" t="s">
        <v>57</v>
      </c>
      <c r="B33" s="1"/>
      <c r="C33" s="43">
        <v>2</v>
      </c>
      <c r="H33" t="s">
        <v>58</v>
      </c>
      <c r="I33" s="10">
        <v>0.5</v>
      </c>
    </row>
    <row r="34" spans="1:18" x14ac:dyDescent="0.3">
      <c r="A34" s="1" t="s">
        <v>59</v>
      </c>
      <c r="B34" s="1"/>
      <c r="C34" s="43">
        <f>C32*I34+$C$29</f>
        <v>2.898000000000001</v>
      </c>
      <c r="H34" t="s">
        <v>60</v>
      </c>
      <c r="I34" s="10">
        <v>0.04</v>
      </c>
    </row>
    <row r="35" spans="1:18" x14ac:dyDescent="0.3">
      <c r="A35" s="1" t="s">
        <v>62</v>
      </c>
      <c r="B35" s="1"/>
      <c r="C35" s="37">
        <f>3</f>
        <v>3</v>
      </c>
      <c r="H35" t="s">
        <v>61</v>
      </c>
      <c r="I35" s="20">
        <f>+E11</f>
        <v>0.76</v>
      </c>
    </row>
    <row r="36" spans="1:18" x14ac:dyDescent="0.3">
      <c r="A36" s="1" t="s">
        <v>68</v>
      </c>
      <c r="B36" s="1"/>
      <c r="C36" s="45">
        <f>C33-$C$29</f>
        <v>-0.25000000000000089</v>
      </c>
    </row>
    <row r="37" spans="1:18" ht="15" thickBot="1" x14ac:dyDescent="0.35">
      <c r="A37" s="1" t="s">
        <v>69</v>
      </c>
      <c r="B37" s="1"/>
      <c r="C37" s="45">
        <f t="shared" ref="C37:C38" si="3">C34-$C$29</f>
        <v>0.64800000000000013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5">
        <f t="shared" si="3"/>
        <v>0.74999999999999911</v>
      </c>
      <c r="E38" s="25">
        <v>0</v>
      </c>
      <c r="F38" s="26"/>
      <c r="G38" s="26"/>
      <c r="H38" s="27">
        <v>1</v>
      </c>
      <c r="J38" s="25">
        <v>0</v>
      </c>
      <c r="K38" s="26"/>
      <c r="L38" s="26"/>
      <c r="M38" s="27">
        <v>1</v>
      </c>
      <c r="O38" s="25">
        <v>0</v>
      </c>
      <c r="P38" s="26"/>
      <c r="Q38" s="26"/>
      <c r="R38" s="27">
        <v>1</v>
      </c>
    </row>
    <row r="39" spans="1:18" x14ac:dyDescent="0.3">
      <c r="A39" s="1" t="s">
        <v>63</v>
      </c>
      <c r="B39" s="1"/>
      <c r="C39" s="46">
        <f>I28</f>
        <v>12</v>
      </c>
      <c r="E39" s="36">
        <f>+C41</f>
        <v>10</v>
      </c>
      <c r="H39" s="28">
        <f>-E39*(1+F45+F46)</f>
        <v>-10.700000000000001</v>
      </c>
      <c r="J39" s="36">
        <f>C42</f>
        <v>9.1019999999999985</v>
      </c>
      <c r="M39" s="28">
        <f>-J39*(1+K45+K46)</f>
        <v>-9.739139999999999</v>
      </c>
      <c r="O39" s="36">
        <f>C43</f>
        <v>9</v>
      </c>
      <c r="R39" s="28">
        <f>-O39*(1+P45+P46)</f>
        <v>-9.6300000000000008</v>
      </c>
    </row>
    <row r="40" spans="1:18" x14ac:dyDescent="0.3">
      <c r="A40" s="1" t="s">
        <v>64</v>
      </c>
      <c r="B40" s="1"/>
      <c r="C40" s="47">
        <f>I29</f>
        <v>12</v>
      </c>
      <c r="D40" s="20"/>
      <c r="E40" s="29"/>
      <c r="H40" s="28">
        <f>+E39*(1+F45)</f>
        <v>10.1</v>
      </c>
      <c r="J40" s="29"/>
      <c r="M40" s="28">
        <f>+J39*(1+K45)</f>
        <v>9.1930199999999989</v>
      </c>
      <c r="O40" s="29"/>
      <c r="R40" s="28">
        <f>+O39*(1+P45)</f>
        <v>9.09</v>
      </c>
    </row>
    <row r="41" spans="1:18" x14ac:dyDescent="0.3">
      <c r="A41" s="1" t="s">
        <v>65</v>
      </c>
      <c r="B41" s="1"/>
      <c r="C41" s="43">
        <f>$C$39-C33</f>
        <v>10</v>
      </c>
      <c r="E41" s="35">
        <f>+H41/(1+F45)</f>
        <v>-0.59405940594059548</v>
      </c>
      <c r="H41" s="28">
        <f>+H39+H40</f>
        <v>-0.60000000000000142</v>
      </c>
      <c r="J41" s="35">
        <f>+M41/(1+K45)</f>
        <v>-0.54071287128712886</v>
      </c>
      <c r="M41" s="28">
        <f>+M39+M40</f>
        <v>-0.54612000000000016</v>
      </c>
      <c r="O41" s="35">
        <f>+R41/(1+P45)</f>
        <v>-0.53465346534653557</v>
      </c>
      <c r="R41" s="28">
        <f>+R39+R40</f>
        <v>-0.54000000000000092</v>
      </c>
    </row>
    <row r="42" spans="1:18" x14ac:dyDescent="0.3">
      <c r="A42" s="1" t="s">
        <v>66</v>
      </c>
      <c r="B42" s="1"/>
      <c r="C42" s="43">
        <f t="shared" ref="C42:C43" si="4">$C$39-C34</f>
        <v>9.1019999999999985</v>
      </c>
      <c r="E42" s="29"/>
      <c r="H42" s="28"/>
      <c r="J42" s="29"/>
      <c r="M42" s="28"/>
      <c r="O42" s="29"/>
      <c r="R42" s="28"/>
    </row>
    <row r="43" spans="1:18" x14ac:dyDescent="0.3">
      <c r="A43" s="1" t="s">
        <v>67</v>
      </c>
      <c r="B43" s="1"/>
      <c r="C43" s="43">
        <f t="shared" si="4"/>
        <v>9</v>
      </c>
      <c r="E43" s="29"/>
      <c r="H43" s="28"/>
      <c r="J43" s="29"/>
      <c r="M43" s="28"/>
      <c r="O43" s="29"/>
      <c r="R43" s="28"/>
    </row>
    <row r="44" spans="1:18" x14ac:dyDescent="0.3">
      <c r="A44" s="1" t="s">
        <v>74</v>
      </c>
      <c r="B44" s="1"/>
      <c r="C44" s="49">
        <f>E41</f>
        <v>-0.59405940594059548</v>
      </c>
      <c r="E44" s="29" t="s">
        <v>71</v>
      </c>
      <c r="H44" s="28"/>
      <c r="J44" s="29" t="s">
        <v>71</v>
      </c>
      <c r="M44" s="28"/>
      <c r="O44" s="29" t="s">
        <v>71</v>
      </c>
      <c r="R44" s="28"/>
    </row>
    <row r="45" spans="1:18" x14ac:dyDescent="0.3">
      <c r="A45" s="1" t="s">
        <v>78</v>
      </c>
      <c r="B45" s="1"/>
      <c r="C45" s="49">
        <f>J41</f>
        <v>-0.54071287128712886</v>
      </c>
      <c r="E45" s="29" t="s">
        <v>72</v>
      </c>
      <c r="F45">
        <v>0.01</v>
      </c>
      <c r="H45" s="28"/>
      <c r="J45" s="29" t="s">
        <v>72</v>
      </c>
      <c r="K45">
        <v>0.01</v>
      </c>
      <c r="M45" s="28"/>
      <c r="O45" s="29" t="s">
        <v>72</v>
      </c>
      <c r="P45">
        <v>0.01</v>
      </c>
      <c r="R45" s="28"/>
    </row>
    <row r="46" spans="1:18" ht="15" thickBot="1" x14ac:dyDescent="0.35">
      <c r="A46" s="1" t="s">
        <v>79</v>
      </c>
      <c r="B46" s="1"/>
      <c r="C46" s="49">
        <f>O41</f>
        <v>-0.53465346534653557</v>
      </c>
      <c r="E46" s="30" t="s">
        <v>73</v>
      </c>
      <c r="F46" s="31">
        <v>0.06</v>
      </c>
      <c r="G46" s="32"/>
      <c r="H46" s="33"/>
      <c r="J46" s="30" t="s">
        <v>73</v>
      </c>
      <c r="K46" s="31">
        <v>0.06</v>
      </c>
      <c r="L46" s="32"/>
      <c r="M46" s="33"/>
      <c r="O46" s="30" t="s">
        <v>73</v>
      </c>
      <c r="P46" s="34">
        <v>0.06</v>
      </c>
      <c r="Q46" s="32"/>
      <c r="R46" s="33"/>
    </row>
    <row r="47" spans="1:18" x14ac:dyDescent="0.3">
      <c r="A47" s="1" t="s">
        <v>80</v>
      </c>
      <c r="B47" s="1"/>
      <c r="C47" s="50">
        <f>C36+C44</f>
        <v>-0.84405940594059636</v>
      </c>
    </row>
    <row r="48" spans="1:18" x14ac:dyDescent="0.3">
      <c r="A48" s="1" t="s">
        <v>81</v>
      </c>
      <c r="B48" s="1"/>
      <c r="C48" s="50">
        <f t="shared" ref="C48:C49" si="5">C37+C45</f>
        <v>0.10728712871287127</v>
      </c>
    </row>
    <row r="49" spans="1:3" x14ac:dyDescent="0.3">
      <c r="A49" s="1" t="s">
        <v>82</v>
      </c>
      <c r="B49" s="1"/>
      <c r="C49" s="50">
        <f t="shared" si="5"/>
        <v>0.21534653465346354</v>
      </c>
    </row>
    <row r="50" spans="1:3" x14ac:dyDescent="0.3">
      <c r="A50" s="1" t="s">
        <v>83</v>
      </c>
      <c r="B50" s="1"/>
      <c r="C50" s="65">
        <f>C47/C41</f>
        <v>-8.4405940594059634E-2</v>
      </c>
    </row>
    <row r="51" spans="1:3" x14ac:dyDescent="0.3">
      <c r="A51" s="1" t="s">
        <v>84</v>
      </c>
      <c r="B51" s="1"/>
      <c r="C51" s="65">
        <f t="shared" ref="C51:C52" si="6">C48/C42</f>
        <v>1.1787203769816665E-2</v>
      </c>
    </row>
    <row r="52" spans="1:3" x14ac:dyDescent="0.3">
      <c r="A52" s="1" t="s">
        <v>85</v>
      </c>
      <c r="B52" s="1"/>
      <c r="C52" s="65">
        <f t="shared" si="6"/>
        <v>2.3927392739273728E-2</v>
      </c>
    </row>
  </sheetData>
  <mergeCells count="5">
    <mergeCell ref="A29:B29"/>
    <mergeCell ref="A30:B30"/>
    <mergeCell ref="A1:F1"/>
    <mergeCell ref="A2:F2"/>
    <mergeCell ref="A3:F3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opLeftCell="A17" zoomScale="90" zoomScaleNormal="90" workbookViewId="0">
      <selection activeCell="E40" sqref="E40"/>
    </sheetView>
  </sheetViews>
  <sheetFormatPr defaultRowHeight="14.4" x14ac:dyDescent="0.3"/>
  <cols>
    <col min="1" max="1" width="22.5546875" customWidth="1"/>
    <col min="4" max="4" width="10.6640625" bestFit="1" customWidth="1"/>
    <col min="5" max="5" width="17.109375" customWidth="1"/>
  </cols>
  <sheetData>
    <row r="1" spans="1:6" ht="15" thickBot="1" x14ac:dyDescent="0.35">
      <c r="A1" s="73" t="s">
        <v>13</v>
      </c>
      <c r="B1" s="74"/>
      <c r="C1" s="74"/>
      <c r="D1" s="74"/>
      <c r="E1" s="74"/>
      <c r="F1" s="75"/>
    </row>
    <row r="2" spans="1:6" ht="15" thickBot="1" x14ac:dyDescent="0.35">
      <c r="A2" s="73" t="s">
        <v>14</v>
      </c>
      <c r="B2" s="74"/>
      <c r="C2" s="74"/>
      <c r="D2" s="74"/>
      <c r="E2" s="74"/>
      <c r="F2" s="75"/>
    </row>
    <row r="4" spans="1:6" x14ac:dyDescent="0.3">
      <c r="B4" s="84" t="s">
        <v>23</v>
      </c>
      <c r="C4" s="84"/>
      <c r="D4" s="84"/>
      <c r="E4" s="84"/>
    </row>
    <row r="5" spans="1:6" x14ac:dyDescent="0.3">
      <c r="B5" s="6" t="s">
        <v>9</v>
      </c>
      <c r="C5" s="6" t="s">
        <v>10</v>
      </c>
      <c r="D5" s="6" t="s">
        <v>11</v>
      </c>
      <c r="E5" s="6" t="s">
        <v>12</v>
      </c>
    </row>
    <row r="6" spans="1:6" x14ac:dyDescent="0.3">
      <c r="A6" s="5" t="s">
        <v>0</v>
      </c>
      <c r="B6" s="9" t="str">
        <f>AVI!B6</f>
        <v>Y=Z</v>
      </c>
      <c r="C6" s="9" t="str">
        <f>'AVI-SA'!B6</f>
        <v>Y=Z*V/Vr</v>
      </c>
      <c r="D6" s="9" t="str">
        <f>APRR!B6</f>
        <v>Y=MIN(M;Z)</v>
      </c>
      <c r="E6" s="9" t="str">
        <f>'APRR-SA'!B6</f>
        <v>Y=MIN(Z*V/Vr;M)</v>
      </c>
      <c r="F6" s="5" t="str">
        <f>AVI!C6</f>
        <v>Prob(Y=y)</v>
      </c>
    </row>
    <row r="7" spans="1:6" x14ac:dyDescent="0.3">
      <c r="A7" s="1">
        <f>AVI!A7</f>
        <v>0</v>
      </c>
      <c r="B7" s="2">
        <f>AVI!B7</f>
        <v>0</v>
      </c>
      <c r="C7" s="2">
        <f>'AVI-SA'!B7</f>
        <v>0</v>
      </c>
      <c r="D7" s="2">
        <f>APRR!B7</f>
        <v>0</v>
      </c>
      <c r="E7" s="2">
        <f>'APRR-SA'!B7</f>
        <v>0</v>
      </c>
      <c r="F7" s="14">
        <f>'APRR-SA'!C7</f>
        <v>0.7</v>
      </c>
    </row>
    <row r="8" spans="1:6" x14ac:dyDescent="0.3">
      <c r="A8" s="1">
        <f>AVI!A8</f>
        <v>1</v>
      </c>
      <c r="B8" s="2">
        <f>AVI!B8</f>
        <v>1</v>
      </c>
      <c r="C8" s="2">
        <f>'AVI-SA'!B8</f>
        <v>0.66926938092582478</v>
      </c>
      <c r="D8" s="2">
        <f>APRR!B8</f>
        <v>1</v>
      </c>
      <c r="E8" s="2">
        <f>'APRR-SA'!B8</f>
        <v>0.75</v>
      </c>
      <c r="F8" s="14">
        <f>'APRR-SA'!C8</f>
        <v>1.5000000000000003E-2</v>
      </c>
    </row>
    <row r="9" spans="1:6" x14ac:dyDescent="0.3">
      <c r="A9" s="1">
        <f>AVI!A9</f>
        <v>2</v>
      </c>
      <c r="B9" s="2">
        <f>AVI!B9</f>
        <v>2</v>
      </c>
      <c r="C9" s="2">
        <f>'AVI-SA'!B9</f>
        <v>1.3385387618516496</v>
      </c>
      <c r="D9" s="2">
        <f>APRR!B9</f>
        <v>2</v>
      </c>
      <c r="E9" s="2">
        <f>'APRR-SA'!B9</f>
        <v>1.5</v>
      </c>
      <c r="F9" s="14">
        <f>'APRR-SA'!C9</f>
        <v>1.5000000000000003E-2</v>
      </c>
    </row>
    <row r="10" spans="1:6" x14ac:dyDescent="0.3">
      <c r="A10" s="1">
        <f>AVI!A10</f>
        <v>3</v>
      </c>
      <c r="B10" s="2">
        <f>AVI!B10</f>
        <v>3</v>
      </c>
      <c r="C10" s="2">
        <f>'AVI-SA'!B10</f>
        <v>2.0078081427774741</v>
      </c>
      <c r="D10" s="2">
        <f>APRR!B10</f>
        <v>3</v>
      </c>
      <c r="E10" s="2">
        <f>'APRR-SA'!B10</f>
        <v>2.25</v>
      </c>
      <c r="F10" s="14">
        <f>'APRR-SA'!C10</f>
        <v>1.5000000000000003E-2</v>
      </c>
    </row>
    <row r="11" spans="1:6" x14ac:dyDescent="0.3">
      <c r="A11" s="1">
        <f>AVI!A11</f>
        <v>4</v>
      </c>
      <c r="B11" s="2">
        <f>AVI!B11</f>
        <v>4</v>
      </c>
      <c r="C11" s="2">
        <f>'AVI-SA'!B11</f>
        <v>2.6770775237032991</v>
      </c>
      <c r="D11" s="2">
        <f>APRR!B11</f>
        <v>4</v>
      </c>
      <c r="E11" s="2">
        <f>'APRR-SA'!B11</f>
        <v>3</v>
      </c>
      <c r="F11" s="14">
        <f>'APRR-SA'!C11</f>
        <v>1.5000000000000003E-2</v>
      </c>
    </row>
    <row r="12" spans="1:6" x14ac:dyDescent="0.3">
      <c r="A12" s="1">
        <f>AVI!A12</f>
        <v>5</v>
      </c>
      <c r="B12" s="2">
        <f>AVI!B12</f>
        <v>5</v>
      </c>
      <c r="C12" s="2">
        <f>'AVI-SA'!B12</f>
        <v>3.3463469046291241</v>
      </c>
      <c r="D12" s="2">
        <f>APRR!B12</f>
        <v>5</v>
      </c>
      <c r="E12" s="2">
        <f>'APRR-SA'!B12</f>
        <v>3.75</v>
      </c>
      <c r="F12" s="14">
        <f>'APRR-SA'!C12</f>
        <v>1.5000000000000003E-2</v>
      </c>
    </row>
    <row r="13" spans="1:6" x14ac:dyDescent="0.3">
      <c r="A13" s="1">
        <f>AVI!A13</f>
        <v>6</v>
      </c>
      <c r="B13" s="2">
        <f>AVI!B13</f>
        <v>6</v>
      </c>
      <c r="C13" s="2">
        <f>'AVI-SA'!B13</f>
        <v>4.0156162855549482</v>
      </c>
      <c r="D13" s="2">
        <f>APRR!B13</f>
        <v>6</v>
      </c>
      <c r="E13" s="2">
        <f>'APRR-SA'!B13</f>
        <v>4.5</v>
      </c>
      <c r="F13" s="14">
        <f>'APRR-SA'!C13</f>
        <v>1.5000000000000003E-2</v>
      </c>
    </row>
    <row r="14" spans="1:6" x14ac:dyDescent="0.3">
      <c r="A14" s="1">
        <f>AVI!A14</f>
        <v>7</v>
      </c>
      <c r="B14" s="2">
        <f>AVI!B14</f>
        <v>7</v>
      </c>
      <c r="C14" s="2">
        <f>'AVI-SA'!B14</f>
        <v>4.6848856664807732</v>
      </c>
      <c r="D14" s="2">
        <f>APRR!B14</f>
        <v>7</v>
      </c>
      <c r="E14" s="2">
        <f>'APRR-SA'!B14</f>
        <v>5.25</v>
      </c>
      <c r="F14" s="14">
        <f>'APRR-SA'!C14</f>
        <v>1.5000000000000003E-2</v>
      </c>
    </row>
    <row r="15" spans="1:6" x14ac:dyDescent="0.3">
      <c r="A15" s="1">
        <f>AVI!A15</f>
        <v>8</v>
      </c>
      <c r="B15" s="2">
        <f>AVI!B15</f>
        <v>8</v>
      </c>
      <c r="C15" s="2">
        <f>'AVI-SA'!B15</f>
        <v>5.3541550474065982</v>
      </c>
      <c r="D15" s="2">
        <f>APRR!B15</f>
        <v>8</v>
      </c>
      <c r="E15" s="2">
        <f>'APRR-SA'!B15</f>
        <v>6</v>
      </c>
      <c r="F15" s="14">
        <f>'APRR-SA'!C15</f>
        <v>1.5000000000000003E-2</v>
      </c>
    </row>
    <row r="16" spans="1:6" x14ac:dyDescent="0.3">
      <c r="A16" s="1">
        <f>AVI!A16</f>
        <v>9</v>
      </c>
      <c r="B16" s="2">
        <f>AVI!B16</f>
        <v>9</v>
      </c>
      <c r="C16" s="2">
        <f>'AVI-SA'!B16</f>
        <v>6.0234244283324232</v>
      </c>
      <c r="D16" s="2">
        <f>APRR!B16</f>
        <v>9</v>
      </c>
      <c r="E16" s="2">
        <f>'APRR-SA'!B16</f>
        <v>6.75</v>
      </c>
      <c r="F16" s="14">
        <f>'APRR-SA'!C16</f>
        <v>1.5000000000000003E-2</v>
      </c>
    </row>
    <row r="17" spans="1:6" x14ac:dyDescent="0.3">
      <c r="A17" s="1">
        <f>AVI!A17</f>
        <v>10</v>
      </c>
      <c r="B17" s="2">
        <f>AVI!B17</f>
        <v>10</v>
      </c>
      <c r="C17" s="2">
        <f>'AVI-SA'!B17</f>
        <v>6.6926938092582482</v>
      </c>
      <c r="D17" s="2">
        <f>APRR!B17</f>
        <v>10</v>
      </c>
      <c r="E17" s="2">
        <f>'APRR-SA'!B17</f>
        <v>7.5</v>
      </c>
      <c r="F17" s="14">
        <f>'APRR-SA'!C17</f>
        <v>1.5000000000000003E-2</v>
      </c>
    </row>
    <row r="18" spans="1:6" x14ac:dyDescent="0.3">
      <c r="A18" s="1">
        <f>AVI!A18</f>
        <v>11</v>
      </c>
      <c r="B18" s="2">
        <f>AVI!B18</f>
        <v>11</v>
      </c>
      <c r="C18" s="2">
        <f>'AVI-SA'!B18</f>
        <v>7.3619631901840723</v>
      </c>
      <c r="D18" s="2">
        <f>APRR!B18</f>
        <v>11</v>
      </c>
      <c r="E18" s="2">
        <f>'APRR-SA'!B18</f>
        <v>8.25</v>
      </c>
      <c r="F18" s="14">
        <f>'APRR-SA'!C18</f>
        <v>1.5000000000000003E-2</v>
      </c>
    </row>
    <row r="19" spans="1:6" x14ac:dyDescent="0.3">
      <c r="A19" s="1">
        <f>AVI!A19</f>
        <v>12</v>
      </c>
      <c r="B19" s="2">
        <f>AVI!B19</f>
        <v>12</v>
      </c>
      <c r="C19" s="2">
        <f>'AVI-SA'!B19</f>
        <v>8.0312325711098964</v>
      </c>
      <c r="D19" s="2">
        <f>APRR!B19</f>
        <v>12</v>
      </c>
      <c r="E19" s="2">
        <f>'APRR-SA'!B19</f>
        <v>9</v>
      </c>
      <c r="F19" s="14">
        <f>'APRR-SA'!C19</f>
        <v>1.5000000000000003E-2</v>
      </c>
    </row>
    <row r="20" spans="1:6" x14ac:dyDescent="0.3">
      <c r="A20" s="1">
        <f>AVI!A20</f>
        <v>13</v>
      </c>
      <c r="B20" s="2">
        <f>AVI!B20</f>
        <v>13</v>
      </c>
      <c r="C20" s="2">
        <f>'AVI-SA'!B20</f>
        <v>8.7005019520357223</v>
      </c>
      <c r="D20" s="2">
        <f>APRR!B20</f>
        <v>13</v>
      </c>
      <c r="E20" s="2">
        <f>'APRR-SA'!B20</f>
        <v>9.75</v>
      </c>
      <c r="F20" s="14">
        <f>'APRR-SA'!C20</f>
        <v>1.5000000000000003E-2</v>
      </c>
    </row>
    <row r="21" spans="1:6" x14ac:dyDescent="0.3">
      <c r="A21" s="1">
        <f>AVI!A21</f>
        <v>14</v>
      </c>
      <c r="B21" s="2">
        <f>AVI!B21</f>
        <v>14</v>
      </c>
      <c r="C21" s="2">
        <f>'AVI-SA'!B21</f>
        <v>9.3697713329615464</v>
      </c>
      <c r="D21" s="2">
        <f>APRR!B21</f>
        <v>14</v>
      </c>
      <c r="E21" s="2">
        <f>'APRR-SA'!B21</f>
        <v>10.5</v>
      </c>
      <c r="F21" s="14">
        <f>'APRR-SA'!C21</f>
        <v>1.5000000000000003E-2</v>
      </c>
    </row>
    <row r="22" spans="1:6" x14ac:dyDescent="0.3">
      <c r="A22" s="1">
        <f>AVI!A22</f>
        <v>15</v>
      </c>
      <c r="B22" s="2">
        <f>AVI!B22</f>
        <v>15</v>
      </c>
      <c r="C22" s="2">
        <f>'AVI-SA'!B22</f>
        <v>10.039040713887372</v>
      </c>
      <c r="D22" s="2">
        <f>APRR!B22</f>
        <v>15</v>
      </c>
      <c r="E22" s="2">
        <f>'APRR-SA'!B22</f>
        <v>11.25</v>
      </c>
      <c r="F22" s="14">
        <f>'APRR-SA'!C22</f>
        <v>1.5000000000000003E-2</v>
      </c>
    </row>
    <row r="23" spans="1:6" x14ac:dyDescent="0.3">
      <c r="A23" s="1">
        <f>AVI!A23</f>
        <v>16</v>
      </c>
      <c r="B23" s="2">
        <f>AVI!B23</f>
        <v>16</v>
      </c>
      <c r="C23" s="2">
        <f>'AVI-SA'!B23</f>
        <v>10.708310094813196</v>
      </c>
      <c r="D23" s="2">
        <f>APRR!B23</f>
        <v>16</v>
      </c>
      <c r="E23" s="2">
        <f>'APRR-SA'!B23</f>
        <v>12</v>
      </c>
      <c r="F23" s="14">
        <f>'APRR-SA'!C23</f>
        <v>1.5000000000000003E-2</v>
      </c>
    </row>
    <row r="24" spans="1:6" x14ac:dyDescent="0.3">
      <c r="A24" s="1">
        <f>AVI!A24</f>
        <v>17</v>
      </c>
      <c r="B24" s="2">
        <f>AVI!B24</f>
        <v>17</v>
      </c>
      <c r="C24" s="2">
        <f>'AVI-SA'!B24</f>
        <v>11.377579475739021</v>
      </c>
      <c r="D24" s="2">
        <f>APRR!B24</f>
        <v>16.439138128064293</v>
      </c>
      <c r="E24" s="2">
        <f>'APRR-SA'!B24</f>
        <v>12</v>
      </c>
      <c r="F24" s="14">
        <f>'APRR-SA'!C24</f>
        <v>1.5000000000000003E-2</v>
      </c>
    </row>
    <row r="25" spans="1:6" x14ac:dyDescent="0.3">
      <c r="A25" s="1">
        <f>AVI!A25</f>
        <v>18</v>
      </c>
      <c r="B25" s="2">
        <f>AVI!B25</f>
        <v>18</v>
      </c>
      <c r="C25" s="2">
        <f>'AVI-SA'!B25</f>
        <v>12.046848856664846</v>
      </c>
      <c r="D25" s="2">
        <f>APRR!B25</f>
        <v>16.439138128064293</v>
      </c>
      <c r="E25" s="2">
        <f>'APRR-SA'!B25</f>
        <v>12</v>
      </c>
      <c r="F25" s="14">
        <f>'APRR-SA'!C25</f>
        <v>1.5000000000000003E-2</v>
      </c>
    </row>
    <row r="26" spans="1:6" x14ac:dyDescent="0.3">
      <c r="A26" s="1">
        <f>AVI!A26</f>
        <v>19</v>
      </c>
      <c r="B26" s="2">
        <f>AVI!B26</f>
        <v>19</v>
      </c>
      <c r="C26" s="2">
        <f>'AVI-SA'!B26</f>
        <v>12.716118237590671</v>
      </c>
      <c r="D26" s="2">
        <f>APRR!B26</f>
        <v>16.439138128064293</v>
      </c>
      <c r="E26" s="2">
        <f>'APRR-SA'!B26</f>
        <v>12</v>
      </c>
      <c r="F26" s="14">
        <f>'APRR-SA'!C26</f>
        <v>1.5000000000000003E-2</v>
      </c>
    </row>
    <row r="27" spans="1:6" x14ac:dyDescent="0.3">
      <c r="A27" s="1">
        <f>AVI!A27</f>
        <v>20</v>
      </c>
      <c r="B27" s="2">
        <f>AVI!B27</f>
        <v>20</v>
      </c>
      <c r="C27" s="2">
        <f>'AVI-SA'!B27</f>
        <v>13.385387618516496</v>
      </c>
      <c r="D27" s="2">
        <f>APRR!B27</f>
        <v>16.439138128064293</v>
      </c>
      <c r="E27" s="2">
        <f>'APRR-SA'!B27</f>
        <v>12</v>
      </c>
      <c r="F27" s="14">
        <f>'APRR-SA'!C27</f>
        <v>1.5000000000000003E-2</v>
      </c>
    </row>
    <row r="29" spans="1:6" x14ac:dyDescent="0.3">
      <c r="A29" s="15" t="s">
        <v>15</v>
      </c>
      <c r="B29" s="15">
        <f>SUMPRODUCT(B7:B27,$F$7:$F$27)</f>
        <v>3.1500000000000004</v>
      </c>
      <c r="C29" s="15">
        <f t="shared" ref="C29:E29" si="0">SUMPRODUCT(C7:C27,$F$7:$F$27)</f>
        <v>2.1081985499163483</v>
      </c>
      <c r="D29" s="15">
        <f t="shared" si="0"/>
        <v>3.026348287683859</v>
      </c>
      <c r="E29" s="15">
        <f t="shared" si="0"/>
        <v>2.2500000000000009</v>
      </c>
    </row>
    <row r="30" spans="1:6" x14ac:dyDescent="0.3">
      <c r="A30" s="5" t="s">
        <v>3</v>
      </c>
      <c r="B30" s="1">
        <v>20</v>
      </c>
      <c r="C30" s="1">
        <v>15</v>
      </c>
      <c r="D30" s="1">
        <v>20</v>
      </c>
      <c r="E30" s="1">
        <v>15</v>
      </c>
    </row>
    <row r="31" spans="1:6" x14ac:dyDescent="0.3">
      <c r="A31" s="5" t="s">
        <v>4</v>
      </c>
      <c r="B31" s="1">
        <v>20</v>
      </c>
      <c r="C31" s="1">
        <v>20</v>
      </c>
      <c r="D31" s="1">
        <v>20</v>
      </c>
      <c r="E31" s="1">
        <v>20</v>
      </c>
    </row>
    <row r="32" spans="1:6" x14ac:dyDescent="0.3">
      <c r="A32" s="5" t="s">
        <v>6</v>
      </c>
      <c r="B32" s="1"/>
      <c r="C32" s="1"/>
      <c r="D32" s="23">
        <f>APRR!B4</f>
        <v>16.439138128064293</v>
      </c>
      <c r="E32" s="2">
        <f>'APRR-SA'!B4</f>
        <v>12</v>
      </c>
    </row>
    <row r="33" spans="1:6" x14ac:dyDescent="0.3">
      <c r="A33" s="6" t="s">
        <v>18</v>
      </c>
      <c r="B33" s="16">
        <f>+B29/B30</f>
        <v>0.15750000000000003</v>
      </c>
      <c r="C33" s="16">
        <f t="shared" ref="C33:E33" si="1">+C29/C30</f>
        <v>0.14054656999442322</v>
      </c>
      <c r="D33" s="16">
        <f t="shared" si="1"/>
        <v>0.15131741438419294</v>
      </c>
      <c r="E33" s="16">
        <f t="shared" si="1"/>
        <v>0.15000000000000005</v>
      </c>
      <c r="F33" s="8"/>
    </row>
    <row r="34" spans="1:6" x14ac:dyDescent="0.3">
      <c r="A34" s="5"/>
      <c r="B34" s="7"/>
      <c r="C34" s="7"/>
      <c r="D34" s="7"/>
      <c r="E34" s="7"/>
    </row>
    <row r="35" spans="1:6" x14ac:dyDescent="0.3">
      <c r="A35" s="5" t="s">
        <v>57</v>
      </c>
      <c r="B35" s="12">
        <f>AVI!C33</f>
        <v>9.6666666666666679</v>
      </c>
      <c r="C35" s="12">
        <f>'AVI-SA'!C33</f>
        <v>3.1622978248745222</v>
      </c>
      <c r="D35" s="12">
        <f>APRR!C33</f>
        <v>6.4391381280642968</v>
      </c>
      <c r="E35" s="12">
        <f>'APRR-SA'!C33</f>
        <v>2</v>
      </c>
    </row>
    <row r="36" spans="1:6" x14ac:dyDescent="0.3">
      <c r="A36" s="5" t="str">
        <f>AVI!A36</f>
        <v>CAR(PVA)=E(U,PVA)</v>
      </c>
      <c r="B36" s="12">
        <f>AVI!C36</f>
        <v>6.5166666666666675</v>
      </c>
      <c r="C36" s="12">
        <f>'AVI-SA'!C36</f>
        <v>1.0540992749581739</v>
      </c>
      <c r="D36" s="12">
        <f>APRR!C36</f>
        <v>3.4127898403804378</v>
      </c>
      <c r="E36" s="12">
        <f>'APRR-SA'!C36</f>
        <v>-0.25000000000000089</v>
      </c>
    </row>
    <row r="37" spans="1:6" x14ac:dyDescent="0.3">
      <c r="A37" s="5" t="str">
        <f>AVI!A39</f>
        <v>VaR(Y,0,995)</v>
      </c>
      <c r="B37" s="12">
        <f>AVI!C39</f>
        <v>19.666666666666668</v>
      </c>
      <c r="C37" s="12">
        <f>'AVI-SA'!C39</f>
        <v>13.162297824874544</v>
      </c>
      <c r="D37" s="12">
        <f>APRR!C39</f>
        <v>16.439138128064293</v>
      </c>
      <c r="E37" s="12">
        <f>'APRR-SA'!C39</f>
        <v>12</v>
      </c>
    </row>
    <row r="38" spans="1:6" x14ac:dyDescent="0.3">
      <c r="A38" s="5" t="str">
        <f>AVI!A41</f>
        <v>SCR(PVA)</v>
      </c>
      <c r="B38" s="12">
        <f>AVI!C41</f>
        <v>10</v>
      </c>
      <c r="C38" s="12">
        <f>'AVI-SA'!C41</f>
        <v>10.000000000000021</v>
      </c>
      <c r="D38" s="53">
        <f>APRR!C41</f>
        <v>9.9999999999999964</v>
      </c>
      <c r="E38" s="53">
        <f>'APRR-SA'!C41</f>
        <v>10</v>
      </c>
    </row>
    <row r="39" spans="1:6" x14ac:dyDescent="0.3">
      <c r="A39" s="5" t="str">
        <f>AVI!A44</f>
        <v>COC(PVA)</v>
      </c>
      <c r="B39" s="12">
        <f>AVI!C44</f>
        <v>-0.59405940594059548</v>
      </c>
      <c r="C39" s="12">
        <f>'AVI-SA'!C44</f>
        <v>-0.59405940594059725</v>
      </c>
      <c r="D39" s="12">
        <f>APRR!C44</f>
        <v>-0.59405940594059548</v>
      </c>
      <c r="E39" s="12">
        <f>'APRR-SA'!C44</f>
        <v>-0.59405940594059548</v>
      </c>
    </row>
    <row r="40" spans="1:6" x14ac:dyDescent="0.3">
      <c r="A40" s="5" t="str">
        <f>AVI!A47</f>
        <v>E(U,PVA,NCOC)</v>
      </c>
      <c r="B40" s="12">
        <f>B36-B39</f>
        <v>7.110726072607263</v>
      </c>
      <c r="C40" s="12">
        <f t="shared" ref="C40:E40" si="2">C36-C39</f>
        <v>1.6481586808987712</v>
      </c>
      <c r="D40" s="53">
        <f t="shared" si="2"/>
        <v>4.0068492463210337</v>
      </c>
      <c r="E40" s="12">
        <f t="shared" si="2"/>
        <v>0.34405940594059459</v>
      </c>
    </row>
    <row r="41" spans="1:6" x14ac:dyDescent="0.3">
      <c r="A41" s="5" t="str">
        <f>AVI!A50</f>
        <v>RORAC(PVA)</v>
      </c>
      <c r="B41" s="69">
        <f>B40/B38</f>
        <v>0.7110726072607263</v>
      </c>
      <c r="C41" s="69">
        <f t="shared" ref="C41:E41" si="3">C40/C38</f>
        <v>0.16481586808987678</v>
      </c>
      <c r="D41" s="69">
        <f t="shared" si="3"/>
        <v>0.40068492463210353</v>
      </c>
      <c r="E41" s="69">
        <f t="shared" si="3"/>
        <v>3.4405940594059457E-2</v>
      </c>
    </row>
    <row r="42" spans="1:6" x14ac:dyDescent="0.3">
      <c r="A42" s="5" t="s">
        <v>86</v>
      </c>
      <c r="B42" s="52">
        <f>B40/B35</f>
        <v>0.73559235233868225</v>
      </c>
      <c r="C42" s="52">
        <f t="shared" ref="C42:E42" si="4">C40/C35</f>
        <v>0.5211902142595215</v>
      </c>
      <c r="D42" s="52">
        <f t="shared" si="4"/>
        <v>0.62226483834189061</v>
      </c>
      <c r="E42" s="52">
        <f t="shared" si="4"/>
        <v>0.17202970297029729</v>
      </c>
    </row>
  </sheetData>
  <mergeCells count="3">
    <mergeCell ref="A1:F1"/>
    <mergeCell ref="A2:F2"/>
    <mergeCell ref="B4:E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2"/>
  <sheetViews>
    <sheetView topLeftCell="A11" workbookViewId="0">
      <selection activeCell="G52" sqref="G52"/>
    </sheetView>
  </sheetViews>
  <sheetFormatPr defaultRowHeight="14.4" x14ac:dyDescent="0.3"/>
  <cols>
    <col min="1" max="1" width="18.44140625" bestFit="1" customWidth="1"/>
    <col min="2" max="2" width="12.6640625" customWidth="1"/>
    <col min="3" max="3" width="9" bestFit="1" customWidth="1"/>
    <col min="4" max="4" width="29.33203125" bestFit="1" customWidth="1"/>
  </cols>
  <sheetData>
    <row r="1" spans="1:6" ht="15" thickBot="1" x14ac:dyDescent="0.35">
      <c r="A1" s="73" t="s">
        <v>26</v>
      </c>
      <c r="B1" s="74"/>
      <c r="C1" s="74"/>
      <c r="D1" s="74"/>
      <c r="E1" s="74"/>
      <c r="F1" s="75"/>
    </row>
    <row r="2" spans="1:6" x14ac:dyDescent="0.3">
      <c r="A2" s="76" t="s">
        <v>27</v>
      </c>
      <c r="B2" s="77"/>
      <c r="C2" s="77"/>
      <c r="D2" s="77"/>
      <c r="E2" s="77"/>
      <c r="F2" s="78"/>
    </row>
    <row r="3" spans="1:6" x14ac:dyDescent="0.3">
      <c r="A3" s="80" t="s">
        <v>28</v>
      </c>
      <c r="B3" s="80"/>
      <c r="C3" s="80"/>
      <c r="D3" s="80"/>
      <c r="E3" s="80"/>
      <c r="F3" s="80"/>
    </row>
    <row r="6" spans="1:6" x14ac:dyDescent="0.3">
      <c r="A6" s="5" t="s">
        <v>0</v>
      </c>
      <c r="B6" s="5" t="s">
        <v>19</v>
      </c>
      <c r="C6" s="5" t="s">
        <v>17</v>
      </c>
      <c r="D6" s="5" t="s">
        <v>55</v>
      </c>
      <c r="E6" s="5" t="s">
        <v>56</v>
      </c>
    </row>
    <row r="7" spans="1:6" x14ac:dyDescent="0.3">
      <c r="A7" s="1">
        <v>0</v>
      </c>
      <c r="B7" s="1">
        <f>A7</f>
        <v>0</v>
      </c>
      <c r="C7" s="4">
        <f>'APRR-SA'!C7</f>
        <v>0.7</v>
      </c>
      <c r="D7" s="23">
        <f>(B7-$C$31)^2*C7</f>
        <v>173.64375000000007</v>
      </c>
      <c r="E7" s="4">
        <f>+C7</f>
        <v>0.7</v>
      </c>
    </row>
    <row r="8" spans="1:6" x14ac:dyDescent="0.3">
      <c r="A8" s="1">
        <f>A7+5</f>
        <v>5</v>
      </c>
      <c r="B8" s="1">
        <f t="shared" ref="B8:B27" si="0">A8</f>
        <v>5</v>
      </c>
      <c r="C8" s="4">
        <f>'APRR-SA'!C8</f>
        <v>1.5000000000000003E-2</v>
      </c>
      <c r="D8" s="23">
        <f t="shared" ref="D8:D27" si="1">(B8-$C$31)^2*C8</f>
        <v>1.7334375000000013</v>
      </c>
      <c r="E8" s="4">
        <f>+E7+C8</f>
        <v>0.71499999999999997</v>
      </c>
    </row>
    <row r="9" spans="1:6" x14ac:dyDescent="0.3">
      <c r="A9" s="1">
        <f t="shared" ref="A9:A27" si="2">A8+5</f>
        <v>10</v>
      </c>
      <c r="B9" s="1">
        <f t="shared" si="0"/>
        <v>10</v>
      </c>
      <c r="C9" s="4">
        <f>'APRR-SA'!C9</f>
        <v>1.5000000000000003E-2</v>
      </c>
      <c r="D9" s="23">
        <f t="shared" si="1"/>
        <v>0.49593750000000075</v>
      </c>
      <c r="E9" s="4">
        <f t="shared" ref="E9:E27" si="3">+E8+C9</f>
        <v>0.73</v>
      </c>
    </row>
    <row r="10" spans="1:6" x14ac:dyDescent="0.3">
      <c r="A10" s="1">
        <f t="shared" si="2"/>
        <v>15</v>
      </c>
      <c r="B10" s="1">
        <f t="shared" si="0"/>
        <v>15</v>
      </c>
      <c r="C10" s="4">
        <f>'APRR-SA'!C10</f>
        <v>1.5000000000000003E-2</v>
      </c>
      <c r="D10" s="23">
        <f t="shared" si="1"/>
        <v>8.4375000000000821E-3</v>
      </c>
      <c r="E10" s="4">
        <f t="shared" si="3"/>
        <v>0.745</v>
      </c>
    </row>
    <row r="11" spans="1:6" x14ac:dyDescent="0.3">
      <c r="A11" s="1">
        <f t="shared" si="2"/>
        <v>20</v>
      </c>
      <c r="B11" s="1">
        <f t="shared" si="0"/>
        <v>20</v>
      </c>
      <c r="C11" s="4">
        <f>'APRR-SA'!C11</f>
        <v>1.5000000000000003E-2</v>
      </c>
      <c r="D11" s="23">
        <f t="shared" si="1"/>
        <v>0.27093749999999961</v>
      </c>
      <c r="E11" s="17">
        <f t="shared" si="3"/>
        <v>0.76</v>
      </c>
    </row>
    <row r="12" spans="1:6" x14ac:dyDescent="0.3">
      <c r="A12" s="1">
        <f t="shared" si="2"/>
        <v>25</v>
      </c>
      <c r="B12" s="1">
        <f t="shared" si="0"/>
        <v>25</v>
      </c>
      <c r="C12" s="4">
        <f>'APRR-SA'!C12</f>
        <v>1.5000000000000003E-2</v>
      </c>
      <c r="D12" s="23">
        <f t="shared" si="1"/>
        <v>1.2834374999999991</v>
      </c>
      <c r="E12" s="13">
        <f t="shared" si="3"/>
        <v>0.77500000000000002</v>
      </c>
    </row>
    <row r="13" spans="1:6" x14ac:dyDescent="0.3">
      <c r="A13" s="1">
        <f t="shared" si="2"/>
        <v>30</v>
      </c>
      <c r="B13" s="1">
        <f t="shared" si="0"/>
        <v>30</v>
      </c>
      <c r="C13" s="4">
        <f>'APRR-SA'!C13</f>
        <v>1.5000000000000003E-2</v>
      </c>
      <c r="D13" s="23">
        <f t="shared" si="1"/>
        <v>3.0459374999999991</v>
      </c>
      <c r="E13" s="41">
        <f t="shared" si="3"/>
        <v>0.79</v>
      </c>
    </row>
    <row r="14" spans="1:6" x14ac:dyDescent="0.3">
      <c r="A14" s="1">
        <f t="shared" si="2"/>
        <v>35</v>
      </c>
      <c r="B14" s="1">
        <f t="shared" si="0"/>
        <v>35</v>
      </c>
      <c r="C14" s="4">
        <f>'APRR-SA'!C14</f>
        <v>1.5000000000000003E-2</v>
      </c>
      <c r="D14" s="23">
        <f t="shared" si="1"/>
        <v>5.5584374999999993</v>
      </c>
      <c r="E14" s="4">
        <f t="shared" si="3"/>
        <v>0.80500000000000005</v>
      </c>
    </row>
    <row r="15" spans="1:6" x14ac:dyDescent="0.3">
      <c r="A15" s="1">
        <f t="shared" si="2"/>
        <v>40</v>
      </c>
      <c r="B15" s="1">
        <f t="shared" si="0"/>
        <v>40</v>
      </c>
      <c r="C15" s="4">
        <f>'APRR-SA'!C15</f>
        <v>1.5000000000000003E-2</v>
      </c>
      <c r="D15" s="23">
        <f t="shared" si="1"/>
        <v>8.8209374999999977</v>
      </c>
      <c r="E15" s="4">
        <f t="shared" si="3"/>
        <v>0.82000000000000006</v>
      </c>
    </row>
    <row r="16" spans="1:6" x14ac:dyDescent="0.3">
      <c r="A16" s="1">
        <f t="shared" si="2"/>
        <v>45</v>
      </c>
      <c r="B16" s="1">
        <f t="shared" si="0"/>
        <v>45</v>
      </c>
      <c r="C16" s="4">
        <f>'APRR-SA'!C16</f>
        <v>1.5000000000000003E-2</v>
      </c>
      <c r="D16" s="23">
        <f t="shared" si="1"/>
        <v>12.833437499999999</v>
      </c>
      <c r="E16" s="4">
        <f t="shared" si="3"/>
        <v>0.83500000000000008</v>
      </c>
    </row>
    <row r="17" spans="1:16" x14ac:dyDescent="0.3">
      <c r="A17" s="1">
        <f t="shared" si="2"/>
        <v>50</v>
      </c>
      <c r="B17" s="1">
        <f t="shared" si="0"/>
        <v>50</v>
      </c>
      <c r="C17" s="4">
        <f>'APRR-SA'!C17</f>
        <v>1.5000000000000003E-2</v>
      </c>
      <c r="D17" s="23">
        <f t="shared" si="1"/>
        <v>17.595937500000005</v>
      </c>
      <c r="E17" s="4">
        <f t="shared" si="3"/>
        <v>0.85000000000000009</v>
      </c>
    </row>
    <row r="18" spans="1:16" x14ac:dyDescent="0.3">
      <c r="A18" s="1">
        <f t="shared" si="2"/>
        <v>55</v>
      </c>
      <c r="B18" s="1">
        <f t="shared" si="0"/>
        <v>55</v>
      </c>
      <c r="C18" s="4">
        <f>'APRR-SA'!C18</f>
        <v>1.5000000000000003E-2</v>
      </c>
      <c r="D18" s="23">
        <f t="shared" si="1"/>
        <v>23.108437500000004</v>
      </c>
      <c r="E18" s="4">
        <f t="shared" si="3"/>
        <v>0.8650000000000001</v>
      </c>
    </row>
    <row r="19" spans="1:16" x14ac:dyDescent="0.3">
      <c r="A19" s="1">
        <f t="shared" si="2"/>
        <v>60</v>
      </c>
      <c r="B19" s="1">
        <f t="shared" si="0"/>
        <v>60</v>
      </c>
      <c r="C19" s="4">
        <f>'APRR-SA'!C19</f>
        <v>1.5000000000000003E-2</v>
      </c>
      <c r="D19" s="23">
        <f t="shared" si="1"/>
        <v>29.370937500000007</v>
      </c>
      <c r="E19" s="4">
        <f t="shared" si="3"/>
        <v>0.88000000000000012</v>
      </c>
    </row>
    <row r="20" spans="1:16" x14ac:dyDescent="0.3">
      <c r="A20" s="1">
        <f t="shared" si="2"/>
        <v>65</v>
      </c>
      <c r="B20" s="1">
        <f t="shared" si="0"/>
        <v>65</v>
      </c>
      <c r="C20" s="4">
        <f>'APRR-SA'!C20</f>
        <v>1.5000000000000003E-2</v>
      </c>
      <c r="D20" s="23">
        <f t="shared" si="1"/>
        <v>36.383437500000007</v>
      </c>
      <c r="E20" s="4">
        <f t="shared" si="3"/>
        <v>0.89500000000000013</v>
      </c>
    </row>
    <row r="21" spans="1:16" x14ac:dyDescent="0.3">
      <c r="A21" s="1">
        <f t="shared" si="2"/>
        <v>70</v>
      </c>
      <c r="B21" s="1">
        <f t="shared" si="0"/>
        <v>70</v>
      </c>
      <c r="C21" s="4">
        <f>'APRR-SA'!C21</f>
        <v>1.5000000000000003E-2</v>
      </c>
      <c r="D21" s="23">
        <f t="shared" si="1"/>
        <v>44.145937500000009</v>
      </c>
      <c r="E21" s="4">
        <f t="shared" si="3"/>
        <v>0.91000000000000014</v>
      </c>
    </row>
    <row r="22" spans="1:16" x14ac:dyDescent="0.3">
      <c r="A22" s="1">
        <f t="shared" si="2"/>
        <v>75</v>
      </c>
      <c r="B22" s="1">
        <f t="shared" si="0"/>
        <v>75</v>
      </c>
      <c r="C22" s="4">
        <f>'APRR-SA'!C22</f>
        <v>1.5000000000000003E-2</v>
      </c>
      <c r="D22" s="23">
        <f t="shared" si="1"/>
        <v>52.658437500000012</v>
      </c>
      <c r="E22" s="4">
        <f t="shared" si="3"/>
        <v>0.92500000000000016</v>
      </c>
    </row>
    <row r="23" spans="1:16" x14ac:dyDescent="0.3">
      <c r="A23" s="1">
        <f t="shared" si="2"/>
        <v>80</v>
      </c>
      <c r="B23" s="1">
        <f t="shared" si="0"/>
        <v>80</v>
      </c>
      <c r="C23" s="4">
        <f>'APRR-SA'!C23</f>
        <v>1.5000000000000003E-2</v>
      </c>
      <c r="D23" s="23">
        <f t="shared" si="1"/>
        <v>61.920937500000015</v>
      </c>
      <c r="E23" s="4">
        <f t="shared" si="3"/>
        <v>0.94000000000000017</v>
      </c>
    </row>
    <row r="24" spans="1:16" x14ac:dyDescent="0.3">
      <c r="A24" s="1">
        <f t="shared" si="2"/>
        <v>85</v>
      </c>
      <c r="B24" s="1">
        <f t="shared" si="0"/>
        <v>85</v>
      </c>
      <c r="C24" s="4">
        <f>'APRR-SA'!C24</f>
        <v>1.5000000000000003E-2</v>
      </c>
      <c r="D24" s="23">
        <f t="shared" si="1"/>
        <v>71.933437500000011</v>
      </c>
      <c r="E24" s="4">
        <f t="shared" si="3"/>
        <v>0.95500000000000018</v>
      </c>
    </row>
    <row r="25" spans="1:16" x14ac:dyDescent="0.3">
      <c r="A25" s="1">
        <f t="shared" si="2"/>
        <v>90</v>
      </c>
      <c r="B25" s="1">
        <f t="shared" si="0"/>
        <v>90</v>
      </c>
      <c r="C25" s="4">
        <f>'APRR-SA'!C25</f>
        <v>1.5000000000000003E-2</v>
      </c>
      <c r="D25" s="23">
        <f t="shared" si="1"/>
        <v>82.695937500000014</v>
      </c>
      <c r="E25" s="4">
        <f t="shared" si="3"/>
        <v>0.9700000000000002</v>
      </c>
    </row>
    <row r="26" spans="1:16" x14ac:dyDescent="0.3">
      <c r="A26" s="1">
        <f t="shared" si="2"/>
        <v>95</v>
      </c>
      <c r="B26" s="1">
        <f t="shared" si="0"/>
        <v>95</v>
      </c>
      <c r="C26" s="4">
        <f>'APRR-SA'!C26</f>
        <v>1.5000000000000003E-2</v>
      </c>
      <c r="D26" s="23">
        <f t="shared" si="1"/>
        <v>94.208437500000016</v>
      </c>
      <c r="E26" s="12">
        <f t="shared" si="3"/>
        <v>0.98500000000000021</v>
      </c>
      <c r="G26" s="63">
        <f>E27-E26</f>
        <v>1.5000000000000013E-2</v>
      </c>
      <c r="I26">
        <f>B27-B26</f>
        <v>5</v>
      </c>
      <c r="K26" s="63">
        <f>G26</f>
        <v>1.5000000000000013E-2</v>
      </c>
      <c r="L26">
        <f>I26</f>
        <v>5</v>
      </c>
    </row>
    <row r="27" spans="1:16" x14ac:dyDescent="0.3">
      <c r="A27" s="1">
        <f t="shared" si="2"/>
        <v>100</v>
      </c>
      <c r="B27" s="1">
        <f t="shared" si="0"/>
        <v>100</v>
      </c>
      <c r="C27" s="4">
        <f>'APRR-SA'!C27</f>
        <v>1.5000000000000003E-2</v>
      </c>
      <c r="D27" s="23">
        <f t="shared" si="1"/>
        <v>106.47093750000002</v>
      </c>
      <c r="E27" s="12">
        <f t="shared" si="3"/>
        <v>1.0000000000000002</v>
      </c>
      <c r="G27" s="63">
        <f>99.5%-E26</f>
        <v>9.9999999999997868E-3</v>
      </c>
      <c r="I27">
        <f>I26*G27/G26</f>
        <v>3.3333333333332593</v>
      </c>
      <c r="K27" s="63">
        <f>99.9%-E26</f>
        <v>1.3999999999999901E-2</v>
      </c>
      <c r="L27">
        <f>L26*K27/K26</f>
        <v>4.6666666666666297</v>
      </c>
      <c r="P27" s="70"/>
    </row>
    <row r="28" spans="1:16" x14ac:dyDescent="0.3">
      <c r="C28" s="3"/>
      <c r="G28" t="s">
        <v>93</v>
      </c>
      <c r="I28" s="64">
        <f>B26+I27</f>
        <v>98.333333333333258</v>
      </c>
    </row>
    <row r="29" spans="1:16" x14ac:dyDescent="0.3">
      <c r="A29" s="79" t="s">
        <v>15</v>
      </c>
      <c r="B29" s="79"/>
      <c r="C29" s="13">
        <f>SUMPRODUCT(B7:B27,C7:C27)</f>
        <v>15.750000000000004</v>
      </c>
      <c r="G29" t="s">
        <v>94</v>
      </c>
      <c r="I29" s="57">
        <f>B26+L27</f>
        <v>99.666666666666629</v>
      </c>
    </row>
    <row r="31" spans="1:16" x14ac:dyDescent="0.3">
      <c r="A31" s="1" t="s">
        <v>53</v>
      </c>
      <c r="B31" s="1"/>
      <c r="C31" s="23">
        <f>C29</f>
        <v>15.750000000000004</v>
      </c>
    </row>
    <row r="32" spans="1:16" x14ac:dyDescent="0.3">
      <c r="A32" s="1" t="s">
        <v>54</v>
      </c>
      <c r="B32" s="1"/>
      <c r="C32" s="23">
        <f>SUM(D7:D27)</f>
        <v>828.18750000000023</v>
      </c>
    </row>
    <row r="33" spans="1:18" x14ac:dyDescent="0.3">
      <c r="A33" s="1" t="s">
        <v>57</v>
      </c>
      <c r="B33" s="1"/>
      <c r="C33" s="43">
        <f>C29*(1+I33)</f>
        <v>21.262500000000006</v>
      </c>
      <c r="H33" s="57" t="s">
        <v>58</v>
      </c>
      <c r="I33" s="58">
        <v>0.35</v>
      </c>
    </row>
    <row r="34" spans="1:18" x14ac:dyDescent="0.3">
      <c r="A34" s="1" t="s">
        <v>59</v>
      </c>
      <c r="B34" s="1"/>
      <c r="C34" s="44">
        <f>C29+C32*I34</f>
        <v>24.031875000000007</v>
      </c>
      <c r="H34" s="57" t="s">
        <v>60</v>
      </c>
      <c r="I34" s="58">
        <v>0.01</v>
      </c>
    </row>
    <row r="35" spans="1:18" x14ac:dyDescent="0.3">
      <c r="A35" s="1" t="s">
        <v>62</v>
      </c>
      <c r="B35" s="1"/>
      <c r="C35" s="37">
        <f>25</f>
        <v>25</v>
      </c>
      <c r="H35" s="57" t="s">
        <v>61</v>
      </c>
      <c r="I35" s="59">
        <v>0.78</v>
      </c>
    </row>
    <row r="36" spans="1:18" x14ac:dyDescent="0.3">
      <c r="A36" s="1" t="s">
        <v>68</v>
      </c>
      <c r="B36" s="1"/>
      <c r="C36" s="45">
        <f>C33-$C$29</f>
        <v>5.5125000000000028</v>
      </c>
    </row>
    <row r="37" spans="1:18" ht="15" thickBot="1" x14ac:dyDescent="0.35">
      <c r="A37" s="1" t="s">
        <v>69</v>
      </c>
      <c r="B37" s="1"/>
      <c r="C37" s="45">
        <f t="shared" ref="C37:C38" si="4">C34-$C$29</f>
        <v>8.281875000000003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5">
        <f t="shared" si="4"/>
        <v>9.2499999999999964</v>
      </c>
      <c r="E38" s="25">
        <v>0</v>
      </c>
      <c r="F38" s="26"/>
      <c r="G38" s="26"/>
      <c r="H38" s="27">
        <v>1</v>
      </c>
      <c r="J38" s="25">
        <v>0</v>
      </c>
      <c r="K38" s="26"/>
      <c r="L38" s="26"/>
      <c r="M38" s="27">
        <v>1</v>
      </c>
      <c r="O38" s="25">
        <v>0</v>
      </c>
      <c r="P38" s="26"/>
      <c r="Q38" s="26"/>
      <c r="R38" s="27">
        <v>1</v>
      </c>
    </row>
    <row r="39" spans="1:18" x14ac:dyDescent="0.3">
      <c r="A39" s="1" t="s">
        <v>63</v>
      </c>
      <c r="B39" s="1"/>
      <c r="C39" s="46">
        <f>I28</f>
        <v>98.333333333333258</v>
      </c>
      <c r="E39" s="36">
        <f>+C41</f>
        <v>77.070833333333255</v>
      </c>
      <c r="H39" s="28">
        <f>-E39*(1+F45+F46)</f>
        <v>-82.46579166666659</v>
      </c>
      <c r="J39" s="36">
        <f>C42</f>
        <v>74.301458333333244</v>
      </c>
      <c r="M39" s="28">
        <f>-J39*(1+K45+K46)</f>
        <v>-79.502560416666569</v>
      </c>
      <c r="O39" s="36">
        <f>C43</f>
        <v>73.333333333333258</v>
      </c>
      <c r="R39" s="28">
        <f>-O39*(1+P45+P46)</f>
        <v>-78.466666666666583</v>
      </c>
    </row>
    <row r="40" spans="1:18" x14ac:dyDescent="0.3">
      <c r="A40" s="1" t="s">
        <v>64</v>
      </c>
      <c r="B40" s="1"/>
      <c r="C40" s="46">
        <f>I29</f>
        <v>99.666666666666629</v>
      </c>
      <c r="D40" s="20"/>
      <c r="E40" s="29"/>
      <c r="H40" s="28">
        <f>+E39*(1+F45)</f>
        <v>77.841541666666586</v>
      </c>
      <c r="J40" s="29"/>
      <c r="M40" s="28">
        <f>+J39*(1+K45)</f>
        <v>75.044472916666578</v>
      </c>
      <c r="O40" s="29"/>
      <c r="R40" s="28">
        <f>+O39*(1+P45)</f>
        <v>74.066666666666592</v>
      </c>
    </row>
    <row r="41" spans="1:18" x14ac:dyDescent="0.3">
      <c r="A41" s="1" t="s">
        <v>65</v>
      </c>
      <c r="B41" s="1"/>
      <c r="C41" s="43">
        <f>$C$39-C33</f>
        <v>77.070833333333255</v>
      </c>
      <c r="E41" s="35">
        <f>+H41/(1+F45)</f>
        <v>-4.5784653465346565</v>
      </c>
      <c r="H41" s="28">
        <f>+H39+H40</f>
        <v>-4.6242500000000035</v>
      </c>
      <c r="J41" s="35">
        <f>+M41/(1+K45)</f>
        <v>-4.4139480198019712</v>
      </c>
      <c r="M41" s="28">
        <f>+M39+M40</f>
        <v>-4.4580874999999907</v>
      </c>
      <c r="O41" s="35">
        <f>+R41/(1+P45)</f>
        <v>-4.3564356435643479</v>
      </c>
      <c r="R41" s="28">
        <f>+R39+R40</f>
        <v>-4.3999999999999915</v>
      </c>
    </row>
    <row r="42" spans="1:18" x14ac:dyDescent="0.3">
      <c r="A42" s="1" t="s">
        <v>66</v>
      </c>
      <c r="B42" s="1"/>
      <c r="C42" s="43">
        <f t="shared" ref="C42:C43" si="5">$C$39-C34</f>
        <v>74.301458333333244</v>
      </c>
      <c r="E42" s="29"/>
      <c r="H42" s="28"/>
      <c r="J42" s="29"/>
      <c r="M42" s="28"/>
      <c r="O42" s="29"/>
      <c r="R42" s="28"/>
    </row>
    <row r="43" spans="1:18" x14ac:dyDescent="0.3">
      <c r="A43" s="1" t="s">
        <v>67</v>
      </c>
      <c r="B43" s="1"/>
      <c r="C43" s="43">
        <f t="shared" si="5"/>
        <v>73.333333333333258</v>
      </c>
      <c r="E43" s="29"/>
      <c r="H43" s="28"/>
      <c r="J43" s="29"/>
      <c r="M43" s="28"/>
      <c r="O43" s="29"/>
      <c r="R43" s="28"/>
    </row>
    <row r="44" spans="1:18" x14ac:dyDescent="0.3">
      <c r="A44" s="1" t="s">
        <v>74</v>
      </c>
      <c r="B44" s="1"/>
      <c r="C44" s="49">
        <f>E41</f>
        <v>-4.5784653465346565</v>
      </c>
      <c r="E44" s="29" t="s">
        <v>71</v>
      </c>
      <c r="H44" s="28"/>
      <c r="J44" s="29" t="s">
        <v>71</v>
      </c>
      <c r="M44" s="28"/>
      <c r="O44" s="29" t="s">
        <v>71</v>
      </c>
      <c r="R44" s="28"/>
    </row>
    <row r="45" spans="1:18" x14ac:dyDescent="0.3">
      <c r="A45" s="1" t="s">
        <v>78</v>
      </c>
      <c r="B45" s="1"/>
      <c r="C45" s="49">
        <f>J41</f>
        <v>-4.4139480198019712</v>
      </c>
      <c r="E45" s="29" t="s">
        <v>72</v>
      </c>
      <c r="F45">
        <v>0.01</v>
      </c>
      <c r="H45" s="28"/>
      <c r="J45" s="29" t="s">
        <v>72</v>
      </c>
      <c r="K45">
        <v>0.01</v>
      </c>
      <c r="M45" s="28"/>
      <c r="O45" s="29" t="s">
        <v>72</v>
      </c>
      <c r="P45">
        <v>0.01</v>
      </c>
      <c r="R45" s="28"/>
    </row>
    <row r="46" spans="1:18" ht="15" thickBot="1" x14ac:dyDescent="0.35">
      <c r="A46" s="1" t="s">
        <v>79</v>
      </c>
      <c r="B46" s="1"/>
      <c r="C46" s="49">
        <f>O41</f>
        <v>-4.3564356435643479</v>
      </c>
      <c r="E46" s="30" t="s">
        <v>73</v>
      </c>
      <c r="F46" s="31">
        <v>0.06</v>
      </c>
      <c r="G46" s="32"/>
      <c r="H46" s="33"/>
      <c r="J46" s="30" t="s">
        <v>73</v>
      </c>
      <c r="K46" s="31">
        <v>0.06</v>
      </c>
      <c r="L46" s="32"/>
      <c r="M46" s="33"/>
      <c r="O46" s="30" t="s">
        <v>73</v>
      </c>
      <c r="P46" s="34">
        <v>0.06</v>
      </c>
      <c r="Q46" s="32"/>
      <c r="R46" s="33"/>
    </row>
    <row r="47" spans="1:18" x14ac:dyDescent="0.3">
      <c r="A47" s="1" t="s">
        <v>80</v>
      </c>
      <c r="B47" s="1"/>
      <c r="C47" s="50">
        <f>C36+C44</f>
        <v>0.93403465346534631</v>
      </c>
    </row>
    <row r="48" spans="1:18" x14ac:dyDescent="0.3">
      <c r="A48" s="1" t="s">
        <v>81</v>
      </c>
      <c r="B48" s="1"/>
      <c r="C48" s="50">
        <f t="shared" ref="C48:C49" si="6">C37+C45</f>
        <v>3.8679269801980318</v>
      </c>
    </row>
    <row r="49" spans="1:3" x14ac:dyDescent="0.3">
      <c r="A49" s="1" t="s">
        <v>82</v>
      </c>
      <c r="B49" s="1"/>
      <c r="C49" s="50">
        <f t="shared" si="6"/>
        <v>4.8935643564356486</v>
      </c>
    </row>
    <row r="50" spans="1:3" x14ac:dyDescent="0.3">
      <c r="A50" s="1" t="s">
        <v>83</v>
      </c>
      <c r="B50" s="1"/>
      <c r="C50" s="51">
        <f>C47/C41</f>
        <v>1.2119171586294174E-2</v>
      </c>
    </row>
    <row r="51" spans="1:3" x14ac:dyDescent="0.3">
      <c r="A51" s="1" t="s">
        <v>84</v>
      </c>
      <c r="B51" s="1"/>
      <c r="C51" s="51">
        <f t="shared" ref="C51:C52" si="7">C48/C42</f>
        <v>5.2057214850960681E-2</v>
      </c>
    </row>
    <row r="52" spans="1:3" x14ac:dyDescent="0.3">
      <c r="A52" s="1" t="s">
        <v>85</v>
      </c>
      <c r="B52" s="1"/>
      <c r="C52" s="51">
        <f t="shared" si="7"/>
        <v>6.6730423042304365E-2</v>
      </c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2"/>
  <sheetViews>
    <sheetView topLeftCell="A8" workbookViewId="0">
      <selection activeCell="D32" sqref="D32"/>
    </sheetView>
  </sheetViews>
  <sheetFormatPr defaultRowHeight="14.4" x14ac:dyDescent="0.3"/>
  <cols>
    <col min="1" max="1" width="23.109375" bestFit="1" customWidth="1"/>
    <col min="2" max="2" width="11.33203125" bestFit="1" customWidth="1"/>
    <col min="4" max="4" width="19.5546875" bestFit="1" customWidth="1"/>
    <col min="5" max="5" width="10.33203125" bestFit="1" customWidth="1"/>
  </cols>
  <sheetData>
    <row r="1" spans="1:6" ht="15" thickBot="1" x14ac:dyDescent="0.35">
      <c r="A1" s="73" t="s">
        <v>26</v>
      </c>
      <c r="B1" s="74"/>
      <c r="C1" s="74"/>
      <c r="D1" s="74"/>
      <c r="E1" s="74"/>
      <c r="F1" s="75"/>
    </row>
    <row r="2" spans="1:6" x14ac:dyDescent="0.3">
      <c r="A2" s="76" t="s">
        <v>27</v>
      </c>
      <c r="B2" s="77"/>
      <c r="C2" s="77"/>
      <c r="D2" s="77"/>
      <c r="E2" s="77"/>
      <c r="F2" s="78"/>
    </row>
    <row r="3" spans="1:6" x14ac:dyDescent="0.3">
      <c r="A3" s="80" t="s">
        <v>8</v>
      </c>
      <c r="B3" s="80"/>
      <c r="C3" s="80"/>
      <c r="D3" s="80"/>
      <c r="E3" s="80"/>
      <c r="F3" s="80"/>
    </row>
    <row r="4" spans="1:6" x14ac:dyDescent="0.3">
      <c r="A4" t="s">
        <v>25</v>
      </c>
      <c r="B4">
        <v>80</v>
      </c>
    </row>
    <row r="6" spans="1:6" x14ac:dyDescent="0.3">
      <c r="A6" s="5" t="s">
        <v>0</v>
      </c>
      <c r="B6" s="5" t="s">
        <v>21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1">
        <f>MIN($B$4,A7)</f>
        <v>0</v>
      </c>
      <c r="C7" s="12">
        <f>AGI!C7</f>
        <v>0.7</v>
      </c>
      <c r="D7" s="23">
        <f>(B7-$C$29)^2*C7</f>
        <v>157.5</v>
      </c>
      <c r="E7" s="4">
        <f>SUM($C$7:C7)</f>
        <v>0.7</v>
      </c>
    </row>
    <row r="8" spans="1:6" x14ac:dyDescent="0.3">
      <c r="A8" s="1">
        <f>A7+5</f>
        <v>5</v>
      </c>
      <c r="B8" s="1">
        <f t="shared" ref="B8:B27" si="0">MIN($B$4,A8)</f>
        <v>5</v>
      </c>
      <c r="C8" s="12">
        <f>AGI!C8</f>
        <v>1.5000000000000003E-2</v>
      </c>
      <c r="D8" s="23">
        <f t="shared" ref="D8:D27" si="1">(B8-$C$29)^2*C8</f>
        <v>1.5000000000000002</v>
      </c>
      <c r="E8" s="4">
        <f>SUM($C$7:C8)</f>
        <v>0.71499999999999997</v>
      </c>
    </row>
    <row r="9" spans="1:6" x14ac:dyDescent="0.3">
      <c r="A9" s="1">
        <f t="shared" ref="A9:A27" si="2">A8+5</f>
        <v>10</v>
      </c>
      <c r="B9" s="1">
        <f t="shared" si="0"/>
        <v>10</v>
      </c>
      <c r="C9" s="12">
        <f>AGI!C9</f>
        <v>1.5000000000000003E-2</v>
      </c>
      <c r="D9" s="23">
        <f t="shared" si="1"/>
        <v>0.37500000000000006</v>
      </c>
      <c r="E9" s="4">
        <f>SUM($C$7:C9)</f>
        <v>0.73</v>
      </c>
    </row>
    <row r="10" spans="1:6" x14ac:dyDescent="0.3">
      <c r="A10" s="1">
        <f t="shared" si="2"/>
        <v>15</v>
      </c>
      <c r="B10" s="1">
        <f t="shared" si="0"/>
        <v>15</v>
      </c>
      <c r="C10" s="12">
        <f>AGI!C10</f>
        <v>1.5000000000000003E-2</v>
      </c>
      <c r="D10" s="23">
        <f t="shared" si="1"/>
        <v>0</v>
      </c>
      <c r="E10" s="4">
        <f>SUM($C$7:C10)</f>
        <v>0.745</v>
      </c>
    </row>
    <row r="11" spans="1:6" x14ac:dyDescent="0.3">
      <c r="A11" s="1">
        <f t="shared" si="2"/>
        <v>20</v>
      </c>
      <c r="B11" s="1">
        <f t="shared" si="0"/>
        <v>20</v>
      </c>
      <c r="C11" s="12">
        <f>AGI!C11</f>
        <v>1.5000000000000003E-2</v>
      </c>
      <c r="D11" s="23">
        <f t="shared" si="1"/>
        <v>0.37500000000000006</v>
      </c>
      <c r="E11" s="4">
        <f>SUM($C$7:C11)</f>
        <v>0.76</v>
      </c>
    </row>
    <row r="12" spans="1:6" x14ac:dyDescent="0.3">
      <c r="A12" s="1">
        <f t="shared" si="2"/>
        <v>25</v>
      </c>
      <c r="B12" s="1">
        <f t="shared" si="0"/>
        <v>25</v>
      </c>
      <c r="C12" s="12">
        <f>AGI!C12</f>
        <v>1.5000000000000003E-2</v>
      </c>
      <c r="D12" s="23">
        <f t="shared" si="1"/>
        <v>1.5000000000000002</v>
      </c>
      <c r="E12" s="71">
        <f>SUM($C$7:C12)</f>
        <v>0.77500000000000002</v>
      </c>
    </row>
    <row r="13" spans="1:6" x14ac:dyDescent="0.3">
      <c r="A13" s="1">
        <f t="shared" si="2"/>
        <v>30</v>
      </c>
      <c r="B13" s="1">
        <f t="shared" si="0"/>
        <v>30</v>
      </c>
      <c r="C13" s="12">
        <f>AGI!C13</f>
        <v>1.5000000000000003E-2</v>
      </c>
      <c r="D13" s="23">
        <f t="shared" si="1"/>
        <v>3.3750000000000004</v>
      </c>
      <c r="E13" s="4">
        <f>SUM($C$7:C13)</f>
        <v>0.79</v>
      </c>
    </row>
    <row r="14" spans="1:6" x14ac:dyDescent="0.3">
      <c r="A14" s="1">
        <f t="shared" si="2"/>
        <v>35</v>
      </c>
      <c r="B14" s="1">
        <f t="shared" si="0"/>
        <v>35</v>
      </c>
      <c r="C14" s="12">
        <f>AGI!C14</f>
        <v>1.5000000000000003E-2</v>
      </c>
      <c r="D14" s="23">
        <f t="shared" si="1"/>
        <v>6.0000000000000009</v>
      </c>
      <c r="E14" s="4">
        <f>SUM($C$7:C14)</f>
        <v>0.80500000000000005</v>
      </c>
    </row>
    <row r="15" spans="1:6" x14ac:dyDescent="0.3">
      <c r="A15" s="1">
        <f t="shared" si="2"/>
        <v>40</v>
      </c>
      <c r="B15" s="1">
        <f t="shared" si="0"/>
        <v>40</v>
      </c>
      <c r="C15" s="12">
        <f>AGI!C15</f>
        <v>1.5000000000000003E-2</v>
      </c>
      <c r="D15" s="23">
        <f t="shared" si="1"/>
        <v>9.3750000000000018</v>
      </c>
      <c r="E15" s="4">
        <f>SUM($C$7:C15)</f>
        <v>0.82000000000000006</v>
      </c>
    </row>
    <row r="16" spans="1:6" x14ac:dyDescent="0.3">
      <c r="A16" s="1">
        <f t="shared" si="2"/>
        <v>45</v>
      </c>
      <c r="B16" s="1">
        <f t="shared" si="0"/>
        <v>45</v>
      </c>
      <c r="C16" s="12">
        <f>AGI!C16</f>
        <v>1.5000000000000003E-2</v>
      </c>
      <c r="D16" s="23">
        <f t="shared" si="1"/>
        <v>13.500000000000002</v>
      </c>
      <c r="E16" s="4">
        <f>SUM($C$7:C16)</f>
        <v>0.83500000000000008</v>
      </c>
    </row>
    <row r="17" spans="1:12" x14ac:dyDescent="0.3">
      <c r="A17" s="1">
        <f t="shared" si="2"/>
        <v>50</v>
      </c>
      <c r="B17" s="1">
        <f t="shared" si="0"/>
        <v>50</v>
      </c>
      <c r="C17" s="12">
        <f>AGI!C17</f>
        <v>1.5000000000000003E-2</v>
      </c>
      <c r="D17" s="23">
        <f t="shared" si="1"/>
        <v>18.375000000000004</v>
      </c>
      <c r="E17" s="4">
        <f>SUM($C$7:C17)</f>
        <v>0.85000000000000009</v>
      </c>
    </row>
    <row r="18" spans="1:12" x14ac:dyDescent="0.3">
      <c r="A18" s="1">
        <f t="shared" si="2"/>
        <v>55</v>
      </c>
      <c r="B18" s="1">
        <f t="shared" si="0"/>
        <v>55</v>
      </c>
      <c r="C18" s="12">
        <f>AGI!C18</f>
        <v>1.5000000000000003E-2</v>
      </c>
      <c r="D18" s="23">
        <f t="shared" si="1"/>
        <v>24.000000000000004</v>
      </c>
      <c r="E18" s="4">
        <f>SUM($C$7:C18)</f>
        <v>0.8650000000000001</v>
      </c>
    </row>
    <row r="19" spans="1:12" x14ac:dyDescent="0.3">
      <c r="A19" s="1">
        <f t="shared" si="2"/>
        <v>60</v>
      </c>
      <c r="B19" s="1">
        <f t="shared" si="0"/>
        <v>60</v>
      </c>
      <c r="C19" s="12">
        <f>AGI!C19</f>
        <v>1.5000000000000003E-2</v>
      </c>
      <c r="D19" s="23">
        <f t="shared" si="1"/>
        <v>30.375000000000007</v>
      </c>
      <c r="E19" s="4">
        <f>SUM($C$7:C19)</f>
        <v>0.88000000000000012</v>
      </c>
    </row>
    <row r="20" spans="1:12" x14ac:dyDescent="0.3">
      <c r="A20" s="1">
        <f t="shared" si="2"/>
        <v>65</v>
      </c>
      <c r="B20" s="1">
        <f t="shared" si="0"/>
        <v>65</v>
      </c>
      <c r="C20" s="12">
        <f>AGI!C20</f>
        <v>1.5000000000000003E-2</v>
      </c>
      <c r="D20" s="23">
        <f t="shared" si="1"/>
        <v>37.500000000000007</v>
      </c>
      <c r="E20" s="4">
        <f>SUM($C$7:C20)</f>
        <v>0.89500000000000013</v>
      </c>
    </row>
    <row r="21" spans="1:12" x14ac:dyDescent="0.3">
      <c r="A21" s="1">
        <f t="shared" si="2"/>
        <v>70</v>
      </c>
      <c r="B21" s="1">
        <f t="shared" si="0"/>
        <v>70</v>
      </c>
      <c r="C21" s="12">
        <f>AGI!C21</f>
        <v>1.5000000000000003E-2</v>
      </c>
      <c r="D21" s="23">
        <f t="shared" si="1"/>
        <v>45.375000000000007</v>
      </c>
      <c r="E21" s="4">
        <f>SUM($C$7:C21)</f>
        <v>0.91000000000000014</v>
      </c>
    </row>
    <row r="22" spans="1:12" x14ac:dyDescent="0.3">
      <c r="A22" s="1">
        <f t="shared" si="2"/>
        <v>75</v>
      </c>
      <c r="B22" s="1">
        <f t="shared" si="0"/>
        <v>75</v>
      </c>
      <c r="C22" s="12">
        <f>AGI!C22</f>
        <v>1.5000000000000003E-2</v>
      </c>
      <c r="D22" s="23">
        <f t="shared" si="1"/>
        <v>54.000000000000007</v>
      </c>
      <c r="E22" s="4">
        <f>SUM($C$7:C22)</f>
        <v>0.92500000000000016</v>
      </c>
    </row>
    <row r="23" spans="1:12" x14ac:dyDescent="0.3">
      <c r="A23" s="1">
        <f t="shared" si="2"/>
        <v>80</v>
      </c>
      <c r="B23" s="1">
        <f t="shared" si="0"/>
        <v>80</v>
      </c>
      <c r="C23" s="12">
        <f>AGI!C23</f>
        <v>1.5000000000000003E-2</v>
      </c>
      <c r="D23" s="23">
        <f t="shared" si="1"/>
        <v>63.375000000000014</v>
      </c>
      <c r="E23" s="4">
        <f>SUM($C$7:C23)</f>
        <v>0.94000000000000017</v>
      </c>
    </row>
    <row r="24" spans="1:12" x14ac:dyDescent="0.3">
      <c r="A24" s="1">
        <f t="shared" si="2"/>
        <v>85</v>
      </c>
      <c r="B24" s="1">
        <f t="shared" si="0"/>
        <v>80</v>
      </c>
      <c r="C24" s="12">
        <f>AGI!C24</f>
        <v>1.5000000000000003E-2</v>
      </c>
      <c r="D24" s="23">
        <f t="shared" si="1"/>
        <v>63.375000000000014</v>
      </c>
      <c r="E24" s="4">
        <f>SUM($C$7:C24)</f>
        <v>0.95500000000000018</v>
      </c>
    </row>
    <row r="25" spans="1:12" x14ac:dyDescent="0.3">
      <c r="A25" s="1">
        <f t="shared" si="2"/>
        <v>90</v>
      </c>
      <c r="B25" s="1">
        <f t="shared" si="0"/>
        <v>80</v>
      </c>
      <c r="C25" s="12">
        <f>AGI!C25</f>
        <v>1.5000000000000003E-2</v>
      </c>
      <c r="D25" s="23">
        <f t="shared" si="1"/>
        <v>63.375000000000014</v>
      </c>
      <c r="E25" s="4">
        <f>SUM($C$7:C25)</f>
        <v>0.9700000000000002</v>
      </c>
    </row>
    <row r="26" spans="1:12" x14ac:dyDescent="0.3">
      <c r="A26" s="1">
        <f t="shared" si="2"/>
        <v>95</v>
      </c>
      <c r="B26" s="1">
        <f t="shared" si="0"/>
        <v>80</v>
      </c>
      <c r="C26" s="12">
        <f>AGI!C26</f>
        <v>1.5000000000000003E-2</v>
      </c>
      <c r="D26" s="23">
        <f t="shared" si="1"/>
        <v>63.375000000000014</v>
      </c>
      <c r="E26" s="4">
        <f>SUM($C$7:C26)</f>
        <v>0.98500000000000021</v>
      </c>
      <c r="G26" s="63">
        <f>E27-E26</f>
        <v>1.5000000000000013E-2</v>
      </c>
      <c r="I26">
        <f>B27-B26</f>
        <v>0</v>
      </c>
      <c r="K26" s="63">
        <f>G26</f>
        <v>1.5000000000000013E-2</v>
      </c>
      <c r="L26">
        <f>I26</f>
        <v>0</v>
      </c>
    </row>
    <row r="27" spans="1:12" x14ac:dyDescent="0.3">
      <c r="A27" s="1">
        <f t="shared" si="2"/>
        <v>100</v>
      </c>
      <c r="B27" s="1">
        <f t="shared" si="0"/>
        <v>80</v>
      </c>
      <c r="C27" s="12">
        <f>AGI!C27</f>
        <v>1.5000000000000003E-2</v>
      </c>
      <c r="D27" s="23">
        <f t="shared" si="1"/>
        <v>63.375000000000014</v>
      </c>
      <c r="E27" s="4">
        <f>SUM($C$7:C27)</f>
        <v>1.0000000000000002</v>
      </c>
      <c r="G27" s="63">
        <f>99.5%-E26</f>
        <v>9.9999999999997868E-3</v>
      </c>
      <c r="I27">
        <f>I26*G27/G26</f>
        <v>0</v>
      </c>
      <c r="K27" s="63">
        <f>99.9%-E26</f>
        <v>1.3999999999999901E-2</v>
      </c>
      <c r="L27">
        <f>L26*K27/K26</f>
        <v>0</v>
      </c>
    </row>
    <row r="28" spans="1:12" x14ac:dyDescent="0.3">
      <c r="C28" s="3"/>
      <c r="G28" t="s">
        <v>93</v>
      </c>
      <c r="I28" s="64">
        <f>B26+I27</f>
        <v>80</v>
      </c>
    </row>
    <row r="29" spans="1:12" x14ac:dyDescent="0.3">
      <c r="A29" s="79" t="s">
        <v>15</v>
      </c>
      <c r="B29" s="79"/>
      <c r="C29" s="13">
        <f>SUMPRODUCT(B7:B27,C7:C27)</f>
        <v>15</v>
      </c>
      <c r="G29" t="s">
        <v>94</v>
      </c>
      <c r="I29" s="57">
        <f>B26+L27</f>
        <v>80</v>
      </c>
    </row>
    <row r="31" spans="1:12" x14ac:dyDescent="0.3">
      <c r="A31" s="1" t="s">
        <v>53</v>
      </c>
      <c r="B31" s="1"/>
      <c r="C31" s="23">
        <f>C29</f>
        <v>15</v>
      </c>
    </row>
    <row r="32" spans="1:12" x14ac:dyDescent="0.3">
      <c r="A32" s="1" t="s">
        <v>54</v>
      </c>
      <c r="B32" s="1"/>
      <c r="C32" s="23">
        <f>SUM(D7:D27)</f>
        <v>720</v>
      </c>
    </row>
    <row r="33" spans="1:18" x14ac:dyDescent="0.3">
      <c r="A33" s="1" t="s">
        <v>57</v>
      </c>
      <c r="B33" s="1"/>
      <c r="C33" s="43">
        <f>$C$29+C29*I33</f>
        <v>20.25</v>
      </c>
      <c r="H33" t="s">
        <v>58</v>
      </c>
      <c r="I33" s="10">
        <f>AGI!I33</f>
        <v>0.35</v>
      </c>
    </row>
    <row r="34" spans="1:18" x14ac:dyDescent="0.3">
      <c r="A34" s="1" t="s">
        <v>59</v>
      </c>
      <c r="B34" s="1"/>
      <c r="C34" s="43">
        <f>$C$29+C32*I34</f>
        <v>22.2</v>
      </c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7">
        <f>25</f>
        <v>25</v>
      </c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5">
        <f>C33-$C$29</f>
        <v>5.25</v>
      </c>
    </row>
    <row r="37" spans="1:18" ht="15" thickBot="1" x14ac:dyDescent="0.35">
      <c r="A37" s="1" t="s">
        <v>69</v>
      </c>
      <c r="B37" s="1"/>
      <c r="C37" s="45">
        <f t="shared" ref="C37:C38" si="3">C34-$C$29</f>
        <v>7.1999999999999993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5">
        <f t="shared" si="3"/>
        <v>10</v>
      </c>
      <c r="E38" s="25">
        <v>0</v>
      </c>
      <c r="F38" s="26"/>
      <c r="G38" s="26"/>
      <c r="H38" s="27">
        <v>1</v>
      </c>
      <c r="J38" s="25">
        <v>0</v>
      </c>
      <c r="K38" s="26"/>
      <c r="L38" s="26"/>
      <c r="M38" s="27">
        <v>1</v>
      </c>
      <c r="O38" s="25">
        <v>0</v>
      </c>
      <c r="P38" s="26"/>
      <c r="Q38" s="26"/>
      <c r="R38" s="27">
        <v>1</v>
      </c>
    </row>
    <row r="39" spans="1:18" x14ac:dyDescent="0.3">
      <c r="A39" s="1" t="s">
        <v>63</v>
      </c>
      <c r="B39" s="1"/>
      <c r="C39" s="46">
        <f>I28</f>
        <v>80</v>
      </c>
      <c r="E39" s="36">
        <f>+C41</f>
        <v>59.75</v>
      </c>
      <c r="H39" s="28">
        <f>-E39*(1+F45+F46)</f>
        <v>-63.932500000000005</v>
      </c>
      <c r="J39" s="36">
        <f>C42</f>
        <v>57.8</v>
      </c>
      <c r="M39" s="28">
        <f>-J39*(1+K45+K46)</f>
        <v>-61.846000000000004</v>
      </c>
      <c r="O39" s="36">
        <f>C43</f>
        <v>55</v>
      </c>
      <c r="R39" s="28">
        <f>-O39*(1+P45+P46)</f>
        <v>-58.85</v>
      </c>
    </row>
    <row r="40" spans="1:18" x14ac:dyDescent="0.3">
      <c r="A40" s="1" t="s">
        <v>64</v>
      </c>
      <c r="B40" s="1"/>
      <c r="C40" s="46">
        <f>I29</f>
        <v>80</v>
      </c>
      <c r="D40" s="20"/>
      <c r="E40" s="29"/>
      <c r="H40" s="28">
        <f>+E39*(1+F45)</f>
        <v>60.347500000000004</v>
      </c>
      <c r="J40" s="29"/>
      <c r="M40" s="28">
        <f>+J39*(1+K45)</f>
        <v>58.378</v>
      </c>
      <c r="O40" s="29"/>
      <c r="R40" s="28">
        <f>+O39*(1+P45)</f>
        <v>55.55</v>
      </c>
    </row>
    <row r="41" spans="1:18" x14ac:dyDescent="0.3">
      <c r="A41" s="1" t="s">
        <v>65</v>
      </c>
      <c r="B41" s="1"/>
      <c r="C41" s="43">
        <f>-C33+$C$39</f>
        <v>59.75</v>
      </c>
      <c r="E41" s="35">
        <f>+H41/(1+F45)</f>
        <v>-3.5495049504950504</v>
      </c>
      <c r="H41" s="28">
        <f>+H39+H40</f>
        <v>-3.5850000000000009</v>
      </c>
      <c r="J41" s="35">
        <f>+M41/(1+K45)</f>
        <v>-3.4336633663366372</v>
      </c>
      <c r="M41" s="28">
        <f>+M39+M40</f>
        <v>-3.4680000000000035</v>
      </c>
      <c r="O41" s="35">
        <f>+R41/(1+P45)</f>
        <v>-3.2673267326732716</v>
      </c>
      <c r="R41" s="28">
        <f>+R39+R40</f>
        <v>-3.3000000000000043</v>
      </c>
    </row>
    <row r="42" spans="1:18" x14ac:dyDescent="0.3">
      <c r="A42" s="1" t="s">
        <v>66</v>
      </c>
      <c r="B42" s="1"/>
      <c r="C42" s="43">
        <f t="shared" ref="C42:C43" si="4">-C34+$C$39</f>
        <v>57.8</v>
      </c>
      <c r="E42" s="29"/>
      <c r="H42" s="28"/>
      <c r="J42" s="29"/>
      <c r="M42" s="28"/>
      <c r="O42" s="29"/>
      <c r="R42" s="28"/>
    </row>
    <row r="43" spans="1:18" x14ac:dyDescent="0.3">
      <c r="A43" s="1" t="s">
        <v>67</v>
      </c>
      <c r="B43" s="1"/>
      <c r="C43" s="43">
        <f t="shared" si="4"/>
        <v>55</v>
      </c>
      <c r="E43" s="29"/>
      <c r="H43" s="28"/>
      <c r="J43" s="29"/>
      <c r="M43" s="28"/>
      <c r="O43" s="29"/>
      <c r="R43" s="28"/>
    </row>
    <row r="44" spans="1:18" x14ac:dyDescent="0.3">
      <c r="A44" s="1" t="s">
        <v>74</v>
      </c>
      <c r="B44" s="1"/>
      <c r="C44" s="49">
        <f>E41</f>
        <v>-3.5495049504950504</v>
      </c>
      <c r="E44" s="29" t="s">
        <v>71</v>
      </c>
      <c r="H44" s="28"/>
      <c r="J44" s="29" t="s">
        <v>71</v>
      </c>
      <c r="M44" s="28"/>
      <c r="O44" s="29" t="s">
        <v>71</v>
      </c>
      <c r="R44" s="28"/>
    </row>
    <row r="45" spans="1:18" x14ac:dyDescent="0.3">
      <c r="A45" s="1" t="s">
        <v>78</v>
      </c>
      <c r="B45" s="1"/>
      <c r="C45" s="49">
        <f>J41</f>
        <v>-3.4336633663366372</v>
      </c>
      <c r="E45" s="29" t="s">
        <v>72</v>
      </c>
      <c r="F45">
        <v>0.01</v>
      </c>
      <c r="H45" s="28"/>
      <c r="J45" s="29" t="s">
        <v>72</v>
      </c>
      <c r="K45">
        <v>0.01</v>
      </c>
      <c r="M45" s="28"/>
      <c r="O45" s="29" t="s">
        <v>72</v>
      </c>
      <c r="P45">
        <v>0.01</v>
      </c>
      <c r="R45" s="28"/>
    </row>
    <row r="46" spans="1:18" ht="15" thickBot="1" x14ac:dyDescent="0.35">
      <c r="A46" s="1" t="s">
        <v>79</v>
      </c>
      <c r="B46" s="1"/>
      <c r="C46" s="49">
        <f>O41</f>
        <v>-3.2673267326732716</v>
      </c>
      <c r="E46" s="30" t="s">
        <v>73</v>
      </c>
      <c r="F46" s="31">
        <v>0.06</v>
      </c>
      <c r="G46" s="32"/>
      <c r="H46" s="33"/>
      <c r="J46" s="30" t="s">
        <v>73</v>
      </c>
      <c r="K46" s="31">
        <v>0.06</v>
      </c>
      <c r="L46" s="32"/>
      <c r="M46" s="33"/>
      <c r="O46" s="30" t="s">
        <v>73</v>
      </c>
      <c r="P46" s="34">
        <v>0.06</v>
      </c>
      <c r="Q46" s="32"/>
      <c r="R46" s="33"/>
    </row>
    <row r="47" spans="1:18" x14ac:dyDescent="0.3">
      <c r="A47" s="1" t="s">
        <v>80</v>
      </c>
      <c r="B47" s="1"/>
      <c r="C47" s="50">
        <f>C44+C36</f>
        <v>1.7004950495049496</v>
      </c>
    </row>
    <row r="48" spans="1:18" x14ac:dyDescent="0.3">
      <c r="A48" s="1" t="s">
        <v>81</v>
      </c>
      <c r="B48" s="1"/>
      <c r="C48" s="50">
        <f t="shared" ref="C48:C49" si="5">C45+C37</f>
        <v>3.7663366336633621</v>
      </c>
    </row>
    <row r="49" spans="1:3" x14ac:dyDescent="0.3">
      <c r="A49" s="1" t="s">
        <v>82</v>
      </c>
      <c r="B49" s="1"/>
      <c r="C49" s="50">
        <f t="shared" si="5"/>
        <v>6.732673267326728</v>
      </c>
    </row>
    <row r="50" spans="1:3" x14ac:dyDescent="0.3">
      <c r="A50" s="1" t="s">
        <v>83</v>
      </c>
      <c r="B50" s="1"/>
      <c r="C50" s="51">
        <f>C47/C41</f>
        <v>2.8460168192551458E-2</v>
      </c>
    </row>
    <row r="51" spans="1:3" x14ac:dyDescent="0.3">
      <c r="A51" s="1" t="s">
        <v>84</v>
      </c>
      <c r="B51" s="1"/>
      <c r="C51" s="51">
        <f t="shared" ref="C51:C52" si="6">C48/C42</f>
        <v>6.5161533454383427E-2</v>
      </c>
    </row>
    <row r="52" spans="1:3" x14ac:dyDescent="0.3">
      <c r="A52" s="1" t="s">
        <v>85</v>
      </c>
      <c r="B52" s="1"/>
      <c r="C52" s="51">
        <f t="shared" si="6"/>
        <v>0.12241224122412232</v>
      </c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2"/>
  <sheetViews>
    <sheetView topLeftCell="A27" workbookViewId="0">
      <selection activeCell="C49" sqref="C49"/>
    </sheetView>
  </sheetViews>
  <sheetFormatPr defaultRowHeight="14.4" x14ac:dyDescent="0.3"/>
  <cols>
    <col min="1" max="1" width="23.109375" bestFit="1" customWidth="1"/>
    <col min="2" max="2" width="15.109375" bestFit="1" customWidth="1"/>
    <col min="4" max="4" width="19.5546875" bestFit="1" customWidth="1"/>
  </cols>
  <sheetData>
    <row r="1" spans="1:6" ht="15" thickBot="1" x14ac:dyDescent="0.35">
      <c r="A1" s="73" t="s">
        <v>26</v>
      </c>
      <c r="B1" s="74"/>
      <c r="C1" s="74"/>
      <c r="D1" s="74"/>
      <c r="E1" s="74"/>
      <c r="F1" s="75"/>
    </row>
    <row r="2" spans="1:6" x14ac:dyDescent="0.3">
      <c r="A2" s="76" t="s">
        <v>27</v>
      </c>
      <c r="B2" s="77"/>
      <c r="C2" s="77"/>
      <c r="D2" s="77"/>
      <c r="E2" s="77"/>
      <c r="F2" s="78"/>
    </row>
    <row r="3" spans="1:6" x14ac:dyDescent="0.3">
      <c r="A3" s="80" t="s">
        <v>31</v>
      </c>
      <c r="B3" s="80"/>
      <c r="C3" s="80"/>
      <c r="D3" s="80"/>
      <c r="E3" s="80"/>
      <c r="F3" s="80"/>
    </row>
    <row r="4" spans="1:6" x14ac:dyDescent="0.3">
      <c r="A4" t="s">
        <v>34</v>
      </c>
      <c r="B4">
        <v>15</v>
      </c>
    </row>
    <row r="6" spans="1:6" x14ac:dyDescent="0.3">
      <c r="A6" s="5" t="s">
        <v>0</v>
      </c>
      <c r="B6" s="5" t="s">
        <v>33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56">
        <v>0</v>
      </c>
      <c r="B7" s="56">
        <f>IF(A7&lt;=$B$4,0,A7)</f>
        <v>0</v>
      </c>
      <c r="C7" s="12">
        <f>APRA!C7</f>
        <v>0.7</v>
      </c>
      <c r="D7" s="23">
        <f>(B7-$C$29)^2*C7</f>
        <v>163.863</v>
      </c>
      <c r="E7" s="4">
        <f>SUM($C$7:C7)</f>
        <v>0.7</v>
      </c>
    </row>
    <row r="8" spans="1:6" x14ac:dyDescent="0.3">
      <c r="A8" s="56">
        <f>A7+5</f>
        <v>5</v>
      </c>
      <c r="B8" s="56">
        <f t="shared" ref="B8:B27" si="0">IF(A8&lt;=$B$4,0,A8)</f>
        <v>0</v>
      </c>
      <c r="C8" s="12">
        <f>APRA!C8</f>
        <v>1.5000000000000003E-2</v>
      </c>
      <c r="D8" s="23">
        <f t="shared" ref="D8:D27" si="1">(B8-$C$29)^2*C8</f>
        <v>3.5113500000000011</v>
      </c>
      <c r="E8" s="4">
        <f>SUM($C$7:C8)</f>
        <v>0.71499999999999997</v>
      </c>
    </row>
    <row r="9" spans="1:6" x14ac:dyDescent="0.3">
      <c r="A9" s="56">
        <f t="shared" ref="A9:A27" si="2">A8+5</f>
        <v>10</v>
      </c>
      <c r="B9" s="56">
        <f t="shared" si="0"/>
        <v>0</v>
      </c>
      <c r="C9" s="12">
        <f>APRA!C9</f>
        <v>1.5000000000000003E-2</v>
      </c>
      <c r="D9" s="23">
        <f t="shared" si="1"/>
        <v>3.5113500000000011</v>
      </c>
      <c r="E9" s="4">
        <f>SUM($C$7:C9)</f>
        <v>0.73</v>
      </c>
    </row>
    <row r="10" spans="1:6" x14ac:dyDescent="0.3">
      <c r="A10" s="1">
        <f t="shared" si="2"/>
        <v>15</v>
      </c>
      <c r="B10" s="56">
        <f t="shared" si="0"/>
        <v>0</v>
      </c>
      <c r="C10" s="12">
        <f>APRA!C10</f>
        <v>1.5000000000000003E-2</v>
      </c>
      <c r="D10" s="23">
        <f t="shared" si="1"/>
        <v>3.5113500000000011</v>
      </c>
      <c r="E10" s="4">
        <f>SUM($C$7:C10)</f>
        <v>0.745</v>
      </c>
    </row>
    <row r="11" spans="1:6" x14ac:dyDescent="0.3">
      <c r="A11" s="1">
        <f t="shared" si="2"/>
        <v>20</v>
      </c>
      <c r="B11" s="56">
        <f t="shared" si="0"/>
        <v>20</v>
      </c>
      <c r="C11" s="12">
        <f>APRA!C11</f>
        <v>1.5000000000000003E-2</v>
      </c>
      <c r="D11" s="23">
        <f t="shared" si="1"/>
        <v>0.33134999999999998</v>
      </c>
      <c r="E11" s="4">
        <f>SUM($C$7:C11)</f>
        <v>0.76</v>
      </c>
    </row>
    <row r="12" spans="1:6" x14ac:dyDescent="0.3">
      <c r="A12" s="1">
        <f t="shared" si="2"/>
        <v>25</v>
      </c>
      <c r="B12" s="56">
        <f t="shared" si="0"/>
        <v>25</v>
      </c>
      <c r="C12" s="12">
        <f>APRA!C12</f>
        <v>1.5000000000000003E-2</v>
      </c>
      <c r="D12" s="23">
        <f t="shared" si="1"/>
        <v>1.4113500000000001</v>
      </c>
      <c r="E12" s="71">
        <f>SUM($C$7:C12)</f>
        <v>0.77500000000000002</v>
      </c>
    </row>
    <row r="13" spans="1:6" x14ac:dyDescent="0.3">
      <c r="A13" s="1">
        <f t="shared" si="2"/>
        <v>30</v>
      </c>
      <c r="B13" s="56">
        <f t="shared" si="0"/>
        <v>30</v>
      </c>
      <c r="C13" s="12">
        <f>APRA!C13</f>
        <v>1.5000000000000003E-2</v>
      </c>
      <c r="D13" s="23">
        <f t="shared" si="1"/>
        <v>3.2413500000000002</v>
      </c>
      <c r="E13" s="4">
        <f>SUM($C$7:C13)</f>
        <v>0.79</v>
      </c>
    </row>
    <row r="14" spans="1:6" x14ac:dyDescent="0.3">
      <c r="A14" s="1">
        <f t="shared" si="2"/>
        <v>35</v>
      </c>
      <c r="B14" s="56">
        <f t="shared" si="0"/>
        <v>35</v>
      </c>
      <c r="C14" s="12">
        <f>APRA!C14</f>
        <v>1.5000000000000003E-2</v>
      </c>
      <c r="D14" s="23">
        <f t="shared" si="1"/>
        <v>5.8213500000000007</v>
      </c>
      <c r="E14" s="4">
        <f>SUM($C$7:C14)</f>
        <v>0.80500000000000005</v>
      </c>
    </row>
    <row r="15" spans="1:6" x14ac:dyDescent="0.3">
      <c r="A15" s="1">
        <f t="shared" si="2"/>
        <v>40</v>
      </c>
      <c r="B15" s="56">
        <f t="shared" si="0"/>
        <v>40</v>
      </c>
      <c r="C15" s="12">
        <f>APRA!C15</f>
        <v>1.5000000000000003E-2</v>
      </c>
      <c r="D15" s="23">
        <f t="shared" si="1"/>
        <v>9.1513500000000008</v>
      </c>
      <c r="E15" s="4">
        <f>SUM($C$7:C15)</f>
        <v>0.82000000000000006</v>
      </c>
    </row>
    <row r="16" spans="1:6" x14ac:dyDescent="0.3">
      <c r="A16" s="1">
        <f t="shared" si="2"/>
        <v>45</v>
      </c>
      <c r="B16" s="56">
        <f t="shared" si="0"/>
        <v>45</v>
      </c>
      <c r="C16" s="12">
        <f>APRA!C16</f>
        <v>1.5000000000000003E-2</v>
      </c>
      <c r="D16" s="23">
        <f t="shared" si="1"/>
        <v>13.231350000000001</v>
      </c>
      <c r="E16" s="4">
        <f>SUM($C$7:C16)</f>
        <v>0.83500000000000008</v>
      </c>
    </row>
    <row r="17" spans="1:12" x14ac:dyDescent="0.3">
      <c r="A17" s="1">
        <f t="shared" si="2"/>
        <v>50</v>
      </c>
      <c r="B17" s="56">
        <f t="shared" si="0"/>
        <v>50</v>
      </c>
      <c r="C17" s="12">
        <f>APRA!C17</f>
        <v>1.5000000000000003E-2</v>
      </c>
      <c r="D17" s="23">
        <f t="shared" si="1"/>
        <v>18.061350000000004</v>
      </c>
      <c r="E17" s="4">
        <f>SUM($C$7:C17)</f>
        <v>0.85000000000000009</v>
      </c>
    </row>
    <row r="18" spans="1:12" x14ac:dyDescent="0.3">
      <c r="A18" s="1">
        <f t="shared" si="2"/>
        <v>55</v>
      </c>
      <c r="B18" s="56">
        <f t="shared" si="0"/>
        <v>55</v>
      </c>
      <c r="C18" s="12">
        <f>APRA!C18</f>
        <v>1.5000000000000003E-2</v>
      </c>
      <c r="D18" s="23">
        <f t="shared" si="1"/>
        <v>23.641350000000006</v>
      </c>
      <c r="E18" s="4">
        <f>SUM($C$7:C18)</f>
        <v>0.8650000000000001</v>
      </c>
    </row>
    <row r="19" spans="1:12" x14ac:dyDescent="0.3">
      <c r="A19" s="1">
        <f t="shared" si="2"/>
        <v>60</v>
      </c>
      <c r="B19" s="56">
        <f t="shared" si="0"/>
        <v>60</v>
      </c>
      <c r="C19" s="12">
        <f>APRA!C19</f>
        <v>1.5000000000000003E-2</v>
      </c>
      <c r="D19" s="23">
        <f t="shared" si="1"/>
        <v>29.971350000000008</v>
      </c>
      <c r="E19" s="4">
        <f>SUM($C$7:C19)</f>
        <v>0.88000000000000012</v>
      </c>
    </row>
    <row r="20" spans="1:12" x14ac:dyDescent="0.3">
      <c r="A20" s="1">
        <f t="shared" si="2"/>
        <v>65</v>
      </c>
      <c r="B20" s="56">
        <f t="shared" si="0"/>
        <v>65</v>
      </c>
      <c r="C20" s="12">
        <f>APRA!C20</f>
        <v>1.5000000000000003E-2</v>
      </c>
      <c r="D20" s="23">
        <f t="shared" si="1"/>
        <v>37.051350000000006</v>
      </c>
      <c r="E20" s="4">
        <f>SUM($C$7:C20)</f>
        <v>0.89500000000000013</v>
      </c>
    </row>
    <row r="21" spans="1:12" x14ac:dyDescent="0.3">
      <c r="A21" s="1">
        <f t="shared" si="2"/>
        <v>70</v>
      </c>
      <c r="B21" s="56">
        <f t="shared" si="0"/>
        <v>70</v>
      </c>
      <c r="C21" s="12">
        <f>APRA!C21</f>
        <v>1.5000000000000003E-2</v>
      </c>
      <c r="D21" s="23">
        <f t="shared" si="1"/>
        <v>44.881350000000012</v>
      </c>
      <c r="E21" s="4">
        <f>SUM($C$7:C21)</f>
        <v>0.91000000000000014</v>
      </c>
    </row>
    <row r="22" spans="1:12" x14ac:dyDescent="0.3">
      <c r="A22" s="1">
        <f t="shared" si="2"/>
        <v>75</v>
      </c>
      <c r="B22" s="56">
        <f t="shared" si="0"/>
        <v>75</v>
      </c>
      <c r="C22" s="12">
        <f>APRA!C22</f>
        <v>1.5000000000000003E-2</v>
      </c>
      <c r="D22" s="23">
        <f t="shared" si="1"/>
        <v>53.46135000000001</v>
      </c>
      <c r="E22" s="4">
        <f>SUM($C$7:C22)</f>
        <v>0.92500000000000016</v>
      </c>
    </row>
    <row r="23" spans="1:12" x14ac:dyDescent="0.3">
      <c r="A23" s="1">
        <f t="shared" si="2"/>
        <v>80</v>
      </c>
      <c r="B23" s="56">
        <f t="shared" si="0"/>
        <v>80</v>
      </c>
      <c r="C23" s="12">
        <f>APRA!C23</f>
        <v>1.5000000000000003E-2</v>
      </c>
      <c r="D23" s="23">
        <f t="shared" si="1"/>
        <v>62.791350000000016</v>
      </c>
      <c r="E23" s="4">
        <f>SUM($C$7:C23)</f>
        <v>0.94000000000000017</v>
      </c>
    </row>
    <row r="24" spans="1:12" x14ac:dyDescent="0.3">
      <c r="A24" s="1">
        <f t="shared" si="2"/>
        <v>85</v>
      </c>
      <c r="B24" s="56">
        <f t="shared" si="0"/>
        <v>85</v>
      </c>
      <c r="C24" s="12">
        <f>APRA!C24</f>
        <v>1.5000000000000003E-2</v>
      </c>
      <c r="D24" s="23">
        <f t="shared" si="1"/>
        <v>72.871350000000021</v>
      </c>
      <c r="E24" s="4">
        <f>SUM($C$7:C24)</f>
        <v>0.95500000000000018</v>
      </c>
    </row>
    <row r="25" spans="1:12" x14ac:dyDescent="0.3">
      <c r="A25" s="1">
        <f t="shared" si="2"/>
        <v>90</v>
      </c>
      <c r="B25" s="56">
        <f t="shared" si="0"/>
        <v>90</v>
      </c>
      <c r="C25" s="12">
        <f>APRA!C25</f>
        <v>1.5000000000000003E-2</v>
      </c>
      <c r="D25" s="23">
        <f t="shared" si="1"/>
        <v>83.701350000000019</v>
      </c>
      <c r="E25" s="4">
        <f>SUM($C$7:C25)</f>
        <v>0.9700000000000002</v>
      </c>
    </row>
    <row r="26" spans="1:12" x14ac:dyDescent="0.3">
      <c r="A26" s="1">
        <f t="shared" si="2"/>
        <v>95</v>
      </c>
      <c r="B26" s="56">
        <f t="shared" si="0"/>
        <v>95</v>
      </c>
      <c r="C26" s="12">
        <f>APRA!C26</f>
        <v>1.5000000000000003E-2</v>
      </c>
      <c r="D26" s="23">
        <f t="shared" si="1"/>
        <v>95.281350000000018</v>
      </c>
      <c r="E26" s="4">
        <f>SUM($C$7:C26)</f>
        <v>0.98500000000000021</v>
      </c>
      <c r="G26" s="63">
        <f>E27-E26</f>
        <v>1.5000000000000013E-2</v>
      </c>
      <c r="I26">
        <f>B27-B26</f>
        <v>5</v>
      </c>
      <c r="K26" s="63">
        <f>G26</f>
        <v>1.5000000000000013E-2</v>
      </c>
      <c r="L26">
        <f>I26</f>
        <v>5</v>
      </c>
    </row>
    <row r="27" spans="1:12" x14ac:dyDescent="0.3">
      <c r="A27" s="1">
        <f t="shared" si="2"/>
        <v>100</v>
      </c>
      <c r="B27" s="56">
        <f t="shared" si="0"/>
        <v>100</v>
      </c>
      <c r="C27" s="12">
        <f>APRA!C27</f>
        <v>1.5000000000000003E-2</v>
      </c>
      <c r="D27" s="23">
        <f t="shared" si="1"/>
        <v>107.61135000000003</v>
      </c>
      <c r="E27" s="4">
        <f>SUM($C$7:C27)</f>
        <v>1.0000000000000002</v>
      </c>
      <c r="G27" s="63">
        <f>99.5%-E26</f>
        <v>9.9999999999997868E-3</v>
      </c>
      <c r="I27">
        <f>I26*G27/G26</f>
        <v>3.3333333333332593</v>
      </c>
      <c r="K27" s="63">
        <f>99.9%-E26</f>
        <v>1.3999999999999901E-2</v>
      </c>
      <c r="L27">
        <f>L26*K27/K26</f>
        <v>4.6666666666666297</v>
      </c>
    </row>
    <row r="28" spans="1:12" x14ac:dyDescent="0.3">
      <c r="C28" s="3"/>
      <c r="G28" t="s">
        <v>93</v>
      </c>
      <c r="I28" s="64">
        <f>B26+I27</f>
        <v>98.333333333333258</v>
      </c>
    </row>
    <row r="29" spans="1:12" x14ac:dyDescent="0.3">
      <c r="A29" s="79" t="s">
        <v>15</v>
      </c>
      <c r="B29" s="79"/>
      <c r="C29" s="13">
        <f>SUMPRODUCT(B7:B27,C7:C27)</f>
        <v>15.3</v>
      </c>
      <c r="G29" t="s">
        <v>94</v>
      </c>
      <c r="I29" s="57">
        <f>B26+L27</f>
        <v>99.666666666666629</v>
      </c>
    </row>
    <row r="31" spans="1:12" x14ac:dyDescent="0.3">
      <c r="A31" s="1" t="s">
        <v>53</v>
      </c>
      <c r="B31" s="1"/>
      <c r="C31" s="23">
        <f>C29</f>
        <v>15.3</v>
      </c>
    </row>
    <row r="32" spans="1:12" x14ac:dyDescent="0.3">
      <c r="A32" s="1" t="s">
        <v>54</v>
      </c>
      <c r="B32" s="1"/>
      <c r="C32" s="23">
        <f>SUM(D7:D27)</f>
        <v>836.9100000000002</v>
      </c>
    </row>
    <row r="33" spans="1:18" x14ac:dyDescent="0.3">
      <c r="A33" s="1" t="s">
        <v>57</v>
      </c>
      <c r="B33" s="1"/>
      <c r="C33" s="43">
        <f>$C$29+C29*I33</f>
        <v>20.655000000000001</v>
      </c>
      <c r="H33" t="s">
        <v>58</v>
      </c>
      <c r="I33" s="10">
        <f>AGI!I33</f>
        <v>0.35</v>
      </c>
    </row>
    <row r="34" spans="1:18" x14ac:dyDescent="0.3">
      <c r="A34" s="1" t="s">
        <v>59</v>
      </c>
      <c r="B34" s="1"/>
      <c r="C34" s="43">
        <f>$C$29+C32*I34</f>
        <v>23.6691</v>
      </c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7">
        <f>25</f>
        <v>25</v>
      </c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5">
        <f>C33-$C$29</f>
        <v>5.3550000000000004</v>
      </c>
    </row>
    <row r="37" spans="1:18" ht="15" thickBot="1" x14ac:dyDescent="0.35">
      <c r="A37" s="1" t="s">
        <v>69</v>
      </c>
      <c r="B37" s="1"/>
      <c r="C37" s="45">
        <f t="shared" ref="C37:C38" si="3">C34-$C$29</f>
        <v>8.3690999999999995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5">
        <f t="shared" si="3"/>
        <v>9.6999999999999993</v>
      </c>
      <c r="E38" s="25">
        <v>0</v>
      </c>
      <c r="F38" s="26"/>
      <c r="G38" s="26"/>
      <c r="H38" s="27">
        <v>1</v>
      </c>
      <c r="J38" s="25">
        <v>0</v>
      </c>
      <c r="K38" s="26"/>
      <c r="L38" s="26"/>
      <c r="M38" s="27">
        <v>1</v>
      </c>
      <c r="O38" s="25">
        <v>0</v>
      </c>
      <c r="P38" s="26"/>
      <c r="Q38" s="26"/>
      <c r="R38" s="27">
        <v>1</v>
      </c>
    </row>
    <row r="39" spans="1:18" x14ac:dyDescent="0.3">
      <c r="A39" s="1" t="s">
        <v>63</v>
      </c>
      <c r="B39" s="1"/>
      <c r="C39" s="46">
        <f>I28</f>
        <v>98.333333333333258</v>
      </c>
      <c r="E39" s="36">
        <f>+C41</f>
        <v>77.678333333333256</v>
      </c>
      <c r="H39" s="28">
        <f>-E39*(1+F45+F46)</f>
        <v>-83.115816666666589</v>
      </c>
      <c r="J39" s="36">
        <f>C42</f>
        <v>74.664233333333257</v>
      </c>
      <c r="M39" s="28">
        <f>-J39*(1+K45+K46)</f>
        <v>-79.890729666666587</v>
      </c>
      <c r="O39" s="36">
        <f>C43</f>
        <v>73.333333333333258</v>
      </c>
      <c r="R39" s="28">
        <f>-O39*(1+P45+P46)</f>
        <v>-78.466666666666583</v>
      </c>
    </row>
    <row r="40" spans="1:18" x14ac:dyDescent="0.3">
      <c r="A40" s="1" t="s">
        <v>64</v>
      </c>
      <c r="B40" s="1"/>
      <c r="C40" s="46">
        <f>I29</f>
        <v>99.666666666666629</v>
      </c>
      <c r="D40" s="20"/>
      <c r="E40" s="29"/>
      <c r="H40" s="28">
        <f>+E39*(1+F45)</f>
        <v>78.455116666666584</v>
      </c>
      <c r="J40" s="29"/>
      <c r="M40" s="28">
        <f>+J39*(1+K45)</f>
        <v>75.410875666666584</v>
      </c>
      <c r="O40" s="29"/>
      <c r="R40" s="28">
        <f>+O39*(1+P45)</f>
        <v>74.066666666666592</v>
      </c>
    </row>
    <row r="41" spans="1:18" x14ac:dyDescent="0.3">
      <c r="A41" s="1" t="s">
        <v>65</v>
      </c>
      <c r="B41" s="1"/>
      <c r="C41" s="43">
        <f>-C33+$C$39</f>
        <v>77.678333333333256</v>
      </c>
      <c r="E41" s="35">
        <f>+H41/(1+F45)</f>
        <v>-4.6145544554455498</v>
      </c>
      <c r="H41" s="28">
        <f>+H39+H40</f>
        <v>-4.6607000000000056</v>
      </c>
      <c r="J41" s="35">
        <f>+M41/(1+K45)</f>
        <v>-4.435499009900993</v>
      </c>
      <c r="M41" s="28">
        <f>+M39+M40</f>
        <v>-4.4798540000000031</v>
      </c>
      <c r="O41" s="35">
        <f>+R41/(1+P45)</f>
        <v>-4.3564356435643479</v>
      </c>
      <c r="R41" s="28">
        <f>+R39+R40</f>
        <v>-4.3999999999999915</v>
      </c>
    </row>
    <row r="42" spans="1:18" x14ac:dyDescent="0.3">
      <c r="A42" s="1" t="s">
        <v>66</v>
      </c>
      <c r="B42" s="1"/>
      <c r="C42" s="43">
        <f t="shared" ref="C42:C43" si="4">-C34+$C$39</f>
        <v>74.664233333333257</v>
      </c>
      <c r="E42" s="29"/>
      <c r="H42" s="28"/>
      <c r="J42" s="29"/>
      <c r="M42" s="28"/>
      <c r="O42" s="29"/>
      <c r="R42" s="28"/>
    </row>
    <row r="43" spans="1:18" x14ac:dyDescent="0.3">
      <c r="A43" s="1" t="s">
        <v>67</v>
      </c>
      <c r="B43" s="1"/>
      <c r="C43" s="43">
        <f t="shared" si="4"/>
        <v>73.333333333333258</v>
      </c>
      <c r="E43" s="29"/>
      <c r="H43" s="28"/>
      <c r="J43" s="29"/>
      <c r="M43" s="28"/>
      <c r="O43" s="29"/>
      <c r="R43" s="28"/>
    </row>
    <row r="44" spans="1:18" x14ac:dyDescent="0.3">
      <c r="A44" s="1" t="s">
        <v>74</v>
      </c>
      <c r="B44" s="1"/>
      <c r="C44" s="49">
        <f>E41</f>
        <v>-4.6145544554455498</v>
      </c>
      <c r="E44" s="29" t="s">
        <v>71</v>
      </c>
      <c r="H44" s="28"/>
      <c r="J44" s="29" t="s">
        <v>71</v>
      </c>
      <c r="M44" s="28"/>
      <c r="O44" s="29" t="s">
        <v>71</v>
      </c>
      <c r="R44" s="28"/>
    </row>
    <row r="45" spans="1:18" x14ac:dyDescent="0.3">
      <c r="A45" s="1" t="s">
        <v>78</v>
      </c>
      <c r="B45" s="1"/>
      <c r="C45" s="49">
        <f>J41</f>
        <v>-4.435499009900993</v>
      </c>
      <c r="E45" s="29" t="s">
        <v>72</v>
      </c>
      <c r="F45">
        <v>0.01</v>
      </c>
      <c r="H45" s="28"/>
      <c r="J45" s="29" t="s">
        <v>72</v>
      </c>
      <c r="K45">
        <v>0.01</v>
      </c>
      <c r="M45" s="28"/>
      <c r="O45" s="29" t="s">
        <v>72</v>
      </c>
      <c r="P45">
        <v>0.01</v>
      </c>
      <c r="R45" s="28"/>
    </row>
    <row r="46" spans="1:18" ht="15" thickBot="1" x14ac:dyDescent="0.35">
      <c r="A46" s="1" t="s">
        <v>79</v>
      </c>
      <c r="B46" s="1"/>
      <c r="C46" s="49">
        <f>O41</f>
        <v>-4.3564356435643479</v>
      </c>
      <c r="E46" s="30" t="s">
        <v>73</v>
      </c>
      <c r="F46" s="31">
        <v>0.06</v>
      </c>
      <c r="G46" s="32"/>
      <c r="H46" s="33"/>
      <c r="J46" s="30" t="s">
        <v>73</v>
      </c>
      <c r="K46" s="31">
        <v>0.06</v>
      </c>
      <c r="L46" s="32"/>
      <c r="M46" s="33"/>
      <c r="O46" s="30" t="s">
        <v>73</v>
      </c>
      <c r="P46" s="34">
        <v>0.06</v>
      </c>
      <c r="Q46" s="32"/>
      <c r="R46" s="33"/>
    </row>
    <row r="47" spans="1:18" x14ac:dyDescent="0.3">
      <c r="A47" s="1" t="s">
        <v>80</v>
      </c>
      <c r="B47" s="1"/>
      <c r="C47" s="50">
        <f>C44+C36</f>
        <v>0.74044554455445066</v>
      </c>
    </row>
    <row r="48" spans="1:18" x14ac:dyDescent="0.3">
      <c r="A48" s="1" t="s">
        <v>81</v>
      </c>
      <c r="B48" s="1"/>
      <c r="C48" s="50">
        <f t="shared" ref="C48:C49" si="5">C45+C37</f>
        <v>3.9336009900990065</v>
      </c>
    </row>
    <row r="49" spans="1:3" x14ac:dyDescent="0.3">
      <c r="A49" s="1" t="s">
        <v>82</v>
      </c>
      <c r="B49" s="1"/>
      <c r="C49" s="50">
        <f t="shared" si="5"/>
        <v>5.3435643564356514</v>
      </c>
    </row>
    <row r="50" spans="1:3" x14ac:dyDescent="0.3">
      <c r="A50" s="1" t="s">
        <v>83</v>
      </c>
      <c r="B50" s="1"/>
      <c r="C50" s="51">
        <f>C47/C41</f>
        <v>9.5322017450741488E-3</v>
      </c>
    </row>
    <row r="51" spans="1:3" x14ac:dyDescent="0.3">
      <c r="A51" s="1" t="s">
        <v>84</v>
      </c>
      <c r="B51" s="1"/>
      <c r="C51" s="51">
        <f t="shared" ref="C51:C52" si="6">C48/C42</f>
        <v>5.2683873047188731E-2</v>
      </c>
    </row>
    <row r="52" spans="1:3" x14ac:dyDescent="0.3">
      <c r="A52" s="1" t="s">
        <v>85</v>
      </c>
      <c r="B52" s="1"/>
      <c r="C52" s="51">
        <f t="shared" si="6"/>
        <v>7.2866786678668055E-2</v>
      </c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2"/>
  <sheetViews>
    <sheetView topLeftCell="A2" workbookViewId="0">
      <selection activeCell="B4" sqref="B4"/>
    </sheetView>
  </sheetViews>
  <sheetFormatPr defaultRowHeight="14.4" x14ac:dyDescent="0.3"/>
  <cols>
    <col min="1" max="1" width="23.109375" bestFit="1" customWidth="1"/>
    <col min="2" max="2" width="14.88671875" customWidth="1"/>
  </cols>
  <sheetData>
    <row r="1" spans="1:6" ht="15" thickBot="1" x14ac:dyDescent="0.35">
      <c r="A1" s="73" t="s">
        <v>26</v>
      </c>
      <c r="B1" s="74"/>
      <c r="C1" s="74"/>
      <c r="D1" s="74"/>
      <c r="E1" s="74"/>
      <c r="F1" s="75"/>
    </row>
    <row r="2" spans="1:6" x14ac:dyDescent="0.3">
      <c r="A2" s="76" t="s">
        <v>27</v>
      </c>
      <c r="B2" s="77"/>
      <c r="C2" s="77"/>
      <c r="D2" s="77"/>
      <c r="E2" s="77"/>
      <c r="F2" s="78"/>
    </row>
    <row r="3" spans="1:6" x14ac:dyDescent="0.3">
      <c r="A3" s="80" t="s">
        <v>30</v>
      </c>
      <c r="B3" s="80"/>
      <c r="C3" s="80"/>
      <c r="D3" s="80"/>
      <c r="E3" s="80"/>
      <c r="F3" s="80"/>
    </row>
    <row r="4" spans="1:6" x14ac:dyDescent="0.3">
      <c r="A4" t="s">
        <v>29</v>
      </c>
      <c r="B4">
        <v>18.871147660887818</v>
      </c>
    </row>
    <row r="6" spans="1:6" x14ac:dyDescent="0.3">
      <c r="A6" s="5" t="s">
        <v>0</v>
      </c>
      <c r="B6" s="5" t="s">
        <v>32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56">
        <f>IF(A7&lt;=$B$4,0,A7-$B$4)</f>
        <v>0</v>
      </c>
      <c r="C7" s="12">
        <f>ACFR!C7</f>
        <v>0.7</v>
      </c>
      <c r="D7" s="23">
        <f>(B7-$C$29)^2*C7</f>
        <v>76.996606203986317</v>
      </c>
      <c r="E7" s="4">
        <f>SUM($C$7:C7)</f>
        <v>0.7</v>
      </c>
    </row>
    <row r="8" spans="1:6" x14ac:dyDescent="0.3">
      <c r="A8" s="1">
        <f>A7+5</f>
        <v>5</v>
      </c>
      <c r="B8" s="56">
        <f t="shared" ref="B8:B27" si="0">IF(A8&lt;=$B$4,0,A8-$B$4)</f>
        <v>0</v>
      </c>
      <c r="C8" s="12">
        <f>ACFR!C8</f>
        <v>1.5000000000000003E-2</v>
      </c>
      <c r="D8" s="23">
        <f t="shared" ref="D8:D27" si="1">(B8-$C$29)^2*C8</f>
        <v>1.6499272757997072</v>
      </c>
      <c r="E8" s="4">
        <f>SUM($C$7:C8)</f>
        <v>0.71499999999999997</v>
      </c>
    </row>
    <row r="9" spans="1:6" x14ac:dyDescent="0.3">
      <c r="A9" s="1">
        <f t="shared" ref="A9:A27" si="2">A8+5</f>
        <v>10</v>
      </c>
      <c r="B9" s="56">
        <f t="shared" si="0"/>
        <v>0</v>
      </c>
      <c r="C9" s="12">
        <f>ACFR!C9</f>
        <v>1.5000000000000003E-2</v>
      </c>
      <c r="D9" s="23">
        <f t="shared" si="1"/>
        <v>1.6499272757997072</v>
      </c>
      <c r="E9" s="4">
        <f>SUM($C$7:C9)</f>
        <v>0.73</v>
      </c>
    </row>
    <row r="10" spans="1:6" x14ac:dyDescent="0.3">
      <c r="A10" s="1">
        <f t="shared" si="2"/>
        <v>15</v>
      </c>
      <c r="B10" s="56">
        <f t="shared" si="0"/>
        <v>0</v>
      </c>
      <c r="C10" s="12">
        <f>ACFR!C10</f>
        <v>1.5000000000000003E-2</v>
      </c>
      <c r="D10" s="23">
        <f t="shared" si="1"/>
        <v>1.6499272757997072</v>
      </c>
      <c r="E10" s="4">
        <f>SUM($C$7:C10)</f>
        <v>0.745</v>
      </c>
    </row>
    <row r="11" spans="1:6" x14ac:dyDescent="0.3">
      <c r="A11" s="1">
        <f t="shared" si="2"/>
        <v>20</v>
      </c>
      <c r="B11" s="56">
        <f t="shared" si="0"/>
        <v>1.1288523391121821</v>
      </c>
      <c r="C11" s="12">
        <f>ACFR!C11</f>
        <v>1.5000000000000003E-2</v>
      </c>
      <c r="D11" s="23">
        <f t="shared" si="1"/>
        <v>1.3138646209172442</v>
      </c>
      <c r="E11" s="4">
        <f>SUM($C$7:C11)</f>
        <v>0.76</v>
      </c>
    </row>
    <row r="12" spans="1:6" x14ac:dyDescent="0.3">
      <c r="A12" s="1">
        <f t="shared" si="2"/>
        <v>25</v>
      </c>
      <c r="B12" s="56">
        <f t="shared" si="0"/>
        <v>6.1288523391121821</v>
      </c>
      <c r="C12" s="12">
        <f>ACFR!C12</f>
        <v>1.5000000000000003E-2</v>
      </c>
      <c r="D12" s="23">
        <f t="shared" si="1"/>
        <v>0.28501386981302995</v>
      </c>
      <c r="E12" s="71">
        <f>SUM($C$7:C12)</f>
        <v>0.77500000000000002</v>
      </c>
    </row>
    <row r="13" spans="1:6" x14ac:dyDescent="0.3">
      <c r="A13" s="1">
        <f t="shared" si="2"/>
        <v>30</v>
      </c>
      <c r="B13" s="56">
        <f t="shared" si="0"/>
        <v>11.128852339112182</v>
      </c>
      <c r="C13" s="12">
        <f>ACFR!C13</f>
        <v>1.5000000000000003E-2</v>
      </c>
      <c r="D13" s="23">
        <f t="shared" si="1"/>
        <v>6.1631187088158684E-3</v>
      </c>
      <c r="E13" s="72">
        <f>SUM($C$7:C13)</f>
        <v>0.79</v>
      </c>
    </row>
    <row r="14" spans="1:6" x14ac:dyDescent="0.3">
      <c r="A14" s="1">
        <f t="shared" si="2"/>
        <v>35</v>
      </c>
      <c r="B14" s="56">
        <f t="shared" si="0"/>
        <v>16.128852339112182</v>
      </c>
      <c r="C14" s="12">
        <f>ACFR!C14</f>
        <v>1.5000000000000003E-2</v>
      </c>
      <c r="D14" s="23">
        <f t="shared" si="1"/>
        <v>0.47731236760460194</v>
      </c>
      <c r="E14" s="4">
        <f>SUM($C$7:C14)</f>
        <v>0.80500000000000005</v>
      </c>
    </row>
    <row r="15" spans="1:6" x14ac:dyDescent="0.3">
      <c r="A15" s="1">
        <f t="shared" si="2"/>
        <v>40</v>
      </c>
      <c r="B15" s="56">
        <f t="shared" si="0"/>
        <v>21.128852339112182</v>
      </c>
      <c r="C15" s="12">
        <f>ACFR!C15</f>
        <v>1.5000000000000003E-2</v>
      </c>
      <c r="D15" s="23">
        <f t="shared" si="1"/>
        <v>1.6984616165003881</v>
      </c>
      <c r="E15" s="4">
        <f>SUM($C$7:C15)</f>
        <v>0.82000000000000006</v>
      </c>
    </row>
    <row r="16" spans="1:6" x14ac:dyDescent="0.3">
      <c r="A16" s="1">
        <f t="shared" si="2"/>
        <v>45</v>
      </c>
      <c r="B16" s="56">
        <f t="shared" si="0"/>
        <v>26.128852339112182</v>
      </c>
      <c r="C16" s="12">
        <f>ACFR!C16</f>
        <v>1.5000000000000003E-2</v>
      </c>
      <c r="D16" s="23">
        <f t="shared" si="1"/>
        <v>3.6696108653961748</v>
      </c>
      <c r="E16" s="4">
        <f>SUM($C$7:C16)</f>
        <v>0.83500000000000008</v>
      </c>
    </row>
    <row r="17" spans="1:12" x14ac:dyDescent="0.3">
      <c r="A17" s="1">
        <f t="shared" si="2"/>
        <v>50</v>
      </c>
      <c r="B17" s="56">
        <f t="shared" si="0"/>
        <v>31.128852339112182</v>
      </c>
      <c r="C17" s="12">
        <f>ACFR!C17</f>
        <v>1.5000000000000003E-2</v>
      </c>
      <c r="D17" s="23">
        <f t="shared" si="1"/>
        <v>6.3907601142919628</v>
      </c>
      <c r="E17" s="4">
        <f>SUM($C$7:C17)</f>
        <v>0.85000000000000009</v>
      </c>
    </row>
    <row r="18" spans="1:12" x14ac:dyDescent="0.3">
      <c r="A18" s="1">
        <f t="shared" si="2"/>
        <v>55</v>
      </c>
      <c r="B18" s="56">
        <f t="shared" si="0"/>
        <v>36.128852339112186</v>
      </c>
      <c r="C18" s="12">
        <f>ACFR!C18</f>
        <v>1.5000000000000003E-2</v>
      </c>
      <c r="D18" s="23">
        <f t="shared" si="1"/>
        <v>9.861909363187749</v>
      </c>
      <c r="E18" s="4">
        <f>SUM($C$7:C18)</f>
        <v>0.8650000000000001</v>
      </c>
    </row>
    <row r="19" spans="1:12" x14ac:dyDescent="0.3">
      <c r="A19" s="1">
        <f t="shared" si="2"/>
        <v>60</v>
      </c>
      <c r="B19" s="56">
        <f t="shared" si="0"/>
        <v>41.128852339112186</v>
      </c>
      <c r="C19" s="12">
        <f>ACFR!C19</f>
        <v>1.5000000000000003E-2</v>
      </c>
      <c r="D19" s="23">
        <f t="shared" si="1"/>
        <v>14.083058612083537</v>
      </c>
      <c r="E19" s="4">
        <f>SUM($C$7:C19)</f>
        <v>0.88000000000000012</v>
      </c>
    </row>
    <row r="20" spans="1:12" x14ac:dyDescent="0.3">
      <c r="A20" s="1">
        <f t="shared" si="2"/>
        <v>65</v>
      </c>
      <c r="B20" s="56">
        <f t="shared" si="0"/>
        <v>46.128852339112186</v>
      </c>
      <c r="C20" s="12">
        <f>ACFR!C20</f>
        <v>1.5000000000000003E-2</v>
      </c>
      <c r="D20" s="23">
        <f t="shared" si="1"/>
        <v>19.054207860979322</v>
      </c>
      <c r="E20" s="4">
        <f>SUM($C$7:C20)</f>
        <v>0.89500000000000013</v>
      </c>
    </row>
    <row r="21" spans="1:12" x14ac:dyDescent="0.3">
      <c r="A21" s="1">
        <f t="shared" si="2"/>
        <v>70</v>
      </c>
      <c r="B21" s="56">
        <f t="shared" si="0"/>
        <v>51.128852339112186</v>
      </c>
      <c r="C21" s="12">
        <f>ACFR!C21</f>
        <v>1.5000000000000003E-2</v>
      </c>
      <c r="D21" s="23">
        <f t="shared" si="1"/>
        <v>24.775357109875113</v>
      </c>
      <c r="E21" s="4">
        <f>SUM($C$7:C21)</f>
        <v>0.91000000000000014</v>
      </c>
    </row>
    <row r="22" spans="1:12" x14ac:dyDescent="0.3">
      <c r="A22" s="1">
        <f t="shared" si="2"/>
        <v>75</v>
      </c>
      <c r="B22" s="56">
        <f t="shared" si="0"/>
        <v>56.128852339112186</v>
      </c>
      <c r="C22" s="12">
        <f>ACFR!C22</f>
        <v>1.5000000000000003E-2</v>
      </c>
      <c r="D22" s="23">
        <f t="shared" si="1"/>
        <v>31.246506358770894</v>
      </c>
      <c r="E22" s="4">
        <f>SUM($C$7:C22)</f>
        <v>0.92500000000000016</v>
      </c>
    </row>
    <row r="23" spans="1:12" x14ac:dyDescent="0.3">
      <c r="A23" s="1">
        <f t="shared" si="2"/>
        <v>80</v>
      </c>
      <c r="B23" s="56">
        <f t="shared" si="0"/>
        <v>61.128852339112186</v>
      </c>
      <c r="C23" s="12">
        <f>ACFR!C23</f>
        <v>1.5000000000000003E-2</v>
      </c>
      <c r="D23" s="23">
        <f t="shared" si="1"/>
        <v>38.467655607666686</v>
      </c>
      <c r="E23" s="4">
        <f>SUM($C$7:C23)</f>
        <v>0.94000000000000017</v>
      </c>
    </row>
    <row r="24" spans="1:12" x14ac:dyDescent="0.3">
      <c r="A24" s="1">
        <f t="shared" si="2"/>
        <v>85</v>
      </c>
      <c r="B24" s="56">
        <f t="shared" si="0"/>
        <v>66.128852339112186</v>
      </c>
      <c r="C24" s="12">
        <f>ACFR!C24</f>
        <v>1.5000000000000003E-2</v>
      </c>
      <c r="D24" s="23">
        <f t="shared" si="1"/>
        <v>46.438804856562477</v>
      </c>
      <c r="E24" s="4">
        <f>SUM($C$7:C24)</f>
        <v>0.95500000000000018</v>
      </c>
    </row>
    <row r="25" spans="1:12" x14ac:dyDescent="0.3">
      <c r="A25" s="1">
        <f t="shared" si="2"/>
        <v>90</v>
      </c>
      <c r="B25" s="56">
        <f t="shared" si="0"/>
        <v>71.128852339112186</v>
      </c>
      <c r="C25" s="12">
        <f>ACFR!C25</f>
        <v>1.5000000000000003E-2</v>
      </c>
      <c r="D25" s="23">
        <f t="shared" si="1"/>
        <v>55.159954105458262</v>
      </c>
      <c r="E25" s="4">
        <f>SUM($C$7:C25)</f>
        <v>0.9700000000000002</v>
      </c>
    </row>
    <row r="26" spans="1:12" x14ac:dyDescent="0.3">
      <c r="A26" s="1">
        <f t="shared" si="2"/>
        <v>95</v>
      </c>
      <c r="B26" s="56">
        <f t="shared" si="0"/>
        <v>76.128852339112186</v>
      </c>
      <c r="C26" s="12">
        <f>ACFR!C26</f>
        <v>1.5000000000000003E-2</v>
      </c>
      <c r="D26" s="23">
        <f t="shared" si="1"/>
        <v>64.631103354354053</v>
      </c>
      <c r="E26" s="4">
        <f>SUM($C$7:C26)</f>
        <v>0.98500000000000021</v>
      </c>
      <c r="G26" s="63">
        <f>E27-E26</f>
        <v>1.5000000000000013E-2</v>
      </c>
      <c r="I26">
        <f>B27-B26</f>
        <v>5</v>
      </c>
      <c r="K26" s="63">
        <f>G26</f>
        <v>1.5000000000000013E-2</v>
      </c>
      <c r="L26">
        <f>I26</f>
        <v>5</v>
      </c>
    </row>
    <row r="27" spans="1:12" x14ac:dyDescent="0.3">
      <c r="A27" s="1">
        <f t="shared" si="2"/>
        <v>100</v>
      </c>
      <c r="B27" s="56">
        <f t="shared" si="0"/>
        <v>81.128852339112186</v>
      </c>
      <c r="C27" s="12">
        <f>ACFR!C27</f>
        <v>1.5000000000000003E-2</v>
      </c>
      <c r="D27" s="23">
        <f t="shared" si="1"/>
        <v>74.852252603249866</v>
      </c>
      <c r="E27" s="4">
        <f>SUM($C$7:C27)</f>
        <v>1.0000000000000002</v>
      </c>
      <c r="G27" s="63">
        <f>99.5%-E26</f>
        <v>9.9999999999997868E-3</v>
      </c>
      <c r="I27">
        <f>I26*G27/G26</f>
        <v>3.3333333333332593</v>
      </c>
      <c r="K27" s="63">
        <f>99.9%-E26</f>
        <v>1.3999999999999901E-2</v>
      </c>
      <c r="L27">
        <f>L26*K27/K26</f>
        <v>4.6666666666666297</v>
      </c>
    </row>
    <row r="28" spans="1:12" x14ac:dyDescent="0.3">
      <c r="C28" s="3"/>
      <c r="G28" t="s">
        <v>93</v>
      </c>
      <c r="I28" s="64">
        <f>B26+I27</f>
        <v>79.462185672445443</v>
      </c>
    </row>
    <row r="29" spans="1:12" x14ac:dyDescent="0.3">
      <c r="A29" s="79" t="s">
        <v>15</v>
      </c>
      <c r="B29" s="79"/>
      <c r="C29" s="13">
        <f>SUMPRODUCT(B7:B27,C7:C27)</f>
        <v>10.487857346473609</v>
      </c>
      <c r="G29" t="s">
        <v>94</v>
      </c>
      <c r="I29" s="57">
        <f>B26+L27</f>
        <v>80.795519005778814</v>
      </c>
    </row>
    <row r="31" spans="1:12" x14ac:dyDescent="0.3">
      <c r="A31" s="1" t="s">
        <v>53</v>
      </c>
      <c r="B31" s="1"/>
      <c r="C31" s="23">
        <f>C29</f>
        <v>10.487857346473609</v>
      </c>
    </row>
    <row r="32" spans="1:12" x14ac:dyDescent="0.3">
      <c r="A32" s="1" t="s">
        <v>54</v>
      </c>
      <c r="B32" s="1"/>
      <c r="C32" s="23">
        <f>SUM(D7:D27)</f>
        <v>474.35838443680564</v>
      </c>
    </row>
    <row r="33" spans="1:18" x14ac:dyDescent="0.3">
      <c r="A33" s="1" t="s">
        <v>57</v>
      </c>
      <c r="B33" s="1"/>
      <c r="C33" s="43">
        <f>$C$29+C29*I33</f>
        <v>14.158607417739372</v>
      </c>
      <c r="H33" t="s">
        <v>58</v>
      </c>
      <c r="I33" s="10">
        <f>AGI!I33</f>
        <v>0.35</v>
      </c>
    </row>
    <row r="34" spans="1:18" x14ac:dyDescent="0.3">
      <c r="A34" s="1" t="s">
        <v>59</v>
      </c>
      <c r="B34" s="1"/>
      <c r="C34" s="43">
        <f>$C$29+C32*I34</f>
        <v>15.231441190841664</v>
      </c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7">
        <f>15</f>
        <v>15</v>
      </c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5">
        <f>C33-$C$29</f>
        <v>3.670750071265763</v>
      </c>
    </row>
    <row r="37" spans="1:18" ht="15" thickBot="1" x14ac:dyDescent="0.35">
      <c r="A37" s="1" t="s">
        <v>69</v>
      </c>
      <c r="B37" s="1"/>
      <c r="C37" s="45">
        <f t="shared" ref="C37:C38" si="3">C34-$C$29</f>
        <v>4.7435838443680556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5">
        <f t="shared" si="3"/>
        <v>4.5121426535263911</v>
      </c>
      <c r="E38" s="25">
        <v>0</v>
      </c>
      <c r="F38" s="26"/>
      <c r="G38" s="26"/>
      <c r="H38" s="27">
        <v>1</v>
      </c>
      <c r="J38" s="25">
        <v>0</v>
      </c>
      <c r="K38" s="26"/>
      <c r="L38" s="26"/>
      <c r="M38" s="27">
        <v>1</v>
      </c>
      <c r="O38" s="25">
        <v>0</v>
      </c>
      <c r="P38" s="26"/>
      <c r="Q38" s="26"/>
      <c r="R38" s="27">
        <v>1</v>
      </c>
    </row>
    <row r="39" spans="1:18" x14ac:dyDescent="0.3">
      <c r="A39" s="1" t="s">
        <v>63</v>
      </c>
      <c r="B39" s="1"/>
      <c r="C39" s="46">
        <f>I28</f>
        <v>79.462185672445443</v>
      </c>
      <c r="E39" s="36">
        <f>+C41</f>
        <v>65.303578254706068</v>
      </c>
      <c r="H39" s="28">
        <f>-E39*(1+F45+F46)</f>
        <v>-69.874828732535491</v>
      </c>
      <c r="J39" s="36">
        <f>C42</f>
        <v>64.230744481603779</v>
      </c>
      <c r="M39" s="28">
        <f>-J39*(1+K45+K46)</f>
        <v>-68.726896595316049</v>
      </c>
      <c r="O39" s="36">
        <f>C43</f>
        <v>64.462185672445443</v>
      </c>
      <c r="R39" s="28">
        <f>-O39*(1+P45+P46)</f>
        <v>-68.974538669516633</v>
      </c>
    </row>
    <row r="40" spans="1:18" x14ac:dyDescent="0.3">
      <c r="A40" s="1" t="s">
        <v>64</v>
      </c>
      <c r="B40" s="1"/>
      <c r="C40" s="46">
        <f>I29</f>
        <v>80.795519005778814</v>
      </c>
      <c r="D40" s="20"/>
      <c r="E40" s="29"/>
      <c r="H40" s="28">
        <f>+E39*(1+F45)</f>
        <v>65.956614037253132</v>
      </c>
      <c r="J40" s="29"/>
      <c r="M40" s="28">
        <f>+J39*(1+K45)</f>
        <v>64.873051926419819</v>
      </c>
      <c r="O40" s="29"/>
      <c r="R40" s="28">
        <f>+O39*(1+P45)</f>
        <v>65.106807529169899</v>
      </c>
    </row>
    <row r="41" spans="1:18" x14ac:dyDescent="0.3">
      <c r="A41" s="1" t="s">
        <v>65</v>
      </c>
      <c r="B41" s="1"/>
      <c r="C41" s="43">
        <f>-C33+$C$39</f>
        <v>65.303578254706068</v>
      </c>
      <c r="E41" s="35">
        <f>+H41/(1+F45)</f>
        <v>-3.8794204903785729</v>
      </c>
      <c r="H41" s="28">
        <f>+H39+H40</f>
        <v>-3.9182146952823587</v>
      </c>
      <c r="J41" s="35">
        <f>+M41/(1+K45)</f>
        <v>-3.8156877909863658</v>
      </c>
      <c r="M41" s="28">
        <f>+M39+M40</f>
        <v>-3.8538446688962296</v>
      </c>
      <c r="O41" s="35">
        <f>+R41/(1+P45)</f>
        <v>-3.8294367726205287</v>
      </c>
      <c r="R41" s="28">
        <f>+R39+R40</f>
        <v>-3.8677311403467343</v>
      </c>
    </row>
    <row r="42" spans="1:18" x14ac:dyDescent="0.3">
      <c r="A42" s="1" t="s">
        <v>66</v>
      </c>
      <c r="B42" s="1"/>
      <c r="C42" s="43">
        <f t="shared" ref="C42:C43" si="4">-C34+$C$39</f>
        <v>64.230744481603779</v>
      </c>
      <c r="E42" s="29"/>
      <c r="H42" s="28"/>
      <c r="J42" s="29"/>
      <c r="M42" s="28"/>
      <c r="O42" s="29"/>
      <c r="R42" s="28"/>
    </row>
    <row r="43" spans="1:18" x14ac:dyDescent="0.3">
      <c r="A43" s="1" t="s">
        <v>67</v>
      </c>
      <c r="B43" s="1"/>
      <c r="C43" s="43">
        <f t="shared" si="4"/>
        <v>64.462185672445443</v>
      </c>
      <c r="E43" s="29"/>
      <c r="H43" s="28"/>
      <c r="J43" s="29"/>
      <c r="M43" s="28"/>
      <c r="O43" s="29"/>
      <c r="R43" s="28"/>
    </row>
    <row r="44" spans="1:18" x14ac:dyDescent="0.3">
      <c r="A44" s="1" t="s">
        <v>74</v>
      </c>
      <c r="B44" s="1"/>
      <c r="C44" s="49">
        <f>E41</f>
        <v>-3.8794204903785729</v>
      </c>
      <c r="E44" s="29" t="s">
        <v>71</v>
      </c>
      <c r="H44" s="28"/>
      <c r="J44" s="29" t="s">
        <v>71</v>
      </c>
      <c r="M44" s="28"/>
      <c r="O44" s="29" t="s">
        <v>71</v>
      </c>
      <c r="R44" s="28"/>
    </row>
    <row r="45" spans="1:18" x14ac:dyDescent="0.3">
      <c r="A45" s="1" t="s">
        <v>78</v>
      </c>
      <c r="B45" s="1"/>
      <c r="C45" s="49">
        <f>J41</f>
        <v>-3.8156877909863658</v>
      </c>
      <c r="E45" s="29" t="s">
        <v>72</v>
      </c>
      <c r="F45">
        <v>0.01</v>
      </c>
      <c r="H45" s="28"/>
      <c r="J45" s="29" t="s">
        <v>72</v>
      </c>
      <c r="K45">
        <v>0.01</v>
      </c>
      <c r="M45" s="28"/>
      <c r="O45" s="29" t="s">
        <v>72</v>
      </c>
      <c r="P45">
        <v>0.01</v>
      </c>
      <c r="R45" s="28"/>
    </row>
    <row r="46" spans="1:18" ht="15" thickBot="1" x14ac:dyDescent="0.35">
      <c r="A46" s="1" t="s">
        <v>79</v>
      </c>
      <c r="B46" s="1"/>
      <c r="C46" s="49">
        <f>O41</f>
        <v>-3.8294367726205287</v>
      </c>
      <c r="E46" s="30" t="s">
        <v>73</v>
      </c>
      <c r="F46" s="31">
        <v>0.06</v>
      </c>
      <c r="G46" s="32"/>
      <c r="H46" s="33"/>
      <c r="J46" s="30" t="s">
        <v>73</v>
      </c>
      <c r="K46" s="31">
        <v>0.06</v>
      </c>
      <c r="L46" s="32"/>
      <c r="M46" s="33"/>
      <c r="O46" s="30" t="s">
        <v>73</v>
      </c>
      <c r="P46" s="34">
        <v>0.06</v>
      </c>
      <c r="Q46" s="32"/>
      <c r="R46" s="33"/>
    </row>
    <row r="47" spans="1:18" x14ac:dyDescent="0.3">
      <c r="A47" s="1" t="s">
        <v>80</v>
      </c>
      <c r="B47" s="1"/>
      <c r="C47" s="50">
        <f>C44+C36</f>
        <v>-0.20867041911280992</v>
      </c>
    </row>
    <row r="48" spans="1:18" x14ac:dyDescent="0.3">
      <c r="A48" s="1" t="s">
        <v>81</v>
      </c>
      <c r="B48" s="1"/>
      <c r="C48" s="50">
        <f t="shared" ref="C48:C49" si="5">C45+C37</f>
        <v>0.92789605338168979</v>
      </c>
    </row>
    <row r="49" spans="1:3" x14ac:dyDescent="0.3">
      <c r="A49" s="1" t="s">
        <v>82</v>
      </c>
      <c r="B49" s="1"/>
      <c r="C49" s="50">
        <f t="shared" si="5"/>
        <v>0.68270588090586237</v>
      </c>
    </row>
    <row r="50" spans="1:3" x14ac:dyDescent="0.3">
      <c r="A50" s="1" t="s">
        <v>83</v>
      </c>
      <c r="B50" s="1"/>
      <c r="C50" s="51">
        <f>C47/C41</f>
        <v>-3.1953902785988946E-3</v>
      </c>
    </row>
    <row r="51" spans="1:3" x14ac:dyDescent="0.3">
      <c r="A51" s="1" t="s">
        <v>84</v>
      </c>
      <c r="B51" s="1"/>
      <c r="C51" s="51">
        <f t="shared" ref="C51:C52" si="6">C48/C42</f>
        <v>1.4446291427424556E-2</v>
      </c>
    </row>
    <row r="52" spans="1:3" x14ac:dyDescent="0.3">
      <c r="A52" s="1" t="s">
        <v>85</v>
      </c>
      <c r="B52" s="1"/>
      <c r="C52" s="51">
        <f t="shared" si="6"/>
        <v>1.059079635268537E-2</v>
      </c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AVI</vt:lpstr>
      <vt:lpstr>AVI-SA</vt:lpstr>
      <vt:lpstr>APRR</vt:lpstr>
      <vt:lpstr>APRR-SA</vt:lpstr>
      <vt:lpstr>TUTTE_ADB</vt:lpstr>
      <vt:lpstr>AGI</vt:lpstr>
      <vt:lpstr>APRA</vt:lpstr>
      <vt:lpstr>ACFR</vt:lpstr>
      <vt:lpstr>ACFA</vt:lpstr>
      <vt:lpstr>ACFREM</vt:lpstr>
      <vt:lpstr>ACFAEM</vt:lpstr>
      <vt:lpstr>ACS</vt:lpstr>
      <vt:lpstr>TUTTE_ARC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2023-02-21T09:49:38Z</dcterms:modified>
</cp:coreProperties>
</file>