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04F5509-D428-4385-9E68-B262F5DD35B0}" xr6:coauthVersionLast="47" xr6:coauthVersionMax="47" xr10:uidLastSave="{00000000-0000-0000-0000-000000000000}"/>
  <bookViews>
    <workbookView xWindow="-108" yWindow="-108" windowWidth="23256" windowHeight="12576" tabRatio="599" activeTab="1" xr2:uid="{00000000-000D-0000-FFFF-FFFF00000000}"/>
  </bookViews>
  <sheets>
    <sheet name="DATI" sheetId="26" r:id="rId1"/>
    <sheet name="MODELLIZZAZIONE" sheetId="24" r:id="rId2"/>
    <sheet name="SCRMkt_LR" sheetId="17" state="hidden" r:id="rId3"/>
    <sheet name="SCRMkt_NR" sheetId="18" state="hidden" r:id="rId4"/>
  </sheets>
  <externalReferences>
    <externalReference r:id="rId5"/>
  </externalReferences>
  <definedNames>
    <definedName name="__i18n" localSheetId="0">'[1]0. Language'!$F$94</definedName>
    <definedName name="__i18n">'[1]0. Language'!$F$94</definedName>
    <definedName name="__iLang" localSheetId="0">'[1]0. Language'!$D$2</definedName>
    <definedName name="__iLang">'[1]0. Language'!$D$2</definedName>
    <definedName name="anscount" hidden="1">1</definedName>
    <definedName name="Life.Components" localSheetId="0">#REF!</definedName>
    <definedName name="Life.Components">#REF!</definedName>
    <definedName name="Life.Corr" localSheetId="0">#REF!</definedName>
    <definedName name="Life.Corr">#REF!</definedName>
    <definedName name="LoBs" localSheetId="3">#REF!</definedName>
    <definedName name="LoBs">#REF!</definedName>
    <definedName name="Version">"20100721-Solo-pretest"</definedName>
    <definedName name="xlAssignment" localSheetId="0">#REF!</definedName>
    <definedName name="xlAssignment">#REF!</definedName>
    <definedName name="xlFile" localSheetId="0">#REF!</definedName>
    <definedName name="xlFi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24" l="1"/>
  <c r="L19" i="24"/>
  <c r="L21" i="24" s="1"/>
  <c r="L13" i="24"/>
  <c r="I21" i="24"/>
  <c r="L22" i="24"/>
  <c r="L18" i="24"/>
  <c r="L14" i="24"/>
  <c r="L17" i="24"/>
  <c r="L15" i="24"/>
  <c r="L12" i="24"/>
  <c r="I29" i="24"/>
  <c r="K4" i="24"/>
  <c r="K3" i="24"/>
  <c r="I23" i="24"/>
  <c r="I22" i="24"/>
  <c r="I19" i="24"/>
  <c r="I18" i="24"/>
  <c r="I17" i="24"/>
  <c r="I13" i="24"/>
  <c r="L7" i="24" a="1"/>
  <c r="L7" i="24" s="1"/>
  <c r="N9" i="24" s="1" a="1"/>
  <c r="N9" i="24" s="1"/>
  <c r="N11" i="24" s="1"/>
  <c r="I12" i="24" s="1"/>
  <c r="I14" i="24" s="1"/>
  <c r="I11" i="24"/>
  <c r="I4" i="24"/>
  <c r="I3" i="24"/>
  <c r="F41" i="24"/>
  <c r="F40" i="24"/>
  <c r="C41" i="24"/>
  <c r="C40" i="24"/>
  <c r="F39" i="24"/>
  <c r="F37" i="24"/>
  <c r="F36" i="24"/>
  <c r="F34" i="24"/>
  <c r="F31" i="24"/>
  <c r="F32" i="24" s="1"/>
  <c r="F30" i="24"/>
  <c r="F43" i="24" s="1"/>
  <c r="F29" i="24"/>
  <c r="F33" i="24" s="1"/>
  <c r="F26" i="24"/>
  <c r="F16" i="24"/>
  <c r="F18" i="24" s="1"/>
  <c r="F17" i="24" s="1"/>
  <c r="F20" i="24" s="1"/>
  <c r="F15" i="24"/>
  <c r="F14" i="24"/>
  <c r="F23" i="24" s="1"/>
  <c r="F11" i="24"/>
  <c r="F13" i="24"/>
  <c r="F12" i="24"/>
  <c r="F10" i="24"/>
  <c r="F9" i="24"/>
  <c r="F8" i="24"/>
  <c r="C36" i="24"/>
  <c r="C31" i="24"/>
  <c r="C30" i="24"/>
  <c r="C43" i="24"/>
  <c r="C42" i="24"/>
  <c r="C32" i="24"/>
  <c r="C39" i="24"/>
  <c r="C38" i="24"/>
  <c r="C37" i="24"/>
  <c r="C35" i="24"/>
  <c r="C34" i="24"/>
  <c r="C26" i="24"/>
  <c r="C25" i="24"/>
  <c r="C33" i="24"/>
  <c r="C29" i="24"/>
  <c r="C27" i="24"/>
  <c r="C28" i="24"/>
  <c r="C16" i="24"/>
  <c r="C19" i="24" s="1"/>
  <c r="C23" i="24"/>
  <c r="C11" i="24"/>
  <c r="C15" i="24"/>
  <c r="C14" i="24"/>
  <c r="C13" i="24"/>
  <c r="C12" i="24"/>
  <c r="C10" i="24"/>
  <c r="C9" i="24"/>
  <c r="C8" i="24"/>
  <c r="I4" i="26"/>
  <c r="I5" i="26"/>
  <c r="I6" i="26"/>
  <c r="I3" i="26"/>
  <c r="G25" i="26"/>
  <c r="G24" i="26"/>
  <c r="H6" i="26"/>
  <c r="H7" i="26" s="1"/>
  <c r="H5" i="26"/>
  <c r="H4" i="26"/>
  <c r="H3" i="26"/>
  <c r="B75" i="26"/>
  <c r="B74" i="26"/>
  <c r="D7" i="26"/>
  <c r="D4" i="26"/>
  <c r="D5" i="26"/>
  <c r="D6" i="26"/>
  <c r="D3" i="26"/>
  <c r="C7" i="26"/>
  <c r="C4" i="26"/>
  <c r="C5" i="26"/>
  <c r="C6" i="26"/>
  <c r="C3" i="26"/>
  <c r="J7" i="24"/>
  <c r="E26" i="24"/>
  <c r="F7" i="24"/>
  <c r="B7" i="26"/>
  <c r="G7" i="26"/>
  <c r="J35" i="18"/>
  <c r="I35" i="18"/>
  <c r="H35" i="18"/>
  <c r="G35" i="18"/>
  <c r="F35" i="18"/>
  <c r="E35" i="18"/>
  <c r="J30" i="18"/>
  <c r="I30" i="18"/>
  <c r="H30" i="18"/>
  <c r="G30" i="18"/>
  <c r="F30" i="18"/>
  <c r="E30" i="18"/>
  <c r="J29" i="18"/>
  <c r="I29" i="18"/>
  <c r="H29" i="18"/>
  <c r="G29" i="18"/>
  <c r="F29" i="18"/>
  <c r="E29" i="18"/>
  <c r="J26" i="18"/>
  <c r="I26" i="18"/>
  <c r="H26" i="18"/>
  <c r="G26" i="18"/>
  <c r="F26" i="18"/>
  <c r="E26" i="18"/>
  <c r="D22" i="18"/>
  <c r="D35" i="18" s="1"/>
  <c r="J9" i="18"/>
  <c r="I9" i="18"/>
  <c r="H9" i="18"/>
  <c r="G9" i="18"/>
  <c r="F9" i="18"/>
  <c r="J5" i="18"/>
  <c r="J21" i="18" s="1"/>
  <c r="J23" i="18" s="1"/>
  <c r="I5" i="18"/>
  <c r="I21" i="18" s="1"/>
  <c r="H5" i="18"/>
  <c r="H21" i="18" s="1"/>
  <c r="G5" i="18"/>
  <c r="Q5" i="18" s="1"/>
  <c r="AA5" i="18" s="1"/>
  <c r="F5" i="18"/>
  <c r="F21" i="18" s="1"/>
  <c r="F36" i="18" s="1"/>
  <c r="E5" i="18"/>
  <c r="D5" i="18"/>
  <c r="C5" i="18"/>
  <c r="E35" i="17"/>
  <c r="F35" i="17"/>
  <c r="G35" i="17"/>
  <c r="H35" i="17"/>
  <c r="I35" i="17"/>
  <c r="J35" i="17"/>
  <c r="E30" i="17"/>
  <c r="F30" i="17"/>
  <c r="G30" i="17"/>
  <c r="H30" i="17"/>
  <c r="I30" i="17"/>
  <c r="J30" i="17"/>
  <c r="E29" i="17"/>
  <c r="F29" i="17"/>
  <c r="G29" i="17"/>
  <c r="H29" i="17"/>
  <c r="I29" i="17"/>
  <c r="J29" i="17"/>
  <c r="D22" i="17"/>
  <c r="E26" i="17"/>
  <c r="F26" i="17"/>
  <c r="G26" i="17"/>
  <c r="H26" i="17"/>
  <c r="I26" i="17"/>
  <c r="J26" i="17"/>
  <c r="F9" i="17"/>
  <c r="G9" i="17"/>
  <c r="H9" i="17"/>
  <c r="I9" i="17"/>
  <c r="J9" i="17"/>
  <c r="D29" i="18"/>
  <c r="T5" i="18"/>
  <c r="AD5" i="18" s="1"/>
  <c r="D5" i="17"/>
  <c r="D21" i="17" s="1"/>
  <c r="E5" i="17"/>
  <c r="F5" i="17"/>
  <c r="P5" i="17" s="1"/>
  <c r="Z5" i="17" s="1"/>
  <c r="G5" i="17"/>
  <c r="H5" i="17"/>
  <c r="H21" i="17" s="1"/>
  <c r="I5" i="17"/>
  <c r="S5" i="17" s="1"/>
  <c r="J5" i="17"/>
  <c r="C5" i="17"/>
  <c r="C21" i="17" s="1"/>
  <c r="M6" i="17"/>
  <c r="R5" i="17"/>
  <c r="AB5" i="17" s="1"/>
  <c r="C6" i="17"/>
  <c r="W6" i="17"/>
  <c r="C68" i="18"/>
  <c r="C68" i="17"/>
  <c r="S6" i="17"/>
  <c r="Q6" i="17"/>
  <c r="O6" i="17"/>
  <c r="P15" i="17" s="1"/>
  <c r="Q15" i="17" s="1"/>
  <c r="T6" i="17"/>
  <c r="R6" i="17"/>
  <c r="P6" i="17"/>
  <c r="P16" i="17" s="1"/>
  <c r="J6" i="17"/>
  <c r="H6" i="17"/>
  <c r="F6" i="17"/>
  <c r="D6" i="17"/>
  <c r="F14" i="17" s="1"/>
  <c r="D7" i="17" s="1"/>
  <c r="D9" i="17" s="1"/>
  <c r="I6" i="17"/>
  <c r="G6" i="17"/>
  <c r="E6" i="17"/>
  <c r="F15" i="17" s="1"/>
  <c r="C6" i="18"/>
  <c r="J6" i="18"/>
  <c r="F6" i="18"/>
  <c r="D6" i="18"/>
  <c r="F14" i="18" s="1"/>
  <c r="AB6" i="18"/>
  <c r="AC6" i="18"/>
  <c r="X6" i="18"/>
  <c r="Z15" i="18" s="1"/>
  <c r="X7" i="18" s="1"/>
  <c r="Y6" i="18"/>
  <c r="Z16" i="18" s="1"/>
  <c r="G6" i="18"/>
  <c r="W6" i="18"/>
  <c r="Z6" i="18"/>
  <c r="Z17" i="18" s="1"/>
  <c r="AA6" i="18"/>
  <c r="AD6" i="18"/>
  <c r="Z18" i="18" s="1"/>
  <c r="M6" i="18"/>
  <c r="N6" i="17"/>
  <c r="P14" i="17" s="1"/>
  <c r="Q14" i="17" s="1"/>
  <c r="Q18" i="17" s="1"/>
  <c r="X6" i="17"/>
  <c r="Z15" i="17" s="1"/>
  <c r="AA15" i="17" s="1"/>
  <c r="D68" i="17"/>
  <c r="D68" i="18"/>
  <c r="AB6" i="17"/>
  <c r="H68" i="17"/>
  <c r="H68" i="18"/>
  <c r="F68" i="17"/>
  <c r="F68" i="18"/>
  <c r="Z6" i="17"/>
  <c r="Z17" i="17" s="1"/>
  <c r="J68" i="17"/>
  <c r="J68" i="18"/>
  <c r="AD6" i="17"/>
  <c r="Z18" i="17" s="1"/>
  <c r="AC10" i="17" s="1"/>
  <c r="E68" i="17"/>
  <c r="Y6" i="17"/>
  <c r="Z16" i="17" s="1"/>
  <c r="E68" i="18"/>
  <c r="G68" i="18"/>
  <c r="G68" i="17"/>
  <c r="AA6" i="17"/>
  <c r="E6" i="18"/>
  <c r="F15" i="18" s="1"/>
  <c r="G15" i="18" s="1"/>
  <c r="I6" i="18"/>
  <c r="H6" i="18"/>
  <c r="N6" i="18"/>
  <c r="P14" i="18" s="1"/>
  <c r="R6" i="18"/>
  <c r="O6" i="18"/>
  <c r="P15" i="18" s="1"/>
  <c r="S6" i="18"/>
  <c r="I68" i="17"/>
  <c r="AC6" i="17"/>
  <c r="I68" i="18"/>
  <c r="P6" i="18"/>
  <c r="P16" i="18" s="1"/>
  <c r="O9" i="18" s="1"/>
  <c r="T6" i="18"/>
  <c r="Q6" i="18"/>
  <c r="AA16" i="17"/>
  <c r="Y10" i="17"/>
  <c r="Z9" i="17"/>
  <c r="N5" i="17"/>
  <c r="X5" i="17" s="1"/>
  <c r="O8" i="18"/>
  <c r="D29" i="17"/>
  <c r="D26" i="17"/>
  <c r="D30" i="17"/>
  <c r="D35" i="17"/>
  <c r="D21" i="18"/>
  <c r="N5" i="18"/>
  <c r="X5" i="18" s="1"/>
  <c r="AD10" i="17"/>
  <c r="X10" i="17"/>
  <c r="AB10" i="17"/>
  <c r="D30" i="18"/>
  <c r="D26" i="18"/>
  <c r="D27" i="18" s="1"/>
  <c r="F32" i="18"/>
  <c r="N9" i="18"/>
  <c r="AC5" i="17"/>
  <c r="AA15" i="18"/>
  <c r="I37" i="18"/>
  <c r="AA19" i="18"/>
  <c r="W29" i="18" s="1"/>
  <c r="W40" i="18" s="1"/>
  <c r="X40" i="18" s="1"/>
  <c r="Y40" i="18" s="1"/>
  <c r="AA20" i="18"/>
  <c r="M7" i="17"/>
  <c r="AB15" i="17"/>
  <c r="AB20" i="17" s="1"/>
  <c r="F35" i="24" l="1"/>
  <c r="F38" i="24"/>
  <c r="F42" i="24"/>
  <c r="F21" i="24"/>
  <c r="F19" i="24"/>
  <c r="F27" i="24" s="1"/>
  <c r="C18" i="24"/>
  <c r="C17" i="24" s="1"/>
  <c r="C20" i="24" s="1"/>
  <c r="C21" i="24" s="1"/>
  <c r="I7" i="26"/>
  <c r="X8" i="18"/>
  <c r="AA16" i="18"/>
  <c r="AA17" i="18"/>
  <c r="Y9" i="18"/>
  <c r="D62" i="18"/>
  <c r="C8" i="18"/>
  <c r="Q16" i="17"/>
  <c r="O9" i="17"/>
  <c r="F37" i="18"/>
  <c r="D37" i="18"/>
  <c r="Q16" i="18"/>
  <c r="P9" i="18"/>
  <c r="R15" i="17"/>
  <c r="Q17" i="17"/>
  <c r="P5" i="18"/>
  <c r="Z5" i="18" s="1"/>
  <c r="AD10" i="18"/>
  <c r="Y10" i="18"/>
  <c r="M10" i="17"/>
  <c r="N10" i="17" s="1"/>
  <c r="O10" i="17" s="1"/>
  <c r="P10" i="17" s="1"/>
  <c r="Q10" i="17" s="1"/>
  <c r="R10" i="17" s="1"/>
  <c r="S10" i="17" s="1"/>
  <c r="T10" i="17" s="1"/>
  <c r="M26" i="17"/>
  <c r="N26" i="17" s="1"/>
  <c r="H27" i="17"/>
  <c r="H23" i="17"/>
  <c r="H32" i="17"/>
  <c r="H38" i="17"/>
  <c r="H36" i="17"/>
  <c r="H31" i="17"/>
  <c r="I27" i="18"/>
  <c r="I38" i="18"/>
  <c r="I23" i="18"/>
  <c r="W11" i="18"/>
  <c r="X11" i="18" s="1"/>
  <c r="Y11" i="18" s="1"/>
  <c r="Z11" i="18" s="1"/>
  <c r="AA11" i="18" s="1"/>
  <c r="AB11" i="18" s="1"/>
  <c r="AC11" i="18" s="1"/>
  <c r="AD11" i="18" s="1"/>
  <c r="W49" i="18"/>
  <c r="W7" i="18"/>
  <c r="I36" i="18"/>
  <c r="D32" i="18"/>
  <c r="D38" i="18"/>
  <c r="Y41" i="18" s="1"/>
  <c r="H27" i="18"/>
  <c r="H37" i="18"/>
  <c r="J31" i="18"/>
  <c r="H38" i="18"/>
  <c r="J38" i="18"/>
  <c r="Z9" i="18"/>
  <c r="X7" i="17"/>
  <c r="X9" i="18"/>
  <c r="I21" i="17"/>
  <c r="N9" i="17"/>
  <c r="P9" i="17"/>
  <c r="R5" i="18"/>
  <c r="AB5" i="18" s="1"/>
  <c r="AA18" i="17"/>
  <c r="Z49" i="17" s="1"/>
  <c r="AA10" i="17"/>
  <c r="F21" i="17"/>
  <c r="H37" i="17"/>
  <c r="Y8" i="18"/>
  <c r="Z10" i="17"/>
  <c r="M5" i="17"/>
  <c r="W5" i="17" s="1"/>
  <c r="S5" i="18"/>
  <c r="AC5" i="18" s="1"/>
  <c r="G21" i="18"/>
  <c r="R16" i="17"/>
  <c r="R14" i="17"/>
  <c r="R18" i="17" s="1"/>
  <c r="X29" i="18"/>
  <c r="M36" i="17"/>
  <c r="N36" i="17" s="1"/>
  <c r="O36" i="17" s="1"/>
  <c r="AB16" i="17"/>
  <c r="D54" i="18"/>
  <c r="N37" i="18"/>
  <c r="E54" i="18"/>
  <c r="N45" i="17"/>
  <c r="M8" i="17"/>
  <c r="D23" i="17"/>
  <c r="D32" i="17"/>
  <c r="D37" i="17"/>
  <c r="W8" i="17"/>
  <c r="X49" i="17"/>
  <c r="Y8" i="17"/>
  <c r="X8" i="17"/>
  <c r="X48" i="17" s="1"/>
  <c r="AA17" i="17"/>
  <c r="X9" i="17"/>
  <c r="Y48" i="17" s="1"/>
  <c r="W7" i="17"/>
  <c r="W49" i="17"/>
  <c r="AB10" i="18"/>
  <c r="AA10" i="18"/>
  <c r="AA18" i="18"/>
  <c r="Z10" i="18"/>
  <c r="D7" i="18"/>
  <c r="D9" i="18" s="1"/>
  <c r="G14" i="18"/>
  <c r="D8" i="17"/>
  <c r="G15" i="17"/>
  <c r="R17" i="17"/>
  <c r="M45" i="17"/>
  <c r="N7" i="17"/>
  <c r="X41" i="18"/>
  <c r="D36" i="17"/>
  <c r="D38" i="17"/>
  <c r="E54" i="17" s="1"/>
  <c r="D23" i="18"/>
  <c r="X48" i="18" s="1"/>
  <c r="D36" i="18"/>
  <c r="D31" i="18"/>
  <c r="D27" i="17"/>
  <c r="D31" i="17"/>
  <c r="AC10" i="18"/>
  <c r="X10" i="18"/>
  <c r="E8" i="17"/>
  <c r="E9" i="17" s="1"/>
  <c r="AA20" i="17"/>
  <c r="Y9" i="17"/>
  <c r="G14" i="17"/>
  <c r="N8" i="18"/>
  <c r="Q15" i="18"/>
  <c r="Q14" i="18"/>
  <c r="N7" i="18"/>
  <c r="M44" i="18" s="1"/>
  <c r="E8" i="18"/>
  <c r="E9" i="18" s="1"/>
  <c r="D8" i="18"/>
  <c r="O8" i="17"/>
  <c r="N8" i="17"/>
  <c r="N44" i="17" s="1"/>
  <c r="Q5" i="17"/>
  <c r="AA5" i="17" s="1"/>
  <c r="G21" i="17"/>
  <c r="E21" i="17"/>
  <c r="O5" i="17"/>
  <c r="Y5" i="17" s="1"/>
  <c r="M5" i="18"/>
  <c r="W5" i="18" s="1"/>
  <c r="C21" i="18"/>
  <c r="F23" i="18"/>
  <c r="F31" i="18"/>
  <c r="F38" i="18"/>
  <c r="H23" i="18"/>
  <c r="H32" i="18"/>
  <c r="H31" i="18"/>
  <c r="J32" i="18"/>
  <c r="J37" i="18"/>
  <c r="F27" i="18"/>
  <c r="J27" i="18"/>
  <c r="G37" i="18"/>
  <c r="I31" i="18"/>
  <c r="G32" i="18"/>
  <c r="I32" i="18"/>
  <c r="H36" i="18"/>
  <c r="J36" i="18"/>
  <c r="AA19" i="17"/>
  <c r="J21" i="17"/>
  <c r="T5" i="17"/>
  <c r="AD5" i="17" s="1"/>
  <c r="E21" i="18"/>
  <c r="E32" i="18" s="1"/>
  <c r="O5" i="18"/>
  <c r="Y5" i="18" s="1"/>
  <c r="F28" i="24" l="1"/>
  <c r="O45" i="18"/>
  <c r="M9" i="18"/>
  <c r="O45" i="17"/>
  <c r="M9" i="17"/>
  <c r="Y49" i="18"/>
  <c r="W9" i="18"/>
  <c r="W8" i="18"/>
  <c r="X49" i="18"/>
  <c r="X50" i="18" s="1"/>
  <c r="O44" i="17"/>
  <c r="W48" i="17"/>
  <c r="W50" i="17" s="1"/>
  <c r="Z48" i="17"/>
  <c r="G23" i="18"/>
  <c r="G36" i="18"/>
  <c r="G27" i="18"/>
  <c r="F23" i="17"/>
  <c r="F37" i="17"/>
  <c r="F27" i="17"/>
  <c r="F36" i="17"/>
  <c r="Z50" i="17"/>
  <c r="X39" i="17" s="1"/>
  <c r="F38" i="17"/>
  <c r="F32" i="17"/>
  <c r="G38" i="18"/>
  <c r="G31" i="18"/>
  <c r="W10" i="17"/>
  <c r="M44" i="17"/>
  <c r="AB18" i="17"/>
  <c r="O37" i="18"/>
  <c r="I36" i="17"/>
  <c r="I38" i="17"/>
  <c r="I37" i="17"/>
  <c r="I32" i="17"/>
  <c r="I31" i="17"/>
  <c r="I23" i="17"/>
  <c r="I27" i="17"/>
  <c r="F31" i="17"/>
  <c r="W11" i="17"/>
  <c r="X11" i="17" s="1"/>
  <c r="Y11" i="17" s="1"/>
  <c r="Z11" i="17" s="1"/>
  <c r="AA11" i="17" s="1"/>
  <c r="AB11" i="17" s="1"/>
  <c r="AC11" i="17" s="1"/>
  <c r="AD11" i="17" s="1"/>
  <c r="W29" i="17"/>
  <c r="AB19" i="17"/>
  <c r="E37" i="17"/>
  <c r="E31" i="17"/>
  <c r="E27" i="17"/>
  <c r="E32" i="17"/>
  <c r="E23" i="17"/>
  <c r="E36" i="17"/>
  <c r="E38" i="17"/>
  <c r="M7" i="18"/>
  <c r="M45" i="18"/>
  <c r="M46" i="18" s="1"/>
  <c r="Q17" i="18"/>
  <c r="Q18" i="18"/>
  <c r="D45" i="18"/>
  <c r="C45" i="18"/>
  <c r="C54" i="18" s="1"/>
  <c r="N27" i="18"/>
  <c r="W30" i="18"/>
  <c r="W41" i="18" s="1"/>
  <c r="M27" i="18"/>
  <c r="M37" i="18" s="1"/>
  <c r="X30" i="18"/>
  <c r="C45" i="17"/>
  <c r="C54" i="17" s="1"/>
  <c r="M27" i="17"/>
  <c r="M37" i="17" s="1"/>
  <c r="D45" i="17"/>
  <c r="W30" i="17"/>
  <c r="W41" i="17" s="1"/>
  <c r="X30" i="17"/>
  <c r="N27" i="17"/>
  <c r="AB18" i="18"/>
  <c r="Z49" i="18"/>
  <c r="W10" i="18"/>
  <c r="W9" i="17"/>
  <c r="Y49" i="17"/>
  <c r="Y50" i="17" s="1"/>
  <c r="AB17" i="17"/>
  <c r="Y39" i="17"/>
  <c r="E23" i="18"/>
  <c r="E36" i="18"/>
  <c r="E27" i="18"/>
  <c r="E31" i="18"/>
  <c r="E37" i="18"/>
  <c r="J31" i="17"/>
  <c r="J36" i="17"/>
  <c r="J27" i="17"/>
  <c r="J37" i="17"/>
  <c r="J38" i="17"/>
  <c r="J23" i="17"/>
  <c r="J32" i="17"/>
  <c r="E38" i="18"/>
  <c r="G37" i="17"/>
  <c r="G23" i="17"/>
  <c r="G31" i="17"/>
  <c r="G27" i="17"/>
  <c r="G32" i="17"/>
  <c r="G38" i="17"/>
  <c r="G36" i="17"/>
  <c r="N45" i="18"/>
  <c r="M8" i="18"/>
  <c r="R15" i="18"/>
  <c r="G16" i="17"/>
  <c r="H14" i="17"/>
  <c r="H17" i="17" s="1"/>
  <c r="C7" i="17"/>
  <c r="C9" i="17" s="1"/>
  <c r="C62" i="17"/>
  <c r="G17" i="17"/>
  <c r="Z48" i="18"/>
  <c r="W48" i="18"/>
  <c r="W50" i="18" s="1"/>
  <c r="N44" i="18"/>
  <c r="C61" i="18"/>
  <c r="O44" i="18"/>
  <c r="O46" i="18" s="1"/>
  <c r="N35" i="18" s="1"/>
  <c r="Y48" i="18"/>
  <c r="Y50" i="18" s="1"/>
  <c r="D61" i="18"/>
  <c r="D63" i="18" s="1"/>
  <c r="Y41" i="17"/>
  <c r="O37" i="17"/>
  <c r="M46" i="17"/>
  <c r="C8" i="17"/>
  <c r="H15" i="17"/>
  <c r="D62" i="17"/>
  <c r="G17" i="18"/>
  <c r="C62" i="18"/>
  <c r="C63" i="18" s="1"/>
  <c r="C7" i="18"/>
  <c r="C9" i="18" s="1"/>
  <c r="H15" i="18"/>
  <c r="H14" i="18"/>
  <c r="H17" i="18" s="1"/>
  <c r="G16" i="18"/>
  <c r="X50" i="17"/>
  <c r="D54" i="17"/>
  <c r="N37" i="17"/>
  <c r="X41" i="17"/>
  <c r="D61" i="17"/>
  <c r="C61" i="17"/>
  <c r="N46" i="17"/>
  <c r="X28" i="17"/>
  <c r="W28" i="17"/>
  <c r="W39" i="17" s="1"/>
  <c r="W26" i="18" l="1"/>
  <c r="W37" i="18" s="1"/>
  <c r="X37" i="18"/>
  <c r="X26" i="18"/>
  <c r="Y37" i="18"/>
  <c r="Z50" i="18"/>
  <c r="O46" i="17"/>
  <c r="Y36" i="17"/>
  <c r="Y42" i="17" s="1"/>
  <c r="W25" i="17"/>
  <c r="W36" i="17" s="1"/>
  <c r="W42" i="17" s="1"/>
  <c r="X36" i="17"/>
  <c r="X42" i="17" s="1"/>
  <c r="X25" i="17"/>
  <c r="X31" i="17" s="1"/>
  <c r="D63" i="17"/>
  <c r="D52" i="17" s="1"/>
  <c r="N34" i="17"/>
  <c r="O34" i="17"/>
  <c r="M24" i="17"/>
  <c r="M34" i="17" s="1"/>
  <c r="W31" i="17"/>
  <c r="AC26" i="17" s="1"/>
  <c r="C10" i="18"/>
  <c r="D10" i="18" s="1"/>
  <c r="E10" i="18" s="1"/>
  <c r="F10" i="18" s="1"/>
  <c r="G10" i="18" s="1"/>
  <c r="H10" i="18" s="1"/>
  <c r="I10" i="18" s="1"/>
  <c r="J10" i="18" s="1"/>
  <c r="C44" i="18"/>
  <c r="H16" i="18"/>
  <c r="D42" i="18"/>
  <c r="D46" i="18" s="1"/>
  <c r="E51" i="18"/>
  <c r="E55" i="18" s="1"/>
  <c r="D43" i="17"/>
  <c r="E52" i="17"/>
  <c r="W27" i="18"/>
  <c r="W38" i="18" s="1"/>
  <c r="Y38" i="18"/>
  <c r="X27" i="18"/>
  <c r="C42" i="18"/>
  <c r="D51" i="18"/>
  <c r="D55" i="18" s="1"/>
  <c r="C63" i="17"/>
  <c r="N46" i="18"/>
  <c r="W28" i="18"/>
  <c r="W39" i="18" s="1"/>
  <c r="Y39" i="18"/>
  <c r="N24" i="17"/>
  <c r="M26" i="18"/>
  <c r="M10" i="18"/>
  <c r="N10" i="18" s="1"/>
  <c r="O10" i="18" s="1"/>
  <c r="P10" i="18" s="1"/>
  <c r="Q10" i="18" s="1"/>
  <c r="R10" i="18" s="1"/>
  <c r="S10" i="18" s="1"/>
  <c r="T10" i="18" s="1"/>
  <c r="R17" i="18"/>
  <c r="M23" i="18"/>
  <c r="O33" i="18"/>
  <c r="O38" i="18" s="1"/>
  <c r="N23" i="18"/>
  <c r="N28" i="18" s="1"/>
  <c r="N33" i="18"/>
  <c r="N38" i="18" s="1"/>
  <c r="X29" i="17"/>
  <c r="W40" i="17"/>
  <c r="X40" i="17" s="1"/>
  <c r="Y40" i="17" s="1"/>
  <c r="W26" i="17"/>
  <c r="W37" i="17" s="1"/>
  <c r="Y37" i="17"/>
  <c r="X26" i="17"/>
  <c r="X37" i="17"/>
  <c r="N23" i="17"/>
  <c r="N28" i="17" s="1"/>
  <c r="O33" i="17"/>
  <c r="O38" i="17" s="1"/>
  <c r="N33" i="17"/>
  <c r="N38" i="17" s="1"/>
  <c r="M23" i="17"/>
  <c r="C43" i="18"/>
  <c r="C52" i="18" s="1"/>
  <c r="E52" i="18"/>
  <c r="D43" i="18"/>
  <c r="M25" i="18"/>
  <c r="M35" i="18" s="1"/>
  <c r="N25" i="18"/>
  <c r="O35" i="18"/>
  <c r="X25" i="18"/>
  <c r="X31" i="18" s="1"/>
  <c r="W25" i="18"/>
  <c r="Y36" i="18"/>
  <c r="Y42" i="18" s="1"/>
  <c r="X36" i="18"/>
  <c r="X42" i="18" s="1"/>
  <c r="D52" i="18"/>
  <c r="X38" i="18"/>
  <c r="C44" i="17"/>
  <c r="C10" i="17"/>
  <c r="D10" i="17" s="1"/>
  <c r="E10" i="17" s="1"/>
  <c r="F10" i="17" s="1"/>
  <c r="G10" i="17" s="1"/>
  <c r="H10" i="17" s="1"/>
  <c r="I10" i="17" s="1"/>
  <c r="J10" i="17" s="1"/>
  <c r="H16" i="17"/>
  <c r="W27" i="17"/>
  <c r="W38" i="17" s="1"/>
  <c r="X38" i="17"/>
  <c r="Y38" i="17"/>
  <c r="X27" i="17"/>
  <c r="R16" i="18"/>
  <c r="AB15" i="18"/>
  <c r="AB20" i="18" s="1"/>
  <c r="AB17" i="18"/>
  <c r="AB19" i="18"/>
  <c r="AB16" i="18"/>
  <c r="R14" i="18"/>
  <c r="R18" i="18" s="1"/>
  <c r="N35" i="17" l="1"/>
  <c r="O35" i="17"/>
  <c r="N25" i="17"/>
  <c r="M25" i="17"/>
  <c r="M35" i="17" s="1"/>
  <c r="X39" i="18"/>
  <c r="X28" i="18"/>
  <c r="C43" i="17"/>
  <c r="C52" i="17" s="1"/>
  <c r="W31" i="18"/>
  <c r="AC26" i="18" s="1"/>
  <c r="W36" i="18"/>
  <c r="W42" i="18" s="1"/>
  <c r="M33" i="17"/>
  <c r="M38" i="17" s="1"/>
  <c r="M28" i="17"/>
  <c r="S24" i="17" s="1"/>
  <c r="N26" i="18"/>
  <c r="M36" i="18"/>
  <c r="N36" i="18" s="1"/>
  <c r="O36" i="18" s="1"/>
  <c r="N24" i="18"/>
  <c r="M24" i="18"/>
  <c r="M34" i="18" s="1"/>
  <c r="N34" i="18"/>
  <c r="O34" i="18"/>
  <c r="Z42" i="17"/>
  <c r="AC37" i="17" s="1"/>
  <c r="AA42" i="17"/>
  <c r="D44" i="17"/>
  <c r="C53" i="17"/>
  <c r="D53" i="17" s="1"/>
  <c r="E53" i="17" s="1"/>
  <c r="M33" i="18"/>
  <c r="M38" i="18" s="1"/>
  <c r="M28" i="18"/>
  <c r="S24" i="18" s="1"/>
  <c r="D51" i="17"/>
  <c r="D55" i="17" s="1"/>
  <c r="E51" i="17"/>
  <c r="E55" i="17" s="1"/>
  <c r="D42" i="17"/>
  <c r="D46" i="17" s="1"/>
  <c r="C42" i="17"/>
  <c r="C46" i="18"/>
  <c r="I43" i="18" s="1"/>
  <c r="C51" i="18"/>
  <c r="C55" i="18" s="1"/>
  <c r="D44" i="18"/>
  <c r="C53" i="18"/>
  <c r="D53" i="18" s="1"/>
  <c r="E53" i="18" s="1"/>
  <c r="I26" i="24" l="1"/>
  <c r="P38" i="18"/>
  <c r="S34" i="18" s="1"/>
  <c r="Q38" i="18"/>
  <c r="G55" i="18"/>
  <c r="F55" i="18"/>
  <c r="I52" i="18" s="1"/>
  <c r="C46" i="17"/>
  <c r="I43" i="17" s="1"/>
  <c r="C51" i="17"/>
  <c r="C55" i="17" s="1"/>
  <c r="Q38" i="17"/>
  <c r="P38" i="17"/>
  <c r="S34" i="17" s="1"/>
  <c r="Z42" i="18"/>
  <c r="AC37" i="18" s="1"/>
  <c r="AA42" i="18"/>
  <c r="G55" i="17" l="1"/>
  <c r="F55" i="17"/>
  <c r="I52" i="17" s="1"/>
  <c r="I25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tc={1DCF27A8-4CBF-4BB9-A82A-32939C48A96F}</author>
    <author>tc={FFFBEE5B-53F2-49F7-BFE9-FA05ECE4D46E}</author>
  </authors>
  <commentList>
    <comment ref="A1" authorId="0" shapeId="0" xr:uid="{1DCF27A8-4CBF-4BB9-A82A-32939C48A96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Line of Business 1: RC Auto</t>
      </text>
    </comment>
    <comment ref="F1" authorId="1" shapeId="0" xr:uid="{FFFBEE5B-53F2-49F7-BFE9-FA05ECE4D46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Line of Business 4: Incendio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tc={5E097FC4-4256-4F88-A843-37B929EAD820}</author>
    <author>tc={171BB659-1374-4F51-8218-A1CA1B6A5964}</author>
    <author>tc={939787A6-A150-4641-8062-666028781A2A}</author>
  </authors>
  <commentList>
    <comment ref="H12" authorId="0" shapeId="0" xr:uid="{5E097FC4-4256-4F88-A843-37B929EAD82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Scr complessivo: 
Prodotto matriciale tra gli scr e la matrice var-cov:
Scr(T)*var-cov*Scr</t>
      </text>
    </comment>
    <comment ref="B25" authorId="1" shapeId="0" xr:uid="{171BB659-1374-4F51-8218-A1CA1B6A596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Coefficiente di variazione di va a livello di mercato a livello europeo</t>
      </text>
    </comment>
    <comment ref="B34" authorId="2" shapeId="0" xr:uid="{939787A6-A150-4641-8062-666028781A2A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FS: formula standard = 3*sigma*premio di tariffa
La distribuzione di probabilità è una log-normale; 
EV = premio di tariffa: guadagno atteso ipotizzato nullo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<sst xmlns="http://schemas.openxmlformats.org/spreadsheetml/2006/main" count="476" uniqueCount="186">
  <si>
    <t>INCENDIO</t>
  </si>
  <si>
    <t>RCG</t>
  </si>
  <si>
    <t>LOB</t>
  </si>
  <si>
    <t>t</t>
  </si>
  <si>
    <t>Data di valutazione</t>
  </si>
  <si>
    <t>BOT 0,5 anni</t>
  </si>
  <si>
    <t>prezzo di mkt</t>
  </si>
  <si>
    <t>BTP 1,5 anni</t>
  </si>
  <si>
    <t>Portafoglio  attivi CVT</t>
  </si>
  <si>
    <t>cedola</t>
  </si>
  <si>
    <t>ammontare in t=0</t>
  </si>
  <si>
    <t>C/C</t>
  </si>
  <si>
    <t>nominale</t>
  </si>
  <si>
    <t>numero in ptf</t>
  </si>
  <si>
    <t>%</t>
  </si>
  <si>
    <t>Flussi saldo tecnico CVT</t>
  </si>
  <si>
    <t>passivo</t>
  </si>
  <si>
    <t>BOT</t>
  </si>
  <si>
    <t>BTP</t>
  </si>
  <si>
    <t>BOT + BTP</t>
  </si>
  <si>
    <t>Tassi di attualizzazione</t>
  </si>
  <si>
    <t>Tassi Risk-free</t>
  </si>
  <si>
    <t>Discount Rate Risk-free</t>
  </si>
  <si>
    <t>Spread al 31/01/2012</t>
  </si>
  <si>
    <t>Tassi Risk free+spread</t>
  </si>
  <si>
    <t>Discount Rate Risk-free + spread</t>
  </si>
  <si>
    <t>Risk free UP</t>
  </si>
  <si>
    <t>Risk free DOWN</t>
  </si>
  <si>
    <t>Discount rate UP</t>
  </si>
  <si>
    <t>Discount rate DOWN</t>
  </si>
  <si>
    <t>Illiquidity premium</t>
  </si>
  <si>
    <t>Risk free + illiquidity</t>
  </si>
  <si>
    <t>Discount rate Risk free+illiquidity</t>
  </si>
  <si>
    <t>Rischio Spread</t>
  </si>
  <si>
    <t>Pre-Stress</t>
  </si>
  <si>
    <t>SCR Spread</t>
  </si>
  <si>
    <t>NAV</t>
  </si>
  <si>
    <t>Post-Stress</t>
  </si>
  <si>
    <t>Rischio Tasso di Interesse</t>
  </si>
  <si>
    <t>Riproporzionamento</t>
  </si>
  <si>
    <t>Valore attivo con curva C&amp;A</t>
  </si>
  <si>
    <t>Valore attivo di mkt</t>
  </si>
  <si>
    <t>PROPORZIONE</t>
  </si>
  <si>
    <t>Stress UP</t>
  </si>
  <si>
    <t>Discount rate Risk freeUP+illiquidity</t>
  </si>
  <si>
    <t>Discount rate Risk freeDW+illiquidity</t>
  </si>
  <si>
    <t>Stress DW</t>
  </si>
  <si>
    <t>NAV UP</t>
  </si>
  <si>
    <t>NAV DOWN</t>
  </si>
  <si>
    <t>SCR Interest</t>
  </si>
  <si>
    <t>Flussi saldo tecnico Incendio</t>
  </si>
  <si>
    <t>Portafoglio attivi Incendio</t>
  </si>
  <si>
    <t>BTP 2,5 anni</t>
  </si>
  <si>
    <t>BTP 1,5</t>
  </si>
  <si>
    <t>BTP 2,5</t>
  </si>
  <si>
    <t>Flussi saldo tecnico RCG</t>
  </si>
  <si>
    <t>BTP 6,5</t>
  </si>
  <si>
    <t>BTP 6,5 anni</t>
  </si>
  <si>
    <t>questo BTP in realtà scade ad Agosto però per semplicità ho ipotizzato che scada ad agosto</t>
  </si>
  <si>
    <t>Portafoglio attivi RCG</t>
  </si>
  <si>
    <t>RCA</t>
  </si>
  <si>
    <t>INCENDIO ED E.N.</t>
  </si>
  <si>
    <t>CorrLob</t>
  </si>
  <si>
    <t>LOB1</t>
  </si>
  <si>
    <t>LOB4</t>
  </si>
  <si>
    <t>NA</t>
  </si>
  <si>
    <t>E(N1)</t>
  </si>
  <si>
    <t>E(N4)</t>
  </si>
  <si>
    <t>VAR(N1)</t>
  </si>
  <si>
    <t>VAR(N4)</t>
  </si>
  <si>
    <t>E(Y1)</t>
  </si>
  <si>
    <t>E(Y4)</t>
  </si>
  <si>
    <t>CV(Y1)</t>
  </si>
  <si>
    <t>CV(Y4)</t>
  </si>
  <si>
    <t>PREMI(1+4)</t>
  </si>
  <si>
    <t>VAR(Y1)</t>
  </si>
  <si>
    <t>VAR(Y4)</t>
  </si>
  <si>
    <t>SCR(1+4,MI)</t>
  </si>
  <si>
    <t>DS(Y1)</t>
  </si>
  <si>
    <t>DS(Y4)</t>
  </si>
  <si>
    <t>EFFETTO DIV.</t>
  </si>
  <si>
    <t>E(X1)</t>
  </si>
  <si>
    <t>E(X4)</t>
  </si>
  <si>
    <t>VAR(X1)</t>
  </si>
  <si>
    <t>VAR(X4)</t>
  </si>
  <si>
    <t>SCR(1+4,MI)/PREMI(1+4)</t>
  </si>
  <si>
    <t>E(E1)</t>
  </si>
  <si>
    <t>E(E4)</t>
  </si>
  <si>
    <t>VAR(E1)</t>
  </si>
  <si>
    <t>VAR(E4)</t>
  </si>
  <si>
    <t>E(X1+E1+X4+E4)</t>
  </si>
  <si>
    <t>DS(E1)</t>
  </si>
  <si>
    <t>DS(E4)</t>
  </si>
  <si>
    <t>VAR(X1+E1+X4+E4)</t>
  </si>
  <si>
    <t>E(X1+E1)</t>
  </si>
  <si>
    <t>E(X4+E4)</t>
  </si>
  <si>
    <t>DS(X1+E1+X4+E4)</t>
  </si>
  <si>
    <t>VAR(X1+E1)</t>
  </si>
  <si>
    <t>VAR(X4+E4)</t>
  </si>
  <si>
    <t>DS(X1+E1)</t>
  </si>
  <si>
    <t>DS(X4+E4)</t>
  </si>
  <si>
    <t>E(U(1+4))</t>
  </si>
  <si>
    <t>BETA</t>
  </si>
  <si>
    <t>VAR(U(1+4))</t>
  </si>
  <si>
    <t>PREMI(4)</t>
  </si>
  <si>
    <t>DS(U(1+4))</t>
  </si>
  <si>
    <t>ALFA</t>
  </si>
  <si>
    <t>E</t>
  </si>
  <si>
    <t>F</t>
  </si>
  <si>
    <t>A</t>
  </si>
  <si>
    <t>C</t>
  </si>
  <si>
    <t>B</t>
  </si>
  <si>
    <t>D</t>
  </si>
  <si>
    <t>VAR(99,5%;X1+E1)</t>
  </si>
  <si>
    <t>E(U1)</t>
  </si>
  <si>
    <t>E(U4)</t>
  </si>
  <si>
    <t>VAR(U1)</t>
  </si>
  <si>
    <t>VAR(U4)</t>
  </si>
  <si>
    <t>DS(U1)</t>
  </si>
  <si>
    <t>SCR(1,MI)</t>
  </si>
  <si>
    <t>LOB 1</t>
  </si>
  <si>
    <t>LOB 4</t>
  </si>
  <si>
    <t>N. SINISTRI</t>
  </si>
  <si>
    <t>N. RISCHI ANNO</t>
  </si>
  <si>
    <t>MEDIA</t>
  </si>
  <si>
    <t>VARIANZA</t>
  </si>
  <si>
    <t>TOTALE</t>
  </si>
  <si>
    <t>ARCHIVIO SINISTRI</t>
  </si>
  <si>
    <t>SINGOLO RISARCIMENTO</t>
  </si>
  <si>
    <t>σ(1,FS)</t>
  </si>
  <si>
    <t>SCR(1,FS)</t>
  </si>
  <si>
    <t>MI/FS LR</t>
  </si>
  <si>
    <t>SCR(4,FS)</t>
  </si>
  <si>
    <t>SCR(1+4,FS)</t>
  </si>
  <si>
    <t>SCR(1+4,FS)/PREMI(1+4)</t>
  </si>
  <si>
    <t>σ(4,FS)</t>
  </si>
  <si>
    <t>3σ</t>
  </si>
  <si>
    <t>VAR(99,5%;X4+E4)</t>
  </si>
  <si>
    <t>DS(U4)</t>
  </si>
  <si>
    <t>SCR(4,MI)</t>
  </si>
  <si>
    <t>CV(X1+E1)</t>
  </si>
  <si>
    <t>CV(X4+E4)</t>
  </si>
  <si>
    <t>VAR(99,5%;FS,X1+E1)</t>
  </si>
  <si>
    <t>VAR(99,5%;FS,X4+E4)</t>
  </si>
  <si>
    <t>CoC(1,MI)</t>
  </si>
  <si>
    <t>CoC(4,MI)</t>
  </si>
  <si>
    <t>RORAC(1,FS)</t>
  </si>
  <si>
    <t>RORAC(1,MI)</t>
  </si>
  <si>
    <t>CoC(1,FS)</t>
  </si>
  <si>
    <t>E(U1,NCoC,MI)</t>
  </si>
  <si>
    <t>E(U1,NCoC,FS)</t>
  </si>
  <si>
    <t>CoC(4,FS)</t>
  </si>
  <si>
    <t>E(U4,NCoC,MI)</t>
  </si>
  <si>
    <t>E(U4,NCoC,FS)</t>
  </si>
  <si>
    <t>RORAC(4,MI)</t>
  </si>
  <si>
    <t>RORAC(4,FS)</t>
  </si>
  <si>
    <t>CoC(1+4,MI)</t>
  </si>
  <si>
    <t>CoC(1+4,FS)</t>
  </si>
  <si>
    <t>E(U(1+4),NCoC,MI)</t>
  </si>
  <si>
    <t>E(U(1+4),NCoC,FS)</t>
  </si>
  <si>
    <t>RORAC(1+4,MI)</t>
  </si>
  <si>
    <t>RORAC(1+4,FS)</t>
  </si>
  <si>
    <t>3*SIGMA*PT=3*DS(X+E)/E(X+E)*PT=3*DS(X+E) PROXY PERC(99,5%)-E(X+E)</t>
  </si>
  <si>
    <t>E(X+E)=PT OVVERO E(U)=O</t>
  </si>
  <si>
    <t>X+E distribuzione lognormale</t>
  </si>
  <si>
    <t>CV=10%</t>
  </si>
  <si>
    <t>CV(MI)=13,55%</t>
  </si>
  <si>
    <t>SCR(99,5%)=VAR(99,5%;X+E)-PT</t>
  </si>
  <si>
    <t>PT=E(X)*1,3=E(X)+0,1E(X)+0,2*E(X)=E(X)+0,1E(X)+E(E)</t>
  </si>
  <si>
    <t>CARICAMENTO DI SICUREZZA=0,1E(X)</t>
  </si>
  <si>
    <t>PP=E(X)+0,1E(X)</t>
  </si>
  <si>
    <t>PE=E(X)</t>
  </si>
  <si>
    <t>U=PT-(X+E)</t>
  </si>
  <si>
    <t>E(U)=E(PT-X-E)=PT-E(X)-E(E)=1,3E(X)-1,2*E(X)=CARICAMENTO DI SICUREZZA=0,1*E(X)</t>
  </si>
  <si>
    <t>VAR(U)=VAR(PT-(X+E))=VAR(-1*(X+E))=(-1)^2*VAR(X+E)=VAR(X+E)</t>
  </si>
  <si>
    <t>VAR(X)=E(Nptf)*VAR(Y)+VAR(Nptf)*E(Y)^2=NA*E(N)*VAR(Y)+NA*VAR(N)*E(Y)^2</t>
  </si>
  <si>
    <t>E(X1)=E(N1ptf)E(Y1)=NA*E(N1)*E(Y1)</t>
  </si>
  <si>
    <t>E(N1)=6,2%</t>
  </si>
  <si>
    <t>E(N1ptf)=NA*E(N1)</t>
  </si>
  <si>
    <t>VAR(Nptf)=NA*VAR(N)</t>
  </si>
  <si>
    <t>HP: 20% DEL PE</t>
  </si>
  <si>
    <t>CV(E1) = 25%</t>
  </si>
  <si>
    <t>PREMI(1) TARIFFA</t>
  </si>
  <si>
    <t>ev = e^(mu+sigma^2/2)</t>
  </si>
  <si>
    <t>var: e^(2u+sigma2)*</t>
  </si>
  <si>
    <t>* e^sigma2 - 1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</si>
</sst>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0.0%"/>
    <numFmt numFmtId="165" formatCode="_-[$€]\ * #,##0.00_-;\-[$€]\ * #,##0.00_-;_-[$€]\ * &quot;-&quot;??_-;_-@_-"/>
    <numFmt numFmtId="166" formatCode="_(* #,##0.00_);_(* \(#,##0.00\);_(* &quot;-&quot;??_);_(@_)"/>
    <numFmt numFmtId="167" formatCode="00"/>
    <numFmt numFmtId="168" formatCode="####0.000"/>
    <numFmt numFmtId="169" formatCode="0.0"/>
    <numFmt numFmtId="170" formatCode="_-* #,##0_-;\-* #,##0_-;_-* &quot;-&quot;??_-;_-@_-"/>
    <numFmt numFmtId="171" formatCode="_-* #,##0.0000_-;\-* #,##0.0000_-;_-* &quot;-&quot;??_-;_-@_-"/>
    <numFmt numFmtId="172" formatCode="0.000"/>
    <numFmt numFmtId="173" formatCode="_-* #,##0.000000000_-;\-* #,##0.000000000_-;_-* &quot;-&quot;??_-;_-@_-"/>
    <numFmt numFmtId="174" formatCode="_-* #,##0.0_-;\-* #,##0.0_-;_-* &quot;-&quot;??_-;_-@_-"/>
    <numFmt numFmtId="175" formatCode="_-* #,##0.000000_-;\-* #,##0.000000_-;_-* &quot;-&quot;??_-;_-@_-"/>
    <numFmt numFmtId="186" formatCode="#,##0\ &quot;€&quot;"/>
  </numFmts>
  <fonts count="5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8"/>
      <name val="Courier New"/>
      <family val="3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8"/>
      <name val="Georgia"/>
      <family val="1"/>
    </font>
    <font>
      <b/>
      <sz val="11"/>
      <color indexed="8"/>
      <name val="Georgia"/>
      <family val="1"/>
    </font>
    <font>
      <b/>
      <sz val="11"/>
      <color indexed="10"/>
      <name val="Georgia"/>
      <family val="1"/>
    </font>
    <font>
      <b/>
      <i/>
      <sz val="11"/>
      <color indexed="8"/>
      <name val="Georgia"/>
      <family val="1"/>
    </font>
    <font>
      <b/>
      <u/>
      <sz val="11"/>
      <color indexed="8"/>
      <name val="Georgia"/>
      <family val="1"/>
    </font>
    <font>
      <sz val="11"/>
      <color indexed="10"/>
      <name val="Georgia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name val="Courier New"/>
      <family val="3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sz val="10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Georgia"/>
      <family val="1"/>
    </font>
    <font>
      <b/>
      <sz val="14"/>
      <name val="Georgia"/>
      <family val="1"/>
    </font>
    <font>
      <sz val="14"/>
      <name val="Georgia"/>
      <family val="1"/>
    </font>
    <font>
      <b/>
      <sz val="14"/>
      <name val="Constantia"/>
      <family val="1"/>
    </font>
    <font>
      <sz val="14"/>
      <name val="Constantia"/>
      <family val="1"/>
    </font>
    <font>
      <sz val="8"/>
      <name val="Georgia"/>
      <family val="1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9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2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9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4" fillId="20" borderId="1" applyNumberFormat="0" applyAlignment="0" applyProtection="0"/>
    <xf numFmtId="0" fontId="2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7" fillId="20" borderId="2" applyNumberFormat="0" applyAlignment="0" applyProtection="0"/>
    <xf numFmtId="0" fontId="27" fillId="20" borderId="2" applyNumberFormat="0" applyAlignment="0" applyProtection="0"/>
    <xf numFmtId="0" fontId="27" fillId="20" borderId="2" applyNumberFormat="0" applyAlignment="0" applyProtection="0"/>
    <xf numFmtId="0" fontId="28" fillId="0" borderId="3" applyNumberFormat="0" applyFill="0" applyAlignment="0" applyProtection="0"/>
    <xf numFmtId="0" fontId="29" fillId="21" borderId="4" applyNumberFormat="0" applyAlignment="0" applyProtection="0"/>
    <xf numFmtId="166" fontId="4" fillId="0" borderId="0" applyFont="0" applyFill="0" applyBorder="0" applyAlignment="0" applyProtection="0"/>
    <xf numFmtId="0" fontId="2" fillId="22" borderId="5" applyNumberFormat="0" applyFont="0" applyAlignment="0" applyProtection="0"/>
    <xf numFmtId="3" fontId="30" fillId="0" borderId="6" applyBorder="0">
      <alignment vertical="center"/>
      <protection locked="0"/>
    </xf>
    <xf numFmtId="166" fontId="2" fillId="0" borderId="0" applyFont="0" applyFill="0" applyBorder="0" applyAlignment="0" applyProtection="0"/>
    <xf numFmtId="0" fontId="31" fillId="7" borderId="2" applyNumberFormat="0" applyAlignment="0" applyProtection="0"/>
    <xf numFmtId="0" fontId="2" fillId="23" borderId="6" applyBorder="0"/>
    <xf numFmtId="0" fontId="2" fillId="23" borderId="6" applyBorder="0"/>
    <xf numFmtId="0" fontId="2" fillId="23" borderId="6" applyBorder="0"/>
    <xf numFmtId="0" fontId="31" fillId="7" borderId="2" applyNumberFormat="0" applyAlignment="0" applyProtection="0"/>
    <xf numFmtId="0" fontId="32" fillId="0" borderId="7" applyNumberFormat="0" applyFill="0" applyAlignment="0" applyProtection="0"/>
    <xf numFmtId="0" fontId="33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35" fillId="4" borderId="0" applyNumberFormat="0" applyBorder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20" fillId="22" borderId="5" applyNumberFormat="0" applyFont="0" applyAlignment="0" applyProtection="0"/>
    <xf numFmtId="0" fontId="26" fillId="3" borderId="0" applyNumberFormat="0" applyBorder="0" applyAlignment="0" applyProtection="0"/>
    <xf numFmtId="0" fontId="34" fillId="4" borderId="0" applyNumberFormat="0" applyBorder="0" applyAlignment="0" applyProtection="0"/>
    <xf numFmtId="0" fontId="26" fillId="3" borderId="0" applyNumberFormat="0" applyBorder="0" applyAlignment="0" applyProtection="0"/>
    <xf numFmtId="0" fontId="27" fillId="20" borderId="2" applyNumberFormat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167" fontId="6" fillId="0" borderId="11" applyBorder="0">
      <alignment horizontal="center" vertical="center"/>
    </xf>
    <xf numFmtId="168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" fillId="0" borderId="0">
      <protection locked="0"/>
    </xf>
    <xf numFmtId="0" fontId="47" fillId="0" borderId="0"/>
    <xf numFmtId="0" fontId="2" fillId="22" borderId="5" applyNumberFormat="0" applyFont="0" applyAlignment="0" applyProtection="0"/>
    <xf numFmtId="0" fontId="2" fillId="22" borderId="5" applyNumberFormat="0" applyFont="0" applyAlignment="0" applyProtection="0"/>
    <xf numFmtId="0" fontId="40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9" fontId="30" fillId="0" borderId="12">
      <alignment vertical="center"/>
    </xf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25" borderId="0" applyNumberFormat="0" applyBorder="0">
      <alignment horizontal="right"/>
      <protection locked="0"/>
    </xf>
    <xf numFmtId="0" fontId="2" fillId="23" borderId="0" applyNumberFormat="0" applyFont="0" applyBorder="0" applyAlignment="0"/>
    <xf numFmtId="0" fontId="2" fillId="26" borderId="0" applyNumberFormat="0" applyBorder="0">
      <alignment horizontal="center" vertical="center" wrapText="1"/>
    </xf>
    <xf numFmtId="169" fontId="7" fillId="27" borderId="12" applyNumberFormat="0" applyBorder="0" applyAlignment="0">
      <alignment horizontal="right"/>
      <protection locked="0"/>
    </xf>
    <xf numFmtId="0" fontId="2" fillId="28" borderId="0" applyNumberFormat="0" applyFont="0" applyBorder="0" applyAlignment="0"/>
    <xf numFmtId="0" fontId="8" fillId="0" borderId="6" applyFill="0" applyBorder="0">
      <alignment horizontal="center" vertical="center"/>
    </xf>
    <xf numFmtId="10" fontId="9" fillId="0" borderId="13" applyNumberFormat="0" applyBorder="0" applyAlignment="0"/>
    <xf numFmtId="0" fontId="2" fillId="29" borderId="12">
      <alignment horizontal="center" wrapText="1"/>
    </xf>
    <xf numFmtId="0" fontId="2" fillId="29" borderId="12">
      <alignment horizontal="left"/>
    </xf>
    <xf numFmtId="3" fontId="2" fillId="27" borderId="12">
      <alignment horizontal="right"/>
      <protection locked="0"/>
    </xf>
    <xf numFmtId="164" fontId="2" fillId="27" borderId="12">
      <alignment horizontal="right"/>
      <protection locked="0"/>
    </xf>
    <xf numFmtId="0" fontId="2" fillId="0" borderId="0" applyNumberFormat="0" applyFont="0" applyBorder="0" applyAlignment="0"/>
    <xf numFmtId="0" fontId="7" fillId="25" borderId="0" applyNumberFormat="0" applyBorder="0">
      <alignment horizontal="right"/>
      <protection locked="0"/>
    </xf>
    <xf numFmtId="3" fontId="10" fillId="30" borderId="12" applyBorder="0"/>
    <xf numFmtId="0" fontId="2" fillId="23" borderId="0" applyBorder="0"/>
    <xf numFmtId="0" fontId="2" fillId="23" borderId="0" applyBorder="0"/>
    <xf numFmtId="0" fontId="2" fillId="29" borderId="12" applyNumberFormat="0" applyFont="0" applyBorder="0" applyAlignment="0">
      <alignment horizontal="center" wrapText="1"/>
    </xf>
    <xf numFmtId="3" fontId="7" fillId="26" borderId="6" applyNumberFormat="0" applyBorder="0" applyAlignment="0">
      <alignment vertical="center"/>
      <protection locked="0"/>
    </xf>
    <xf numFmtId="0" fontId="2" fillId="29" borderId="0" applyNumberFormat="0" applyFont="0" applyFill="0" applyBorder="0" applyAlignment="0"/>
    <xf numFmtId="0" fontId="3" fillId="28" borderId="0" applyNumberFormat="0" applyFont="0" applyBorder="0" applyAlignment="0"/>
    <xf numFmtId="3" fontId="11" fillId="31" borderId="12" applyNumberFormat="0" applyBorder="0">
      <alignment horizontal="right" vertical="center" wrapText="1" indent="1"/>
    </xf>
    <xf numFmtId="0" fontId="9" fillId="0" borderId="0" applyNumberFormat="0" applyBorder="0" applyAlignment="0"/>
    <xf numFmtId="0" fontId="12" fillId="32" borderId="14" applyNumberFormat="0" applyFont="0" applyBorder="0" applyAlignment="0"/>
    <xf numFmtId="0" fontId="13" fillId="0" borderId="0" applyFill="0" applyBorder="0">
      <alignment horizontal="center" vertical="center"/>
    </xf>
    <xf numFmtId="0" fontId="34" fillId="4" borderId="0" applyNumberFormat="0" applyBorder="0" applyAlignment="0" applyProtection="0"/>
    <xf numFmtId="0" fontId="41" fillId="3" borderId="0" applyNumberFormat="0" applyBorder="0" applyAlignment="0" applyProtection="0"/>
    <xf numFmtId="0" fontId="33" fillId="0" borderId="0" applyNumberFormat="0" applyFill="0" applyBorder="0" applyAlignment="0" applyProtection="0"/>
    <xf numFmtId="0" fontId="24" fillId="20" borderId="1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2" fillId="0" borderId="7" applyNumberFormat="0" applyFill="0" applyAlignment="0" applyProtection="0"/>
    <xf numFmtId="0" fontId="31" fillId="7" borderId="2" applyNumberFormat="0" applyAlignment="0" applyProtection="0"/>
    <xf numFmtId="0" fontId="29" fillId="21" borderId="4" applyNumberFormat="0" applyAlignment="0" applyProtection="0"/>
    <xf numFmtId="0" fontId="3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7" fillId="0" borderId="9" applyNumberFormat="0" applyFill="0" applyAlignment="0" applyProtection="0"/>
    <xf numFmtId="0" fontId="38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7" applyNumberFormat="0" applyFill="0" applyAlignment="0" applyProtection="0"/>
    <xf numFmtId="0" fontId="24" fillId="20" borderId="1" applyNumberFormat="0" applyAlignment="0" applyProtection="0"/>
    <xf numFmtId="0" fontId="40" fillId="0" borderId="0" applyNumberFormat="0" applyFill="0" applyBorder="0" applyAlignment="0" applyProtection="0"/>
    <xf numFmtId="0" fontId="42" fillId="0" borderId="8" applyNumberFormat="0" applyFill="0" applyAlignment="0" applyProtection="0"/>
    <xf numFmtId="0" fontId="43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21" borderId="4" applyNumberFormat="0" applyAlignment="0" applyProtection="0"/>
    <xf numFmtId="0" fontId="4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6" fillId="21" borderId="4" applyNumberFormat="0" applyAlignment="0" applyProtection="0"/>
  </cellStyleXfs>
  <cellXfs count="104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4" fillId="0" borderId="12" xfId="0" applyFont="1" applyBorder="1"/>
    <xf numFmtId="0" fontId="14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14" fontId="14" fillId="0" borderId="0" xfId="0" applyNumberFormat="1" applyFont="1"/>
    <xf numFmtId="43" fontId="14" fillId="0" borderId="0" xfId="125" applyFont="1"/>
    <xf numFmtId="43" fontId="14" fillId="0" borderId="12" xfId="125" applyFont="1" applyBorder="1"/>
    <xf numFmtId="0" fontId="14" fillId="0" borderId="12" xfId="0" applyFont="1" applyBorder="1" applyAlignment="1">
      <alignment horizontal="center" vertical="center" wrapText="1"/>
    </xf>
    <xf numFmtId="172" fontId="14" fillId="0" borderId="12" xfId="0" applyNumberFormat="1" applyFont="1" applyBorder="1"/>
    <xf numFmtId="10" fontId="14" fillId="0" borderId="12" xfId="0" applyNumberFormat="1" applyFont="1" applyBorder="1"/>
    <xf numFmtId="0" fontId="14" fillId="0" borderId="0" xfId="0" applyFont="1" applyAlignment="1">
      <alignment horizontal="center" vertical="center"/>
    </xf>
    <xf numFmtId="43" fontId="14" fillId="0" borderId="12" xfId="0" applyNumberFormat="1" applyFont="1" applyBorder="1"/>
    <xf numFmtId="10" fontId="14" fillId="0" borderId="0" xfId="149" applyNumberFormat="1" applyFont="1" applyAlignment="1">
      <alignment horizontal="center"/>
    </xf>
    <xf numFmtId="0" fontId="17" fillId="0" borderId="12" xfId="0" applyFont="1" applyBorder="1" applyAlignment="1">
      <alignment horizontal="center"/>
    </xf>
    <xf numFmtId="10" fontId="14" fillId="0" borderId="0" xfId="0" applyNumberFormat="1" applyFont="1" applyAlignment="1">
      <alignment horizontal="center"/>
    </xf>
    <xf numFmtId="171" fontId="14" fillId="0" borderId="0" xfId="125" applyNumberFormat="1" applyFont="1"/>
    <xf numFmtId="10" fontId="14" fillId="0" borderId="12" xfId="149" applyNumberFormat="1" applyFont="1" applyBorder="1"/>
    <xf numFmtId="171" fontId="14" fillId="0" borderId="12" xfId="125" applyNumberFormat="1" applyFont="1" applyBorder="1"/>
    <xf numFmtId="10" fontId="15" fillId="0" borderId="12" xfId="149" applyNumberFormat="1" applyFont="1" applyBorder="1"/>
    <xf numFmtId="0" fontId="15" fillId="0" borderId="12" xfId="0" applyFont="1" applyBorder="1"/>
    <xf numFmtId="43" fontId="14" fillId="0" borderId="0" xfId="0" applyNumberFormat="1" applyFont="1"/>
    <xf numFmtId="43" fontId="15" fillId="0" borderId="12" xfId="0" applyNumberFormat="1" applyFont="1" applyBorder="1"/>
    <xf numFmtId="171" fontId="15" fillId="33" borderId="12" xfId="125" applyNumberFormat="1" applyFont="1" applyFill="1" applyBorder="1"/>
    <xf numFmtId="43" fontId="15" fillId="33" borderId="12" xfId="125" applyFont="1" applyFill="1" applyBorder="1"/>
    <xf numFmtId="0" fontId="18" fillId="0" borderId="0" xfId="0" applyFont="1"/>
    <xf numFmtId="171" fontId="15" fillId="0" borderId="12" xfId="125" applyNumberFormat="1" applyFont="1" applyBorder="1" applyAlignment="1">
      <alignment horizontal="center"/>
    </xf>
    <xf numFmtId="14" fontId="15" fillId="0" borderId="12" xfId="0" applyNumberFormat="1" applyFont="1" applyBorder="1"/>
    <xf numFmtId="0" fontId="19" fillId="34" borderId="0" xfId="0" applyFont="1" applyFill="1"/>
    <xf numFmtId="0" fontId="15" fillId="0" borderId="0" xfId="0" applyFont="1" applyAlignment="1">
      <alignment vertical="center"/>
    </xf>
    <xf numFmtId="14" fontId="15" fillId="0" borderId="12" xfId="0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14" fontId="14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43" fontId="14" fillId="0" borderId="12" xfId="125" applyFont="1" applyBorder="1" applyAlignment="1">
      <alignment vertical="center"/>
    </xf>
    <xf numFmtId="43" fontId="14" fillId="0" borderId="12" xfId="0" applyNumberFormat="1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172" fontId="14" fillId="0" borderId="12" xfId="0" applyNumberFormat="1" applyFont="1" applyBorder="1" applyAlignment="1">
      <alignment vertical="center"/>
    </xf>
    <xf numFmtId="43" fontId="14" fillId="0" borderId="0" xfId="0" applyNumberFormat="1" applyFont="1" applyAlignment="1">
      <alignment vertical="center"/>
    </xf>
    <xf numFmtId="10" fontId="14" fillId="0" borderId="0" xfId="149" applyNumberFormat="1" applyFont="1" applyAlignment="1">
      <alignment horizontal="center" vertical="center"/>
    </xf>
    <xf numFmtId="10" fontId="14" fillId="0" borderId="12" xfId="0" applyNumberFormat="1" applyFont="1" applyBorder="1" applyAlignment="1">
      <alignment vertical="center"/>
    </xf>
    <xf numFmtId="43" fontId="14" fillId="0" borderId="0" xfId="125" applyFont="1" applyAlignment="1">
      <alignment vertical="center"/>
    </xf>
    <xf numFmtId="10" fontId="14" fillId="0" borderId="0" xfId="0" applyNumberFormat="1" applyFont="1" applyAlignment="1">
      <alignment horizontal="center" vertical="center"/>
    </xf>
    <xf numFmtId="0" fontId="19" fillId="34" borderId="0" xfId="0" applyFont="1" applyFill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171" fontId="14" fillId="0" borderId="0" xfId="125" applyNumberFormat="1" applyFont="1" applyAlignment="1">
      <alignment vertical="center"/>
    </xf>
    <xf numFmtId="10" fontId="14" fillId="0" borderId="12" xfId="149" applyNumberFormat="1" applyFont="1" applyBorder="1" applyAlignment="1">
      <alignment vertical="center"/>
    </xf>
    <xf numFmtId="171" fontId="14" fillId="0" borderId="12" xfId="125" applyNumberFormat="1" applyFont="1" applyBorder="1" applyAlignment="1">
      <alignment vertical="center"/>
    </xf>
    <xf numFmtId="171" fontId="15" fillId="33" borderId="12" xfId="125" applyNumberFormat="1" applyFont="1" applyFill="1" applyBorder="1" applyAlignment="1">
      <alignment vertical="center"/>
    </xf>
    <xf numFmtId="43" fontId="15" fillId="33" borderId="12" xfId="125" applyFont="1" applyFill="1" applyBorder="1" applyAlignment="1">
      <alignment vertical="center"/>
    </xf>
    <xf numFmtId="10" fontId="15" fillId="0" borderId="12" xfId="149" applyNumberFormat="1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43" fontId="15" fillId="0" borderId="12" xfId="0" applyNumberFormat="1" applyFont="1" applyBorder="1" applyAlignment="1">
      <alignment vertical="center"/>
    </xf>
    <xf numFmtId="171" fontId="15" fillId="0" borderId="12" xfId="125" applyNumberFormat="1" applyFont="1" applyBorder="1" applyAlignment="1">
      <alignment horizontal="center" vertical="center"/>
    </xf>
    <xf numFmtId="0" fontId="48" fillId="34" borderId="0" xfId="137" applyFont="1" applyFill="1"/>
    <xf numFmtId="0" fontId="49" fillId="34" borderId="12" xfId="137" applyFont="1" applyFill="1" applyBorder="1"/>
    <xf numFmtId="173" fontId="48" fillId="34" borderId="0" xfId="137" applyNumberFormat="1" applyFont="1" applyFill="1"/>
    <xf numFmtId="0" fontId="49" fillId="36" borderId="12" xfId="137" applyFont="1" applyFill="1" applyBorder="1"/>
    <xf numFmtId="170" fontId="50" fillId="34" borderId="12" xfId="137" applyNumberFormat="1" applyFont="1" applyFill="1" applyBorder="1"/>
    <xf numFmtId="0" fontId="49" fillId="34" borderId="12" xfId="137" applyFont="1" applyFill="1" applyBorder="1" applyAlignment="1">
      <alignment horizontal="center"/>
    </xf>
    <xf numFmtId="170" fontId="50" fillId="34" borderId="12" xfId="127" applyNumberFormat="1" applyFont="1" applyFill="1" applyBorder="1"/>
    <xf numFmtId="0" fontId="50" fillId="34" borderId="0" xfId="137" applyFont="1" applyFill="1"/>
    <xf numFmtId="0" fontId="50" fillId="34" borderId="12" xfId="137" applyFont="1" applyFill="1" applyBorder="1"/>
    <xf numFmtId="10" fontId="50" fillId="34" borderId="12" xfId="137" applyNumberFormat="1" applyFont="1" applyFill="1" applyBorder="1"/>
    <xf numFmtId="170" fontId="50" fillId="34" borderId="0" xfId="137" applyNumberFormat="1" applyFont="1" applyFill="1"/>
    <xf numFmtId="170" fontId="50" fillId="35" borderId="12" xfId="137" applyNumberFormat="1" applyFont="1" applyFill="1" applyBorder="1"/>
    <xf numFmtId="10" fontId="50" fillId="34" borderId="12" xfId="150" applyNumberFormat="1" applyFont="1" applyFill="1" applyBorder="1"/>
    <xf numFmtId="0" fontId="49" fillId="35" borderId="12" xfId="137" applyFont="1" applyFill="1" applyBorder="1"/>
    <xf numFmtId="43" fontId="50" fillId="35" borderId="12" xfId="127" applyFont="1" applyFill="1" applyBorder="1"/>
    <xf numFmtId="175" fontId="50" fillId="34" borderId="12" xfId="127" applyNumberFormat="1" applyFont="1" applyFill="1" applyBorder="1"/>
    <xf numFmtId="10" fontId="48" fillId="34" borderId="0" xfId="149" applyNumberFormat="1" applyFont="1" applyFill="1"/>
    <xf numFmtId="0" fontId="52" fillId="0" borderId="0" xfId="140" applyFont="1"/>
    <xf numFmtId="0" fontId="52" fillId="0" borderId="12" xfId="140" applyFont="1" applyBorder="1"/>
    <xf numFmtId="10" fontId="52" fillId="35" borderId="12" xfId="150" applyNumberFormat="1" applyFont="1" applyFill="1" applyBorder="1"/>
    <xf numFmtId="43" fontId="52" fillId="0" borderId="12" xfId="127" applyFont="1" applyBorder="1"/>
    <xf numFmtId="170" fontId="52" fillId="35" borderId="12" xfId="127" applyNumberFormat="1" applyFont="1" applyFill="1" applyBorder="1"/>
    <xf numFmtId="170" fontId="50" fillId="37" borderId="12" xfId="137" applyNumberFormat="1" applyFont="1" applyFill="1" applyBorder="1"/>
    <xf numFmtId="170" fontId="50" fillId="38" borderId="12" xfId="127" applyNumberFormat="1" applyFont="1" applyFill="1" applyBorder="1"/>
    <xf numFmtId="170" fontId="50" fillId="38" borderId="12" xfId="137" applyNumberFormat="1" applyFont="1" applyFill="1" applyBorder="1"/>
    <xf numFmtId="170" fontId="48" fillId="34" borderId="0" xfId="137" applyNumberFormat="1" applyFont="1" applyFill="1"/>
    <xf numFmtId="10" fontId="50" fillId="39" borderId="12" xfId="150" applyNumberFormat="1" applyFont="1" applyFill="1" applyBorder="1"/>
    <xf numFmtId="170" fontId="50" fillId="39" borderId="12" xfId="127" applyNumberFormat="1" applyFont="1" applyFill="1" applyBorder="1"/>
    <xf numFmtId="170" fontId="50" fillId="39" borderId="12" xfId="137" applyNumberFormat="1" applyFont="1" applyFill="1" applyBorder="1"/>
    <xf numFmtId="0" fontId="48" fillId="39" borderId="0" xfId="137" applyFont="1" applyFill="1"/>
    <xf numFmtId="174" fontId="50" fillId="34" borderId="12" xfId="125" applyNumberFormat="1" applyFont="1" applyFill="1" applyBorder="1"/>
    <xf numFmtId="170" fontId="50" fillId="34" borderId="12" xfId="125" applyNumberFormat="1" applyFont="1" applyFill="1" applyBorder="1"/>
    <xf numFmtId="164" fontId="50" fillId="34" borderId="12" xfId="149" applyNumberFormat="1" applyFont="1" applyFill="1" applyBorder="1"/>
    <xf numFmtId="10" fontId="50" fillId="34" borderId="12" xfId="149" applyNumberFormat="1" applyFont="1" applyFill="1" applyBorder="1"/>
    <xf numFmtId="0" fontId="52" fillId="0" borderId="12" xfId="140" applyFont="1" applyBorder="1" applyAlignment="1">
      <alignment horizontal="center"/>
    </xf>
    <xf numFmtId="0" fontId="51" fillId="34" borderId="16" xfId="137" applyFont="1" applyFill="1" applyBorder="1" applyAlignment="1">
      <alignment horizontal="center"/>
    </xf>
    <xf numFmtId="0" fontId="51" fillId="34" borderId="17" xfId="137" applyFont="1" applyFill="1" applyBorder="1" applyAlignment="1">
      <alignment horizontal="center"/>
    </xf>
    <xf numFmtId="0" fontId="51" fillId="34" borderId="15" xfId="137" applyFont="1" applyFill="1" applyBorder="1" applyAlignment="1">
      <alignment horizontal="center"/>
    </xf>
    <xf numFmtId="0" fontId="51" fillId="0" borderId="12" xfId="140" applyFont="1" applyBorder="1" applyAlignment="1">
      <alignment horizontal="center"/>
    </xf>
    <xf numFmtId="0" fontId="53" fillId="34" borderId="0" xfId="137" applyFont="1" applyFill="1"/>
    <xf numFmtId="186" fontId="50" fillId="39" borderId="12" xfId="149" applyNumberFormat="1" applyFont="1" applyFill="1" applyBorder="1"/>
    <xf numFmtId="186" fontId="50" fillId="39" borderId="12" xfId="150" applyNumberFormat="1" applyFont="1" applyFill="1" applyBorder="1"/>
    <xf numFmtId="10" fontId="50" fillId="39" borderId="12" xfId="149" applyNumberFormat="1" applyFont="1" applyFill="1" applyBorder="1"/>
    <xf numFmtId="43" fontId="48" fillId="34" borderId="0" xfId="125" applyFont="1" applyFill="1"/>
    <xf numFmtId="9" fontId="50" fillId="34" borderId="12" xfId="149" applyFont="1" applyFill="1" applyBorder="1"/>
  </cellXfs>
  <cellStyles count="209">
    <cellStyle name="20 % - Aksentti1" xfId="1" xr:uid="{00000000-0005-0000-0000-000000000000}"/>
    <cellStyle name="20 % - Aksentti2" xfId="2" xr:uid="{00000000-0005-0000-0000-000001000000}"/>
    <cellStyle name="20 % - Aksentti3" xfId="3" xr:uid="{00000000-0005-0000-0000-000002000000}"/>
    <cellStyle name="20 % - Aksentti4" xfId="4" xr:uid="{00000000-0005-0000-0000-000003000000}"/>
    <cellStyle name="20 % - Aksentti5" xfId="5" xr:uid="{00000000-0005-0000-0000-000004000000}"/>
    <cellStyle name="20 % - Aksentti6" xfId="6" xr:uid="{00000000-0005-0000-0000-000005000000}"/>
    <cellStyle name="20 % - Accent1" xfId="7" xr:uid="{00000000-0005-0000-0000-000006000000}"/>
    <cellStyle name="20 % - Accent2" xfId="8" xr:uid="{00000000-0005-0000-0000-000007000000}"/>
    <cellStyle name="20 % - Accent3" xfId="9" xr:uid="{00000000-0005-0000-0000-000008000000}"/>
    <cellStyle name="20 % - Accent4" xfId="10" xr:uid="{00000000-0005-0000-0000-000009000000}"/>
    <cellStyle name="20 % - Accent5" xfId="11" xr:uid="{00000000-0005-0000-0000-00000A000000}"/>
    <cellStyle name="20 % - Accent6" xfId="12" xr:uid="{00000000-0005-0000-0000-00000B000000}"/>
    <cellStyle name="20% - Accent1" xfId="13" xr:uid="{00000000-0005-0000-0000-00000C000000}"/>
    <cellStyle name="20% - Accent2" xfId="14" xr:uid="{00000000-0005-0000-0000-00000D000000}"/>
    <cellStyle name="20% - Accent3" xfId="15" xr:uid="{00000000-0005-0000-0000-00000E000000}"/>
    <cellStyle name="20% - Accent4" xfId="16" xr:uid="{00000000-0005-0000-0000-00000F000000}"/>
    <cellStyle name="20% - Accent5" xfId="17" xr:uid="{00000000-0005-0000-0000-000010000000}"/>
    <cellStyle name="20% - Accent6" xfId="18" xr:uid="{00000000-0005-0000-0000-000011000000}"/>
    <cellStyle name="20% - Akzent1" xfId="19" xr:uid="{00000000-0005-0000-0000-000012000000}"/>
    <cellStyle name="20% - Akzent2" xfId="20" xr:uid="{00000000-0005-0000-0000-000013000000}"/>
    <cellStyle name="20% - Akzent3" xfId="21" xr:uid="{00000000-0005-0000-0000-000014000000}"/>
    <cellStyle name="20% - Akzent4" xfId="22" xr:uid="{00000000-0005-0000-0000-000015000000}"/>
    <cellStyle name="20% - Akzent5" xfId="23" xr:uid="{00000000-0005-0000-0000-000016000000}"/>
    <cellStyle name="20% - Akzent6" xfId="24" xr:uid="{00000000-0005-0000-0000-000017000000}"/>
    <cellStyle name="40 % - Aksentti1" xfId="25" xr:uid="{00000000-0005-0000-0000-000018000000}"/>
    <cellStyle name="40 % - Aksentti2" xfId="26" xr:uid="{00000000-0005-0000-0000-000019000000}"/>
    <cellStyle name="40 % - Aksentti3" xfId="27" xr:uid="{00000000-0005-0000-0000-00001A000000}"/>
    <cellStyle name="40 % - Aksentti4" xfId="28" xr:uid="{00000000-0005-0000-0000-00001B000000}"/>
    <cellStyle name="40 % - Aksentti5" xfId="29" xr:uid="{00000000-0005-0000-0000-00001C000000}"/>
    <cellStyle name="40 % - Aksentti6" xfId="30" xr:uid="{00000000-0005-0000-0000-00001D000000}"/>
    <cellStyle name="40 % - Accent1" xfId="31" xr:uid="{00000000-0005-0000-0000-00001E000000}"/>
    <cellStyle name="40 % - Accent2" xfId="32" xr:uid="{00000000-0005-0000-0000-00001F000000}"/>
    <cellStyle name="40 % - Accent3" xfId="33" xr:uid="{00000000-0005-0000-0000-000020000000}"/>
    <cellStyle name="40 % - Accent4" xfId="34" xr:uid="{00000000-0005-0000-0000-000021000000}"/>
    <cellStyle name="40 % - Accent5" xfId="35" xr:uid="{00000000-0005-0000-0000-000022000000}"/>
    <cellStyle name="40 % - Accent6" xfId="36" xr:uid="{00000000-0005-0000-0000-000023000000}"/>
    <cellStyle name="40% - Accent1" xfId="37" xr:uid="{00000000-0005-0000-0000-000024000000}"/>
    <cellStyle name="40% - Accent2" xfId="38" xr:uid="{00000000-0005-0000-0000-000025000000}"/>
    <cellStyle name="40% - Accent3" xfId="39" xr:uid="{00000000-0005-0000-0000-000026000000}"/>
    <cellStyle name="40% - Accent4" xfId="40" xr:uid="{00000000-0005-0000-0000-000027000000}"/>
    <cellStyle name="40% - Accent5" xfId="41" xr:uid="{00000000-0005-0000-0000-000028000000}"/>
    <cellStyle name="40% - Accent6" xfId="42" xr:uid="{00000000-0005-0000-0000-000029000000}"/>
    <cellStyle name="40% - Akzent1" xfId="43" xr:uid="{00000000-0005-0000-0000-00002A000000}"/>
    <cellStyle name="40% - Akzent2" xfId="44" xr:uid="{00000000-0005-0000-0000-00002B000000}"/>
    <cellStyle name="40% - Akzent3" xfId="45" xr:uid="{00000000-0005-0000-0000-00002C000000}"/>
    <cellStyle name="40% - Akzent4" xfId="46" xr:uid="{00000000-0005-0000-0000-00002D000000}"/>
    <cellStyle name="40% - Akzent5" xfId="47" xr:uid="{00000000-0005-0000-0000-00002E000000}"/>
    <cellStyle name="40% - Akzent6" xfId="48" xr:uid="{00000000-0005-0000-0000-00002F000000}"/>
    <cellStyle name="60 % - Aksentti1" xfId="49" xr:uid="{00000000-0005-0000-0000-000030000000}"/>
    <cellStyle name="60 % - Aksentti2" xfId="50" xr:uid="{00000000-0005-0000-0000-000031000000}"/>
    <cellStyle name="60 % - Aksentti3" xfId="51" xr:uid="{00000000-0005-0000-0000-000032000000}"/>
    <cellStyle name="60 % - Aksentti4" xfId="52" xr:uid="{00000000-0005-0000-0000-000033000000}"/>
    <cellStyle name="60 % - Aksentti5" xfId="53" xr:uid="{00000000-0005-0000-0000-000034000000}"/>
    <cellStyle name="60 % - Aksentti6" xfId="54" xr:uid="{00000000-0005-0000-0000-000035000000}"/>
    <cellStyle name="60 % - Accent1" xfId="55" xr:uid="{00000000-0005-0000-0000-000036000000}"/>
    <cellStyle name="60 % - Accent2" xfId="56" xr:uid="{00000000-0005-0000-0000-000037000000}"/>
    <cellStyle name="60 % - Accent3" xfId="57" xr:uid="{00000000-0005-0000-0000-000038000000}"/>
    <cellStyle name="60 % - Accent4" xfId="58" xr:uid="{00000000-0005-0000-0000-000039000000}"/>
    <cellStyle name="60 % - Accent5" xfId="59" xr:uid="{00000000-0005-0000-0000-00003A000000}"/>
    <cellStyle name="60 % - Accent6" xfId="60" xr:uid="{00000000-0005-0000-0000-00003B000000}"/>
    <cellStyle name="60% - Accent1" xfId="61" xr:uid="{00000000-0005-0000-0000-00003C000000}"/>
    <cellStyle name="60% - Accent2" xfId="62" xr:uid="{00000000-0005-0000-0000-00003D000000}"/>
    <cellStyle name="60% - Accent3" xfId="63" xr:uid="{00000000-0005-0000-0000-00003E000000}"/>
    <cellStyle name="60% - Accent4" xfId="64" xr:uid="{00000000-0005-0000-0000-00003F000000}"/>
    <cellStyle name="60% - Accent5" xfId="65" xr:uid="{00000000-0005-0000-0000-000040000000}"/>
    <cellStyle name="60% - Accent6" xfId="66" xr:uid="{00000000-0005-0000-0000-000041000000}"/>
    <cellStyle name="60% - Akzent1" xfId="67" xr:uid="{00000000-0005-0000-0000-000042000000}"/>
    <cellStyle name="60% - Akzent2" xfId="68" xr:uid="{00000000-0005-0000-0000-000043000000}"/>
    <cellStyle name="60% - Akzent3" xfId="69" xr:uid="{00000000-0005-0000-0000-000044000000}"/>
    <cellStyle name="60% - Akzent4" xfId="70" xr:uid="{00000000-0005-0000-0000-000045000000}"/>
    <cellStyle name="60% - Akzent5" xfId="71" xr:uid="{00000000-0005-0000-0000-000046000000}"/>
    <cellStyle name="60% - Akzent6" xfId="72" xr:uid="{00000000-0005-0000-0000-000047000000}"/>
    <cellStyle name="Accent1" xfId="73" xr:uid="{00000000-0005-0000-0000-000048000000}"/>
    <cellStyle name="Accent2" xfId="74" xr:uid="{00000000-0005-0000-0000-000049000000}"/>
    <cellStyle name="Accent3" xfId="75" xr:uid="{00000000-0005-0000-0000-00004A000000}"/>
    <cellStyle name="Accent4" xfId="76" xr:uid="{00000000-0005-0000-0000-00004B000000}"/>
    <cellStyle name="Accent5" xfId="77" xr:uid="{00000000-0005-0000-0000-00004C000000}"/>
    <cellStyle name="Accent6" xfId="78" xr:uid="{00000000-0005-0000-0000-00004D000000}"/>
    <cellStyle name="Aksentti1" xfId="79" xr:uid="{00000000-0005-0000-0000-00004E000000}"/>
    <cellStyle name="Aksentti2" xfId="80" xr:uid="{00000000-0005-0000-0000-00004F000000}"/>
    <cellStyle name="Aksentti3" xfId="81" xr:uid="{00000000-0005-0000-0000-000050000000}"/>
    <cellStyle name="Aksentti4" xfId="82" xr:uid="{00000000-0005-0000-0000-000051000000}"/>
    <cellStyle name="Aksentti5" xfId="83" xr:uid="{00000000-0005-0000-0000-000052000000}"/>
    <cellStyle name="Aksentti6" xfId="84" xr:uid="{00000000-0005-0000-0000-000053000000}"/>
    <cellStyle name="Akzent1" xfId="85" xr:uid="{00000000-0005-0000-0000-000054000000}"/>
    <cellStyle name="Akzent2" xfId="86" xr:uid="{00000000-0005-0000-0000-000055000000}"/>
    <cellStyle name="Akzent3" xfId="87" xr:uid="{00000000-0005-0000-0000-000056000000}"/>
    <cellStyle name="Akzent4" xfId="88" xr:uid="{00000000-0005-0000-0000-000057000000}"/>
    <cellStyle name="Akzent5" xfId="89" xr:uid="{00000000-0005-0000-0000-000058000000}"/>
    <cellStyle name="Akzent6" xfId="90" xr:uid="{00000000-0005-0000-0000-000059000000}"/>
    <cellStyle name="Ausgabe" xfId="91" xr:uid="{00000000-0005-0000-0000-00005A000000}"/>
    <cellStyle name="Avertissement" xfId="92" xr:uid="{00000000-0005-0000-0000-00005B000000}"/>
    <cellStyle name="Bad" xfId="93" xr:uid="{00000000-0005-0000-0000-00005C000000}"/>
    <cellStyle name="Berechnung" xfId="94" xr:uid="{00000000-0005-0000-0000-00005D000000}"/>
    <cellStyle name="Calcul" xfId="95" xr:uid="{00000000-0005-0000-0000-00005E000000}"/>
    <cellStyle name="Calculation" xfId="96" xr:uid="{00000000-0005-0000-0000-00005F000000}"/>
    <cellStyle name="Cellule liée" xfId="97" xr:uid="{00000000-0005-0000-0000-000060000000}"/>
    <cellStyle name="Check Cell" xfId="98" xr:uid="{00000000-0005-0000-0000-000061000000}"/>
    <cellStyle name="Comma_USP Temp" xfId="99" xr:uid="{00000000-0005-0000-0000-000062000000}"/>
    <cellStyle name="Commentaire" xfId="100" xr:uid="{00000000-0005-0000-0000-000063000000}"/>
    <cellStyle name="DataCell" xfId="101" xr:uid="{00000000-0005-0000-0000-000064000000}"/>
    <cellStyle name="Dezimal_FIValueHelper-incl Term_structures" xfId="102" xr:uid="{00000000-0005-0000-0000-000065000000}"/>
    <cellStyle name="Eingabe" xfId="103" xr:uid="{00000000-0005-0000-0000-000066000000}"/>
    <cellStyle name="EmptyCell" xfId="104" xr:uid="{00000000-0005-0000-0000-000067000000}"/>
    <cellStyle name="EmptyCell 2" xfId="105" xr:uid="{00000000-0005-0000-0000-000068000000}"/>
    <cellStyle name="EmptyCell_Copy of non prop AMICEPK" xfId="106" xr:uid="{00000000-0005-0000-0000-000069000000}"/>
    <cellStyle name="Entrée" xfId="107" xr:uid="{00000000-0005-0000-0000-00006A000000}"/>
    <cellStyle name="Ergebnis" xfId="108" xr:uid="{00000000-0005-0000-0000-00006B000000}"/>
    <cellStyle name="Erklärender Text" xfId="109" xr:uid="{00000000-0005-0000-0000-00006C000000}"/>
    <cellStyle name="Euro" xfId="110" xr:uid="{00000000-0005-0000-0000-00006D000000}"/>
    <cellStyle name="Explanatory Text" xfId="111" xr:uid="{00000000-0005-0000-0000-00006E000000}"/>
    <cellStyle name="Good" xfId="112" xr:uid="{00000000-0005-0000-0000-00006F000000}"/>
    <cellStyle name="Gut" xfId="113" xr:uid="{00000000-0005-0000-0000-000070000000}"/>
    <cellStyle name="Heading 1" xfId="114" xr:uid="{00000000-0005-0000-0000-000071000000}"/>
    <cellStyle name="Heading 2" xfId="115" xr:uid="{00000000-0005-0000-0000-000072000000}"/>
    <cellStyle name="Heading 3" xfId="116" xr:uid="{00000000-0005-0000-0000-000073000000}"/>
    <cellStyle name="Heading 4" xfId="117" xr:uid="{00000000-0005-0000-0000-000074000000}"/>
    <cellStyle name="Huomautus" xfId="118" xr:uid="{00000000-0005-0000-0000-000075000000}"/>
    <cellStyle name="Huono" xfId="119" xr:uid="{00000000-0005-0000-0000-000076000000}"/>
    <cellStyle name="Hyvä" xfId="120" xr:uid="{00000000-0005-0000-0000-000077000000}"/>
    <cellStyle name="Insatisfaisant" xfId="121" xr:uid="{00000000-0005-0000-0000-000078000000}"/>
    <cellStyle name="Laskenta" xfId="122" xr:uid="{00000000-0005-0000-0000-000079000000}"/>
    <cellStyle name="Linked Cell" xfId="123" xr:uid="{00000000-0005-0000-0000-00007A000000}"/>
    <cellStyle name="Linkitetty solu" xfId="124" xr:uid="{00000000-0005-0000-0000-00007B000000}"/>
    <cellStyle name="Migliaia" xfId="125" builtinId="3"/>
    <cellStyle name="Migliaia [0] 2" xfId="126" xr:uid="{00000000-0005-0000-0000-00007D000000}"/>
    <cellStyle name="Migliaia 2" xfId="127" xr:uid="{00000000-0005-0000-0000-00007E000000}"/>
    <cellStyle name="Migliaia 3" xfId="128" xr:uid="{00000000-0005-0000-0000-00007F000000}"/>
    <cellStyle name="Milliers_Copie de Equivilent Scenario for QIS4 techncial specification_20070318Locked" xfId="129" xr:uid="{00000000-0005-0000-0000-000080000000}"/>
    <cellStyle name="Neutraali" xfId="130" xr:uid="{00000000-0005-0000-0000-000081000000}"/>
    <cellStyle name="Neutral" xfId="131" xr:uid="{00000000-0005-0000-0000-000082000000}"/>
    <cellStyle name="Neutre" xfId="132" xr:uid="{00000000-0005-0000-0000-000083000000}"/>
    <cellStyle name="NoL" xfId="133" xr:uid="{00000000-0005-0000-0000-000084000000}"/>
    <cellStyle name="Nombre" xfId="134" xr:uid="{00000000-0005-0000-0000-000085000000}"/>
    <cellStyle name="Normal 2" xfId="135" xr:uid="{00000000-0005-0000-0000-000086000000}"/>
    <cellStyle name="Normal_Copy of non prop AMICEPK" xfId="136" xr:uid="{00000000-0005-0000-0000-000087000000}"/>
    <cellStyle name="Normale" xfId="0" builtinId="0"/>
    <cellStyle name="Normale 2" xfId="137" xr:uid="{00000000-0005-0000-0000-000089000000}"/>
    <cellStyle name="Normale 3" xfId="138" xr:uid="{00000000-0005-0000-0000-00008A000000}"/>
    <cellStyle name="Normale 4" xfId="139" xr:uid="{00000000-0005-0000-0000-00008B000000}"/>
    <cellStyle name="Normale 5" xfId="140" xr:uid="{00000000-0005-0000-0000-00008C000000}"/>
    <cellStyle name="Note" xfId="141" xr:uid="{00000000-0005-0000-0000-00008D000000}"/>
    <cellStyle name="Notiz" xfId="142" xr:uid="{00000000-0005-0000-0000-00008E000000}"/>
    <cellStyle name="Otsikko" xfId="143" xr:uid="{00000000-0005-0000-0000-00008F000000}"/>
    <cellStyle name="Otsikko 1" xfId="144" xr:uid="{00000000-0005-0000-0000-000090000000}"/>
    <cellStyle name="Otsikko 2" xfId="145" xr:uid="{00000000-0005-0000-0000-000091000000}"/>
    <cellStyle name="Otsikko 3" xfId="146" xr:uid="{00000000-0005-0000-0000-000092000000}"/>
    <cellStyle name="Otsikko 4" xfId="147" xr:uid="{00000000-0005-0000-0000-000093000000}"/>
    <cellStyle name="PercentCell" xfId="148" xr:uid="{00000000-0005-0000-0000-000094000000}"/>
    <cellStyle name="Percentuale" xfId="149" builtinId="5"/>
    <cellStyle name="Percentuale 2" xfId="150" xr:uid="{00000000-0005-0000-0000-000096000000}"/>
    <cellStyle name="Percentuale 3" xfId="151" xr:uid="{00000000-0005-0000-0000-000097000000}"/>
    <cellStyle name="Percentuale 4" xfId="152" xr:uid="{00000000-0005-0000-0000-000098000000}"/>
    <cellStyle name="Pourcentage 2" xfId="153" xr:uid="{00000000-0005-0000-0000-000099000000}"/>
    <cellStyle name="QIS2CalcCell" xfId="154" xr:uid="{00000000-0005-0000-0000-00009A000000}"/>
    <cellStyle name="QIS2Filler" xfId="155" xr:uid="{00000000-0005-0000-0000-00009B000000}"/>
    <cellStyle name="QIS2Heading" xfId="156" xr:uid="{00000000-0005-0000-0000-00009C000000}"/>
    <cellStyle name="QIS2InputCell" xfId="157" xr:uid="{00000000-0005-0000-0000-00009D000000}"/>
    <cellStyle name="QIS2Locked" xfId="158" xr:uid="{00000000-0005-0000-0000-00009E000000}"/>
    <cellStyle name="QIS2Para" xfId="159" xr:uid="{00000000-0005-0000-0000-00009F000000}"/>
    <cellStyle name="QIS2Param" xfId="160" xr:uid="{00000000-0005-0000-0000-0000A0000000}"/>
    <cellStyle name="QIS4DescrCell1" xfId="161" xr:uid="{00000000-0005-0000-0000-0000A1000000}"/>
    <cellStyle name="QIS4DescrCell2" xfId="162" xr:uid="{00000000-0005-0000-0000-0000A2000000}"/>
    <cellStyle name="QIS4InputCellAbs" xfId="163" xr:uid="{00000000-0005-0000-0000-0000A3000000}"/>
    <cellStyle name="QIS4InputCellPerc" xfId="164" xr:uid="{00000000-0005-0000-0000-0000A4000000}"/>
    <cellStyle name="QIS5Area" xfId="165" xr:uid="{00000000-0005-0000-0000-0000A5000000}"/>
    <cellStyle name="QIS5CalcCell" xfId="166" xr:uid="{00000000-0005-0000-0000-0000A6000000}"/>
    <cellStyle name="QIS5Check" xfId="167" xr:uid="{00000000-0005-0000-0000-0000A7000000}"/>
    <cellStyle name="QIS5Empty" xfId="168" xr:uid="{00000000-0005-0000-0000-0000A8000000}"/>
    <cellStyle name="QIS5EmptyCell" xfId="169" xr:uid="{00000000-0005-0000-0000-0000A9000000}"/>
    <cellStyle name="QIS5Header" xfId="170" xr:uid="{00000000-0005-0000-0000-0000AA000000}"/>
    <cellStyle name="QIS5InputCell" xfId="171" xr:uid="{00000000-0005-0000-0000-0000AB000000}"/>
    <cellStyle name="QIS5Label" xfId="172" xr:uid="{00000000-0005-0000-0000-0000AC000000}"/>
    <cellStyle name="QIS5Locked" xfId="173" xr:uid="{00000000-0005-0000-0000-0000AD000000}"/>
    <cellStyle name="QIS5Output" xfId="174" xr:uid="{00000000-0005-0000-0000-0000AE000000}"/>
    <cellStyle name="QIS5Param" xfId="175" xr:uid="{00000000-0005-0000-0000-0000AF000000}"/>
    <cellStyle name="QIS5SheetHeader" xfId="176" xr:uid="{00000000-0005-0000-0000-0000B0000000}"/>
    <cellStyle name="QIS5XLink" xfId="177" xr:uid="{00000000-0005-0000-0000-0000B1000000}"/>
    <cellStyle name="Satisfaisant" xfId="178" xr:uid="{00000000-0005-0000-0000-0000B2000000}"/>
    <cellStyle name="Schlecht" xfId="179" xr:uid="{00000000-0005-0000-0000-0000B3000000}"/>
    <cellStyle name="Selittävä teksti" xfId="180" xr:uid="{00000000-0005-0000-0000-0000B4000000}"/>
    <cellStyle name="Sortie" xfId="181" xr:uid="{00000000-0005-0000-0000-0000B5000000}"/>
    <cellStyle name="Stile 1" xfId="182" xr:uid="{00000000-0005-0000-0000-0000B6000000}"/>
    <cellStyle name="Style 1" xfId="183" xr:uid="{00000000-0005-0000-0000-0000B7000000}"/>
    <cellStyle name="Summa" xfId="184" xr:uid="{00000000-0005-0000-0000-0000B8000000}"/>
    <cellStyle name="Syöttö" xfId="185" xr:uid="{00000000-0005-0000-0000-0000B9000000}"/>
    <cellStyle name="Tarkistussolu" xfId="186" xr:uid="{00000000-0005-0000-0000-0000BA000000}"/>
    <cellStyle name="Texte explicatif" xfId="187" xr:uid="{00000000-0005-0000-0000-0000BB000000}"/>
    <cellStyle name="Title" xfId="188" xr:uid="{00000000-0005-0000-0000-0000BC000000}"/>
    <cellStyle name="Titre" xfId="189" xr:uid="{00000000-0005-0000-0000-0000BD000000}"/>
    <cellStyle name="Titre 1" xfId="190" xr:uid="{00000000-0005-0000-0000-0000BE000000}"/>
    <cellStyle name="Titre 2" xfId="191" xr:uid="{00000000-0005-0000-0000-0000BF000000}"/>
    <cellStyle name="Titre 3" xfId="192" xr:uid="{00000000-0005-0000-0000-0000C0000000}"/>
    <cellStyle name="Titre 4" xfId="193" xr:uid="{00000000-0005-0000-0000-0000C1000000}"/>
    <cellStyle name="Titre_Kieran and graph" xfId="194" xr:uid="{00000000-0005-0000-0000-0000C2000000}"/>
    <cellStyle name="Total" xfId="195" xr:uid="{00000000-0005-0000-0000-0000C3000000}"/>
    <cellStyle name="Tulostus" xfId="196" xr:uid="{00000000-0005-0000-0000-0000C4000000}"/>
    <cellStyle name="Überschrift" xfId="197" xr:uid="{00000000-0005-0000-0000-0000C5000000}"/>
    <cellStyle name="Überschrift 1" xfId="198" xr:uid="{00000000-0005-0000-0000-0000C6000000}"/>
    <cellStyle name="Überschrift 2" xfId="199" xr:uid="{00000000-0005-0000-0000-0000C7000000}"/>
    <cellStyle name="Überschrift 3" xfId="200" xr:uid="{00000000-0005-0000-0000-0000C8000000}"/>
    <cellStyle name="Überschrift 4" xfId="201" xr:uid="{00000000-0005-0000-0000-0000C9000000}"/>
    <cellStyle name="Überschrift_100125_QIS5 Helper tabs with Reins NP" xfId="202" xr:uid="{00000000-0005-0000-0000-0000CA000000}"/>
    <cellStyle name="Varoitusteksti" xfId="203" xr:uid="{00000000-0005-0000-0000-0000CB000000}"/>
    <cellStyle name="Vérification" xfId="204" xr:uid="{00000000-0005-0000-0000-0000CC000000}"/>
    <cellStyle name="Verknüpfte Zelle" xfId="205" xr:uid="{00000000-0005-0000-0000-0000CD000000}"/>
    <cellStyle name="Warnender Text" xfId="206" xr:uid="{00000000-0005-0000-0000-0000CE000000}"/>
    <cellStyle name="Warning Text" xfId="207" xr:uid="{00000000-0005-0000-0000-0000CF000000}"/>
    <cellStyle name="Zelle überprüfen" xfId="208" xr:uid="{00000000-0005-0000-0000-0000D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kaltwasserpe\Local%20Settings\Temporary%20Internet%20Files\OLK65\100202_QIS5%20Helper%20tabs%20with%20Reins%20NP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.Index"/>
      <sheetName val="H.Used term structure"/>
      <sheetName val="H. Underwriting risk NL"/>
      <sheetName val="Example Calib Coeff of Variance"/>
      <sheetName val="Adj. premium factor"/>
      <sheetName val="H.Value of Liabilities"/>
      <sheetName val="H.Value of FI assets"/>
      <sheetName val="H.RM Life"/>
      <sheetName val="H.RM Non-life"/>
      <sheetName val="H.RM Life rev"/>
      <sheetName val="H.Spread risk"/>
      <sheetName val="H.Concentration risk"/>
      <sheetName val="H.Counterparty risk"/>
      <sheetName val="0.Term structures"/>
      <sheetName val="0.Parameters"/>
      <sheetName val="0. Langu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D2">
            <v>-1</v>
          </cell>
        </row>
        <row r="94">
          <cell r="F94" t="str">
            <v>Codes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21T10:54:55.60" personId="{00000000-0000-0000-0000-000000000000}" id="{1DCF27A8-4CBF-4BB9-A82A-32939C48A96F}">
    <text>Line of Business 1: RC Auto</text>
  </threadedComment>
  <threadedComment ref="F1" dT="2023-02-21T10:55:13.54" personId="{00000000-0000-0000-0000-000000000000}" id="{FFFBEE5B-53F2-49F7-BFE9-FA05ECE4D46E}">
    <text>Line of Business 4: Incendio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2" dT="2023-03-06T15:10:14.73" personId="{00000000-0000-0000-0000-000000000000}" id="{5E097FC4-4256-4F88-A843-37B929EAD820}">
    <text>Scr complessivo: 
Prodotto matriciale tra gli scr e la matrice var-cov:
Scr(T)*var-cov*Scr</text>
  </threadedComment>
  <threadedComment ref="B25" dT="2023-03-06T14:12:31.86" personId="{00000000-0000-0000-0000-000000000000}" id="{171BB659-1374-4F51-8218-A1CA1B6A5964}">
    <text>Coefficiente di variazione di va a livello di mercato a livello europeo</text>
  </threadedComment>
  <threadedComment ref="B34" dT="2023-03-06T14:14:14.71" personId="{00000000-0000-0000-0000-000000000000}" id="{939787A6-A150-4641-8062-666028781A2A}">
    <text xml:space="preserve">FS: formula standard = 3*sigma*premio di tariffa
La distribuzione di probabilità è una log-normale; 
EV = premio di tariffa: guadagno atteso ipotizzato nullo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opLeftCell="A51" workbookViewId="0">
      <selection activeCell="D64" sqref="D64"/>
    </sheetView>
  </sheetViews>
  <sheetFormatPr defaultColWidth="8.77734375" defaultRowHeight="18" x14ac:dyDescent="0.35"/>
  <cols>
    <col min="1" max="1" width="18.44140625" style="76" customWidth="1"/>
    <col min="2" max="2" width="21.5546875" style="76" bestFit="1" customWidth="1"/>
    <col min="3" max="3" width="11.77734375" style="76" bestFit="1" customWidth="1"/>
    <col min="4" max="4" width="14.21875" style="76" bestFit="1" customWidth="1"/>
    <col min="5" max="5" width="8.77734375" style="76"/>
    <col min="6" max="6" width="15" style="76" bestFit="1" customWidth="1"/>
    <col min="7" max="7" width="21.5546875" style="76" bestFit="1" customWidth="1"/>
    <col min="8" max="8" width="9.5546875" style="76" bestFit="1" customWidth="1"/>
    <col min="9" max="9" width="14.21875" style="76" bestFit="1" customWidth="1"/>
    <col min="10" max="16384" width="8.77734375" style="76"/>
  </cols>
  <sheetData>
    <row r="1" spans="1:9" x14ac:dyDescent="0.35">
      <c r="A1" s="94" t="s">
        <v>120</v>
      </c>
      <c r="B1" s="95"/>
      <c r="C1" s="95"/>
      <c r="D1" s="96"/>
      <c r="F1" s="97" t="s">
        <v>121</v>
      </c>
      <c r="G1" s="97"/>
      <c r="H1" s="97"/>
      <c r="I1" s="97"/>
    </row>
    <row r="2" spans="1:9" x14ac:dyDescent="0.35">
      <c r="A2" s="77" t="s">
        <v>122</v>
      </c>
      <c r="B2" s="77" t="s">
        <v>123</v>
      </c>
      <c r="C2" s="77" t="s">
        <v>124</v>
      </c>
      <c r="D2" s="77" t="s">
        <v>125</v>
      </c>
      <c r="F2" s="77" t="s">
        <v>122</v>
      </c>
      <c r="G2" s="77" t="s">
        <v>123</v>
      </c>
      <c r="H2" s="77" t="s">
        <v>124</v>
      </c>
      <c r="I2" s="77" t="s">
        <v>125</v>
      </c>
    </row>
    <row r="3" spans="1:9" x14ac:dyDescent="0.35">
      <c r="A3" s="77">
        <v>0</v>
      </c>
      <c r="B3" s="77">
        <v>950</v>
      </c>
      <c r="C3" s="77">
        <f>B3*A3</f>
        <v>0</v>
      </c>
      <c r="D3" s="77">
        <f>(A3-$C$7)^2*B3</f>
        <v>3.6517999999999997</v>
      </c>
      <c r="F3" s="77">
        <v>0</v>
      </c>
      <c r="G3" s="77">
        <v>989</v>
      </c>
      <c r="H3" s="77">
        <f>G3*F3</f>
        <v>0</v>
      </c>
      <c r="I3" s="77">
        <f>(F3-$H$7)^2*G3</f>
        <v>0.14241600000000001</v>
      </c>
    </row>
    <row r="4" spans="1:9" x14ac:dyDescent="0.35">
      <c r="A4" s="77">
        <v>1</v>
      </c>
      <c r="B4" s="77">
        <v>39</v>
      </c>
      <c r="C4" s="77">
        <f t="shared" ref="C4:C6" si="0">B4*A4</f>
        <v>39</v>
      </c>
      <c r="D4" s="77">
        <f t="shared" ref="D4:D6" si="1">(A4-$C$7)^2*B4</f>
        <v>34.313915999999992</v>
      </c>
      <c r="F4" s="77">
        <v>1</v>
      </c>
      <c r="G4" s="77">
        <v>10</v>
      </c>
      <c r="H4" s="77">
        <f t="shared" ref="H4:H6" si="2">G4*F4</f>
        <v>10</v>
      </c>
      <c r="I4" s="77">
        <f t="shared" ref="I4:I6" si="3">(F4-$H$7)^2*G4</f>
        <v>9.7614400000000003</v>
      </c>
    </row>
    <row r="5" spans="1:9" x14ac:dyDescent="0.35">
      <c r="A5" s="77">
        <v>2</v>
      </c>
      <c r="B5" s="77">
        <v>10</v>
      </c>
      <c r="C5" s="77">
        <f t="shared" si="0"/>
        <v>20</v>
      </c>
      <c r="D5" s="77">
        <f t="shared" si="1"/>
        <v>37.558439999999997</v>
      </c>
      <c r="F5" s="77">
        <v>2</v>
      </c>
      <c r="G5" s="77">
        <v>1</v>
      </c>
      <c r="H5" s="77">
        <f t="shared" si="2"/>
        <v>2</v>
      </c>
      <c r="I5" s="77">
        <f t="shared" si="3"/>
        <v>3.9521440000000001</v>
      </c>
    </row>
    <row r="6" spans="1:9" x14ac:dyDescent="0.35">
      <c r="A6" s="77">
        <v>3</v>
      </c>
      <c r="B6" s="77">
        <v>1</v>
      </c>
      <c r="C6" s="77">
        <f t="shared" si="0"/>
        <v>3</v>
      </c>
      <c r="D6" s="77">
        <f t="shared" si="1"/>
        <v>8.631844000000001</v>
      </c>
      <c r="F6" s="77">
        <v>3</v>
      </c>
      <c r="G6" s="77">
        <v>0</v>
      </c>
      <c r="H6" s="77">
        <f t="shared" si="2"/>
        <v>0</v>
      </c>
      <c r="I6" s="77">
        <f t="shared" si="3"/>
        <v>0</v>
      </c>
    </row>
    <row r="7" spans="1:9" x14ac:dyDescent="0.35">
      <c r="A7" s="77" t="s">
        <v>126</v>
      </c>
      <c r="B7" s="77">
        <f>SUM(B3:B6)</f>
        <v>1000</v>
      </c>
      <c r="C7" s="78">
        <f>(C6+C5+C4)/B7</f>
        <v>6.2E-2</v>
      </c>
      <c r="D7" s="78">
        <f>(D6+D5+D4+D3)/B7</f>
        <v>8.4155999999999995E-2</v>
      </c>
      <c r="F7" s="77" t="s">
        <v>126</v>
      </c>
      <c r="G7" s="77">
        <f>SUM(G3:G6)</f>
        <v>1000</v>
      </c>
      <c r="H7" s="78">
        <f>(H6+H5+H4)/G7</f>
        <v>1.2E-2</v>
      </c>
      <c r="I7" s="78">
        <f>(I6+I5+I4+I3)/G7</f>
        <v>1.3856000000000002E-2</v>
      </c>
    </row>
    <row r="9" spans="1:9" x14ac:dyDescent="0.35">
      <c r="A9" s="97" t="s">
        <v>127</v>
      </c>
      <c r="B9" s="97"/>
      <c r="F9" s="97" t="s">
        <v>127</v>
      </c>
      <c r="G9" s="97"/>
    </row>
    <row r="10" spans="1:9" x14ac:dyDescent="0.35">
      <c r="A10" s="77">
        <v>1</v>
      </c>
      <c r="B10" s="79">
        <v>314.40154168407923</v>
      </c>
      <c r="F10" s="77">
        <v>1</v>
      </c>
      <c r="G10" s="79">
        <v>512.04416726843215</v>
      </c>
    </row>
    <row r="11" spans="1:9" x14ac:dyDescent="0.35">
      <c r="A11" s="77">
        <v>2</v>
      </c>
      <c r="B11" s="79">
        <v>3870.7134381961123</v>
      </c>
      <c r="F11" s="77">
        <v>2</v>
      </c>
      <c r="G11" s="79">
        <v>838.03377146517437</v>
      </c>
    </row>
    <row r="12" spans="1:9" x14ac:dyDescent="0.35">
      <c r="A12" s="77">
        <v>3</v>
      </c>
      <c r="B12" s="79">
        <v>548.19800226716404</v>
      </c>
      <c r="F12" s="77">
        <v>3</v>
      </c>
      <c r="G12" s="79">
        <v>3907.9026683298162</v>
      </c>
    </row>
    <row r="13" spans="1:9" x14ac:dyDescent="0.35">
      <c r="A13" s="77">
        <v>4</v>
      </c>
      <c r="B13" s="79">
        <v>2611.9885991523633</v>
      </c>
      <c r="F13" s="77">
        <v>4</v>
      </c>
      <c r="G13" s="79">
        <v>7090.876769239997</v>
      </c>
    </row>
    <row r="14" spans="1:9" x14ac:dyDescent="0.35">
      <c r="A14" s="77">
        <v>5</v>
      </c>
      <c r="B14" s="79">
        <v>1953.8766502456747</v>
      </c>
      <c r="F14" s="77">
        <v>5</v>
      </c>
      <c r="G14" s="79">
        <v>2942.8490093947012</v>
      </c>
    </row>
    <row r="15" spans="1:9" x14ac:dyDescent="0.35">
      <c r="A15" s="77">
        <v>6</v>
      </c>
      <c r="B15" s="79">
        <v>10165.727286240657</v>
      </c>
      <c r="F15" s="77">
        <v>6</v>
      </c>
      <c r="G15" s="79">
        <v>1219.277651190486</v>
      </c>
    </row>
    <row r="16" spans="1:9" x14ac:dyDescent="0.35">
      <c r="A16" s="77">
        <v>7</v>
      </c>
      <c r="B16" s="79">
        <v>1904.7754714140026</v>
      </c>
      <c r="F16" s="77">
        <v>7</v>
      </c>
      <c r="G16" s="79">
        <v>9502.542861748263</v>
      </c>
    </row>
    <row r="17" spans="1:7" x14ac:dyDescent="0.35">
      <c r="A17" s="77">
        <v>8</v>
      </c>
      <c r="B17" s="79">
        <v>440.708367758561</v>
      </c>
      <c r="F17" s="77">
        <v>8</v>
      </c>
      <c r="G17" s="79">
        <v>5160.4519701589725</v>
      </c>
    </row>
    <row r="18" spans="1:7" x14ac:dyDescent="0.35">
      <c r="A18" s="77">
        <v>9</v>
      </c>
      <c r="B18" s="79">
        <v>619.03922814449618</v>
      </c>
      <c r="F18" s="77">
        <v>9</v>
      </c>
      <c r="G18" s="79">
        <v>1751.0476139047564</v>
      </c>
    </row>
    <row r="19" spans="1:7" x14ac:dyDescent="0.35">
      <c r="A19" s="77">
        <v>10</v>
      </c>
      <c r="B19" s="79">
        <v>2069.6140767973657</v>
      </c>
      <c r="F19" s="77">
        <v>10</v>
      </c>
      <c r="G19" s="79">
        <v>976.11919302102297</v>
      </c>
    </row>
    <row r="20" spans="1:7" x14ac:dyDescent="0.35">
      <c r="A20" s="77">
        <v>11</v>
      </c>
      <c r="B20" s="79">
        <v>2609.9488823801262</v>
      </c>
      <c r="F20" s="77">
        <v>11</v>
      </c>
      <c r="G20" s="79">
        <v>10504.983294878059</v>
      </c>
    </row>
    <row r="21" spans="1:7" x14ac:dyDescent="0.35">
      <c r="A21" s="77">
        <v>12</v>
      </c>
      <c r="B21" s="79">
        <v>101.19029950016254</v>
      </c>
      <c r="F21" s="77">
        <v>12</v>
      </c>
      <c r="G21" s="79">
        <v>3310.2124424967446</v>
      </c>
    </row>
    <row r="22" spans="1:7" x14ac:dyDescent="0.35">
      <c r="A22" s="77">
        <v>13</v>
      </c>
      <c r="B22" s="79">
        <v>1218.1851333998427</v>
      </c>
    </row>
    <row r="23" spans="1:7" x14ac:dyDescent="0.35">
      <c r="A23" s="77">
        <v>14</v>
      </c>
      <c r="B23" s="79">
        <v>2318.2606439160763</v>
      </c>
      <c r="F23" s="93" t="s">
        <v>128</v>
      </c>
      <c r="G23" s="93"/>
    </row>
    <row r="24" spans="1:7" x14ac:dyDescent="0.35">
      <c r="A24" s="77">
        <v>15</v>
      </c>
      <c r="B24" s="79">
        <v>2463.0541888567582</v>
      </c>
      <c r="F24" s="77" t="s">
        <v>124</v>
      </c>
      <c r="G24" s="80">
        <f>AVERAGE(G10:G21)</f>
        <v>3976.3617844247024</v>
      </c>
    </row>
    <row r="25" spans="1:7" x14ac:dyDescent="0.35">
      <c r="A25" s="77">
        <v>16</v>
      </c>
      <c r="B25" s="79">
        <v>138.73616438922653</v>
      </c>
      <c r="F25" s="77" t="s">
        <v>125</v>
      </c>
      <c r="G25" s="80">
        <f>_xlfn.VAR.P(G10:G21)</f>
        <v>10765502.54076495</v>
      </c>
    </row>
    <row r="26" spans="1:7" x14ac:dyDescent="0.35">
      <c r="A26" s="77">
        <v>17</v>
      </c>
      <c r="B26" s="79">
        <v>40.128865642063197</v>
      </c>
    </row>
    <row r="27" spans="1:7" x14ac:dyDescent="0.35">
      <c r="A27" s="77">
        <v>18</v>
      </c>
      <c r="B27" s="79">
        <v>696.95615492342017</v>
      </c>
    </row>
    <row r="28" spans="1:7" x14ac:dyDescent="0.35">
      <c r="A28" s="77">
        <v>19</v>
      </c>
      <c r="B28" s="79">
        <v>7983.2124203917638</v>
      </c>
    </row>
    <row r="29" spans="1:7" x14ac:dyDescent="0.35">
      <c r="A29" s="77">
        <v>20</v>
      </c>
      <c r="B29" s="79">
        <v>97.435346581646968</v>
      </c>
    </row>
    <row r="30" spans="1:7" x14ac:dyDescent="0.35">
      <c r="A30" s="77">
        <v>21</v>
      </c>
      <c r="B30" s="79">
        <v>409.85232748349949</v>
      </c>
    </row>
    <row r="31" spans="1:7" x14ac:dyDescent="0.35">
      <c r="A31" s="77">
        <v>22</v>
      </c>
      <c r="B31" s="79">
        <v>4655.9895788528884</v>
      </c>
    </row>
    <row r="32" spans="1:7" x14ac:dyDescent="0.35">
      <c r="A32" s="77">
        <v>23</v>
      </c>
      <c r="B32" s="79">
        <v>12251.144858770918</v>
      </c>
    </row>
    <row r="33" spans="1:2" x14ac:dyDescent="0.35">
      <c r="A33" s="77">
        <v>24</v>
      </c>
      <c r="B33" s="79">
        <v>25.652954386156278</v>
      </c>
    </row>
    <row r="34" spans="1:2" x14ac:dyDescent="0.35">
      <c r="A34" s="77">
        <v>25</v>
      </c>
      <c r="B34" s="79">
        <v>372.76543248473234</v>
      </c>
    </row>
    <row r="35" spans="1:2" x14ac:dyDescent="0.35">
      <c r="A35" s="77">
        <v>26</v>
      </c>
      <c r="B35" s="79">
        <v>146.95324032747479</v>
      </c>
    </row>
    <row r="36" spans="1:2" x14ac:dyDescent="0.35">
      <c r="A36" s="77">
        <v>27</v>
      </c>
      <c r="B36" s="79">
        <v>69.607985190686549</v>
      </c>
    </row>
    <row r="37" spans="1:2" x14ac:dyDescent="0.35">
      <c r="A37" s="77">
        <v>28</v>
      </c>
      <c r="B37" s="79">
        <v>2498.0432425581871</v>
      </c>
    </row>
    <row r="38" spans="1:2" x14ac:dyDescent="0.35">
      <c r="A38" s="77">
        <v>29</v>
      </c>
      <c r="B38" s="79">
        <v>3500.3711232861856</v>
      </c>
    </row>
    <row r="39" spans="1:2" x14ac:dyDescent="0.35">
      <c r="A39" s="77">
        <v>30</v>
      </c>
      <c r="B39" s="79">
        <v>55.009142681964505</v>
      </c>
    </row>
    <row r="40" spans="1:2" x14ac:dyDescent="0.35">
      <c r="A40" s="77">
        <v>31</v>
      </c>
      <c r="B40" s="79">
        <v>1130.3472214272701</v>
      </c>
    </row>
    <row r="41" spans="1:2" x14ac:dyDescent="0.35">
      <c r="A41" s="77">
        <v>32</v>
      </c>
      <c r="B41" s="79">
        <v>5221.639636343748</v>
      </c>
    </row>
    <row r="42" spans="1:2" x14ac:dyDescent="0.35">
      <c r="A42" s="77">
        <v>33</v>
      </c>
      <c r="B42" s="79">
        <v>102543.69553762198</v>
      </c>
    </row>
    <row r="43" spans="1:2" x14ac:dyDescent="0.35">
      <c r="A43" s="77">
        <v>34</v>
      </c>
      <c r="B43" s="79">
        <v>358.31631200951665</v>
      </c>
    </row>
    <row r="44" spans="1:2" x14ac:dyDescent="0.35">
      <c r="A44" s="77">
        <v>35</v>
      </c>
      <c r="B44" s="79">
        <v>92.771015889668817</v>
      </c>
    </row>
    <row r="45" spans="1:2" x14ac:dyDescent="0.35">
      <c r="A45" s="77">
        <v>36</v>
      </c>
      <c r="B45" s="79">
        <v>311.04384261690217</v>
      </c>
    </row>
    <row r="46" spans="1:2" x14ac:dyDescent="0.35">
      <c r="A46" s="77">
        <v>37</v>
      </c>
      <c r="B46" s="79">
        <v>4980.0581799258443</v>
      </c>
    </row>
    <row r="47" spans="1:2" x14ac:dyDescent="0.35">
      <c r="A47" s="77">
        <v>38</v>
      </c>
      <c r="B47" s="79">
        <v>195.49259301061761</v>
      </c>
    </row>
    <row r="48" spans="1:2" x14ac:dyDescent="0.35">
      <c r="A48" s="77">
        <v>39</v>
      </c>
      <c r="B48" s="79">
        <v>172.20283042971644</v>
      </c>
    </row>
    <row r="49" spans="1:2" x14ac:dyDescent="0.35">
      <c r="A49" s="77">
        <v>40</v>
      </c>
      <c r="B49" s="79">
        <v>152.94655225588735</v>
      </c>
    </row>
    <row r="50" spans="1:2" x14ac:dyDescent="0.35">
      <c r="A50" s="77">
        <v>41</v>
      </c>
      <c r="B50" s="79">
        <v>207.56403659387237</v>
      </c>
    </row>
    <row r="51" spans="1:2" x14ac:dyDescent="0.35">
      <c r="A51" s="77">
        <v>42</v>
      </c>
      <c r="B51" s="79">
        <v>254.04153636646046</v>
      </c>
    </row>
    <row r="52" spans="1:2" x14ac:dyDescent="0.35">
      <c r="A52" s="77">
        <v>43</v>
      </c>
      <c r="B52" s="79">
        <v>80.716382664722985</v>
      </c>
    </row>
    <row r="53" spans="1:2" x14ac:dyDescent="0.35">
      <c r="A53" s="77">
        <v>44</v>
      </c>
      <c r="B53" s="79">
        <v>11666.816744143111</v>
      </c>
    </row>
    <row r="54" spans="1:2" x14ac:dyDescent="0.35">
      <c r="A54" s="77">
        <v>45</v>
      </c>
      <c r="B54" s="79">
        <v>1664.3193719504977</v>
      </c>
    </row>
    <row r="55" spans="1:2" x14ac:dyDescent="0.35">
      <c r="A55" s="77">
        <v>46</v>
      </c>
      <c r="B55" s="79">
        <v>887.25465450707168</v>
      </c>
    </row>
    <row r="56" spans="1:2" x14ac:dyDescent="0.35">
      <c r="A56" s="77">
        <v>47</v>
      </c>
      <c r="B56" s="79">
        <v>3375.1547190685687</v>
      </c>
    </row>
    <row r="57" spans="1:2" x14ac:dyDescent="0.35">
      <c r="A57" s="77">
        <v>48</v>
      </c>
      <c r="B57" s="79">
        <v>1017.6688549394383</v>
      </c>
    </row>
    <row r="58" spans="1:2" x14ac:dyDescent="0.35">
      <c r="A58" s="77">
        <v>49</v>
      </c>
      <c r="B58" s="79">
        <v>5164.1525880403242</v>
      </c>
    </row>
    <row r="59" spans="1:2" x14ac:dyDescent="0.35">
      <c r="A59" s="77">
        <v>50</v>
      </c>
      <c r="B59" s="79">
        <v>118.88389364560301</v>
      </c>
    </row>
    <row r="60" spans="1:2" x14ac:dyDescent="0.35">
      <c r="A60" s="77">
        <v>51</v>
      </c>
      <c r="B60" s="79">
        <v>1287.4001658639438</v>
      </c>
    </row>
    <row r="61" spans="1:2" x14ac:dyDescent="0.35">
      <c r="A61" s="77">
        <v>52</v>
      </c>
      <c r="B61" s="79">
        <v>150.12914227405665</v>
      </c>
    </row>
    <row r="62" spans="1:2" x14ac:dyDescent="0.35">
      <c r="A62" s="77">
        <v>53</v>
      </c>
      <c r="B62" s="79">
        <v>274.00697208688302</v>
      </c>
    </row>
    <row r="63" spans="1:2" x14ac:dyDescent="0.35">
      <c r="A63" s="77">
        <v>54</v>
      </c>
      <c r="B63" s="79">
        <v>585.42887847878876</v>
      </c>
    </row>
    <row r="64" spans="1:2" x14ac:dyDescent="0.35">
      <c r="A64" s="77">
        <v>55</v>
      </c>
      <c r="B64" s="79">
        <v>1352.135423083864</v>
      </c>
    </row>
    <row r="65" spans="1:2" x14ac:dyDescent="0.35">
      <c r="A65" s="77">
        <v>56</v>
      </c>
      <c r="B65" s="79">
        <v>525.43054095759169</v>
      </c>
    </row>
    <row r="66" spans="1:2" x14ac:dyDescent="0.35">
      <c r="A66" s="77">
        <v>57</v>
      </c>
      <c r="B66" s="79">
        <v>102.16016577314844</v>
      </c>
    </row>
    <row r="67" spans="1:2" x14ac:dyDescent="0.35">
      <c r="A67" s="77">
        <v>58</v>
      </c>
      <c r="B67" s="79">
        <v>790.90558195917686</v>
      </c>
    </row>
    <row r="68" spans="1:2" x14ac:dyDescent="0.35">
      <c r="A68" s="77">
        <v>59</v>
      </c>
      <c r="B68" s="79">
        <v>279.92565171196412</v>
      </c>
    </row>
    <row r="69" spans="1:2" x14ac:dyDescent="0.35">
      <c r="A69" s="77">
        <v>60</v>
      </c>
      <c r="B69" s="79">
        <v>850.47701829208711</v>
      </c>
    </row>
    <row r="70" spans="1:2" x14ac:dyDescent="0.35">
      <c r="A70" s="77">
        <v>61</v>
      </c>
      <c r="B70" s="79">
        <v>2375.7607744347929</v>
      </c>
    </row>
    <row r="71" spans="1:2" x14ac:dyDescent="0.35">
      <c r="A71" s="77">
        <v>62</v>
      </c>
      <c r="B71" s="79">
        <v>187.97775470798499</v>
      </c>
    </row>
    <row r="73" spans="1:2" x14ac:dyDescent="0.35">
      <c r="A73" s="93" t="s">
        <v>128</v>
      </c>
      <c r="B73" s="93"/>
    </row>
    <row r="74" spans="1:2" x14ac:dyDescent="0.35">
      <c r="A74" s="77" t="s">
        <v>124</v>
      </c>
      <c r="B74" s="80">
        <f>AVERAGE(B10:B71)</f>
        <v>3459.8123422738613</v>
      </c>
    </row>
    <row r="75" spans="1:2" x14ac:dyDescent="0.35">
      <c r="A75" s="77" t="s">
        <v>125</v>
      </c>
      <c r="B75" s="80">
        <f>_xlfn.VAR.P(B10:B71)</f>
        <v>168215829.74872169</v>
      </c>
    </row>
  </sheetData>
  <mergeCells count="6">
    <mergeCell ref="A73:B73"/>
    <mergeCell ref="A1:D1"/>
    <mergeCell ref="F1:I1"/>
    <mergeCell ref="A9:B9"/>
    <mergeCell ref="F9:G9"/>
    <mergeCell ref="F23:G23"/>
  </mergeCells>
  <phoneticPr fontId="0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N59"/>
  <sheetViews>
    <sheetView tabSelected="1" topLeftCell="A12" zoomScale="76" zoomScaleNormal="80" workbookViewId="0">
      <selection activeCell="I21" sqref="I21"/>
    </sheetView>
  </sheetViews>
  <sheetFormatPr defaultColWidth="9.21875" defaultRowHeight="13.2" x14ac:dyDescent="0.25"/>
  <cols>
    <col min="1" max="1" width="18.21875" style="59" bestFit="1" customWidth="1"/>
    <col min="2" max="2" width="33.88671875" style="59" customWidth="1"/>
    <col min="3" max="3" width="31.5546875" style="59" bestFit="1" customWidth="1"/>
    <col min="4" max="4" width="7.21875" style="59" customWidth="1"/>
    <col min="5" max="5" width="33.77734375" style="59" customWidth="1"/>
    <col min="6" max="6" width="31.21875" style="59" customWidth="1"/>
    <col min="7" max="7" width="13.5546875" style="59" bestFit="1" customWidth="1"/>
    <col min="8" max="8" width="38" style="59" bestFit="1" customWidth="1"/>
    <col min="9" max="9" width="26.21875" style="59" bestFit="1" customWidth="1"/>
    <col min="10" max="10" width="9.21875" style="59" customWidth="1"/>
    <col min="11" max="11" width="41" style="59" customWidth="1"/>
    <col min="12" max="12" width="15" style="59" bestFit="1" customWidth="1"/>
    <col min="13" max="13" width="13.44140625" style="59" bestFit="1" customWidth="1"/>
    <col min="14" max="14" width="21.88671875" style="59" bestFit="1" customWidth="1"/>
    <col min="15" max="16384" width="9.21875" style="59"/>
  </cols>
  <sheetData>
    <row r="1" spans="1:14" x14ac:dyDescent="0.25">
      <c r="E1" s="59" t="s">
        <v>175</v>
      </c>
    </row>
    <row r="2" spans="1:14" x14ac:dyDescent="0.25">
      <c r="E2" s="59" t="s">
        <v>176</v>
      </c>
    </row>
    <row r="3" spans="1:14" ht="18" x14ac:dyDescent="0.35">
      <c r="C3" s="60" t="s">
        <v>2</v>
      </c>
      <c r="E3" s="59" t="s">
        <v>177</v>
      </c>
      <c r="F3" s="61"/>
      <c r="H3" s="62" t="s">
        <v>130</v>
      </c>
      <c r="I3" s="63">
        <f>C34</f>
        <v>836582.62436181994</v>
      </c>
      <c r="K3" s="84">
        <f>C33</f>
        <v>842156.12779694051</v>
      </c>
    </row>
    <row r="4" spans="1:14" ht="18" x14ac:dyDescent="0.35">
      <c r="B4" s="60" t="s">
        <v>60</v>
      </c>
      <c r="C4" s="64">
        <v>1</v>
      </c>
      <c r="E4" s="59" t="s">
        <v>178</v>
      </c>
      <c r="H4" s="62" t="s">
        <v>132</v>
      </c>
      <c r="I4" s="63">
        <f>F34</f>
        <v>148874.98520886083</v>
      </c>
      <c r="K4" s="84">
        <f>F33</f>
        <v>136799.59717783274</v>
      </c>
    </row>
    <row r="5" spans="1:14" ht="18" x14ac:dyDescent="0.35">
      <c r="B5" s="60" t="s">
        <v>61</v>
      </c>
      <c r="C5" s="64">
        <v>4</v>
      </c>
      <c r="E5" s="59" t="s">
        <v>179</v>
      </c>
    </row>
    <row r="6" spans="1:14" ht="18" x14ac:dyDescent="0.35">
      <c r="H6" s="62" t="s">
        <v>62</v>
      </c>
      <c r="I6" s="62" t="s">
        <v>63</v>
      </c>
      <c r="J6" s="62" t="s">
        <v>64</v>
      </c>
    </row>
    <row r="7" spans="1:14" ht="18" x14ac:dyDescent="0.35">
      <c r="B7" s="62" t="s">
        <v>65</v>
      </c>
      <c r="C7" s="90">
        <v>10000</v>
      </c>
      <c r="D7" s="66"/>
      <c r="E7" s="62" t="s">
        <v>65</v>
      </c>
      <c r="F7" s="65">
        <f>+C7</f>
        <v>10000</v>
      </c>
      <c r="G7" s="66"/>
      <c r="H7" s="62" t="s">
        <v>63</v>
      </c>
      <c r="I7" s="67">
        <v>1</v>
      </c>
      <c r="J7" s="67">
        <f>+I8</f>
        <v>0.25</v>
      </c>
      <c r="L7" s="59" cm="1">
        <f t="array" ref="L7:M7">MMULT(TRANSPOSE(I3:I4),I7:J8)</f>
        <v>873801.3706640352</v>
      </c>
      <c r="M7" s="59">
        <v>358020.64129931584</v>
      </c>
    </row>
    <row r="8" spans="1:14" ht="18" x14ac:dyDescent="0.35">
      <c r="B8" s="62" t="s">
        <v>66</v>
      </c>
      <c r="C8" s="92">
        <f>DATI!C7</f>
        <v>6.2E-2</v>
      </c>
      <c r="D8" s="66"/>
      <c r="E8" s="62" t="s">
        <v>67</v>
      </c>
      <c r="F8" s="68">
        <f>DATI!H7</f>
        <v>1.2E-2</v>
      </c>
      <c r="G8" s="66"/>
      <c r="H8" s="62" t="s">
        <v>64</v>
      </c>
      <c r="I8" s="67">
        <v>0.25</v>
      </c>
      <c r="J8" s="67">
        <v>1</v>
      </c>
    </row>
    <row r="9" spans="1:14" ht="18" x14ac:dyDescent="0.35">
      <c r="B9" s="62" t="s">
        <v>68</v>
      </c>
      <c r="C9" s="92">
        <f>DATI!D7</f>
        <v>8.4155999999999995E-2</v>
      </c>
      <c r="D9" s="66"/>
      <c r="E9" s="62" t="s">
        <v>69</v>
      </c>
      <c r="F9" s="68">
        <f>DATI!I7</f>
        <v>1.3856000000000002E-2</v>
      </c>
      <c r="G9" s="66"/>
      <c r="N9" s="102" cm="1">
        <f t="array" ref="N9">MMULT(_xlfn.ANCHORARRAY(L7),I3:I4)</f>
        <v>784307361518.97644</v>
      </c>
    </row>
    <row r="10" spans="1:14" ht="18" x14ac:dyDescent="0.35">
      <c r="B10" s="62" t="s">
        <v>70</v>
      </c>
      <c r="C10" s="90">
        <f>DATI!B74</f>
        <v>3459.8123422738613</v>
      </c>
      <c r="D10" s="66"/>
      <c r="E10" s="62" t="s">
        <v>71</v>
      </c>
      <c r="F10" s="65">
        <f>DATI!G24</f>
        <v>3976.3617844247024</v>
      </c>
      <c r="G10" s="66"/>
    </row>
    <row r="11" spans="1:14" ht="18" x14ac:dyDescent="0.35">
      <c r="B11" s="62" t="s">
        <v>72</v>
      </c>
      <c r="C11" s="91">
        <f>C13/C10</f>
        <v>3.7487017371801628</v>
      </c>
      <c r="D11" s="66"/>
      <c r="E11" s="62" t="s">
        <v>73</v>
      </c>
      <c r="F11" s="91">
        <f>F13/F10</f>
        <v>0.82514688140282166</v>
      </c>
      <c r="G11" s="66"/>
      <c r="H11" s="62" t="s">
        <v>74</v>
      </c>
      <c r="I11" s="63">
        <f>C23+F23</f>
        <v>3408921.186242986</v>
      </c>
      <c r="N11" s="102">
        <f>SQRT(N9)</f>
        <v>885611.2925651843</v>
      </c>
    </row>
    <row r="12" spans="1:14" ht="18" x14ac:dyDescent="0.35">
      <c r="B12" s="62" t="s">
        <v>75</v>
      </c>
      <c r="C12" s="90">
        <f>DATI!B75</f>
        <v>168215829.74872169</v>
      </c>
      <c r="E12" s="62" t="s">
        <v>76</v>
      </c>
      <c r="F12" s="65">
        <f>DATI!G25</f>
        <v>10765502.54076495</v>
      </c>
      <c r="G12" s="69"/>
      <c r="H12" s="62" t="s">
        <v>133</v>
      </c>
      <c r="I12" s="70">
        <f>N11</f>
        <v>885611.2925651843</v>
      </c>
      <c r="K12" s="62" t="s">
        <v>77</v>
      </c>
      <c r="L12" s="70">
        <f>I29-I11</f>
        <v>836306.91790645616</v>
      </c>
      <c r="M12" s="84"/>
    </row>
    <row r="13" spans="1:14" ht="18" x14ac:dyDescent="0.35">
      <c r="B13" s="62" t="s">
        <v>78</v>
      </c>
      <c r="C13" s="90">
        <f>SQRT(C12)</f>
        <v>12969.804537799391</v>
      </c>
      <c r="D13" s="66"/>
      <c r="E13" s="62" t="s">
        <v>79</v>
      </c>
      <c r="F13" s="90">
        <f>SQRT(F12)</f>
        <v>3281.0825257474021</v>
      </c>
      <c r="G13" s="66"/>
      <c r="H13" s="62" t="s">
        <v>80</v>
      </c>
      <c r="I13" s="71">
        <f>I12/(I3+I4)-1</f>
        <v>-0.10131974834411694</v>
      </c>
      <c r="K13" s="62" t="s">
        <v>80</v>
      </c>
      <c r="L13" s="71">
        <f>L12/(C33+F33)-1</f>
        <v>-0.14571527948518104</v>
      </c>
    </row>
    <row r="14" spans="1:14" ht="18" x14ac:dyDescent="0.35">
      <c r="B14" s="62" t="s">
        <v>81</v>
      </c>
      <c r="C14" s="90">
        <f>(C7*C8)*C10</f>
        <v>2145083.6522097941</v>
      </c>
      <c r="D14" s="66"/>
      <c r="E14" s="62" t="s">
        <v>82</v>
      </c>
      <c r="F14" s="90">
        <f>(F7*F8)*F10</f>
        <v>477163.41413096426</v>
      </c>
      <c r="G14" s="66"/>
      <c r="H14" s="62" t="s">
        <v>134</v>
      </c>
      <c r="I14" s="71">
        <f>I12/I11</f>
        <v>0.25979224633856302</v>
      </c>
      <c r="K14" s="62" t="s">
        <v>131</v>
      </c>
      <c r="L14" s="92">
        <f>L12/I12 -1</f>
        <v>-5.5672703219397102E-2</v>
      </c>
    </row>
    <row r="15" spans="1:14" ht="18" x14ac:dyDescent="0.35">
      <c r="B15" s="62" t="s">
        <v>83</v>
      </c>
      <c r="C15" s="90">
        <f>((C10^2)*C9*C7)+C8*C7*C12</f>
        <v>114367541327.21014</v>
      </c>
      <c r="D15" s="66"/>
      <c r="E15" s="62" t="s">
        <v>84</v>
      </c>
      <c r="F15" s="90">
        <f>((F10^2)*F9*F7)+F8*F7*F12</f>
        <v>3482695238.201931</v>
      </c>
      <c r="G15" s="66"/>
      <c r="K15" s="62" t="s">
        <v>85</v>
      </c>
      <c r="L15" s="71">
        <f>L12/(I11)</f>
        <v>0.2453289097094557</v>
      </c>
    </row>
    <row r="16" spans="1:14" ht="18" x14ac:dyDescent="0.35">
      <c r="A16" s="59" t="s">
        <v>180</v>
      </c>
      <c r="B16" s="62" t="s">
        <v>86</v>
      </c>
      <c r="C16" s="90">
        <f>C14*0.2</f>
        <v>429016.73044195888</v>
      </c>
      <c r="D16" s="66"/>
      <c r="E16" s="62" t="s">
        <v>87</v>
      </c>
      <c r="F16" s="90">
        <f>F14*0.2</f>
        <v>95432.68282619286</v>
      </c>
      <c r="G16" s="66"/>
    </row>
    <row r="17" spans="1:12" ht="18" x14ac:dyDescent="0.35">
      <c r="A17" s="59" t="s">
        <v>181</v>
      </c>
      <c r="B17" s="62" t="s">
        <v>88</v>
      </c>
      <c r="C17" s="90">
        <f>C18^2</f>
        <v>11503459687.444275</v>
      </c>
      <c r="D17" s="66"/>
      <c r="E17" s="62" t="s">
        <v>89</v>
      </c>
      <c r="F17" s="90">
        <f>F18^2</f>
        <v>569212309.46279538</v>
      </c>
      <c r="G17" s="66"/>
      <c r="H17" s="62" t="s">
        <v>90</v>
      </c>
      <c r="I17" s="63">
        <f>C14+C16+F16+F14</f>
        <v>3146696.4796089102</v>
      </c>
      <c r="K17" s="62" t="s">
        <v>156</v>
      </c>
      <c r="L17" s="87">
        <f>(L12*0.06)/(1+0.01)</f>
        <v>49681.599083551853</v>
      </c>
    </row>
    <row r="18" spans="1:12" ht="18" x14ac:dyDescent="0.35">
      <c r="B18" s="62" t="s">
        <v>91</v>
      </c>
      <c r="C18" s="90">
        <f>C16*0.25</f>
        <v>107254.18261048972</v>
      </c>
      <c r="D18" s="66"/>
      <c r="E18" s="62" t="s">
        <v>92</v>
      </c>
      <c r="F18" s="90">
        <f>F16*0.25</f>
        <v>23858.170706548215</v>
      </c>
      <c r="G18" s="66"/>
      <c r="H18" s="62" t="s">
        <v>93</v>
      </c>
      <c r="I18" s="63">
        <f>C20+F20+2*I8*F21*C21</f>
        <v>141214693840.15933</v>
      </c>
      <c r="K18" s="62" t="s">
        <v>157</v>
      </c>
      <c r="L18" s="87">
        <f>(I12*0.06)/(1+0.01)</f>
        <v>52610.5718355555</v>
      </c>
    </row>
    <row r="19" spans="1:12" ht="18" x14ac:dyDescent="0.35">
      <c r="B19" s="62" t="s">
        <v>94</v>
      </c>
      <c r="C19" s="90">
        <f>C16+C14</f>
        <v>2574100.3826517528</v>
      </c>
      <c r="D19" s="66"/>
      <c r="E19" s="62" t="s">
        <v>95</v>
      </c>
      <c r="F19" s="90">
        <f>F16+F14</f>
        <v>572596.09695715713</v>
      </c>
      <c r="G19" s="66"/>
      <c r="H19" s="62" t="s">
        <v>96</v>
      </c>
      <c r="I19" s="65">
        <f>SQRT(I18)</f>
        <v>375785.43590745947</v>
      </c>
      <c r="K19" s="62" t="s">
        <v>158</v>
      </c>
      <c r="L19" s="87">
        <f>I21-L17</f>
        <v>212543.107550524</v>
      </c>
    </row>
    <row r="20" spans="1:12" ht="18" x14ac:dyDescent="0.35">
      <c r="B20" s="62" t="s">
        <v>97</v>
      </c>
      <c r="C20" s="90">
        <f>C17+C15</f>
        <v>125871001014.65442</v>
      </c>
      <c r="D20" s="66"/>
      <c r="E20" s="62" t="s">
        <v>98</v>
      </c>
      <c r="F20" s="90">
        <f>F17+F15</f>
        <v>4051907547.6647263</v>
      </c>
      <c r="G20" s="66"/>
      <c r="K20" s="62" t="s">
        <v>159</v>
      </c>
      <c r="L20" s="87">
        <f>I21-L18</f>
        <v>209614.13479852036</v>
      </c>
    </row>
    <row r="21" spans="1:12" ht="18" x14ac:dyDescent="0.35">
      <c r="A21" s="75"/>
      <c r="B21" s="62" t="s">
        <v>99</v>
      </c>
      <c r="C21" s="90">
        <f>SQRT(C20)</f>
        <v>354783.03371871437</v>
      </c>
      <c r="D21" s="66"/>
      <c r="E21" s="62" t="s">
        <v>100</v>
      </c>
      <c r="F21" s="90">
        <f>SQRT(F20)</f>
        <v>63654.595652354328</v>
      </c>
      <c r="H21" s="62" t="s">
        <v>101</v>
      </c>
      <c r="I21" s="63">
        <f>C30+F30</f>
        <v>262224.70663407585</v>
      </c>
      <c r="K21" s="62" t="s">
        <v>160</v>
      </c>
      <c r="L21" s="101">
        <f>L19/L12</f>
        <v>0.25414486356586335</v>
      </c>
    </row>
    <row r="22" spans="1:12" ht="18" x14ac:dyDescent="0.35">
      <c r="A22" s="98" t="s">
        <v>183</v>
      </c>
      <c r="B22" s="62" t="s">
        <v>102</v>
      </c>
      <c r="C22" s="89">
        <v>0.2</v>
      </c>
      <c r="E22" s="62" t="s">
        <v>102</v>
      </c>
      <c r="F22" s="89">
        <v>0.2</v>
      </c>
      <c r="H22" s="62" t="s">
        <v>103</v>
      </c>
      <c r="I22" s="63">
        <f>I18</f>
        <v>141214693840.15933</v>
      </c>
      <c r="K22" s="62" t="s">
        <v>161</v>
      </c>
      <c r="L22" s="101">
        <f>L20/I12</f>
        <v>0.2366886427016647</v>
      </c>
    </row>
    <row r="23" spans="1:12" ht="18" x14ac:dyDescent="0.35">
      <c r="A23" s="59" t="s">
        <v>184</v>
      </c>
      <c r="B23" s="62" t="s">
        <v>182</v>
      </c>
      <c r="C23" s="81">
        <f>C14*(1+C24)</f>
        <v>2788608.7478727326</v>
      </c>
      <c r="D23" s="66"/>
      <c r="E23" s="62" t="s">
        <v>104</v>
      </c>
      <c r="F23" s="81">
        <f>F14*(1+F24)</f>
        <v>620312.43837025354</v>
      </c>
      <c r="H23" s="62" t="s">
        <v>105</v>
      </c>
      <c r="I23" s="63">
        <f>I19</f>
        <v>375785.43590745947</v>
      </c>
    </row>
    <row r="24" spans="1:12" ht="18" x14ac:dyDescent="0.35">
      <c r="A24" s="59" t="s">
        <v>185</v>
      </c>
      <c r="B24" s="72" t="s">
        <v>106</v>
      </c>
      <c r="C24" s="73">
        <v>0.3</v>
      </c>
      <c r="D24" s="66"/>
      <c r="E24" s="72" t="s">
        <v>106</v>
      </c>
      <c r="F24" s="73">
        <v>0.3</v>
      </c>
    </row>
    <row r="25" spans="1:12" ht="18" x14ac:dyDescent="0.35">
      <c r="B25" s="62" t="s">
        <v>129</v>
      </c>
      <c r="C25" s="71">
        <f>10%</f>
        <v>0.1</v>
      </c>
      <c r="E25" s="62" t="s">
        <v>135</v>
      </c>
      <c r="F25" s="71">
        <v>0.08</v>
      </c>
      <c r="H25" s="62" t="s">
        <v>107</v>
      </c>
      <c r="I25" s="74">
        <f>+LN((I17^2)/SQRT(I19^2+(I17^2)))</f>
        <v>14.954783262605735</v>
      </c>
    </row>
    <row r="26" spans="1:12" ht="18" x14ac:dyDescent="0.35">
      <c r="B26" s="62" t="s">
        <v>136</v>
      </c>
      <c r="C26" s="103">
        <f>3*C25</f>
        <v>0.30000000000000004</v>
      </c>
      <c r="E26" s="62" t="str">
        <f>+B26</f>
        <v>3σ</v>
      </c>
      <c r="F26" s="71">
        <f>3*F25</f>
        <v>0.24</v>
      </c>
      <c r="H26" s="62" t="s">
        <v>108</v>
      </c>
      <c r="I26" s="74">
        <f>+SQRT(LN((I19^2+(I17^2))/(I17^2)))</f>
        <v>0.11899967441081429</v>
      </c>
    </row>
    <row r="27" spans="1:12" ht="18" x14ac:dyDescent="0.35">
      <c r="B27" s="62" t="s">
        <v>109</v>
      </c>
      <c r="C27" s="74">
        <f>LN((C19^2)/(SQRT(C20+C19^2)))</f>
        <v>14.751601480953378</v>
      </c>
      <c r="E27" s="62" t="s">
        <v>110</v>
      </c>
      <c r="F27" s="74">
        <f>LN((F19^2)/(SQRT(F20+F19^2)))</f>
        <v>13.251794518878247</v>
      </c>
    </row>
    <row r="28" spans="1:12" ht="18" x14ac:dyDescent="0.35">
      <c r="B28" s="62" t="s">
        <v>111</v>
      </c>
      <c r="C28" s="74">
        <f>SQRT(LN((C20+C19^2)/C19^2))</f>
        <v>0.13718005776064146</v>
      </c>
      <c r="E28" s="62" t="s">
        <v>112</v>
      </c>
      <c r="F28" s="74">
        <f>SQRT(LN((F20+F19^2)/F19^2))</f>
        <v>0.11082722042187088</v>
      </c>
    </row>
    <row r="29" spans="1:12" ht="18" x14ac:dyDescent="0.35">
      <c r="B29" s="62" t="s">
        <v>113</v>
      </c>
      <c r="C29" s="65">
        <f>_xlfn.LOGNORM.INV(0.995,C27,C28)</f>
        <v>3630764.8756696731</v>
      </c>
      <c r="E29" s="62" t="s">
        <v>137</v>
      </c>
      <c r="F29" s="65">
        <f>_xlfn.LOGNORM.INV(0.995,F27,F28)</f>
        <v>757112.03554808628</v>
      </c>
      <c r="I29" s="59">
        <f>_xlfn.LOGNORM.INV(0.995,I25,I26)</f>
        <v>4245228.1041494422</v>
      </c>
    </row>
    <row r="30" spans="1:12" ht="18" x14ac:dyDescent="0.35">
      <c r="B30" s="62" t="s">
        <v>114</v>
      </c>
      <c r="C30" s="86">
        <f>0.1*C14</f>
        <v>214508.36522097944</v>
      </c>
      <c r="E30" s="62" t="s">
        <v>115</v>
      </c>
      <c r="F30" s="86">
        <f>0.1*F14</f>
        <v>47716.34141309643</v>
      </c>
    </row>
    <row r="31" spans="1:12" ht="18" x14ac:dyDescent="0.35">
      <c r="B31" s="62" t="s">
        <v>116</v>
      </c>
      <c r="C31" s="65">
        <f>C20</f>
        <v>125871001014.65442</v>
      </c>
      <c r="E31" s="62" t="s">
        <v>117</v>
      </c>
      <c r="F31" s="65">
        <f>F20</f>
        <v>4051907547.6647263</v>
      </c>
    </row>
    <row r="32" spans="1:12" ht="18" x14ac:dyDescent="0.35">
      <c r="B32" s="62" t="s">
        <v>118</v>
      </c>
      <c r="C32" s="65">
        <f>SQRT(C31)</f>
        <v>354783.03371871437</v>
      </c>
      <c r="E32" s="62" t="s">
        <v>138</v>
      </c>
      <c r="F32" s="65">
        <f>SQRT(F31)</f>
        <v>63654.595652354328</v>
      </c>
    </row>
    <row r="33" spans="2:6" ht="18" x14ac:dyDescent="0.35">
      <c r="B33" s="62" t="s">
        <v>119</v>
      </c>
      <c r="C33" s="82">
        <f>C29-C23</f>
        <v>842156.12779694051</v>
      </c>
      <c r="E33" s="62" t="s">
        <v>139</v>
      </c>
      <c r="F33" s="82">
        <f>F29-F23</f>
        <v>136799.59717783274</v>
      </c>
    </row>
    <row r="34" spans="2:6" ht="18" x14ac:dyDescent="0.35">
      <c r="B34" s="62" t="s">
        <v>130</v>
      </c>
      <c r="C34" s="83">
        <f>C26*C23</f>
        <v>836582.62436181994</v>
      </c>
      <c r="E34" s="62" t="s">
        <v>132</v>
      </c>
      <c r="F34" s="83">
        <f>F26*F23</f>
        <v>148874.98520886083</v>
      </c>
    </row>
    <row r="35" spans="2:6" ht="18" x14ac:dyDescent="0.35">
      <c r="B35" s="62" t="s">
        <v>131</v>
      </c>
      <c r="C35" s="71">
        <f>C33/C34-1</f>
        <v>6.6622271044325387E-3</v>
      </c>
      <c r="E35" s="62" t="s">
        <v>131</v>
      </c>
      <c r="F35" s="71">
        <f>F33/F34-1</f>
        <v>-8.1110926822845375E-2</v>
      </c>
    </row>
    <row r="36" spans="2:6" ht="18" x14ac:dyDescent="0.35">
      <c r="B36" s="62" t="s">
        <v>140</v>
      </c>
      <c r="C36" s="85">
        <f>C21/C19</f>
        <v>0.13782797132147143</v>
      </c>
      <c r="E36" s="62" t="s">
        <v>141</v>
      </c>
      <c r="F36" s="85">
        <f>F21/F19</f>
        <v>0.11116840647469013</v>
      </c>
    </row>
    <row r="37" spans="2:6" ht="18" x14ac:dyDescent="0.35">
      <c r="B37" s="62" t="s">
        <v>142</v>
      </c>
      <c r="C37" s="86">
        <f>C34+C23</f>
        <v>3625191.3722345526</v>
      </c>
      <c r="E37" s="62" t="s">
        <v>143</v>
      </c>
      <c r="F37" s="86">
        <f>F34+F23</f>
        <v>769187.42357911437</v>
      </c>
    </row>
    <row r="38" spans="2:6" ht="18" x14ac:dyDescent="0.35">
      <c r="B38" s="62" t="s">
        <v>144</v>
      </c>
      <c r="C38" s="99">
        <f>C33*0.06/(1+0.01)</f>
        <v>50029.076898828142</v>
      </c>
      <c r="E38" s="62" t="s">
        <v>145</v>
      </c>
      <c r="F38" s="99">
        <f>F33*0.06/(1+0.01)</f>
        <v>8126.7087432375884</v>
      </c>
    </row>
    <row r="39" spans="2:6" ht="18" x14ac:dyDescent="0.35">
      <c r="B39" s="62" t="s">
        <v>148</v>
      </c>
      <c r="C39" s="100">
        <f>C34*0.06/(1+0.01)</f>
        <v>49697.977684860583</v>
      </c>
      <c r="E39" s="62" t="s">
        <v>151</v>
      </c>
      <c r="F39" s="100">
        <f>F34*0.06/(1+0.01)</f>
        <v>8844.0585272590597</v>
      </c>
    </row>
    <row r="40" spans="2:6" ht="18" x14ac:dyDescent="0.35">
      <c r="B40" s="62" t="s">
        <v>149</v>
      </c>
      <c r="C40" s="86">
        <f>C30-C38</f>
        <v>164479.28832215129</v>
      </c>
      <c r="E40" s="62" t="s">
        <v>152</v>
      </c>
      <c r="F40" s="86">
        <f>F30-F38</f>
        <v>39589.632669858838</v>
      </c>
    </row>
    <row r="41" spans="2:6" ht="18" x14ac:dyDescent="0.35">
      <c r="B41" s="62" t="s">
        <v>150</v>
      </c>
      <c r="C41" s="86">
        <f>C30-C39</f>
        <v>164810.38753611885</v>
      </c>
      <c r="E41" s="62" t="s">
        <v>153</v>
      </c>
      <c r="F41" s="86">
        <f>F30-F39</f>
        <v>38872.282885837369</v>
      </c>
    </row>
    <row r="42" spans="2:6" ht="18" x14ac:dyDescent="0.35">
      <c r="B42" s="62" t="s">
        <v>147</v>
      </c>
      <c r="C42" s="101">
        <f>C40/C33</f>
        <v>0.19530735797461335</v>
      </c>
      <c r="E42" s="62" t="s">
        <v>154</v>
      </c>
      <c r="F42" s="101">
        <f>F40/F33</f>
        <v>0.28939875179891256</v>
      </c>
    </row>
    <row r="43" spans="2:6" ht="18" x14ac:dyDescent="0.35">
      <c r="B43" s="62" t="s">
        <v>146</v>
      </c>
      <c r="C43" s="101">
        <f>C41/C34</f>
        <v>0.19700431581619698</v>
      </c>
      <c r="E43" s="62" t="s">
        <v>155</v>
      </c>
      <c r="F43" s="101">
        <f>F41/F34</f>
        <v>0.26110687991876114</v>
      </c>
    </row>
    <row r="47" spans="2:6" x14ac:dyDescent="0.25">
      <c r="B47" s="75" t="s">
        <v>162</v>
      </c>
    </row>
    <row r="48" spans="2:6" x14ac:dyDescent="0.25">
      <c r="B48" s="59" t="s">
        <v>163</v>
      </c>
    </row>
    <row r="49" spans="2:2" x14ac:dyDescent="0.25">
      <c r="B49" s="59" t="s">
        <v>164</v>
      </c>
    </row>
    <row r="50" spans="2:2" x14ac:dyDescent="0.25">
      <c r="B50" s="59" t="s">
        <v>165</v>
      </c>
    </row>
    <row r="51" spans="2:2" x14ac:dyDescent="0.25">
      <c r="B51" s="59" t="s">
        <v>166</v>
      </c>
    </row>
    <row r="52" spans="2:2" x14ac:dyDescent="0.25">
      <c r="B52" s="59" t="s">
        <v>167</v>
      </c>
    </row>
    <row r="53" spans="2:2" x14ac:dyDescent="0.25">
      <c r="B53" s="59" t="s">
        <v>168</v>
      </c>
    </row>
    <row r="54" spans="2:2" x14ac:dyDescent="0.25">
      <c r="B54" s="59" t="s">
        <v>169</v>
      </c>
    </row>
    <row r="55" spans="2:2" x14ac:dyDescent="0.25">
      <c r="B55" s="59" t="s">
        <v>170</v>
      </c>
    </row>
    <row r="56" spans="2:2" x14ac:dyDescent="0.25">
      <c r="B56" s="59" t="s">
        <v>171</v>
      </c>
    </row>
    <row r="57" spans="2:2" x14ac:dyDescent="0.25">
      <c r="B57" s="59" t="s">
        <v>172</v>
      </c>
    </row>
    <row r="58" spans="2:2" x14ac:dyDescent="0.25">
      <c r="B58" s="88" t="s">
        <v>173</v>
      </c>
    </row>
    <row r="59" spans="2:2" x14ac:dyDescent="0.25">
      <c r="B59" s="59" t="s">
        <v>174</v>
      </c>
    </row>
  </sheetData>
  <phoneticPr fontId="0" type="noConversion"/>
  <pageMargins left="0.70866141732283472" right="0.70866141732283472" top="0.74803149606299213" bottom="0.74803149606299213" header="0.31496062992125984" footer="0.31496062992125984"/>
  <pageSetup paperSize="9" scale="48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D68"/>
  <sheetViews>
    <sheetView showGridLines="0" workbookViewId="0">
      <selection activeCell="V13" sqref="V13"/>
    </sheetView>
  </sheetViews>
  <sheetFormatPr defaultColWidth="9.21875" defaultRowHeight="13.8" x14ac:dyDescent="0.3"/>
  <cols>
    <col min="1" max="1" width="9.21875" style="33" customWidth="1"/>
    <col min="2" max="2" width="37" style="33" bestFit="1" customWidth="1"/>
    <col min="3" max="3" width="13.5546875" style="33" bestFit="1" customWidth="1"/>
    <col min="4" max="5" width="12.77734375" style="33" customWidth="1"/>
    <col min="6" max="6" width="16.21875" style="33" bestFit="1" customWidth="1"/>
    <col min="7" max="7" width="15.44140625" style="33" bestFit="1" customWidth="1"/>
    <col min="8" max="8" width="12.77734375" style="33" customWidth="1"/>
    <col min="9" max="9" width="17.21875" style="33" bestFit="1" customWidth="1"/>
    <col min="10" max="10" width="12.77734375" style="33" customWidth="1"/>
    <col min="11" max="11" width="9.21875" style="33" customWidth="1"/>
    <col min="12" max="12" width="21.21875" style="33" customWidth="1"/>
    <col min="13" max="18" width="12.5546875" style="33" customWidth="1"/>
    <col min="19" max="19" width="17.21875" style="33" bestFit="1" customWidth="1"/>
    <col min="20" max="20" width="12.5546875" style="33" customWidth="1"/>
    <col min="21" max="21" width="9.21875" style="33" customWidth="1"/>
    <col min="22" max="22" width="30.77734375" style="33" bestFit="1" customWidth="1"/>
    <col min="23" max="23" width="12.5546875" style="33" bestFit="1" customWidth="1"/>
    <col min="24" max="24" width="14.21875" style="33" bestFit="1" customWidth="1"/>
    <col min="25" max="25" width="12.5546875" style="33" bestFit="1" customWidth="1"/>
    <col min="26" max="26" width="12" style="33" bestFit="1" customWidth="1"/>
    <col min="27" max="27" width="16.44140625" style="33" bestFit="1" customWidth="1"/>
    <col min="28" max="28" width="9.77734375" style="33" bestFit="1" customWidth="1"/>
    <col min="29" max="29" width="19.77734375" style="33" customWidth="1"/>
    <col min="30" max="30" width="9.77734375" style="33" bestFit="1" customWidth="1"/>
    <col min="31" max="16384" width="9.21875" style="33"/>
  </cols>
  <sheetData>
    <row r="2" spans="2:30" x14ac:dyDescent="0.3">
      <c r="B2" s="31" t="s">
        <v>4</v>
      </c>
      <c r="C2" s="32">
        <v>40939</v>
      </c>
    </row>
    <row r="3" spans="2:30" x14ac:dyDescent="0.3">
      <c r="C3" s="34"/>
    </row>
    <row r="4" spans="2:30" x14ac:dyDescent="0.3">
      <c r="B4" s="35" t="s">
        <v>15</v>
      </c>
      <c r="L4" s="35" t="s">
        <v>50</v>
      </c>
      <c r="V4" s="35" t="s">
        <v>55</v>
      </c>
    </row>
    <row r="5" spans="2:30" x14ac:dyDescent="0.3">
      <c r="B5" s="36" t="s">
        <v>3</v>
      </c>
      <c r="C5" s="37" t="e">
        <f>+#REF!</f>
        <v>#REF!</v>
      </c>
      <c r="D5" s="37" t="e">
        <f>+#REF!</f>
        <v>#REF!</v>
      </c>
      <c r="E5" s="37" t="e">
        <f>+#REF!</f>
        <v>#REF!</v>
      </c>
      <c r="F5" s="37" t="e">
        <f>+#REF!</f>
        <v>#REF!</v>
      </c>
      <c r="G5" s="37" t="e">
        <f>+#REF!</f>
        <v>#REF!</v>
      </c>
      <c r="H5" s="37" t="e">
        <f>+#REF!</f>
        <v>#REF!</v>
      </c>
      <c r="I5" s="37" t="e">
        <f>+#REF!</f>
        <v>#REF!</v>
      </c>
      <c r="J5" s="37" t="e">
        <f>+#REF!</f>
        <v>#REF!</v>
      </c>
      <c r="L5" s="36" t="s">
        <v>3</v>
      </c>
      <c r="M5" s="37" t="e">
        <f>+C5</f>
        <v>#REF!</v>
      </c>
      <c r="N5" s="37" t="e">
        <f t="shared" ref="N5:T5" si="0">+D5</f>
        <v>#REF!</v>
      </c>
      <c r="O5" s="37" t="e">
        <f t="shared" si="0"/>
        <v>#REF!</v>
      </c>
      <c r="P5" s="37" t="e">
        <f t="shared" si="0"/>
        <v>#REF!</v>
      </c>
      <c r="Q5" s="37" t="e">
        <f t="shared" si="0"/>
        <v>#REF!</v>
      </c>
      <c r="R5" s="37" t="e">
        <f t="shared" si="0"/>
        <v>#REF!</v>
      </c>
      <c r="S5" s="37" t="e">
        <f t="shared" si="0"/>
        <v>#REF!</v>
      </c>
      <c r="T5" s="37" t="e">
        <f t="shared" si="0"/>
        <v>#REF!</v>
      </c>
      <c r="V5" s="36" t="s">
        <v>3</v>
      </c>
      <c r="W5" s="37" t="e">
        <f t="shared" ref="W5:AD5" si="1">+M5</f>
        <v>#REF!</v>
      </c>
      <c r="X5" s="37" t="e">
        <f t="shared" si="1"/>
        <v>#REF!</v>
      </c>
      <c r="Y5" s="37" t="e">
        <f t="shared" si="1"/>
        <v>#REF!</v>
      </c>
      <c r="Z5" s="37" t="e">
        <f t="shared" si="1"/>
        <v>#REF!</v>
      </c>
      <c r="AA5" s="37" t="e">
        <f t="shared" si="1"/>
        <v>#REF!</v>
      </c>
      <c r="AB5" s="37" t="e">
        <f t="shared" si="1"/>
        <v>#REF!</v>
      </c>
      <c r="AC5" s="37" t="e">
        <f t="shared" si="1"/>
        <v>#REF!</v>
      </c>
      <c r="AD5" s="37" t="e">
        <f t="shared" si="1"/>
        <v>#REF!</v>
      </c>
    </row>
    <row r="6" spans="2:30" x14ac:dyDescent="0.3">
      <c r="B6" s="37" t="s">
        <v>16</v>
      </c>
      <c r="C6" s="38" t="e">
        <f>+#REF!</f>
        <v>#REF!</v>
      </c>
      <c r="D6" s="38" t="e">
        <f>+#REF!</f>
        <v>#REF!</v>
      </c>
      <c r="E6" s="38" t="e">
        <f>+#REF!</f>
        <v>#REF!</v>
      </c>
      <c r="F6" s="38" t="e">
        <f>+#REF!</f>
        <v>#REF!</v>
      </c>
      <c r="G6" s="38" t="e">
        <f>+#REF!</f>
        <v>#REF!</v>
      </c>
      <c r="H6" s="38" t="e">
        <f>+#REF!</f>
        <v>#REF!</v>
      </c>
      <c r="I6" s="38" t="e">
        <f>+#REF!</f>
        <v>#REF!</v>
      </c>
      <c r="J6" s="38" t="e">
        <f>+#REF!</f>
        <v>#REF!</v>
      </c>
      <c r="L6" s="37" t="s">
        <v>16</v>
      </c>
      <c r="M6" s="38" t="e">
        <f>+#REF!</f>
        <v>#REF!</v>
      </c>
      <c r="N6" s="38" t="e">
        <f>+#REF!</f>
        <v>#REF!</v>
      </c>
      <c r="O6" s="38" t="e">
        <f>+#REF!</f>
        <v>#REF!</v>
      </c>
      <c r="P6" s="38" t="e">
        <f>+#REF!</f>
        <v>#REF!</v>
      </c>
      <c r="Q6" s="38" t="e">
        <f>+#REF!</f>
        <v>#REF!</v>
      </c>
      <c r="R6" s="38" t="e">
        <f>+#REF!</f>
        <v>#REF!</v>
      </c>
      <c r="S6" s="38" t="e">
        <f>+#REF!</f>
        <v>#REF!</v>
      </c>
      <c r="T6" s="38" t="e">
        <f>+#REF!</f>
        <v>#REF!</v>
      </c>
      <c r="V6" s="37" t="s">
        <v>16</v>
      </c>
      <c r="W6" s="38" t="e">
        <f>+#REF!</f>
        <v>#REF!</v>
      </c>
      <c r="X6" s="38" t="e">
        <f>+#REF!</f>
        <v>#REF!</v>
      </c>
      <c r="Y6" s="38" t="e">
        <f>+#REF!</f>
        <v>#REF!</v>
      </c>
      <c r="Z6" s="38" t="e">
        <f>+#REF!</f>
        <v>#REF!</v>
      </c>
      <c r="AA6" s="38" t="e">
        <f>+#REF!</f>
        <v>#REF!</v>
      </c>
      <c r="AB6" s="38" t="e">
        <f>+#REF!</f>
        <v>#REF!</v>
      </c>
      <c r="AC6" s="38" t="e">
        <f>+#REF!</f>
        <v>#REF!</v>
      </c>
      <c r="AD6" s="38" t="e">
        <f>+#REF!</f>
        <v>#REF!</v>
      </c>
    </row>
    <row r="7" spans="2:30" x14ac:dyDescent="0.3">
      <c r="B7" s="37" t="s">
        <v>17</v>
      </c>
      <c r="C7" s="39" t="e">
        <f>-G14</f>
        <v>#REF!</v>
      </c>
      <c r="D7" s="40" t="e">
        <f>+F14*E14</f>
        <v>#REF!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L7" s="37" t="s">
        <v>17</v>
      </c>
      <c r="M7" s="39" t="e">
        <f>-Q14</f>
        <v>#REF!</v>
      </c>
      <c r="N7" s="40" t="e">
        <f>+P14*O14</f>
        <v>#REF!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V7" s="37" t="s">
        <v>17</v>
      </c>
      <c r="W7" s="39" t="e">
        <f>-AA15</f>
        <v>#REF!</v>
      </c>
      <c r="X7" s="40" t="e">
        <f>+Z15*Y15</f>
        <v>#REF!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</row>
    <row r="8" spans="2:30" x14ac:dyDescent="0.3">
      <c r="B8" s="37" t="s">
        <v>18</v>
      </c>
      <c r="C8" s="39" t="e">
        <f>-G15</f>
        <v>#REF!</v>
      </c>
      <c r="D8" s="41" t="e">
        <f>+(D15/2*E15)*F15</f>
        <v>#REF!</v>
      </c>
      <c r="E8" s="38" t="e">
        <f>+F15*E15+D15*E15/2*F15</f>
        <v>#REF!</v>
      </c>
      <c r="F8" s="38">
        <v>0</v>
      </c>
      <c r="G8" s="38">
        <v>0</v>
      </c>
      <c r="H8" s="38">
        <v>0</v>
      </c>
      <c r="I8" s="38">
        <v>0</v>
      </c>
      <c r="J8" s="38">
        <v>0</v>
      </c>
      <c r="L8" s="37" t="s">
        <v>53</v>
      </c>
      <c r="M8" s="39" t="e">
        <f>-Q15</f>
        <v>#REF!</v>
      </c>
      <c r="N8" s="41" t="e">
        <f>+(N15/2*O15)*P15</f>
        <v>#REF!</v>
      </c>
      <c r="O8" s="38" t="e">
        <f>+P15*O15+N15*O15/2*P15</f>
        <v>#REF!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V8" s="37" t="s">
        <v>53</v>
      </c>
      <c r="W8" s="39" t="e">
        <f>-AA16</f>
        <v>#REF!</v>
      </c>
      <c r="X8" s="41" t="e">
        <f>+(X16/2*Y16)*Z16</f>
        <v>#REF!</v>
      </c>
      <c r="Y8" s="38" t="e">
        <f>+Z16*Y16+X16*Y16/2*Z16</f>
        <v>#REF!</v>
      </c>
      <c r="Z8" s="38">
        <v>0</v>
      </c>
      <c r="AA8" s="38">
        <v>0</v>
      </c>
      <c r="AB8" s="38">
        <v>0</v>
      </c>
      <c r="AC8" s="38">
        <v>0</v>
      </c>
      <c r="AD8" s="38">
        <v>0</v>
      </c>
    </row>
    <row r="9" spans="2:30" x14ac:dyDescent="0.3">
      <c r="B9" s="37" t="s">
        <v>19</v>
      </c>
      <c r="C9" s="39" t="e">
        <f>+SUM(C7:C8)</f>
        <v>#REF!</v>
      </c>
      <c r="D9" s="39" t="e">
        <f t="shared" ref="D9:J9" si="2">+SUM(D7:D8)</f>
        <v>#REF!</v>
      </c>
      <c r="E9" s="39" t="e">
        <f t="shared" si="2"/>
        <v>#REF!</v>
      </c>
      <c r="F9" s="39">
        <f t="shared" si="2"/>
        <v>0</v>
      </c>
      <c r="G9" s="39">
        <f t="shared" si="2"/>
        <v>0</v>
      </c>
      <c r="H9" s="39">
        <f t="shared" si="2"/>
        <v>0</v>
      </c>
      <c r="I9" s="39">
        <f t="shared" si="2"/>
        <v>0</v>
      </c>
      <c r="J9" s="39">
        <f t="shared" si="2"/>
        <v>0</v>
      </c>
      <c r="L9" s="37" t="s">
        <v>54</v>
      </c>
      <c r="M9" s="39" t="e">
        <f>-Q16</f>
        <v>#REF!</v>
      </c>
      <c r="N9" s="39" t="e">
        <f>+N16/2*O16*P16</f>
        <v>#REF!</v>
      </c>
      <c r="O9" s="39" t="e">
        <f>+N16/2*O16*P16</f>
        <v>#REF!</v>
      </c>
      <c r="P9" s="39" t="e">
        <f>+O16*P16+N16/2*O16*P16</f>
        <v>#REF!</v>
      </c>
      <c r="Q9" s="39">
        <v>0</v>
      </c>
      <c r="R9" s="39">
        <v>0</v>
      </c>
      <c r="S9" s="39">
        <v>0</v>
      </c>
      <c r="T9" s="39">
        <v>0</v>
      </c>
      <c r="V9" s="37" t="s">
        <v>54</v>
      </c>
      <c r="W9" s="39" t="e">
        <f>-AA17</f>
        <v>#REF!</v>
      </c>
      <c r="X9" s="39" t="e">
        <f>+X17/2*Y17*Z17</f>
        <v>#REF!</v>
      </c>
      <c r="Y9" s="39" t="e">
        <f>+X17/2*Y17*Z17</f>
        <v>#REF!</v>
      </c>
      <c r="Z9" s="39" t="e">
        <f>+Y17*Z17+X17/2*Y17*Z17</f>
        <v>#REF!</v>
      </c>
      <c r="AA9" s="39">
        <v>0</v>
      </c>
      <c r="AB9" s="39">
        <v>0</v>
      </c>
      <c r="AC9" s="39">
        <v>0</v>
      </c>
      <c r="AD9" s="39">
        <v>0</v>
      </c>
    </row>
    <row r="10" spans="2:30" x14ac:dyDescent="0.3">
      <c r="B10" s="37" t="s">
        <v>11</v>
      </c>
      <c r="C10" s="39" t="e">
        <f>-G16</f>
        <v>#REF!</v>
      </c>
      <c r="D10" s="39" t="e">
        <f>-C10</f>
        <v>#REF!</v>
      </c>
      <c r="E10" s="38" t="e">
        <f t="shared" ref="E10:J10" si="3">+D10</f>
        <v>#REF!</v>
      </c>
      <c r="F10" s="38" t="e">
        <f t="shared" si="3"/>
        <v>#REF!</v>
      </c>
      <c r="G10" s="38" t="e">
        <f t="shared" si="3"/>
        <v>#REF!</v>
      </c>
      <c r="H10" s="38" t="e">
        <f t="shared" si="3"/>
        <v>#REF!</v>
      </c>
      <c r="I10" s="38" t="e">
        <f t="shared" si="3"/>
        <v>#REF!</v>
      </c>
      <c r="J10" s="38" t="e">
        <f t="shared" si="3"/>
        <v>#REF!</v>
      </c>
      <c r="L10" s="37" t="s">
        <v>11</v>
      </c>
      <c r="M10" s="39" t="e">
        <f>-Q17</f>
        <v>#REF!</v>
      </c>
      <c r="N10" s="39" t="e">
        <f>-M10</f>
        <v>#REF!</v>
      </c>
      <c r="O10" s="38" t="e">
        <f t="shared" ref="O10:T10" si="4">+N10</f>
        <v>#REF!</v>
      </c>
      <c r="P10" s="38" t="e">
        <f t="shared" si="4"/>
        <v>#REF!</v>
      </c>
      <c r="Q10" s="38" t="e">
        <f t="shared" si="4"/>
        <v>#REF!</v>
      </c>
      <c r="R10" s="38" t="e">
        <f t="shared" si="4"/>
        <v>#REF!</v>
      </c>
      <c r="S10" s="38" t="e">
        <f t="shared" si="4"/>
        <v>#REF!</v>
      </c>
      <c r="T10" s="38" t="e">
        <f t="shared" si="4"/>
        <v>#REF!</v>
      </c>
      <c r="V10" s="37" t="s">
        <v>56</v>
      </c>
      <c r="W10" s="39" t="e">
        <f>-AA18</f>
        <v>#REF!</v>
      </c>
      <c r="X10" s="39" t="e">
        <f t="shared" ref="X10:AC10" si="5">+$X$18/2*$Y$18*$Z$18</f>
        <v>#REF!</v>
      </c>
      <c r="Y10" s="39" t="e">
        <f t="shared" si="5"/>
        <v>#REF!</v>
      </c>
      <c r="Z10" s="39" t="e">
        <f t="shared" si="5"/>
        <v>#REF!</v>
      </c>
      <c r="AA10" s="39" t="e">
        <f t="shared" si="5"/>
        <v>#REF!</v>
      </c>
      <c r="AB10" s="39" t="e">
        <f t="shared" si="5"/>
        <v>#REF!</v>
      </c>
      <c r="AC10" s="39" t="e">
        <f t="shared" si="5"/>
        <v>#REF!</v>
      </c>
      <c r="AD10" s="39" t="e">
        <f>+Z18*Y18+X18/2*Y18*Z18</f>
        <v>#REF!</v>
      </c>
    </row>
    <row r="11" spans="2:30" x14ac:dyDescent="0.3">
      <c r="D11" s="42"/>
      <c r="E11" s="42"/>
      <c r="F11" s="42"/>
      <c r="G11" s="42"/>
      <c r="H11" s="42"/>
      <c r="I11" s="42"/>
      <c r="J11" s="42"/>
      <c r="V11" s="37" t="s">
        <v>11</v>
      </c>
      <c r="W11" s="39" t="e">
        <f>-AA19</f>
        <v>#REF!</v>
      </c>
      <c r="X11" s="39" t="e">
        <f>-W11</f>
        <v>#REF!</v>
      </c>
      <c r="Y11" s="38" t="e">
        <f t="shared" ref="Y11:AD11" si="6">+X11</f>
        <v>#REF!</v>
      </c>
      <c r="Z11" s="38" t="e">
        <f t="shared" si="6"/>
        <v>#REF!</v>
      </c>
      <c r="AA11" s="38" t="e">
        <f t="shared" si="6"/>
        <v>#REF!</v>
      </c>
      <c r="AB11" s="38" t="e">
        <f t="shared" si="6"/>
        <v>#REF!</v>
      </c>
      <c r="AC11" s="38" t="e">
        <f t="shared" si="6"/>
        <v>#REF!</v>
      </c>
      <c r="AD11" s="38" t="e">
        <f t="shared" si="6"/>
        <v>#REF!</v>
      </c>
    </row>
    <row r="12" spans="2:30" x14ac:dyDescent="0.3">
      <c r="B12" s="35" t="s">
        <v>8</v>
      </c>
      <c r="L12" s="35" t="s">
        <v>51</v>
      </c>
    </row>
    <row r="13" spans="2:30" ht="27.6" x14ac:dyDescent="0.3">
      <c r="B13" s="31"/>
      <c r="C13" s="10" t="s">
        <v>6</v>
      </c>
      <c r="D13" s="10" t="s">
        <v>9</v>
      </c>
      <c r="E13" s="10" t="s">
        <v>12</v>
      </c>
      <c r="F13" s="10" t="s">
        <v>13</v>
      </c>
      <c r="G13" s="10" t="s">
        <v>10</v>
      </c>
      <c r="H13" s="13" t="s">
        <v>14</v>
      </c>
      <c r="L13" s="31"/>
      <c r="M13" s="10" t="s">
        <v>6</v>
      </c>
      <c r="N13" s="10" t="s">
        <v>9</v>
      </c>
      <c r="O13" s="10" t="s">
        <v>12</v>
      </c>
      <c r="P13" s="10" t="s">
        <v>13</v>
      </c>
      <c r="Q13" s="10" t="s">
        <v>10</v>
      </c>
      <c r="R13" s="13" t="s">
        <v>14</v>
      </c>
      <c r="V13" s="35" t="s">
        <v>59</v>
      </c>
    </row>
    <row r="14" spans="2:30" ht="27.6" x14ac:dyDescent="0.3">
      <c r="B14" s="40" t="s">
        <v>5</v>
      </c>
      <c r="C14" s="41">
        <v>98.84</v>
      </c>
      <c r="D14" s="40"/>
      <c r="E14" s="40">
        <v>100</v>
      </c>
      <c r="F14" s="38" t="e">
        <f>-D6/E14</f>
        <v>#REF!</v>
      </c>
      <c r="G14" s="38" t="e">
        <f>+F14*C14</f>
        <v>#REF!</v>
      </c>
      <c r="H14" s="43" t="e">
        <f>+G14/SUM($G$14:$G$16)</f>
        <v>#REF!</v>
      </c>
      <c r="L14" s="40" t="s">
        <v>5</v>
      </c>
      <c r="M14" s="41">
        <v>98.84</v>
      </c>
      <c r="N14" s="40"/>
      <c r="O14" s="40">
        <v>100</v>
      </c>
      <c r="P14" s="38" t="e">
        <f>-N6/O14</f>
        <v>#REF!</v>
      </c>
      <c r="Q14" s="38" t="e">
        <f>+P14*M14</f>
        <v>#REF!</v>
      </c>
      <c r="R14" s="43" t="e">
        <f>+Q14/$Q$18</f>
        <v>#REF!</v>
      </c>
      <c r="V14" s="31"/>
      <c r="W14" s="10" t="s">
        <v>6</v>
      </c>
      <c r="X14" s="10" t="s">
        <v>9</v>
      </c>
      <c r="Y14" s="10" t="s">
        <v>12</v>
      </c>
      <c r="Z14" s="10" t="s">
        <v>13</v>
      </c>
      <c r="AA14" s="10" t="s">
        <v>10</v>
      </c>
      <c r="AB14" s="13" t="s">
        <v>14</v>
      </c>
    </row>
    <row r="15" spans="2:30" x14ac:dyDescent="0.3">
      <c r="B15" s="40" t="s">
        <v>7</v>
      </c>
      <c r="C15" s="41">
        <v>97.37</v>
      </c>
      <c r="D15" s="44">
        <v>0.02</v>
      </c>
      <c r="E15" s="40">
        <v>100</v>
      </c>
      <c r="F15" s="38" t="e">
        <f>-E6/(E15*D15/2+E15)</f>
        <v>#REF!</v>
      </c>
      <c r="G15" s="38" t="e">
        <f>+F15*C15</f>
        <v>#REF!</v>
      </c>
      <c r="H15" s="43" t="e">
        <f>+G15/SUM($G$14:$G$16)</f>
        <v>#REF!</v>
      </c>
      <c r="L15" s="40" t="s">
        <v>7</v>
      </c>
      <c r="M15" s="41">
        <v>97.37</v>
      </c>
      <c r="N15" s="44">
        <v>0.02</v>
      </c>
      <c r="O15" s="40">
        <v>100</v>
      </c>
      <c r="P15" s="38" t="e">
        <f>-O6/(O15*N15/2+O15)</f>
        <v>#REF!</v>
      </c>
      <c r="Q15" s="38" t="e">
        <f>+P15*M15</f>
        <v>#REF!</v>
      </c>
      <c r="R15" s="43" t="e">
        <f>+Q15/$Q$18</f>
        <v>#REF!</v>
      </c>
      <c r="V15" s="40" t="s">
        <v>5</v>
      </c>
      <c r="W15" s="41">
        <v>98.84</v>
      </c>
      <c r="X15" s="40"/>
      <c r="Y15" s="40">
        <v>100</v>
      </c>
      <c r="Z15" s="38" t="e">
        <f>-X6/Y15</f>
        <v>#REF!</v>
      </c>
      <c r="AA15" s="38" t="e">
        <f>+Z15*W15</f>
        <v>#REF!</v>
      </c>
      <c r="AB15" s="43" t="e">
        <f>+AA15/$Q$18</f>
        <v>#REF!</v>
      </c>
    </row>
    <row r="16" spans="2:30" x14ac:dyDescent="0.3">
      <c r="B16" s="40" t="s">
        <v>11</v>
      </c>
      <c r="C16" s="41"/>
      <c r="D16" s="40"/>
      <c r="E16" s="40"/>
      <c r="F16" s="40"/>
      <c r="G16" s="39" t="e">
        <f>+C6-SUM(G14:G15)</f>
        <v>#REF!</v>
      </c>
      <c r="H16" s="43" t="e">
        <f>+G16/SUM($G$14:$G$16)</f>
        <v>#REF!</v>
      </c>
      <c r="L16" s="40" t="s">
        <v>52</v>
      </c>
      <c r="M16" s="41">
        <v>97.09</v>
      </c>
      <c r="N16" s="44">
        <v>3.5000000000000003E-2</v>
      </c>
      <c r="O16" s="40">
        <v>100</v>
      </c>
      <c r="P16" s="38" t="e">
        <f>-P6/(O16*N16/2+O16)</f>
        <v>#REF!</v>
      </c>
      <c r="Q16" s="38" t="e">
        <f>+P16*M16</f>
        <v>#REF!</v>
      </c>
      <c r="R16" s="43" t="e">
        <f>+Q16/$Q$18</f>
        <v>#REF!</v>
      </c>
      <c r="V16" s="40" t="s">
        <v>7</v>
      </c>
      <c r="W16" s="41">
        <v>97.37</v>
      </c>
      <c r="X16" s="44">
        <v>0.02</v>
      </c>
      <c r="Y16" s="40">
        <v>100</v>
      </c>
      <c r="Z16" s="38" t="e">
        <f>-Y6/(Y16*X16/2+Y16)</f>
        <v>#REF!</v>
      </c>
      <c r="AA16" s="38" t="e">
        <f>+Z16*W16</f>
        <v>#REF!</v>
      </c>
      <c r="AB16" s="43" t="e">
        <f>+AA16/$Q$18</f>
        <v>#REF!</v>
      </c>
    </row>
    <row r="17" spans="2:29" x14ac:dyDescent="0.3">
      <c r="G17" s="45" t="e">
        <f>+SUM(G14:G16)</f>
        <v>#REF!</v>
      </c>
      <c r="H17" s="46" t="e">
        <f>+SUM(H14:H16)</f>
        <v>#REF!</v>
      </c>
      <c r="L17" s="40" t="s">
        <v>11</v>
      </c>
      <c r="M17" s="41"/>
      <c r="N17" s="40"/>
      <c r="O17" s="40"/>
      <c r="P17" s="40"/>
      <c r="Q17" s="39" t="e">
        <f>+M6-SUM(Q14:Q16)</f>
        <v>#REF!</v>
      </c>
      <c r="R17" s="43" t="e">
        <f>+Q17/$Q$18</f>
        <v>#REF!</v>
      </c>
      <c r="V17" s="40" t="s">
        <v>52</v>
      </c>
      <c r="W17" s="41">
        <v>97.09</v>
      </c>
      <c r="X17" s="44">
        <v>3.5000000000000003E-2</v>
      </c>
      <c r="Y17" s="40">
        <v>100</v>
      </c>
      <c r="Z17" s="38" t="e">
        <f>-Z6/(Y17*X17/2+Y17)</f>
        <v>#REF!</v>
      </c>
      <c r="AA17" s="38" t="e">
        <f>+Z17*W17</f>
        <v>#REF!</v>
      </c>
      <c r="AB17" s="43" t="e">
        <f>+AA17/$Q$18</f>
        <v>#REF!</v>
      </c>
    </row>
    <row r="18" spans="2:29" x14ac:dyDescent="0.3">
      <c r="Q18" s="45" t="e">
        <f>+SUM(Q14:Q17)</f>
        <v>#REF!</v>
      </c>
      <c r="R18" s="46" t="e">
        <f>+SUM(R14:R17)</f>
        <v>#REF!</v>
      </c>
      <c r="V18" s="40" t="s">
        <v>57</v>
      </c>
      <c r="W18" s="41">
        <v>91.7</v>
      </c>
      <c r="X18" s="44">
        <v>4.4999999999999998E-2</v>
      </c>
      <c r="Y18" s="40">
        <v>100</v>
      </c>
      <c r="Z18" s="38" t="e">
        <f>-AD6/(Y18*X18/2+Y18)</f>
        <v>#REF!</v>
      </c>
      <c r="AA18" s="38" t="e">
        <f>+Z18*W18</f>
        <v>#REF!</v>
      </c>
      <c r="AB18" s="43" t="e">
        <f>+AA18/$Q$18</f>
        <v>#REF!</v>
      </c>
      <c r="AC18" s="47" t="s">
        <v>58</v>
      </c>
    </row>
    <row r="19" spans="2:29" x14ac:dyDescent="0.3">
      <c r="V19" s="40" t="s">
        <v>11</v>
      </c>
      <c r="W19" s="41"/>
      <c r="X19" s="40"/>
      <c r="Y19" s="40"/>
      <c r="Z19" s="40"/>
      <c r="AA19" s="39" t="e">
        <f>+W6-SUM(AA15:AA18)</f>
        <v>#REF!</v>
      </c>
      <c r="AB19" s="43" t="e">
        <f>+AA19/$Q$18</f>
        <v>#REF!</v>
      </c>
    </row>
    <row r="20" spans="2:29" x14ac:dyDescent="0.3">
      <c r="B20" s="31" t="s">
        <v>20</v>
      </c>
      <c r="AA20" s="45" t="e">
        <f>+SUM(AA15:AA19)</f>
        <v>#REF!</v>
      </c>
      <c r="AB20" s="46" t="e">
        <f>+SUM(AB15:AB19)</f>
        <v>#REF!</v>
      </c>
    </row>
    <row r="21" spans="2:29" x14ac:dyDescent="0.3">
      <c r="C21" s="48" t="e">
        <f>+C5</f>
        <v>#REF!</v>
      </c>
      <c r="D21" s="48" t="e">
        <f t="shared" ref="D21:J21" si="7">+D5</f>
        <v>#REF!</v>
      </c>
      <c r="E21" s="48" t="e">
        <f t="shared" si="7"/>
        <v>#REF!</v>
      </c>
      <c r="F21" s="48" t="e">
        <f t="shared" si="7"/>
        <v>#REF!</v>
      </c>
      <c r="G21" s="48" t="e">
        <f t="shared" si="7"/>
        <v>#REF!</v>
      </c>
      <c r="H21" s="48" t="e">
        <f t="shared" si="7"/>
        <v>#REF!</v>
      </c>
      <c r="I21" s="48" t="e">
        <f t="shared" si="7"/>
        <v>#REF!</v>
      </c>
      <c r="J21" s="48" t="e">
        <f t="shared" si="7"/>
        <v>#REF!</v>
      </c>
      <c r="L21" s="49" t="s">
        <v>33</v>
      </c>
      <c r="N21" s="50"/>
      <c r="O21" s="50"/>
      <c r="P21" s="50"/>
      <c r="Q21" s="50"/>
      <c r="R21" s="50"/>
      <c r="S21" s="50"/>
    </row>
    <row r="22" spans="2:29" x14ac:dyDescent="0.3">
      <c r="B22" s="40" t="s">
        <v>21</v>
      </c>
      <c r="C22" s="40"/>
      <c r="D22" s="51">
        <f>1.418/100</f>
        <v>1.418E-2</v>
      </c>
      <c r="E22" s="51">
        <v>1.1764511854785442E-2</v>
      </c>
      <c r="F22" s="51">
        <v>1.1496030642741739E-2</v>
      </c>
      <c r="G22" s="51">
        <v>1.2623104122807316E-2</v>
      </c>
      <c r="H22" s="51">
        <v>1.4518571605527053E-2</v>
      </c>
      <c r="I22" s="51">
        <v>1.6581267174560654E-2</v>
      </c>
      <c r="J22" s="51">
        <v>1.8533395857715407E-2</v>
      </c>
      <c r="M22" s="37" t="s">
        <v>34</v>
      </c>
      <c r="N22" s="37" t="s">
        <v>37</v>
      </c>
      <c r="O22" s="50"/>
      <c r="P22" s="50"/>
      <c r="Q22" s="50"/>
      <c r="R22" s="50"/>
      <c r="S22" s="50"/>
    </row>
    <row r="23" spans="2:29" x14ac:dyDescent="0.3">
      <c r="B23" s="40" t="s">
        <v>22</v>
      </c>
      <c r="C23" s="40"/>
      <c r="D23" s="52" t="e">
        <f>1/(1+D22)^D21</f>
        <v>#REF!</v>
      </c>
      <c r="E23" s="52" t="e">
        <f t="shared" ref="E23:J23" si="8">1/(1+E22)^E21</f>
        <v>#REF!</v>
      </c>
      <c r="F23" s="52" t="e">
        <f t="shared" si="8"/>
        <v>#REF!</v>
      </c>
      <c r="G23" s="52" t="e">
        <f t="shared" si="8"/>
        <v>#REF!</v>
      </c>
      <c r="H23" s="52" t="e">
        <f t="shared" si="8"/>
        <v>#REF!</v>
      </c>
      <c r="I23" s="52" t="e">
        <f t="shared" si="8"/>
        <v>#REF!</v>
      </c>
      <c r="J23" s="52" t="e">
        <f t="shared" si="8"/>
        <v>#REF!</v>
      </c>
      <c r="L23" s="40" t="s">
        <v>5</v>
      </c>
      <c r="M23" s="38" t="e">
        <f>+SUMPRODUCT($D$23:$J$23,N7:T7)*(1+M46)</f>
        <v>#REF!</v>
      </c>
      <c r="N23" s="38" t="e">
        <f>+SUMPRODUCT($D$27:$J$27,N7:T7)*(1+M46)</f>
        <v>#REF!</v>
      </c>
      <c r="O23" s="50"/>
      <c r="Q23" s="50"/>
      <c r="R23" s="50"/>
      <c r="S23" s="53" t="s">
        <v>35</v>
      </c>
      <c r="V23" s="49" t="s">
        <v>33</v>
      </c>
      <c r="X23" s="50"/>
      <c r="Y23" s="50"/>
      <c r="Z23" s="50"/>
      <c r="AA23" s="50"/>
      <c r="AB23" s="50"/>
      <c r="AC23" s="50"/>
    </row>
    <row r="24" spans="2:29" x14ac:dyDescent="0.3">
      <c r="L24" s="40" t="s">
        <v>7</v>
      </c>
      <c r="M24" s="38" t="e">
        <f>+SUMPRODUCT($D$23:$J$23,N8:T8)*(1+N46)</f>
        <v>#REF!</v>
      </c>
      <c r="N24" s="38" t="e">
        <f>+SUMPRODUCT($D$27:$J$27,N8:T8)*(1+N46)</f>
        <v>#REF!</v>
      </c>
      <c r="O24" s="50"/>
      <c r="Q24" s="50"/>
      <c r="R24" s="50"/>
      <c r="S24" s="54" t="e">
        <f>+M28-N28</f>
        <v>#REF!</v>
      </c>
      <c r="W24" s="37" t="s">
        <v>34</v>
      </c>
      <c r="X24" s="37" t="s">
        <v>37</v>
      </c>
      <c r="Y24" s="50"/>
      <c r="Z24" s="50"/>
      <c r="AA24" s="50"/>
      <c r="AB24" s="50"/>
      <c r="AC24" s="50"/>
    </row>
    <row r="25" spans="2:29" x14ac:dyDescent="0.3">
      <c r="B25" s="40" t="s">
        <v>23</v>
      </c>
      <c r="C25" s="55">
        <v>4.1671E-2</v>
      </c>
      <c r="L25" s="40" t="s">
        <v>52</v>
      </c>
      <c r="M25" s="38" t="e">
        <f>+SUMPRODUCT($D$23:$J$23,N9:T9)*(1+O46)</f>
        <v>#REF!</v>
      </c>
      <c r="N25" s="38" t="e">
        <f>+SUMPRODUCT($D$27:$J$27,N9:T9)*(1+O46)</f>
        <v>#REF!</v>
      </c>
      <c r="O25" s="50"/>
      <c r="Q25" s="50"/>
      <c r="R25" s="50"/>
      <c r="S25" s="50"/>
      <c r="V25" s="40" t="s">
        <v>5</v>
      </c>
      <c r="W25" s="38" t="e">
        <f>+SUMPRODUCT($D$23:$J$23,X7:AD7)*(1+W50)</f>
        <v>#REF!</v>
      </c>
      <c r="X25" s="38" t="e">
        <f>+SUMPRODUCT($D$27:$J$27,X7:AD7)*(1+W50)</f>
        <v>#REF!</v>
      </c>
      <c r="Y25" s="50"/>
      <c r="AA25" s="50"/>
      <c r="AB25" s="50"/>
      <c r="AC25" s="53" t="s">
        <v>35</v>
      </c>
    </row>
    <row r="26" spans="2:29" x14ac:dyDescent="0.3">
      <c r="B26" s="40" t="s">
        <v>24</v>
      </c>
      <c r="C26" s="40"/>
      <c r="D26" s="44">
        <f>+$C$25+D22</f>
        <v>5.5850999999999998E-2</v>
      </c>
      <c r="E26" s="44">
        <f t="shared" ref="E26:J26" si="9">+$C$25+E22</f>
        <v>5.3435511854785442E-2</v>
      </c>
      <c r="F26" s="44">
        <f t="shared" si="9"/>
        <v>5.3167030642741739E-2</v>
      </c>
      <c r="G26" s="44">
        <f t="shared" si="9"/>
        <v>5.4294104122807316E-2</v>
      </c>
      <c r="H26" s="44">
        <f t="shared" si="9"/>
        <v>5.6189571605527053E-2</v>
      </c>
      <c r="I26" s="44">
        <f t="shared" si="9"/>
        <v>5.8252267174560654E-2</v>
      </c>
      <c r="J26" s="44">
        <f t="shared" si="9"/>
        <v>6.0204395857715406E-2</v>
      </c>
      <c r="L26" s="40" t="s">
        <v>11</v>
      </c>
      <c r="M26" s="38" t="e">
        <f>+Q17</f>
        <v>#REF!</v>
      </c>
      <c r="N26" s="38" t="e">
        <f>+M26</f>
        <v>#REF!</v>
      </c>
      <c r="O26" s="50"/>
      <c r="P26" s="50"/>
      <c r="Q26" s="50"/>
      <c r="R26" s="50"/>
      <c r="S26" s="50"/>
      <c r="V26" s="40" t="s">
        <v>7</v>
      </c>
      <c r="W26" s="38" t="e">
        <f>+SUMPRODUCT($D$23:$J$23,X8:AD8)*(1+X50)</f>
        <v>#REF!</v>
      </c>
      <c r="X26" s="38" t="e">
        <f>+SUMPRODUCT($D$27:$J$27,X8:AD8)*(1+X50)</f>
        <v>#REF!</v>
      </c>
      <c r="Y26" s="50"/>
      <c r="AA26" s="50"/>
      <c r="AB26" s="50"/>
      <c r="AC26" s="54" t="e">
        <f>+W31-X31</f>
        <v>#REF!</v>
      </c>
    </row>
    <row r="27" spans="2:29" x14ac:dyDescent="0.3">
      <c r="B27" s="40" t="s">
        <v>25</v>
      </c>
      <c r="C27" s="40"/>
      <c r="D27" s="52" t="e">
        <f>1/(1+D26)^D21</f>
        <v>#REF!</v>
      </c>
      <c r="E27" s="52" t="e">
        <f t="shared" ref="E27:J27" si="10">1/(1+E26)^E21</f>
        <v>#REF!</v>
      </c>
      <c r="F27" s="52" t="e">
        <f t="shared" si="10"/>
        <v>#REF!</v>
      </c>
      <c r="G27" s="52" t="e">
        <f t="shared" si="10"/>
        <v>#REF!</v>
      </c>
      <c r="H27" s="52" t="e">
        <f t="shared" si="10"/>
        <v>#REF!</v>
      </c>
      <c r="I27" s="52" t="e">
        <f t="shared" si="10"/>
        <v>#REF!</v>
      </c>
      <c r="J27" s="52" t="e">
        <f t="shared" si="10"/>
        <v>#REF!</v>
      </c>
      <c r="L27" s="40" t="s">
        <v>16</v>
      </c>
      <c r="M27" s="38" t="e">
        <f>+SUMPRODUCT($D$36:$J$36,N6:T6)</f>
        <v>#REF!</v>
      </c>
      <c r="N27" s="38" t="e">
        <f>+SUMPRODUCT($D$36:$J$36,N6:T6)</f>
        <v>#REF!</v>
      </c>
      <c r="O27" s="50"/>
      <c r="P27" s="50"/>
      <c r="Q27" s="50"/>
      <c r="R27" s="50"/>
      <c r="S27" s="50"/>
      <c r="V27" s="40" t="s">
        <v>52</v>
      </c>
      <c r="W27" s="38" t="e">
        <f>+SUMPRODUCT($D$23:$J$23,X9:AD9)*(1+Y50)</f>
        <v>#REF!</v>
      </c>
      <c r="X27" s="38" t="e">
        <f>+SUMPRODUCT($D$27:$J$27,X9:AD9)*(1+Y50)</f>
        <v>#REF!</v>
      </c>
      <c r="Y27" s="50"/>
      <c r="AA27" s="50"/>
      <c r="AB27" s="50"/>
      <c r="AC27" s="50"/>
    </row>
    <row r="28" spans="2:29" x14ac:dyDescent="0.3">
      <c r="L28" s="56" t="s">
        <v>36</v>
      </c>
      <c r="M28" s="57" t="e">
        <f>+SUM(M23:M27)</f>
        <v>#REF!</v>
      </c>
      <c r="N28" s="57" t="e">
        <f>+SUM(N23:N27)</f>
        <v>#REF!</v>
      </c>
      <c r="O28" s="50"/>
      <c r="P28" s="50"/>
      <c r="Q28" s="50"/>
      <c r="R28" s="50"/>
      <c r="S28" s="50"/>
      <c r="V28" s="40" t="s">
        <v>57</v>
      </c>
      <c r="W28" s="38" t="e">
        <f>+SUMPRODUCT($D$23:$J$23,X10:AD10)*(1+Z50)</f>
        <v>#REF!</v>
      </c>
      <c r="X28" s="38" t="e">
        <f>+SUMPRODUCT($D$27:$J$27,X10:AD10)*(1+Z50)</f>
        <v>#REF!</v>
      </c>
      <c r="Y28" s="50"/>
      <c r="AA28" s="50"/>
      <c r="AB28" s="50"/>
      <c r="AC28" s="50"/>
    </row>
    <row r="29" spans="2:29" x14ac:dyDescent="0.3">
      <c r="B29" s="40" t="s">
        <v>26</v>
      </c>
      <c r="C29" s="40"/>
      <c r="D29" s="51">
        <f>+D22*1.7</f>
        <v>2.4105999999999999E-2</v>
      </c>
      <c r="E29" s="51">
        <f t="shared" ref="E29:J29" si="11">+E22*1.7</f>
        <v>1.9999670153135252E-2</v>
      </c>
      <c r="F29" s="51">
        <f t="shared" si="11"/>
        <v>1.9543252092660956E-2</v>
      </c>
      <c r="G29" s="51">
        <f t="shared" si="11"/>
        <v>2.1459277008772436E-2</v>
      </c>
      <c r="H29" s="51">
        <f t="shared" si="11"/>
        <v>2.4681571729395991E-2</v>
      </c>
      <c r="I29" s="51">
        <f t="shared" si="11"/>
        <v>2.818815419675311E-2</v>
      </c>
      <c r="J29" s="51">
        <f t="shared" si="11"/>
        <v>3.1506772958116193E-2</v>
      </c>
      <c r="N29" s="50"/>
      <c r="O29" s="50"/>
      <c r="P29" s="50"/>
      <c r="Q29" s="50"/>
      <c r="R29" s="50"/>
      <c r="S29" s="50"/>
      <c r="V29" s="40" t="s">
        <v>11</v>
      </c>
      <c r="W29" s="38" t="e">
        <f>+AA19</f>
        <v>#REF!</v>
      </c>
      <c r="X29" s="38" t="e">
        <f>+W29</f>
        <v>#REF!</v>
      </c>
      <c r="Y29" s="50"/>
      <c r="Z29" s="50"/>
      <c r="AA29" s="50"/>
      <c r="AB29" s="50"/>
      <c r="AC29" s="50"/>
    </row>
    <row r="30" spans="2:29" x14ac:dyDescent="0.3">
      <c r="B30" s="40" t="s">
        <v>27</v>
      </c>
      <c r="C30" s="40"/>
      <c r="D30" s="51">
        <f>+D22*0.75</f>
        <v>1.0635E-2</v>
      </c>
      <c r="E30" s="51">
        <f t="shared" ref="E30:J30" si="12">+E22*0.75</f>
        <v>8.8233838910890816E-3</v>
      </c>
      <c r="F30" s="51">
        <f t="shared" si="12"/>
        <v>8.6220229820563044E-3</v>
      </c>
      <c r="G30" s="51">
        <f t="shared" si="12"/>
        <v>9.467328092105487E-3</v>
      </c>
      <c r="H30" s="51">
        <f t="shared" si="12"/>
        <v>1.088892870414529E-2</v>
      </c>
      <c r="I30" s="51">
        <f t="shared" si="12"/>
        <v>1.2435950380920491E-2</v>
      </c>
      <c r="J30" s="51">
        <f t="shared" si="12"/>
        <v>1.3900046893286555E-2</v>
      </c>
      <c r="L30" s="49" t="s">
        <v>38</v>
      </c>
      <c r="N30" s="50"/>
      <c r="O30" s="50"/>
      <c r="P30" s="50"/>
      <c r="Q30" s="50"/>
      <c r="R30" s="50"/>
      <c r="S30" s="50"/>
      <c r="V30" s="40" t="s">
        <v>16</v>
      </c>
      <c r="W30" s="38" t="e">
        <f>+SUMPRODUCT($D$36:$J$36,X6:AD6)</f>
        <v>#REF!</v>
      </c>
      <c r="X30" s="38" t="e">
        <f>+SUMPRODUCT($D$36:$J$36,X6:AD6)</f>
        <v>#REF!</v>
      </c>
      <c r="Y30" s="50"/>
      <c r="Z30" s="50"/>
      <c r="AA30" s="50"/>
      <c r="AB30" s="50"/>
      <c r="AC30" s="50"/>
    </row>
    <row r="31" spans="2:29" x14ac:dyDescent="0.3">
      <c r="B31" s="40" t="s">
        <v>28</v>
      </c>
      <c r="C31" s="40"/>
      <c r="D31" s="51" t="e">
        <f>1/(1+D29)^D21</f>
        <v>#REF!</v>
      </c>
      <c r="E31" s="51" t="e">
        <f t="shared" ref="E31:J31" si="13">1/(1+E29)^E21</f>
        <v>#REF!</v>
      </c>
      <c r="F31" s="51" t="e">
        <f t="shared" si="13"/>
        <v>#REF!</v>
      </c>
      <c r="G31" s="51" t="e">
        <f t="shared" si="13"/>
        <v>#REF!</v>
      </c>
      <c r="H31" s="51" t="e">
        <f t="shared" si="13"/>
        <v>#REF!</v>
      </c>
      <c r="I31" s="51" t="e">
        <f t="shared" si="13"/>
        <v>#REF!</v>
      </c>
      <c r="J31" s="51" t="e">
        <f t="shared" si="13"/>
        <v>#REF!</v>
      </c>
      <c r="N31" s="50"/>
      <c r="O31" s="50"/>
      <c r="P31" s="50"/>
      <c r="Q31" s="50"/>
      <c r="R31" s="50"/>
      <c r="S31" s="50"/>
      <c r="V31" s="56" t="s">
        <v>36</v>
      </c>
      <c r="W31" s="57" t="e">
        <f>+SUM(W25:W30)</f>
        <v>#REF!</v>
      </c>
      <c r="X31" s="57" t="e">
        <f>+SUM(X25:X30)</f>
        <v>#REF!</v>
      </c>
      <c r="Y31" s="50"/>
      <c r="Z31" s="50"/>
      <c r="AA31" s="50"/>
      <c r="AB31" s="50"/>
      <c r="AC31" s="50"/>
    </row>
    <row r="32" spans="2:29" x14ac:dyDescent="0.3">
      <c r="B32" s="40" t="s">
        <v>29</v>
      </c>
      <c r="C32" s="40"/>
      <c r="D32" s="51" t="e">
        <f>1/(1+D30)^D21</f>
        <v>#REF!</v>
      </c>
      <c r="E32" s="51" t="e">
        <f t="shared" ref="E32:J32" si="14">1/(1+E30)^E21</f>
        <v>#REF!</v>
      </c>
      <c r="F32" s="51" t="e">
        <f t="shared" si="14"/>
        <v>#REF!</v>
      </c>
      <c r="G32" s="51" t="e">
        <f t="shared" si="14"/>
        <v>#REF!</v>
      </c>
      <c r="H32" s="51" t="e">
        <f t="shared" si="14"/>
        <v>#REF!</v>
      </c>
      <c r="I32" s="51" t="e">
        <f t="shared" si="14"/>
        <v>#REF!</v>
      </c>
      <c r="J32" s="51" t="e">
        <f t="shared" si="14"/>
        <v>#REF!</v>
      </c>
      <c r="M32" s="37" t="s">
        <v>34</v>
      </c>
      <c r="N32" s="37" t="s">
        <v>43</v>
      </c>
      <c r="O32" s="37" t="s">
        <v>46</v>
      </c>
      <c r="P32" s="50"/>
      <c r="Q32" s="50"/>
      <c r="R32" s="50"/>
      <c r="S32" s="50"/>
      <c r="X32" s="50"/>
      <c r="Y32" s="50"/>
      <c r="Z32" s="50"/>
      <c r="AA32" s="50"/>
      <c r="AB32" s="50"/>
      <c r="AC32" s="50"/>
    </row>
    <row r="33" spans="2:29" x14ac:dyDescent="0.3">
      <c r="L33" s="40" t="s">
        <v>5</v>
      </c>
      <c r="M33" s="38" t="e">
        <f>+M23</f>
        <v>#REF!</v>
      </c>
      <c r="N33" s="38" t="e">
        <f>+SUMPRODUCT($D$31:$J$31,N7:T7)*(1+M46)</f>
        <v>#REF!</v>
      </c>
      <c r="O33" s="38" t="e">
        <f>+SUMPRODUCT($D$32:$J$32,N7:T7)*(1+M46)</f>
        <v>#REF!</v>
      </c>
      <c r="P33" s="50"/>
      <c r="Q33" s="50"/>
      <c r="R33" s="50"/>
      <c r="S33" s="53" t="s">
        <v>49</v>
      </c>
      <c r="V33" s="49" t="s">
        <v>38</v>
      </c>
      <c r="X33" s="50"/>
      <c r="Y33" s="50"/>
      <c r="Z33" s="50"/>
      <c r="AA33" s="50"/>
      <c r="AB33" s="50"/>
      <c r="AC33" s="50"/>
    </row>
    <row r="34" spans="2:29" x14ac:dyDescent="0.3">
      <c r="B34" s="40" t="s">
        <v>30</v>
      </c>
      <c r="C34" s="40"/>
      <c r="D34" s="51">
        <v>5.3E-3</v>
      </c>
      <c r="E34" s="51">
        <v>5.3E-3</v>
      </c>
      <c r="F34" s="51">
        <v>5.3E-3</v>
      </c>
      <c r="G34" s="51">
        <v>5.3E-3</v>
      </c>
      <c r="H34" s="51">
        <v>5.3E-3</v>
      </c>
      <c r="I34" s="51">
        <v>5.3E-3</v>
      </c>
      <c r="J34" s="51">
        <v>5.3E-3</v>
      </c>
      <c r="L34" s="40" t="s">
        <v>7</v>
      </c>
      <c r="M34" s="38" t="e">
        <f>+M24</f>
        <v>#REF!</v>
      </c>
      <c r="N34" s="38" t="e">
        <f>+SUMPRODUCT($D$31:$J$31,N8:T8)*(1+N46)</f>
        <v>#REF!</v>
      </c>
      <c r="O34" s="38" t="e">
        <f>+SUMPRODUCT($D$32:$J$32,N8:T8)*(1+N46)</f>
        <v>#REF!</v>
      </c>
      <c r="P34" s="50"/>
      <c r="Q34" s="50"/>
      <c r="R34" s="50"/>
      <c r="S34" s="54" t="e">
        <f>+IF(P38&gt;0,P38,Q38)</f>
        <v>#REF!</v>
      </c>
      <c r="X34" s="50"/>
      <c r="Y34" s="50"/>
      <c r="Z34" s="50"/>
      <c r="AA34" s="50"/>
      <c r="AB34" s="50"/>
      <c r="AC34" s="50"/>
    </row>
    <row r="35" spans="2:29" x14ac:dyDescent="0.3">
      <c r="B35" s="40" t="s">
        <v>31</v>
      </c>
      <c r="C35" s="40"/>
      <c r="D35" s="51">
        <f>+D34+D22</f>
        <v>1.9480000000000001E-2</v>
      </c>
      <c r="E35" s="51">
        <f t="shared" ref="E35:J35" si="15">+E34+E22</f>
        <v>1.7064511854785441E-2</v>
      </c>
      <c r="F35" s="51">
        <f t="shared" si="15"/>
        <v>1.6796030642741738E-2</v>
      </c>
      <c r="G35" s="51">
        <f t="shared" si="15"/>
        <v>1.7923104122807315E-2</v>
      </c>
      <c r="H35" s="51">
        <f t="shared" si="15"/>
        <v>1.9818571605527052E-2</v>
      </c>
      <c r="I35" s="51">
        <f t="shared" si="15"/>
        <v>2.1881267174560654E-2</v>
      </c>
      <c r="J35" s="51">
        <f t="shared" si="15"/>
        <v>2.3833395857715406E-2</v>
      </c>
      <c r="L35" s="40" t="s">
        <v>52</v>
      </c>
      <c r="M35" s="38" t="e">
        <f>+M25</f>
        <v>#REF!</v>
      </c>
      <c r="N35" s="38" t="e">
        <f>+SUMPRODUCT($D$31:$J$31,N9:T9)*(1+O46)</f>
        <v>#REF!</v>
      </c>
      <c r="O35" s="38" t="e">
        <f>+SUMPRODUCT($D$32:$J$32,N9:T9)*(1+O46)</f>
        <v>#REF!</v>
      </c>
      <c r="P35" s="50"/>
      <c r="Q35" s="50"/>
      <c r="R35" s="50"/>
      <c r="S35" s="50"/>
      <c r="W35" s="37" t="s">
        <v>34</v>
      </c>
      <c r="X35" s="37" t="s">
        <v>43</v>
      </c>
      <c r="Y35" s="37" t="s">
        <v>46</v>
      </c>
      <c r="Z35" s="50"/>
      <c r="AA35" s="50"/>
      <c r="AB35" s="50"/>
      <c r="AC35" s="50"/>
    </row>
    <row r="36" spans="2:29" x14ac:dyDescent="0.3">
      <c r="B36" s="40" t="s">
        <v>32</v>
      </c>
      <c r="C36" s="40"/>
      <c r="D36" s="52" t="e">
        <f>1/(1+D35)^D21</f>
        <v>#REF!</v>
      </c>
      <c r="E36" s="52" t="e">
        <f t="shared" ref="E36:J36" si="16">1/(1+E35)^E21</f>
        <v>#REF!</v>
      </c>
      <c r="F36" s="52" t="e">
        <f t="shared" si="16"/>
        <v>#REF!</v>
      </c>
      <c r="G36" s="52" t="e">
        <f t="shared" si="16"/>
        <v>#REF!</v>
      </c>
      <c r="H36" s="52" t="e">
        <f t="shared" si="16"/>
        <v>#REF!</v>
      </c>
      <c r="I36" s="52" t="e">
        <f t="shared" si="16"/>
        <v>#REF!</v>
      </c>
      <c r="J36" s="52" t="e">
        <f t="shared" si="16"/>
        <v>#REF!</v>
      </c>
      <c r="L36" s="40" t="s">
        <v>11</v>
      </c>
      <c r="M36" s="38" t="e">
        <f>+M26</f>
        <v>#REF!</v>
      </c>
      <c r="N36" s="38" t="e">
        <f>+M36</f>
        <v>#REF!</v>
      </c>
      <c r="O36" s="38" t="e">
        <f>+N36</f>
        <v>#REF!</v>
      </c>
      <c r="P36" s="50"/>
      <c r="Q36" s="50"/>
      <c r="R36" s="50"/>
      <c r="S36" s="50"/>
      <c r="V36" s="40" t="s">
        <v>5</v>
      </c>
      <c r="W36" s="38" t="e">
        <f t="shared" ref="W36:W41" si="17">+W25</f>
        <v>#REF!</v>
      </c>
      <c r="X36" s="38" t="e">
        <f>+SUMPRODUCT($D$31:$J$31,X7:AD7)*(1+W50)</f>
        <v>#REF!</v>
      </c>
      <c r="Y36" s="38" t="e">
        <f>+SUMPRODUCT($D$32:$J$32,X7:AD7)*(1+W50)</f>
        <v>#REF!</v>
      </c>
      <c r="Z36" s="50"/>
      <c r="AA36" s="50"/>
      <c r="AB36" s="50"/>
      <c r="AC36" s="53" t="s">
        <v>49</v>
      </c>
    </row>
    <row r="37" spans="2:29" x14ac:dyDescent="0.3">
      <c r="B37" s="40" t="s">
        <v>44</v>
      </c>
      <c r="C37" s="40"/>
      <c r="D37" s="52" t="e">
        <f>1/(1+(D34+D29))^D21</f>
        <v>#REF!</v>
      </c>
      <c r="E37" s="52" t="e">
        <f t="shared" ref="E37:J37" si="18">1/(1+(E34+E29))^E21</f>
        <v>#REF!</v>
      </c>
      <c r="F37" s="52" t="e">
        <f t="shared" si="18"/>
        <v>#REF!</v>
      </c>
      <c r="G37" s="52" t="e">
        <f t="shared" si="18"/>
        <v>#REF!</v>
      </c>
      <c r="H37" s="52" t="e">
        <f t="shared" si="18"/>
        <v>#REF!</v>
      </c>
      <c r="I37" s="52" t="e">
        <f t="shared" si="18"/>
        <v>#REF!</v>
      </c>
      <c r="J37" s="52" t="e">
        <f t="shared" si="18"/>
        <v>#REF!</v>
      </c>
      <c r="L37" s="40" t="s">
        <v>16</v>
      </c>
      <c r="M37" s="38" t="e">
        <f>+M27</f>
        <v>#REF!</v>
      </c>
      <c r="N37" s="38" t="e">
        <f>+SUMPRODUCT($D$37:$J$37,N6:T6)</f>
        <v>#REF!</v>
      </c>
      <c r="O37" s="38" t="e">
        <f>+SUMPRODUCT($D$38:$J$38,N6:T6)</f>
        <v>#REF!</v>
      </c>
      <c r="P37" s="58" t="s">
        <v>47</v>
      </c>
      <c r="Q37" s="58" t="s">
        <v>48</v>
      </c>
      <c r="R37" s="50"/>
      <c r="S37" s="50"/>
      <c r="V37" s="40" t="s">
        <v>7</v>
      </c>
      <c r="W37" s="38" t="e">
        <f t="shared" si="17"/>
        <v>#REF!</v>
      </c>
      <c r="X37" s="38" t="e">
        <f>+SUMPRODUCT($D$31:$J$31,X8:AD8)*(1+X50)</f>
        <v>#REF!</v>
      </c>
      <c r="Y37" s="38" t="e">
        <f>+SUMPRODUCT($D$32:$J$32,X8:AD8)*(1+X50)</f>
        <v>#REF!</v>
      </c>
      <c r="Z37" s="50"/>
      <c r="AA37" s="50"/>
      <c r="AB37" s="50"/>
      <c r="AC37" s="54" t="e">
        <f>+IF(Z42&gt;0,Z42,AA42)</f>
        <v>#REF!</v>
      </c>
    </row>
    <row r="38" spans="2:29" x14ac:dyDescent="0.3">
      <c r="B38" s="40" t="s">
        <v>45</v>
      </c>
      <c r="C38" s="40"/>
      <c r="D38" s="52" t="e">
        <f>1/(1+(D34+D30))^D21</f>
        <v>#REF!</v>
      </c>
      <c r="E38" s="52" t="e">
        <f t="shared" ref="E38:J38" si="19">1/(1+(E34+E30))^E21</f>
        <v>#REF!</v>
      </c>
      <c r="F38" s="52" t="e">
        <f t="shared" si="19"/>
        <v>#REF!</v>
      </c>
      <c r="G38" s="52" t="e">
        <f t="shared" si="19"/>
        <v>#REF!</v>
      </c>
      <c r="H38" s="52" t="e">
        <f t="shared" si="19"/>
        <v>#REF!</v>
      </c>
      <c r="I38" s="52" t="e">
        <f t="shared" si="19"/>
        <v>#REF!</v>
      </c>
      <c r="J38" s="52" t="e">
        <f t="shared" si="19"/>
        <v>#REF!</v>
      </c>
      <c r="L38" s="56" t="s">
        <v>36</v>
      </c>
      <c r="M38" s="57" t="e">
        <f>+SUM(M33:M37)</f>
        <v>#REF!</v>
      </c>
      <c r="N38" s="57" t="e">
        <f>+SUM(N33:N37)</f>
        <v>#REF!</v>
      </c>
      <c r="O38" s="57" t="e">
        <f>+SUM(O33:O37)</f>
        <v>#REF!</v>
      </c>
      <c r="P38" s="52" t="e">
        <f>+M38-N38</f>
        <v>#REF!</v>
      </c>
      <c r="Q38" s="52" t="e">
        <f>+M38-O38</f>
        <v>#REF!</v>
      </c>
      <c r="R38" s="50"/>
      <c r="S38" s="50"/>
      <c r="V38" s="40" t="s">
        <v>52</v>
      </c>
      <c r="W38" s="38" t="e">
        <f t="shared" si="17"/>
        <v>#REF!</v>
      </c>
      <c r="X38" s="38" t="e">
        <f>+SUMPRODUCT($D$31:$J$31,X9:AD9)*(1+Y50)</f>
        <v>#REF!</v>
      </c>
      <c r="Y38" s="38" t="e">
        <f>+SUMPRODUCT($D$32:$J$32,X9:AD9)*(1+Y50)</f>
        <v>#REF!</v>
      </c>
      <c r="Z38" s="50"/>
      <c r="AA38" s="50"/>
      <c r="AB38" s="50"/>
      <c r="AC38" s="50"/>
    </row>
    <row r="39" spans="2:29" x14ac:dyDescent="0.3">
      <c r="D39" s="50"/>
      <c r="E39" s="50"/>
      <c r="F39" s="50"/>
      <c r="G39" s="50"/>
      <c r="H39" s="50"/>
      <c r="I39" s="50"/>
      <c r="J39" s="50"/>
      <c r="N39" s="50"/>
      <c r="O39" s="50"/>
      <c r="P39" s="50"/>
      <c r="Q39" s="50"/>
      <c r="R39" s="50"/>
      <c r="S39" s="50"/>
      <c r="V39" s="40" t="s">
        <v>57</v>
      </c>
      <c r="W39" s="38" t="e">
        <f t="shared" si="17"/>
        <v>#REF!</v>
      </c>
      <c r="X39" s="38" t="e">
        <f>+SUMPRODUCT($D$31:$J$31,X10:AD10)*(1+Z50)</f>
        <v>#REF!</v>
      </c>
      <c r="Y39" s="38" t="e">
        <f>+SUMPRODUCT($D$32:$J$32,X10:AD10)*(1+Z50)</f>
        <v>#REF!</v>
      </c>
      <c r="Z39" s="50"/>
      <c r="AA39" s="50"/>
      <c r="AB39" s="50"/>
      <c r="AC39" s="50"/>
    </row>
    <row r="40" spans="2:29" x14ac:dyDescent="0.3">
      <c r="B40" s="49" t="s">
        <v>33</v>
      </c>
      <c r="D40" s="50"/>
      <c r="E40" s="50"/>
      <c r="F40" s="50"/>
      <c r="G40" s="50"/>
      <c r="H40" s="50"/>
      <c r="I40" s="50"/>
      <c r="J40" s="50"/>
      <c r="N40" s="50"/>
      <c r="O40" s="50"/>
      <c r="P40" s="50"/>
      <c r="Q40" s="50"/>
      <c r="R40" s="50"/>
      <c r="S40" s="50"/>
      <c r="V40" s="40" t="s">
        <v>11</v>
      </c>
      <c r="W40" s="38" t="e">
        <f t="shared" si="17"/>
        <v>#REF!</v>
      </c>
      <c r="X40" s="38" t="e">
        <f>+W40</f>
        <v>#REF!</v>
      </c>
      <c r="Y40" s="38" t="e">
        <f>+X40</f>
        <v>#REF!</v>
      </c>
      <c r="Z40" s="50"/>
      <c r="AA40" s="50"/>
      <c r="AB40" s="50"/>
      <c r="AC40" s="50"/>
    </row>
    <row r="41" spans="2:29" x14ac:dyDescent="0.3">
      <c r="C41" s="37" t="s">
        <v>34</v>
      </c>
      <c r="D41" s="37" t="s">
        <v>37</v>
      </c>
      <c r="E41" s="50"/>
      <c r="F41" s="50"/>
      <c r="G41" s="50"/>
      <c r="H41" s="50"/>
      <c r="I41" s="50"/>
      <c r="J41" s="50"/>
      <c r="N41" s="50"/>
      <c r="O41" s="50"/>
      <c r="P41" s="50"/>
      <c r="Q41" s="50"/>
      <c r="R41" s="50"/>
      <c r="S41" s="50"/>
      <c r="V41" s="40" t="s">
        <v>16</v>
      </c>
      <c r="W41" s="38" t="e">
        <f t="shared" si="17"/>
        <v>#REF!</v>
      </c>
      <c r="X41" s="38" t="e">
        <f>+SUMPRODUCT($D$37:$J$37,X6:AD6)</f>
        <v>#REF!</v>
      </c>
      <c r="Y41" s="38" t="e">
        <f>+SUMPRODUCT($D$38:$J$38,X6:AD6)</f>
        <v>#REF!</v>
      </c>
      <c r="Z41" s="58" t="s">
        <v>47</v>
      </c>
      <c r="AA41" s="58" t="s">
        <v>48</v>
      </c>
      <c r="AB41" s="50"/>
      <c r="AC41" s="50"/>
    </row>
    <row r="42" spans="2:29" x14ac:dyDescent="0.3">
      <c r="B42" s="40" t="s">
        <v>5</v>
      </c>
      <c r="C42" s="38" t="e">
        <f>+SUMPRODUCT(D7:J7,D23:J23)*(1+C63)</f>
        <v>#REF!</v>
      </c>
      <c r="D42" s="38" t="e">
        <f>+SUMPRODUCT(D7:J7,D27:J27)*(1+C63)</f>
        <v>#REF!</v>
      </c>
      <c r="E42" s="50"/>
      <c r="G42" s="50"/>
      <c r="H42" s="50"/>
      <c r="I42" s="53" t="s">
        <v>35</v>
      </c>
      <c r="J42" s="50"/>
      <c r="L42" s="49" t="s">
        <v>39</v>
      </c>
      <c r="N42" s="50"/>
      <c r="O42" s="50"/>
      <c r="P42" s="50"/>
      <c r="Q42" s="50"/>
      <c r="R42" s="50"/>
      <c r="S42" s="50"/>
      <c r="V42" s="56" t="s">
        <v>36</v>
      </c>
      <c r="W42" s="57" t="e">
        <f>+SUM(W36:W41)</f>
        <v>#REF!</v>
      </c>
      <c r="X42" s="57" t="e">
        <f>+SUM(X36:X41)</f>
        <v>#REF!</v>
      </c>
      <c r="Y42" s="57" t="e">
        <f>+SUM(Y36:Y41)</f>
        <v>#REF!</v>
      </c>
      <c r="Z42" s="38" t="e">
        <f>+W42-X42</f>
        <v>#REF!</v>
      </c>
      <c r="AA42" s="38" t="e">
        <f>+W42-Y42</f>
        <v>#REF!</v>
      </c>
      <c r="AB42" s="50"/>
      <c r="AC42" s="50"/>
    </row>
    <row r="43" spans="2:29" x14ac:dyDescent="0.3">
      <c r="B43" s="40" t="s">
        <v>7</v>
      </c>
      <c r="C43" s="38" t="e">
        <f>+SUMPRODUCT(D8:J8,D23:J23)*(1+D63)</f>
        <v>#REF!</v>
      </c>
      <c r="D43" s="38" t="e">
        <f>+SUMPRODUCT(D8:J8,D27:J27)*(1+D63)</f>
        <v>#REF!</v>
      </c>
      <c r="E43" s="50"/>
      <c r="G43" s="50"/>
      <c r="H43" s="50"/>
      <c r="I43" s="54" t="e">
        <f>+C46-D46</f>
        <v>#REF!</v>
      </c>
      <c r="J43" s="50"/>
      <c r="M43" s="37" t="s">
        <v>17</v>
      </c>
      <c r="N43" s="58" t="s">
        <v>53</v>
      </c>
      <c r="O43" s="58" t="s">
        <v>54</v>
      </c>
      <c r="P43" s="50"/>
      <c r="Q43" s="50"/>
      <c r="R43" s="50"/>
      <c r="S43" s="50"/>
      <c r="X43" s="50"/>
      <c r="Y43" s="50"/>
      <c r="Z43" s="50"/>
      <c r="AA43" s="50"/>
      <c r="AB43" s="50"/>
      <c r="AC43" s="50"/>
    </row>
    <row r="44" spans="2:29" x14ac:dyDescent="0.3">
      <c r="B44" s="40" t="s">
        <v>11</v>
      </c>
      <c r="C44" s="38" t="e">
        <f>+G16</f>
        <v>#REF!</v>
      </c>
      <c r="D44" s="38" t="e">
        <f>+C44</f>
        <v>#REF!</v>
      </c>
      <c r="E44" s="50"/>
      <c r="F44" s="50"/>
      <c r="G44" s="50"/>
      <c r="H44" s="50"/>
      <c r="I44" s="50"/>
      <c r="J44" s="50"/>
      <c r="L44" s="40" t="s">
        <v>40</v>
      </c>
      <c r="M44" s="38" t="e">
        <f>+SUMPRODUCT(N7:T7,D23:J23)</f>
        <v>#REF!</v>
      </c>
      <c r="N44" s="38" t="e">
        <f>+SUMPRODUCT(N8:T8,D23:J23)</f>
        <v>#REF!</v>
      </c>
      <c r="O44" s="38" t="e">
        <f>+SUMPRODUCT(N9:T9,D23:J23)</f>
        <v>#REF!</v>
      </c>
      <c r="P44" s="50"/>
      <c r="Q44" s="50"/>
      <c r="R44" s="50"/>
      <c r="S44" s="50"/>
      <c r="X44" s="50"/>
      <c r="Y44" s="50"/>
      <c r="Z44" s="50"/>
      <c r="AA44" s="50"/>
      <c r="AB44" s="50"/>
      <c r="AC44" s="50"/>
    </row>
    <row r="45" spans="2:29" x14ac:dyDescent="0.3">
      <c r="B45" s="40" t="s">
        <v>16</v>
      </c>
      <c r="C45" s="38" t="e">
        <f>+SUMPRODUCT(D6:J6,D36:J36)</f>
        <v>#REF!</v>
      </c>
      <c r="D45" s="38" t="e">
        <f>+SUMPRODUCT(D6:J6,D36:J36)</f>
        <v>#REF!</v>
      </c>
      <c r="E45" s="50"/>
      <c r="F45" s="50"/>
      <c r="G45" s="50"/>
      <c r="H45" s="50"/>
      <c r="I45" s="50"/>
      <c r="J45" s="50"/>
      <c r="L45" s="40" t="s">
        <v>41</v>
      </c>
      <c r="M45" s="38" t="e">
        <f>+Q14</f>
        <v>#REF!</v>
      </c>
      <c r="N45" s="38" t="e">
        <f>+Q15</f>
        <v>#REF!</v>
      </c>
      <c r="O45" s="38" t="e">
        <f>+Q16</f>
        <v>#REF!</v>
      </c>
      <c r="P45" s="50"/>
      <c r="Q45" s="50"/>
      <c r="R45" s="50"/>
      <c r="S45" s="50"/>
      <c r="X45" s="50"/>
      <c r="Y45" s="50"/>
      <c r="Z45" s="50"/>
      <c r="AA45" s="50"/>
      <c r="AB45" s="50"/>
      <c r="AC45" s="50"/>
    </row>
    <row r="46" spans="2:29" x14ac:dyDescent="0.3">
      <c r="B46" s="56" t="s">
        <v>36</v>
      </c>
      <c r="C46" s="57" t="e">
        <f>+SUM(C42:C45)</f>
        <v>#REF!</v>
      </c>
      <c r="D46" s="57" t="e">
        <f>+SUM(D42:D45)</f>
        <v>#REF!</v>
      </c>
      <c r="E46" s="50"/>
      <c r="F46" s="50"/>
      <c r="G46" s="50"/>
      <c r="H46" s="50"/>
      <c r="I46" s="50"/>
      <c r="J46" s="50"/>
      <c r="L46" s="40" t="s">
        <v>42</v>
      </c>
      <c r="M46" s="51" t="e">
        <f>+M45/M44-1</f>
        <v>#REF!</v>
      </c>
      <c r="N46" s="51" t="e">
        <f>+N45/N44-1</f>
        <v>#REF!</v>
      </c>
      <c r="O46" s="51" t="e">
        <f>+O45/O44-1</f>
        <v>#REF!</v>
      </c>
      <c r="P46" s="50"/>
      <c r="Q46" s="50"/>
      <c r="R46" s="50"/>
      <c r="S46" s="50"/>
      <c r="V46" s="49" t="s">
        <v>39</v>
      </c>
      <c r="X46" s="50"/>
      <c r="Y46" s="50"/>
      <c r="Z46" s="50"/>
      <c r="AA46" s="50"/>
      <c r="AB46" s="50"/>
      <c r="AC46" s="50"/>
    </row>
    <row r="47" spans="2:29" x14ac:dyDescent="0.3">
      <c r="D47" s="50"/>
      <c r="E47" s="50"/>
      <c r="F47" s="50"/>
      <c r="G47" s="50"/>
      <c r="H47" s="50"/>
      <c r="I47" s="50"/>
      <c r="J47" s="50"/>
      <c r="W47" s="37" t="s">
        <v>17</v>
      </c>
      <c r="X47" s="58" t="s">
        <v>53</v>
      </c>
      <c r="Y47" s="58" t="s">
        <v>54</v>
      </c>
      <c r="Z47" s="58" t="s">
        <v>56</v>
      </c>
      <c r="AA47" s="50"/>
      <c r="AB47" s="50"/>
      <c r="AC47" s="50"/>
    </row>
    <row r="48" spans="2:29" x14ac:dyDescent="0.3">
      <c r="B48" s="49" t="s">
        <v>38</v>
      </c>
      <c r="D48" s="50"/>
      <c r="E48" s="50"/>
      <c r="F48" s="50"/>
      <c r="G48" s="50"/>
      <c r="H48" s="50"/>
      <c r="I48" s="50"/>
      <c r="J48" s="50"/>
      <c r="V48" s="40" t="s">
        <v>40</v>
      </c>
      <c r="W48" s="38" t="e">
        <f>+SUMPRODUCT(X7:AD7,$D$23:$J$23)</f>
        <v>#REF!</v>
      </c>
      <c r="X48" s="38" t="e">
        <f>+SUMPRODUCT(X8:AD8,$D$23:$J$23)</f>
        <v>#REF!</v>
      </c>
      <c r="Y48" s="38" t="e">
        <f>+SUMPRODUCT(X9:AD9,$D$23:$J$23)</f>
        <v>#REF!</v>
      </c>
      <c r="Z48" s="38" t="e">
        <f>+SUMPRODUCT(X10:AD10,$D$23:$J$23)</f>
        <v>#REF!</v>
      </c>
      <c r="AA48" s="50"/>
      <c r="AB48" s="50"/>
      <c r="AC48" s="50"/>
    </row>
    <row r="49" spans="2:29" x14ac:dyDescent="0.3">
      <c r="D49" s="50"/>
      <c r="E49" s="50"/>
      <c r="F49" s="50"/>
      <c r="G49" s="50"/>
      <c r="H49" s="50"/>
      <c r="I49" s="50"/>
      <c r="J49" s="50"/>
      <c r="V49" s="40" t="s">
        <v>41</v>
      </c>
      <c r="W49" s="38" t="e">
        <f>+AA15</f>
        <v>#REF!</v>
      </c>
      <c r="X49" s="38" t="e">
        <f>+AA16</f>
        <v>#REF!</v>
      </c>
      <c r="Y49" s="38" t="e">
        <f>+AA17</f>
        <v>#REF!</v>
      </c>
      <c r="Z49" s="38" t="e">
        <f>+AA18</f>
        <v>#REF!</v>
      </c>
      <c r="AA49" s="50"/>
      <c r="AB49" s="50"/>
      <c r="AC49" s="50"/>
    </row>
    <row r="50" spans="2:29" x14ac:dyDescent="0.3">
      <c r="C50" s="37" t="s">
        <v>34</v>
      </c>
      <c r="D50" s="37" t="s">
        <v>43</v>
      </c>
      <c r="E50" s="37" t="s">
        <v>46</v>
      </c>
      <c r="F50" s="50"/>
      <c r="G50" s="50"/>
      <c r="H50" s="50"/>
      <c r="I50" s="50"/>
      <c r="J50" s="50"/>
      <c r="V50" s="40" t="s">
        <v>42</v>
      </c>
      <c r="W50" s="51" t="e">
        <f>+W49/W48-1</f>
        <v>#REF!</v>
      </c>
      <c r="X50" s="51" t="e">
        <f>+X49/X48-1</f>
        <v>#REF!</v>
      </c>
      <c r="Y50" s="51" t="e">
        <f>+Y49/Y48-1</f>
        <v>#REF!</v>
      </c>
      <c r="Z50" s="51" t="e">
        <f>+Z49/Z48-1</f>
        <v>#REF!</v>
      </c>
      <c r="AA50" s="50"/>
      <c r="AB50" s="50"/>
      <c r="AC50" s="50"/>
    </row>
    <row r="51" spans="2:29" x14ac:dyDescent="0.3">
      <c r="B51" s="40" t="s">
        <v>5</v>
      </c>
      <c r="C51" s="38" t="e">
        <f>+C42</f>
        <v>#REF!</v>
      </c>
      <c r="D51" s="38" t="e">
        <f>+SUMPRODUCT(D7:J7,D31:J31)*(1+C63)</f>
        <v>#REF!</v>
      </c>
      <c r="E51" s="38" t="e">
        <f>+SUMPRODUCT(D7:J7,D32:J32)*(1+C63)</f>
        <v>#REF!</v>
      </c>
      <c r="F51" s="50"/>
      <c r="G51" s="50"/>
      <c r="H51" s="50"/>
      <c r="I51" s="53" t="s">
        <v>49</v>
      </c>
      <c r="J51" s="50"/>
    </row>
    <row r="52" spans="2:29" x14ac:dyDescent="0.3">
      <c r="B52" s="40" t="s">
        <v>7</v>
      </c>
      <c r="C52" s="38" t="e">
        <f>+C43</f>
        <v>#REF!</v>
      </c>
      <c r="D52" s="38" t="e">
        <f>+SUMPRODUCT(D8:J8,D31:J31)*(1+D63)</f>
        <v>#REF!</v>
      </c>
      <c r="E52" s="38" t="e">
        <f>+SUMPRODUCT(D8:J8,D32:J32)*(1+D63)</f>
        <v>#REF!</v>
      </c>
      <c r="F52" s="50"/>
      <c r="G52" s="50"/>
      <c r="H52" s="50"/>
      <c r="I52" s="54" t="e">
        <f>+IF(F55&gt;0,F55,G55)</f>
        <v>#REF!</v>
      </c>
      <c r="J52" s="50"/>
    </row>
    <row r="53" spans="2:29" x14ac:dyDescent="0.3">
      <c r="B53" s="40" t="s">
        <v>11</v>
      </c>
      <c r="C53" s="38" t="e">
        <f>+C44</f>
        <v>#REF!</v>
      </c>
      <c r="D53" s="38" t="e">
        <f>+C53</f>
        <v>#REF!</v>
      </c>
      <c r="E53" s="38" t="e">
        <f>+D53</f>
        <v>#REF!</v>
      </c>
      <c r="F53" s="50"/>
      <c r="G53" s="50"/>
      <c r="H53" s="50"/>
      <c r="I53" s="50"/>
      <c r="J53" s="50"/>
    </row>
    <row r="54" spans="2:29" x14ac:dyDescent="0.3">
      <c r="B54" s="40" t="s">
        <v>16</v>
      </c>
      <c r="C54" s="38" t="e">
        <f>+C45</f>
        <v>#REF!</v>
      </c>
      <c r="D54" s="38" t="e">
        <f>+SUMPRODUCT(D6:J6,D37:J37)</f>
        <v>#REF!</v>
      </c>
      <c r="E54" s="38" t="e">
        <f>+SUMPRODUCT(D6:J6,D38:J38)</f>
        <v>#REF!</v>
      </c>
      <c r="F54" s="58" t="s">
        <v>47</v>
      </c>
      <c r="G54" s="58" t="s">
        <v>48</v>
      </c>
      <c r="H54" s="50"/>
      <c r="I54" s="50"/>
      <c r="J54" s="50"/>
    </row>
    <row r="55" spans="2:29" x14ac:dyDescent="0.3">
      <c r="B55" s="56" t="s">
        <v>36</v>
      </c>
      <c r="C55" s="57" t="e">
        <f>+SUM(C51:C54)</f>
        <v>#REF!</v>
      </c>
      <c r="D55" s="57" t="e">
        <f>+SUM(D51:D54)</f>
        <v>#REF!</v>
      </c>
      <c r="E55" s="57" t="e">
        <f>+SUM(E51:E54)</f>
        <v>#REF!</v>
      </c>
      <c r="F55" s="52" t="e">
        <f>+C55-D55</f>
        <v>#REF!</v>
      </c>
      <c r="G55" s="52" t="e">
        <f>+C55-E55</f>
        <v>#REF!</v>
      </c>
      <c r="H55" s="50"/>
      <c r="I55" s="50"/>
      <c r="J55" s="50"/>
    </row>
    <row r="56" spans="2:29" x14ac:dyDescent="0.3">
      <c r="D56" s="50"/>
      <c r="E56" s="50"/>
      <c r="F56" s="50"/>
      <c r="G56" s="50"/>
      <c r="H56" s="50"/>
      <c r="I56" s="50"/>
      <c r="J56" s="50"/>
    </row>
    <row r="57" spans="2:29" x14ac:dyDescent="0.3">
      <c r="D57" s="50"/>
      <c r="E57" s="50"/>
      <c r="F57" s="50"/>
      <c r="G57" s="50"/>
      <c r="H57" s="50"/>
      <c r="I57" s="50"/>
      <c r="J57" s="50"/>
    </row>
    <row r="58" spans="2:29" x14ac:dyDescent="0.3">
      <c r="D58" s="50"/>
      <c r="E58" s="50"/>
      <c r="F58" s="50"/>
      <c r="G58" s="50"/>
      <c r="H58" s="50"/>
      <c r="I58" s="50"/>
      <c r="J58" s="50"/>
    </row>
    <row r="59" spans="2:29" x14ac:dyDescent="0.3">
      <c r="B59" s="49" t="s">
        <v>39</v>
      </c>
      <c r="D59" s="50"/>
      <c r="E59" s="50"/>
      <c r="F59" s="50"/>
      <c r="G59" s="50"/>
      <c r="H59" s="50"/>
      <c r="I59" s="50"/>
      <c r="J59" s="50"/>
    </row>
    <row r="60" spans="2:29" x14ac:dyDescent="0.3">
      <c r="C60" s="37" t="s">
        <v>17</v>
      </c>
      <c r="D60" s="58" t="s">
        <v>18</v>
      </c>
      <c r="E60" s="50"/>
      <c r="F60" s="50"/>
      <c r="G60" s="50"/>
      <c r="H60" s="50"/>
      <c r="I60" s="50"/>
      <c r="J60" s="50"/>
    </row>
    <row r="61" spans="2:29" x14ac:dyDescent="0.3">
      <c r="B61" s="40" t="s">
        <v>40</v>
      </c>
      <c r="C61" s="38" t="e">
        <f>+SUMPRODUCT(D23:J23,D7:J7)</f>
        <v>#REF!</v>
      </c>
      <c r="D61" s="38" t="e">
        <f>+SUMPRODUCT(D23:J23,D8:J8)</f>
        <v>#REF!</v>
      </c>
      <c r="E61" s="50"/>
      <c r="F61" s="50"/>
      <c r="G61" s="50"/>
      <c r="H61" s="50"/>
      <c r="I61" s="50"/>
      <c r="J61" s="50"/>
    </row>
    <row r="62" spans="2:29" x14ac:dyDescent="0.3">
      <c r="B62" s="40" t="s">
        <v>41</v>
      </c>
      <c r="C62" s="38" t="e">
        <f>+G14</f>
        <v>#REF!</v>
      </c>
      <c r="D62" s="38" t="e">
        <f>+G15</f>
        <v>#REF!</v>
      </c>
      <c r="E62" s="50"/>
      <c r="F62" s="50"/>
      <c r="G62" s="50"/>
      <c r="H62" s="50"/>
      <c r="I62" s="50"/>
      <c r="J62" s="50"/>
    </row>
    <row r="63" spans="2:29" x14ac:dyDescent="0.3">
      <c r="B63" s="40" t="s">
        <v>42</v>
      </c>
      <c r="C63" s="51" t="e">
        <f>+C62/C61-1</f>
        <v>#REF!</v>
      </c>
      <c r="D63" s="51" t="e">
        <f>+D62/D61-1</f>
        <v>#REF!</v>
      </c>
      <c r="E63" s="50"/>
      <c r="F63" s="50"/>
      <c r="G63" s="50"/>
      <c r="H63" s="50"/>
      <c r="I63" s="50"/>
      <c r="J63" s="50"/>
    </row>
    <row r="64" spans="2:29" x14ac:dyDescent="0.3">
      <c r="D64" s="50"/>
      <c r="E64" s="50"/>
      <c r="F64" s="50"/>
      <c r="G64" s="50"/>
      <c r="H64" s="50"/>
      <c r="I64" s="50"/>
      <c r="J64" s="50"/>
    </row>
    <row r="65" spans="2:10" x14ac:dyDescent="0.3">
      <c r="D65" s="50"/>
      <c r="E65" s="50"/>
      <c r="F65" s="50"/>
      <c r="G65" s="50"/>
      <c r="H65" s="50"/>
      <c r="I65" s="50"/>
      <c r="J65" s="50"/>
    </row>
    <row r="67" spans="2:10" x14ac:dyDescent="0.3">
      <c r="B67" s="48" t="s">
        <v>0</v>
      </c>
    </row>
    <row r="68" spans="2:10" x14ac:dyDescent="0.3">
      <c r="B68" s="48" t="s">
        <v>1</v>
      </c>
      <c r="C68" s="38" t="e">
        <f>+#REF!</f>
        <v>#REF!</v>
      </c>
      <c r="D68" s="38" t="e">
        <f>+#REF!</f>
        <v>#REF!</v>
      </c>
      <c r="E68" s="38" t="e">
        <f>+#REF!</f>
        <v>#REF!</v>
      </c>
      <c r="F68" s="38" t="e">
        <f>+#REF!</f>
        <v>#REF!</v>
      </c>
      <c r="G68" s="38" t="e">
        <f>+#REF!</f>
        <v>#REF!</v>
      </c>
      <c r="H68" s="38" t="e">
        <f>+#REF!</f>
        <v>#REF!</v>
      </c>
      <c r="I68" s="38" t="e">
        <f>+#REF!</f>
        <v>#REF!</v>
      </c>
      <c r="J68" s="38" t="e">
        <f>+#REF!</f>
        <v>#REF!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D68"/>
  <sheetViews>
    <sheetView showGridLines="0" topLeftCell="S1" workbookViewId="0">
      <selection activeCell="V13" sqref="V13"/>
    </sheetView>
  </sheetViews>
  <sheetFormatPr defaultColWidth="9.21875" defaultRowHeight="13.8" x14ac:dyDescent="0.25"/>
  <cols>
    <col min="1" max="1" width="9.21875" style="1" customWidth="1"/>
    <col min="2" max="2" width="37" style="1" bestFit="1" customWidth="1"/>
    <col min="3" max="3" width="13.5546875" style="1" bestFit="1" customWidth="1"/>
    <col min="4" max="5" width="12.77734375" style="1" customWidth="1"/>
    <col min="6" max="6" width="16.21875" style="1" bestFit="1" customWidth="1"/>
    <col min="7" max="7" width="15.44140625" style="1" bestFit="1" customWidth="1"/>
    <col min="8" max="8" width="12.77734375" style="1" customWidth="1"/>
    <col min="9" max="9" width="17.21875" style="1" bestFit="1" customWidth="1"/>
    <col min="10" max="10" width="12.77734375" style="1" customWidth="1"/>
    <col min="11" max="11" width="9.21875" style="1" customWidth="1"/>
    <col min="12" max="12" width="21.21875" style="1" customWidth="1"/>
    <col min="13" max="18" width="12.5546875" style="1" customWidth="1"/>
    <col min="19" max="19" width="17.21875" style="1" bestFit="1" customWidth="1"/>
    <col min="20" max="20" width="12.5546875" style="1" customWidth="1"/>
    <col min="21" max="21" width="9.21875" style="1" customWidth="1"/>
    <col min="22" max="22" width="30.77734375" style="1" bestFit="1" customWidth="1"/>
    <col min="23" max="23" width="12.5546875" style="1" bestFit="1" customWidth="1"/>
    <col min="24" max="24" width="14.21875" style="1" bestFit="1" customWidth="1"/>
    <col min="25" max="25" width="12.5546875" style="1" bestFit="1" customWidth="1"/>
    <col min="26" max="26" width="12" style="1" bestFit="1" customWidth="1"/>
    <col min="27" max="27" width="16.44140625" style="1" bestFit="1" customWidth="1"/>
    <col min="28" max="28" width="9.77734375" style="1" bestFit="1" customWidth="1"/>
    <col min="29" max="29" width="19.77734375" style="1" customWidth="1"/>
    <col min="30" max="30" width="9.77734375" style="1" bestFit="1" customWidth="1"/>
    <col min="31" max="16384" width="9.21875" style="1"/>
  </cols>
  <sheetData>
    <row r="2" spans="2:30" x14ac:dyDescent="0.25">
      <c r="B2" s="2" t="s">
        <v>4</v>
      </c>
      <c r="C2" s="29">
        <v>40939</v>
      </c>
    </row>
    <row r="3" spans="2:30" x14ac:dyDescent="0.25">
      <c r="C3" s="7"/>
    </row>
    <row r="4" spans="2:30" x14ac:dyDescent="0.25">
      <c r="B4" s="3" t="s">
        <v>15</v>
      </c>
      <c r="L4" s="3" t="s">
        <v>50</v>
      </c>
      <c r="V4" s="3" t="s">
        <v>55</v>
      </c>
    </row>
    <row r="5" spans="2:30" x14ac:dyDescent="0.25">
      <c r="B5" s="16" t="s">
        <v>3</v>
      </c>
      <c r="C5" s="6" t="e">
        <f>+#REF!</f>
        <v>#REF!</v>
      </c>
      <c r="D5" s="6" t="e">
        <f>+#REF!</f>
        <v>#REF!</v>
      </c>
      <c r="E5" s="6" t="e">
        <f>+#REF!</f>
        <v>#REF!</v>
      </c>
      <c r="F5" s="6" t="e">
        <f>+#REF!</f>
        <v>#REF!</v>
      </c>
      <c r="G5" s="6" t="e">
        <f>+#REF!</f>
        <v>#REF!</v>
      </c>
      <c r="H5" s="6" t="e">
        <f>+#REF!</f>
        <v>#REF!</v>
      </c>
      <c r="I5" s="6" t="e">
        <f>+#REF!</f>
        <v>#REF!</v>
      </c>
      <c r="J5" s="6" t="e">
        <f>+#REF!</f>
        <v>#REF!</v>
      </c>
      <c r="L5" s="16" t="s">
        <v>3</v>
      </c>
      <c r="M5" s="6" t="e">
        <f>+C5</f>
        <v>#REF!</v>
      </c>
      <c r="N5" s="6" t="e">
        <f t="shared" ref="N5:T5" si="0">+D5</f>
        <v>#REF!</v>
      </c>
      <c r="O5" s="6" t="e">
        <f t="shared" si="0"/>
        <v>#REF!</v>
      </c>
      <c r="P5" s="6" t="e">
        <f t="shared" si="0"/>
        <v>#REF!</v>
      </c>
      <c r="Q5" s="6" t="e">
        <f t="shared" si="0"/>
        <v>#REF!</v>
      </c>
      <c r="R5" s="6" t="e">
        <f t="shared" si="0"/>
        <v>#REF!</v>
      </c>
      <c r="S5" s="6" t="e">
        <f t="shared" si="0"/>
        <v>#REF!</v>
      </c>
      <c r="T5" s="6" t="e">
        <f t="shared" si="0"/>
        <v>#REF!</v>
      </c>
      <c r="V5" s="16" t="s">
        <v>3</v>
      </c>
      <c r="W5" s="6" t="e">
        <f>+M5</f>
        <v>#REF!</v>
      </c>
      <c r="X5" s="6" t="e">
        <f t="shared" ref="X5:AD5" si="1">+N5</f>
        <v>#REF!</v>
      </c>
      <c r="Y5" s="6" t="e">
        <f t="shared" si="1"/>
        <v>#REF!</v>
      </c>
      <c r="Z5" s="6" t="e">
        <f t="shared" si="1"/>
        <v>#REF!</v>
      </c>
      <c r="AA5" s="6" t="e">
        <f t="shared" si="1"/>
        <v>#REF!</v>
      </c>
      <c r="AB5" s="6" t="e">
        <f t="shared" si="1"/>
        <v>#REF!</v>
      </c>
      <c r="AC5" s="6" t="e">
        <f t="shared" si="1"/>
        <v>#REF!</v>
      </c>
      <c r="AD5" s="6" t="e">
        <f t="shared" si="1"/>
        <v>#REF!</v>
      </c>
    </row>
    <row r="6" spans="2:30" x14ac:dyDescent="0.25">
      <c r="B6" s="6" t="s">
        <v>16</v>
      </c>
      <c r="C6" s="9" t="e">
        <f>+#REF!</f>
        <v>#REF!</v>
      </c>
      <c r="D6" s="9" t="e">
        <f>+#REF!</f>
        <v>#REF!</v>
      </c>
      <c r="E6" s="9" t="e">
        <f>+#REF!</f>
        <v>#REF!</v>
      </c>
      <c r="F6" s="9" t="e">
        <f>+#REF!</f>
        <v>#REF!</v>
      </c>
      <c r="G6" s="9" t="e">
        <f>+#REF!</f>
        <v>#REF!</v>
      </c>
      <c r="H6" s="9" t="e">
        <f>+#REF!</f>
        <v>#REF!</v>
      </c>
      <c r="I6" s="9" t="e">
        <f>+#REF!</f>
        <v>#REF!</v>
      </c>
      <c r="J6" s="9" t="e">
        <f>+#REF!</f>
        <v>#REF!</v>
      </c>
      <c r="L6" s="6" t="s">
        <v>16</v>
      </c>
      <c r="M6" s="9" t="e">
        <f>+#REF!</f>
        <v>#REF!</v>
      </c>
      <c r="N6" s="9" t="e">
        <f>+#REF!</f>
        <v>#REF!</v>
      </c>
      <c r="O6" s="9" t="e">
        <f>+#REF!</f>
        <v>#REF!</v>
      </c>
      <c r="P6" s="9" t="e">
        <f>+#REF!</f>
        <v>#REF!</v>
      </c>
      <c r="Q6" s="9" t="e">
        <f>+#REF!</f>
        <v>#REF!</v>
      </c>
      <c r="R6" s="9" t="e">
        <f>+#REF!</f>
        <v>#REF!</v>
      </c>
      <c r="S6" s="9" t="e">
        <f>+#REF!</f>
        <v>#REF!</v>
      </c>
      <c r="T6" s="9" t="e">
        <f>+#REF!</f>
        <v>#REF!</v>
      </c>
      <c r="V6" s="6" t="s">
        <v>16</v>
      </c>
      <c r="W6" s="9" t="e">
        <f>+#REF!</f>
        <v>#REF!</v>
      </c>
      <c r="X6" s="9" t="e">
        <f>+#REF!</f>
        <v>#REF!</v>
      </c>
      <c r="Y6" s="9" t="e">
        <f>+#REF!</f>
        <v>#REF!</v>
      </c>
      <c r="Z6" s="9" t="e">
        <f>+#REF!</f>
        <v>#REF!</v>
      </c>
      <c r="AA6" s="9" t="e">
        <f>+#REF!</f>
        <v>#REF!</v>
      </c>
      <c r="AB6" s="9" t="e">
        <f>+#REF!</f>
        <v>#REF!</v>
      </c>
      <c r="AC6" s="9" t="e">
        <f>+#REF!</f>
        <v>#REF!</v>
      </c>
      <c r="AD6" s="9" t="e">
        <f>+#REF!</f>
        <v>#REF!</v>
      </c>
    </row>
    <row r="7" spans="2:30" x14ac:dyDescent="0.25">
      <c r="B7" s="6" t="s">
        <v>17</v>
      </c>
      <c r="C7" s="14" t="e">
        <f>-G14</f>
        <v>#REF!</v>
      </c>
      <c r="D7" s="4" t="e">
        <f>+F14*E14</f>
        <v>#REF!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L7" s="6" t="s">
        <v>17</v>
      </c>
      <c r="M7" s="14" t="e">
        <f>-Q14</f>
        <v>#REF!</v>
      </c>
      <c r="N7" s="4" t="e">
        <f>+P14*O14</f>
        <v>#REF!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V7" s="6" t="s">
        <v>17</v>
      </c>
      <c r="W7" s="14" t="e">
        <f>-AA15</f>
        <v>#REF!</v>
      </c>
      <c r="X7" s="4" t="e">
        <f>+Z15*Y15</f>
        <v>#REF!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</row>
    <row r="8" spans="2:30" x14ac:dyDescent="0.25">
      <c r="B8" s="6" t="s">
        <v>18</v>
      </c>
      <c r="C8" s="14" t="e">
        <f>-G15</f>
        <v>#REF!</v>
      </c>
      <c r="D8" s="11" t="e">
        <f>+(D15/2*E15)*F15</f>
        <v>#REF!</v>
      </c>
      <c r="E8" s="9" t="e">
        <f>+F15*E15+D15*E15/2*F15</f>
        <v>#REF!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L8" s="6" t="s">
        <v>53</v>
      </c>
      <c r="M8" s="14" t="e">
        <f>-Q15</f>
        <v>#REF!</v>
      </c>
      <c r="N8" s="11" t="e">
        <f>+(N15/2*O15)*P15</f>
        <v>#REF!</v>
      </c>
      <c r="O8" s="9" t="e">
        <f>+P15*O15+N15*O15/2*P15</f>
        <v>#REF!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V8" s="6" t="s">
        <v>53</v>
      </c>
      <c r="W8" s="14" t="e">
        <f>-AA16</f>
        <v>#REF!</v>
      </c>
      <c r="X8" s="11" t="e">
        <f>+(X16/2*Y16)*Z16</f>
        <v>#REF!</v>
      </c>
      <c r="Y8" s="9" t="e">
        <f>+Z16*Y16+X16*Y16/2*Z16</f>
        <v>#REF!</v>
      </c>
      <c r="Z8" s="9">
        <v>0</v>
      </c>
      <c r="AA8" s="9">
        <v>0</v>
      </c>
      <c r="AB8" s="9">
        <v>0</v>
      </c>
      <c r="AC8" s="9">
        <v>0</v>
      </c>
      <c r="AD8" s="9">
        <v>0</v>
      </c>
    </row>
    <row r="9" spans="2:30" x14ac:dyDescent="0.25">
      <c r="B9" s="6" t="s">
        <v>19</v>
      </c>
      <c r="C9" s="14" t="e">
        <f>+SUM(C7:C8)</f>
        <v>#REF!</v>
      </c>
      <c r="D9" s="14" t="e">
        <f t="shared" ref="D9:J9" si="2">+SUM(D7:D8)</f>
        <v>#REF!</v>
      </c>
      <c r="E9" s="14" t="e">
        <f t="shared" si="2"/>
        <v>#REF!</v>
      </c>
      <c r="F9" s="14">
        <f t="shared" si="2"/>
        <v>0</v>
      </c>
      <c r="G9" s="14">
        <f t="shared" si="2"/>
        <v>0</v>
      </c>
      <c r="H9" s="14">
        <f t="shared" si="2"/>
        <v>0</v>
      </c>
      <c r="I9" s="14">
        <f t="shared" si="2"/>
        <v>0</v>
      </c>
      <c r="J9" s="14">
        <f t="shared" si="2"/>
        <v>0</v>
      </c>
      <c r="L9" s="6" t="s">
        <v>54</v>
      </c>
      <c r="M9" s="14" t="e">
        <f>-Q16</f>
        <v>#REF!</v>
      </c>
      <c r="N9" s="14" t="e">
        <f>+N16/2*O16*P16</f>
        <v>#REF!</v>
      </c>
      <c r="O9" s="14" t="e">
        <f>+N16/2*O16*P16</f>
        <v>#REF!</v>
      </c>
      <c r="P9" s="14" t="e">
        <f>+O16*P16+N16/2*O16*P16</f>
        <v>#REF!</v>
      </c>
      <c r="Q9" s="14">
        <v>0</v>
      </c>
      <c r="R9" s="14">
        <v>0</v>
      </c>
      <c r="S9" s="14">
        <v>0</v>
      </c>
      <c r="T9" s="14">
        <v>0</v>
      </c>
      <c r="V9" s="6" t="s">
        <v>54</v>
      </c>
      <c r="W9" s="14" t="e">
        <f>-AA17</f>
        <v>#REF!</v>
      </c>
      <c r="X9" s="14" t="e">
        <f>+X17/2*Y17*Z17</f>
        <v>#REF!</v>
      </c>
      <c r="Y9" s="14" t="e">
        <f>+X17/2*Y17*Z17</f>
        <v>#REF!</v>
      </c>
      <c r="Z9" s="14" t="e">
        <f>+Y17*Z17+X17/2*Y17*Z17</f>
        <v>#REF!</v>
      </c>
      <c r="AA9" s="14">
        <v>0</v>
      </c>
      <c r="AB9" s="14">
        <v>0</v>
      </c>
      <c r="AC9" s="14">
        <v>0</v>
      </c>
      <c r="AD9" s="14">
        <v>0</v>
      </c>
    </row>
    <row r="10" spans="2:30" x14ac:dyDescent="0.25">
      <c r="B10" s="6" t="s">
        <v>11</v>
      </c>
      <c r="C10" s="14" t="e">
        <f>-G16</f>
        <v>#REF!</v>
      </c>
      <c r="D10" s="14" t="e">
        <f>-C10</f>
        <v>#REF!</v>
      </c>
      <c r="E10" s="9" t="e">
        <f t="shared" ref="E10:J10" si="3">+D10</f>
        <v>#REF!</v>
      </c>
      <c r="F10" s="9" t="e">
        <f t="shared" si="3"/>
        <v>#REF!</v>
      </c>
      <c r="G10" s="9" t="e">
        <f t="shared" si="3"/>
        <v>#REF!</v>
      </c>
      <c r="H10" s="9" t="e">
        <f t="shared" si="3"/>
        <v>#REF!</v>
      </c>
      <c r="I10" s="9" t="e">
        <f t="shared" si="3"/>
        <v>#REF!</v>
      </c>
      <c r="J10" s="9" t="e">
        <f t="shared" si="3"/>
        <v>#REF!</v>
      </c>
      <c r="L10" s="6" t="s">
        <v>11</v>
      </c>
      <c r="M10" s="14" t="e">
        <f>-Q17</f>
        <v>#REF!</v>
      </c>
      <c r="N10" s="14" t="e">
        <f>-M10</f>
        <v>#REF!</v>
      </c>
      <c r="O10" s="9" t="e">
        <f t="shared" ref="O10:T10" si="4">+N10</f>
        <v>#REF!</v>
      </c>
      <c r="P10" s="9" t="e">
        <f t="shared" si="4"/>
        <v>#REF!</v>
      </c>
      <c r="Q10" s="9" t="e">
        <f t="shared" si="4"/>
        <v>#REF!</v>
      </c>
      <c r="R10" s="9" t="e">
        <f t="shared" si="4"/>
        <v>#REF!</v>
      </c>
      <c r="S10" s="9" t="e">
        <f t="shared" si="4"/>
        <v>#REF!</v>
      </c>
      <c r="T10" s="9" t="e">
        <f t="shared" si="4"/>
        <v>#REF!</v>
      </c>
      <c r="V10" s="6" t="s">
        <v>56</v>
      </c>
      <c r="W10" s="14" t="e">
        <f>-AA18</f>
        <v>#REF!</v>
      </c>
      <c r="X10" s="14" t="e">
        <f t="shared" ref="X10:AC10" si="5">+$X$18/2*$Y$18*$Z$18</f>
        <v>#REF!</v>
      </c>
      <c r="Y10" s="14" t="e">
        <f t="shared" si="5"/>
        <v>#REF!</v>
      </c>
      <c r="Z10" s="14" t="e">
        <f t="shared" si="5"/>
        <v>#REF!</v>
      </c>
      <c r="AA10" s="14" t="e">
        <f t="shared" si="5"/>
        <v>#REF!</v>
      </c>
      <c r="AB10" s="14" t="e">
        <f t="shared" si="5"/>
        <v>#REF!</v>
      </c>
      <c r="AC10" s="14" t="e">
        <f t="shared" si="5"/>
        <v>#REF!</v>
      </c>
      <c r="AD10" s="14" t="e">
        <f>+Z18*Y18+X18/2*Y18*Z18</f>
        <v>#REF!</v>
      </c>
    </row>
    <row r="11" spans="2:30" x14ac:dyDescent="0.25">
      <c r="D11" s="23"/>
      <c r="E11" s="23"/>
      <c r="F11" s="23"/>
      <c r="G11" s="23"/>
      <c r="H11" s="23"/>
      <c r="I11" s="23"/>
      <c r="J11" s="23"/>
      <c r="V11" s="6" t="s">
        <v>11</v>
      </c>
      <c r="W11" s="14" t="e">
        <f>-AA19</f>
        <v>#REF!</v>
      </c>
      <c r="X11" s="14" t="e">
        <f>-W11</f>
        <v>#REF!</v>
      </c>
      <c r="Y11" s="9" t="e">
        <f t="shared" ref="Y11:AD11" si="6">+X11</f>
        <v>#REF!</v>
      </c>
      <c r="Z11" s="9" t="e">
        <f t="shared" si="6"/>
        <v>#REF!</v>
      </c>
      <c r="AA11" s="9" t="e">
        <f t="shared" si="6"/>
        <v>#REF!</v>
      </c>
      <c r="AB11" s="9" t="e">
        <f t="shared" si="6"/>
        <v>#REF!</v>
      </c>
      <c r="AC11" s="9" t="e">
        <f t="shared" si="6"/>
        <v>#REF!</v>
      </c>
      <c r="AD11" s="9" t="e">
        <f t="shared" si="6"/>
        <v>#REF!</v>
      </c>
    </row>
    <row r="12" spans="2:30" x14ac:dyDescent="0.25">
      <c r="B12" s="3" t="s">
        <v>8</v>
      </c>
      <c r="L12" s="3" t="s">
        <v>51</v>
      </c>
    </row>
    <row r="13" spans="2:30" ht="27.6" x14ac:dyDescent="0.25">
      <c r="B13" s="2"/>
      <c r="C13" s="10" t="s">
        <v>6</v>
      </c>
      <c r="D13" s="10" t="s">
        <v>9</v>
      </c>
      <c r="E13" s="10" t="s">
        <v>12</v>
      </c>
      <c r="F13" s="10" t="s">
        <v>13</v>
      </c>
      <c r="G13" s="10" t="s">
        <v>10</v>
      </c>
      <c r="H13" s="13" t="s">
        <v>14</v>
      </c>
      <c r="L13" s="2"/>
      <c r="M13" s="10" t="s">
        <v>6</v>
      </c>
      <c r="N13" s="10" t="s">
        <v>9</v>
      </c>
      <c r="O13" s="10" t="s">
        <v>12</v>
      </c>
      <c r="P13" s="10" t="s">
        <v>13</v>
      </c>
      <c r="Q13" s="10" t="s">
        <v>10</v>
      </c>
      <c r="R13" s="13" t="s">
        <v>14</v>
      </c>
      <c r="V13" s="35" t="s">
        <v>59</v>
      </c>
    </row>
    <row r="14" spans="2:30" ht="27.6" x14ac:dyDescent="0.25">
      <c r="B14" s="4" t="s">
        <v>5</v>
      </c>
      <c r="C14" s="11">
        <v>98.84</v>
      </c>
      <c r="D14" s="4"/>
      <c r="E14" s="4">
        <v>100</v>
      </c>
      <c r="F14" s="9" t="e">
        <f>-D6/E14</f>
        <v>#REF!</v>
      </c>
      <c r="G14" s="9" t="e">
        <f>+F14*C14</f>
        <v>#REF!</v>
      </c>
      <c r="H14" s="15" t="e">
        <f>+G14/SUM($G$14:$G$16)</f>
        <v>#REF!</v>
      </c>
      <c r="L14" s="4" t="s">
        <v>5</v>
      </c>
      <c r="M14" s="11">
        <v>98.84</v>
      </c>
      <c r="N14" s="4"/>
      <c r="O14" s="4">
        <v>100</v>
      </c>
      <c r="P14" s="9" t="e">
        <f>-N6/O14</f>
        <v>#REF!</v>
      </c>
      <c r="Q14" s="9" t="e">
        <f>+P14*M14</f>
        <v>#REF!</v>
      </c>
      <c r="R14" s="15" t="e">
        <f>+Q14/$Q$18</f>
        <v>#REF!</v>
      </c>
      <c r="V14" s="2"/>
      <c r="W14" s="10" t="s">
        <v>6</v>
      </c>
      <c r="X14" s="10" t="s">
        <v>9</v>
      </c>
      <c r="Y14" s="10" t="s">
        <v>12</v>
      </c>
      <c r="Z14" s="10" t="s">
        <v>13</v>
      </c>
      <c r="AA14" s="10" t="s">
        <v>10</v>
      </c>
      <c r="AB14" s="13" t="s">
        <v>14</v>
      </c>
    </row>
    <row r="15" spans="2:30" x14ac:dyDescent="0.25">
      <c r="B15" s="4" t="s">
        <v>7</v>
      </c>
      <c r="C15" s="11">
        <v>97.37</v>
      </c>
      <c r="D15" s="12">
        <v>0.02</v>
      </c>
      <c r="E15" s="4">
        <v>100</v>
      </c>
      <c r="F15" s="9" t="e">
        <f>-E6/(E15*D15/2+E15)</f>
        <v>#REF!</v>
      </c>
      <c r="G15" s="9" t="e">
        <f>+F15*C15</f>
        <v>#REF!</v>
      </c>
      <c r="H15" s="15" t="e">
        <f>+G15/SUM($G$14:$G$16)</f>
        <v>#REF!</v>
      </c>
      <c r="L15" s="4" t="s">
        <v>7</v>
      </c>
      <c r="M15" s="11">
        <v>97.37</v>
      </c>
      <c r="N15" s="12">
        <v>0.02</v>
      </c>
      <c r="O15" s="4">
        <v>100</v>
      </c>
      <c r="P15" s="9" t="e">
        <f>-O6/(O15*N15/2+O15)</f>
        <v>#REF!</v>
      </c>
      <c r="Q15" s="9" t="e">
        <f>+P15*M15</f>
        <v>#REF!</v>
      </c>
      <c r="R15" s="15" t="e">
        <f>+Q15/$Q$18</f>
        <v>#REF!</v>
      </c>
      <c r="V15" s="4" t="s">
        <v>5</v>
      </c>
      <c r="W15" s="11">
        <v>98.84</v>
      </c>
      <c r="X15" s="4"/>
      <c r="Y15" s="4">
        <v>100</v>
      </c>
      <c r="Z15" s="9" t="e">
        <f>-X6/Y15</f>
        <v>#REF!</v>
      </c>
      <c r="AA15" s="9" t="e">
        <f>+Z15*W15</f>
        <v>#REF!</v>
      </c>
      <c r="AB15" s="15" t="e">
        <f>+AA15/$Q$18</f>
        <v>#REF!</v>
      </c>
    </row>
    <row r="16" spans="2:30" x14ac:dyDescent="0.25">
      <c r="B16" s="4" t="s">
        <v>11</v>
      </c>
      <c r="C16" s="11"/>
      <c r="D16" s="4"/>
      <c r="E16" s="4"/>
      <c r="F16" s="4"/>
      <c r="G16" s="14" t="e">
        <f>+C6-SUM(G14:G15)</f>
        <v>#REF!</v>
      </c>
      <c r="H16" s="15" t="e">
        <f>+G16/SUM($G$14:$G$16)</f>
        <v>#REF!</v>
      </c>
      <c r="L16" s="4" t="s">
        <v>52</v>
      </c>
      <c r="M16" s="11">
        <v>97.09</v>
      </c>
      <c r="N16" s="12">
        <v>3.5000000000000003E-2</v>
      </c>
      <c r="O16" s="4">
        <v>100</v>
      </c>
      <c r="P16" s="9" t="e">
        <f>-P6/(O16*N16/2+O16)</f>
        <v>#REF!</v>
      </c>
      <c r="Q16" s="9" t="e">
        <f>+P16*M16</f>
        <v>#REF!</v>
      </c>
      <c r="R16" s="15" t="e">
        <f>+Q16/$Q$18</f>
        <v>#REF!</v>
      </c>
      <c r="V16" s="4" t="s">
        <v>7</v>
      </c>
      <c r="W16" s="11">
        <v>97.37</v>
      </c>
      <c r="X16" s="12">
        <v>0.02</v>
      </c>
      <c r="Y16" s="4">
        <v>100</v>
      </c>
      <c r="Z16" s="9" t="e">
        <f>-Y6/(Y16*X16/2+Y16)</f>
        <v>#REF!</v>
      </c>
      <c r="AA16" s="9" t="e">
        <f>+Z16*W16</f>
        <v>#REF!</v>
      </c>
      <c r="AB16" s="15" t="e">
        <f>+AA16/$Q$18</f>
        <v>#REF!</v>
      </c>
    </row>
    <row r="17" spans="2:29" x14ac:dyDescent="0.25">
      <c r="G17" s="8" t="e">
        <f>+SUM(G14:G16)</f>
        <v>#REF!</v>
      </c>
      <c r="H17" s="17" t="e">
        <f>+SUM(H14:H16)</f>
        <v>#REF!</v>
      </c>
      <c r="L17" s="4" t="s">
        <v>11</v>
      </c>
      <c r="M17" s="11"/>
      <c r="N17" s="4"/>
      <c r="O17" s="4"/>
      <c r="P17" s="4"/>
      <c r="Q17" s="14" t="e">
        <f>+M6-SUM(Q14:Q16)</f>
        <v>#REF!</v>
      </c>
      <c r="R17" s="15" t="e">
        <f>+Q17/$Q$18</f>
        <v>#REF!</v>
      </c>
      <c r="V17" s="4" t="s">
        <v>52</v>
      </c>
      <c r="W17" s="11">
        <v>97.09</v>
      </c>
      <c r="X17" s="12">
        <v>3.5000000000000003E-2</v>
      </c>
      <c r="Y17" s="4">
        <v>100</v>
      </c>
      <c r="Z17" s="9" t="e">
        <f>-Z6/(Y17*X17/2+Y17)</f>
        <v>#REF!</v>
      </c>
      <c r="AA17" s="9" t="e">
        <f>+Z17*W17</f>
        <v>#REF!</v>
      </c>
      <c r="AB17" s="15" t="e">
        <f>+AA17/$Q$18</f>
        <v>#REF!</v>
      </c>
    </row>
    <row r="18" spans="2:29" x14ac:dyDescent="0.25">
      <c r="Q18" s="8" t="e">
        <f>+SUM(Q14:Q17)</f>
        <v>#REF!</v>
      </c>
      <c r="R18" s="17" t="e">
        <f>+SUM(R14:R17)</f>
        <v>#REF!</v>
      </c>
      <c r="V18" s="4" t="s">
        <v>57</v>
      </c>
      <c r="W18" s="11">
        <v>91.7</v>
      </c>
      <c r="X18" s="12">
        <v>4.4999999999999998E-2</v>
      </c>
      <c r="Y18" s="4">
        <v>100</v>
      </c>
      <c r="Z18" s="9" t="e">
        <f>-AD6/(Y18*X18/2+Y18)</f>
        <v>#REF!</v>
      </c>
      <c r="AA18" s="9" t="e">
        <f>+Z18*W18</f>
        <v>#REF!</v>
      </c>
      <c r="AB18" s="15" t="e">
        <f>+AA18/$Q$18</f>
        <v>#REF!</v>
      </c>
      <c r="AC18" s="30" t="s">
        <v>58</v>
      </c>
    </row>
    <row r="19" spans="2:29" x14ac:dyDescent="0.25">
      <c r="V19" s="4" t="s">
        <v>11</v>
      </c>
      <c r="W19" s="11"/>
      <c r="X19" s="4"/>
      <c r="Y19" s="4"/>
      <c r="Z19" s="4"/>
      <c r="AA19" s="14" t="e">
        <f>+W6-SUM(AA15:AA18)</f>
        <v>#REF!</v>
      </c>
      <c r="AB19" s="15" t="e">
        <f>+AA19/$Q$18</f>
        <v>#REF!</v>
      </c>
    </row>
    <row r="20" spans="2:29" x14ac:dyDescent="0.25">
      <c r="B20" s="2" t="s">
        <v>20</v>
      </c>
      <c r="AA20" s="8" t="e">
        <f>+SUM(AA15:AA19)</f>
        <v>#REF!</v>
      </c>
      <c r="AB20" s="17" t="e">
        <f>+SUM(AB15:AB19)</f>
        <v>#REF!</v>
      </c>
    </row>
    <row r="21" spans="2:29" x14ac:dyDescent="0.25">
      <c r="C21" s="5" t="e">
        <f>+C5</f>
        <v>#REF!</v>
      </c>
      <c r="D21" s="5" t="e">
        <f t="shared" ref="D21:J21" si="7">+D5</f>
        <v>#REF!</v>
      </c>
      <c r="E21" s="5" t="e">
        <f t="shared" si="7"/>
        <v>#REF!</v>
      </c>
      <c r="F21" s="5" t="e">
        <f t="shared" si="7"/>
        <v>#REF!</v>
      </c>
      <c r="G21" s="5" t="e">
        <f t="shared" si="7"/>
        <v>#REF!</v>
      </c>
      <c r="H21" s="5" t="e">
        <f t="shared" si="7"/>
        <v>#REF!</v>
      </c>
      <c r="I21" s="5" t="e">
        <f t="shared" si="7"/>
        <v>#REF!</v>
      </c>
      <c r="J21" s="5" t="e">
        <f t="shared" si="7"/>
        <v>#REF!</v>
      </c>
      <c r="L21" s="27" t="s">
        <v>33</v>
      </c>
      <c r="N21" s="18"/>
      <c r="O21" s="18"/>
      <c r="P21" s="18"/>
      <c r="Q21" s="18"/>
      <c r="R21" s="18"/>
      <c r="S21" s="18"/>
    </row>
    <row r="22" spans="2:29" x14ac:dyDescent="0.25">
      <c r="B22" s="4" t="s">
        <v>21</v>
      </c>
      <c r="C22" s="4"/>
      <c r="D22" s="19">
        <f>1.418/100</f>
        <v>1.418E-2</v>
      </c>
      <c r="E22" s="19">
        <v>1.1764511854785442E-2</v>
      </c>
      <c r="F22" s="19">
        <v>1.1496030642741739E-2</v>
      </c>
      <c r="G22" s="19">
        <v>1.2623104122807316E-2</v>
      </c>
      <c r="H22" s="19">
        <v>1.4518571605527053E-2</v>
      </c>
      <c r="I22" s="19">
        <v>1.6581267174560654E-2</v>
      </c>
      <c r="J22" s="19">
        <v>1.8533395857715407E-2</v>
      </c>
      <c r="M22" s="6" t="s">
        <v>34</v>
      </c>
      <c r="N22" s="6" t="s">
        <v>37</v>
      </c>
      <c r="O22" s="18"/>
      <c r="P22" s="18"/>
      <c r="Q22" s="18"/>
      <c r="R22" s="18"/>
      <c r="S22" s="18"/>
    </row>
    <row r="23" spans="2:29" x14ac:dyDescent="0.25">
      <c r="B23" s="4" t="s">
        <v>22</v>
      </c>
      <c r="C23" s="4"/>
      <c r="D23" s="20" t="e">
        <f>1/(1+D22)^D21</f>
        <v>#REF!</v>
      </c>
      <c r="E23" s="20" t="e">
        <f t="shared" ref="E23:J23" si="8">1/(1+E22)^E21</f>
        <v>#REF!</v>
      </c>
      <c r="F23" s="20" t="e">
        <f t="shared" si="8"/>
        <v>#REF!</v>
      </c>
      <c r="G23" s="20" t="e">
        <f t="shared" si="8"/>
        <v>#REF!</v>
      </c>
      <c r="H23" s="20" t="e">
        <f t="shared" si="8"/>
        <v>#REF!</v>
      </c>
      <c r="I23" s="20" t="e">
        <f t="shared" si="8"/>
        <v>#REF!</v>
      </c>
      <c r="J23" s="20" t="e">
        <f t="shared" si="8"/>
        <v>#REF!</v>
      </c>
      <c r="L23" s="4" t="s">
        <v>5</v>
      </c>
      <c r="M23" s="9" t="e">
        <f>+SUMPRODUCT($D$23:$J$23,N7:T7)*(1+M46)</f>
        <v>#REF!</v>
      </c>
      <c r="N23" s="9" t="e">
        <f>+SUMPRODUCT($D$27:$J$27,N7:T7)*(1+M46)</f>
        <v>#REF!</v>
      </c>
      <c r="O23" s="18"/>
      <c r="Q23" s="18"/>
      <c r="R23" s="18"/>
      <c r="S23" s="25" t="s">
        <v>35</v>
      </c>
      <c r="V23" s="27" t="s">
        <v>33</v>
      </c>
      <c r="X23" s="18"/>
      <c r="Y23" s="18"/>
      <c r="Z23" s="18"/>
      <c r="AA23" s="18"/>
      <c r="AB23" s="18"/>
      <c r="AC23" s="18"/>
    </row>
    <row r="24" spans="2:29" x14ac:dyDescent="0.25">
      <c r="L24" s="4" t="s">
        <v>7</v>
      </c>
      <c r="M24" s="9" t="e">
        <f>+SUMPRODUCT($D$23:$J$23,N8:T8)*(1+N46)</f>
        <v>#REF!</v>
      </c>
      <c r="N24" s="9" t="e">
        <f>+SUMPRODUCT($D$27:$J$27,N8:T8)*(1+N46)</f>
        <v>#REF!</v>
      </c>
      <c r="O24" s="18"/>
      <c r="Q24" s="18"/>
      <c r="R24" s="18"/>
      <c r="S24" s="26" t="e">
        <f>+M28-N28</f>
        <v>#REF!</v>
      </c>
      <c r="W24" s="6" t="s">
        <v>34</v>
      </c>
      <c r="X24" s="6" t="s">
        <v>37</v>
      </c>
      <c r="Y24" s="18"/>
      <c r="Z24" s="18"/>
      <c r="AA24" s="18"/>
      <c r="AB24" s="18"/>
      <c r="AC24" s="18"/>
    </row>
    <row r="25" spans="2:29" x14ac:dyDescent="0.25">
      <c r="B25" s="4" t="s">
        <v>23</v>
      </c>
      <c r="C25" s="21">
        <v>4.1671E-2</v>
      </c>
      <c r="L25" s="4" t="s">
        <v>52</v>
      </c>
      <c r="M25" s="9" t="e">
        <f>+SUMPRODUCT($D$23:$J$23,N9:T9)*(1+O46)</f>
        <v>#REF!</v>
      </c>
      <c r="N25" s="9" t="e">
        <f>+SUMPRODUCT($D$27:$J$27,N9:T9)*(1+O46)</f>
        <v>#REF!</v>
      </c>
      <c r="O25" s="18"/>
      <c r="Q25" s="18"/>
      <c r="R25" s="18"/>
      <c r="S25" s="18"/>
      <c r="V25" s="4" t="s">
        <v>5</v>
      </c>
      <c r="W25" s="9" t="e">
        <f>+SUMPRODUCT($D$23:$J$23,X7:AD7)*(1+W50)</f>
        <v>#REF!</v>
      </c>
      <c r="X25" s="9" t="e">
        <f>+SUMPRODUCT($D$27:$J$27,X7:AD7)*(1+W50)</f>
        <v>#REF!</v>
      </c>
      <c r="Y25" s="18"/>
      <c r="AA25" s="18"/>
      <c r="AB25" s="18"/>
      <c r="AC25" s="25" t="s">
        <v>35</v>
      </c>
    </row>
    <row r="26" spans="2:29" x14ac:dyDescent="0.25">
      <c r="B26" s="4" t="s">
        <v>24</v>
      </c>
      <c r="C26" s="4"/>
      <c r="D26" s="12">
        <f>+$C$25+D22</f>
        <v>5.5850999999999998E-2</v>
      </c>
      <c r="E26" s="12">
        <f t="shared" ref="E26:J26" si="9">+$C$25+E22</f>
        <v>5.3435511854785442E-2</v>
      </c>
      <c r="F26" s="12">
        <f t="shared" si="9"/>
        <v>5.3167030642741739E-2</v>
      </c>
      <c r="G26" s="12">
        <f t="shared" si="9"/>
        <v>5.4294104122807316E-2</v>
      </c>
      <c r="H26" s="12">
        <f t="shared" si="9"/>
        <v>5.6189571605527053E-2</v>
      </c>
      <c r="I26" s="12">
        <f t="shared" si="9"/>
        <v>5.8252267174560654E-2</v>
      </c>
      <c r="J26" s="12">
        <f t="shared" si="9"/>
        <v>6.0204395857715406E-2</v>
      </c>
      <c r="L26" s="4" t="s">
        <v>11</v>
      </c>
      <c r="M26" s="9" t="e">
        <f>+Q17</f>
        <v>#REF!</v>
      </c>
      <c r="N26" s="9" t="e">
        <f>+M26</f>
        <v>#REF!</v>
      </c>
      <c r="O26" s="18"/>
      <c r="P26" s="18"/>
      <c r="Q26" s="18"/>
      <c r="R26" s="18"/>
      <c r="S26" s="18"/>
      <c r="V26" s="4" t="s">
        <v>7</v>
      </c>
      <c r="W26" s="9" t="e">
        <f>+SUMPRODUCT($D$23:$J$23,X8:AD8)*(1+X50)</f>
        <v>#REF!</v>
      </c>
      <c r="X26" s="9" t="e">
        <f>+SUMPRODUCT($D$27:$J$27,X8:AD8)*(1+X50)</f>
        <v>#REF!</v>
      </c>
      <c r="Y26" s="18"/>
      <c r="AA26" s="18"/>
      <c r="AB26" s="18"/>
      <c r="AC26" s="26" t="e">
        <f>+W31-X31</f>
        <v>#REF!</v>
      </c>
    </row>
    <row r="27" spans="2:29" x14ac:dyDescent="0.25">
      <c r="B27" s="4" t="s">
        <v>25</v>
      </c>
      <c r="C27" s="4"/>
      <c r="D27" s="20" t="e">
        <f>1/(1+D26)^D21</f>
        <v>#REF!</v>
      </c>
      <c r="E27" s="20" t="e">
        <f t="shared" ref="E27:J27" si="10">1/(1+E26)^E21</f>
        <v>#REF!</v>
      </c>
      <c r="F27" s="20" t="e">
        <f t="shared" si="10"/>
        <v>#REF!</v>
      </c>
      <c r="G27" s="20" t="e">
        <f t="shared" si="10"/>
        <v>#REF!</v>
      </c>
      <c r="H27" s="20" t="e">
        <f t="shared" si="10"/>
        <v>#REF!</v>
      </c>
      <c r="I27" s="20" t="e">
        <f t="shared" si="10"/>
        <v>#REF!</v>
      </c>
      <c r="J27" s="20" t="e">
        <f t="shared" si="10"/>
        <v>#REF!</v>
      </c>
      <c r="L27" s="4" t="s">
        <v>16</v>
      </c>
      <c r="M27" s="9" t="e">
        <f>+SUMPRODUCT($D$36:$J$36,N6:T6)</f>
        <v>#REF!</v>
      </c>
      <c r="N27" s="9" t="e">
        <f>+SUMPRODUCT($D$36:$J$36,N6:T6)</f>
        <v>#REF!</v>
      </c>
      <c r="O27" s="18"/>
      <c r="P27" s="18"/>
      <c r="Q27" s="18"/>
      <c r="R27" s="18"/>
      <c r="S27" s="18"/>
      <c r="V27" s="4" t="s">
        <v>52</v>
      </c>
      <c r="W27" s="9" t="e">
        <f>+SUMPRODUCT($D$23:$J$23,X9:AD9)*(1+Y50)</f>
        <v>#REF!</v>
      </c>
      <c r="X27" s="9" t="e">
        <f>+SUMPRODUCT($D$27:$J$27,X9:AD9)*(1+Y50)</f>
        <v>#REF!</v>
      </c>
      <c r="Y27" s="18"/>
      <c r="AA27" s="18"/>
      <c r="AB27" s="18"/>
      <c r="AC27" s="18"/>
    </row>
    <row r="28" spans="2:29" x14ac:dyDescent="0.25">
      <c r="L28" s="22" t="s">
        <v>36</v>
      </c>
      <c r="M28" s="24" t="e">
        <f>+SUM(M23:M27)</f>
        <v>#REF!</v>
      </c>
      <c r="N28" s="24" t="e">
        <f>+SUM(N23:N27)</f>
        <v>#REF!</v>
      </c>
      <c r="O28" s="18"/>
      <c r="P28" s="18"/>
      <c r="Q28" s="18"/>
      <c r="R28" s="18"/>
      <c r="S28" s="18"/>
      <c r="V28" s="4" t="s">
        <v>57</v>
      </c>
      <c r="W28" s="9" t="e">
        <f>+SUMPRODUCT($D$23:$J$23,X10:AD10)*(1+Z50)</f>
        <v>#REF!</v>
      </c>
      <c r="X28" s="9" t="e">
        <f>+SUMPRODUCT($D$27:$J$27,X10:AD10)*(1+Z50)</f>
        <v>#REF!</v>
      </c>
      <c r="Y28" s="18"/>
      <c r="AA28" s="18"/>
      <c r="AB28" s="18"/>
      <c r="AC28" s="18"/>
    </row>
    <row r="29" spans="2:29" x14ac:dyDescent="0.25">
      <c r="B29" s="4" t="s">
        <v>26</v>
      </c>
      <c r="C29" s="4"/>
      <c r="D29" s="19">
        <f>+D22*1.7</f>
        <v>2.4105999999999999E-2</v>
      </c>
      <c r="E29" s="19">
        <f t="shared" ref="E29:J29" si="11">+E22*1.7</f>
        <v>1.9999670153135252E-2</v>
      </c>
      <c r="F29" s="19">
        <f t="shared" si="11"/>
        <v>1.9543252092660956E-2</v>
      </c>
      <c r="G29" s="19">
        <f t="shared" si="11"/>
        <v>2.1459277008772436E-2</v>
      </c>
      <c r="H29" s="19">
        <f t="shared" si="11"/>
        <v>2.4681571729395991E-2</v>
      </c>
      <c r="I29" s="19">
        <f t="shared" si="11"/>
        <v>2.818815419675311E-2</v>
      </c>
      <c r="J29" s="19">
        <f t="shared" si="11"/>
        <v>3.1506772958116193E-2</v>
      </c>
      <c r="N29" s="18"/>
      <c r="O29" s="18"/>
      <c r="P29" s="18"/>
      <c r="Q29" s="18"/>
      <c r="R29" s="18"/>
      <c r="S29" s="18"/>
      <c r="V29" s="4" t="s">
        <v>11</v>
      </c>
      <c r="W29" s="9" t="e">
        <f>+AA19</f>
        <v>#REF!</v>
      </c>
      <c r="X29" s="9" t="e">
        <f>+W29</f>
        <v>#REF!</v>
      </c>
      <c r="Y29" s="18"/>
      <c r="Z29" s="18"/>
      <c r="AA29" s="18"/>
      <c r="AB29" s="18"/>
      <c r="AC29" s="18"/>
    </row>
    <row r="30" spans="2:29" x14ac:dyDescent="0.25">
      <c r="B30" s="4" t="s">
        <v>27</v>
      </c>
      <c r="C30" s="4"/>
      <c r="D30" s="19">
        <f>+D22*0.75</f>
        <v>1.0635E-2</v>
      </c>
      <c r="E30" s="19">
        <f t="shared" ref="E30:J30" si="12">+E22*0.75</f>
        <v>8.8233838910890816E-3</v>
      </c>
      <c r="F30" s="19">
        <f t="shared" si="12"/>
        <v>8.6220229820563044E-3</v>
      </c>
      <c r="G30" s="19">
        <f t="shared" si="12"/>
        <v>9.467328092105487E-3</v>
      </c>
      <c r="H30" s="19">
        <f t="shared" si="12"/>
        <v>1.088892870414529E-2</v>
      </c>
      <c r="I30" s="19">
        <f t="shared" si="12"/>
        <v>1.2435950380920491E-2</v>
      </c>
      <c r="J30" s="19">
        <f t="shared" si="12"/>
        <v>1.3900046893286555E-2</v>
      </c>
      <c r="L30" s="27" t="s">
        <v>38</v>
      </c>
      <c r="N30" s="18"/>
      <c r="O30" s="18"/>
      <c r="P30" s="18"/>
      <c r="Q30" s="18"/>
      <c r="R30" s="18"/>
      <c r="S30" s="18"/>
      <c r="V30" s="4" t="s">
        <v>16</v>
      </c>
      <c r="W30" s="9" t="e">
        <f>+SUMPRODUCT($D$36:$J$36,X6:AD6)</f>
        <v>#REF!</v>
      </c>
      <c r="X30" s="9" t="e">
        <f>+SUMPRODUCT($D$36:$J$36,X6:AD6)</f>
        <v>#REF!</v>
      </c>
      <c r="Y30" s="18"/>
      <c r="Z30" s="18"/>
      <c r="AA30" s="18"/>
      <c r="AB30" s="18"/>
      <c r="AC30" s="18"/>
    </row>
    <row r="31" spans="2:29" x14ac:dyDescent="0.25">
      <c r="B31" s="4" t="s">
        <v>28</v>
      </c>
      <c r="C31" s="4"/>
      <c r="D31" s="19" t="e">
        <f>1/(1+D29)^D21</f>
        <v>#REF!</v>
      </c>
      <c r="E31" s="19" t="e">
        <f t="shared" ref="E31:J31" si="13">1/(1+E29)^E21</f>
        <v>#REF!</v>
      </c>
      <c r="F31" s="19" t="e">
        <f t="shared" si="13"/>
        <v>#REF!</v>
      </c>
      <c r="G31" s="19" t="e">
        <f t="shared" si="13"/>
        <v>#REF!</v>
      </c>
      <c r="H31" s="19" t="e">
        <f t="shared" si="13"/>
        <v>#REF!</v>
      </c>
      <c r="I31" s="19" t="e">
        <f t="shared" si="13"/>
        <v>#REF!</v>
      </c>
      <c r="J31" s="19" t="e">
        <f t="shared" si="13"/>
        <v>#REF!</v>
      </c>
      <c r="N31" s="18"/>
      <c r="O31" s="18"/>
      <c r="P31" s="18"/>
      <c r="Q31" s="18"/>
      <c r="R31" s="18"/>
      <c r="S31" s="18"/>
      <c r="V31" s="22" t="s">
        <v>36</v>
      </c>
      <c r="W31" s="24" t="e">
        <f>+SUM(W25:W30)</f>
        <v>#REF!</v>
      </c>
      <c r="X31" s="24" t="e">
        <f>+SUM(X25:X30)</f>
        <v>#REF!</v>
      </c>
      <c r="Y31" s="18"/>
      <c r="Z31" s="18"/>
      <c r="AA31" s="18"/>
      <c r="AB31" s="18"/>
      <c r="AC31" s="18"/>
    </row>
    <row r="32" spans="2:29" x14ac:dyDescent="0.25">
      <c r="B32" s="4" t="s">
        <v>29</v>
      </c>
      <c r="C32" s="4"/>
      <c r="D32" s="19" t="e">
        <f>1/(1+D30)^D21</f>
        <v>#REF!</v>
      </c>
      <c r="E32" s="19" t="e">
        <f t="shared" ref="E32:J32" si="14">1/(1+E30)^E21</f>
        <v>#REF!</v>
      </c>
      <c r="F32" s="19" t="e">
        <f t="shared" si="14"/>
        <v>#REF!</v>
      </c>
      <c r="G32" s="19" t="e">
        <f t="shared" si="14"/>
        <v>#REF!</v>
      </c>
      <c r="H32" s="19" t="e">
        <f t="shared" si="14"/>
        <v>#REF!</v>
      </c>
      <c r="I32" s="19" t="e">
        <f t="shared" si="14"/>
        <v>#REF!</v>
      </c>
      <c r="J32" s="19" t="e">
        <f t="shared" si="14"/>
        <v>#REF!</v>
      </c>
      <c r="M32" s="6" t="s">
        <v>34</v>
      </c>
      <c r="N32" s="6" t="s">
        <v>43</v>
      </c>
      <c r="O32" s="6" t="s">
        <v>46</v>
      </c>
      <c r="P32" s="18"/>
      <c r="Q32" s="18"/>
      <c r="R32" s="18"/>
      <c r="S32" s="18"/>
      <c r="X32" s="18"/>
      <c r="Y32" s="18"/>
      <c r="Z32" s="18"/>
      <c r="AA32" s="18"/>
      <c r="AB32" s="18"/>
      <c r="AC32" s="18"/>
    </row>
    <row r="33" spans="2:29" x14ac:dyDescent="0.25">
      <c r="L33" s="4" t="s">
        <v>5</v>
      </c>
      <c r="M33" s="9" t="e">
        <f>+M23</f>
        <v>#REF!</v>
      </c>
      <c r="N33" s="9" t="e">
        <f>+SUMPRODUCT($D$31:$J$31,N7:T7)*(1+M46)</f>
        <v>#REF!</v>
      </c>
      <c r="O33" s="9" t="e">
        <f>+SUMPRODUCT($D$32:$J$32,N7:T7)*(1+M46)</f>
        <v>#REF!</v>
      </c>
      <c r="P33" s="18"/>
      <c r="Q33" s="18"/>
      <c r="R33" s="18"/>
      <c r="S33" s="25" t="s">
        <v>49</v>
      </c>
      <c r="V33" s="27" t="s">
        <v>38</v>
      </c>
      <c r="X33" s="18"/>
      <c r="Y33" s="18"/>
      <c r="Z33" s="18"/>
      <c r="AA33" s="18"/>
      <c r="AB33" s="18"/>
      <c r="AC33" s="18"/>
    </row>
    <row r="34" spans="2:29" x14ac:dyDescent="0.25">
      <c r="B34" s="4" t="s">
        <v>30</v>
      </c>
      <c r="C34" s="4"/>
      <c r="D34" s="19">
        <v>5.3E-3</v>
      </c>
      <c r="E34" s="19">
        <v>5.3E-3</v>
      </c>
      <c r="F34" s="19">
        <v>5.3E-3</v>
      </c>
      <c r="G34" s="19">
        <v>5.3E-3</v>
      </c>
      <c r="H34" s="19">
        <v>5.3E-3</v>
      </c>
      <c r="I34" s="19">
        <v>5.3E-3</v>
      </c>
      <c r="J34" s="19">
        <v>5.3E-3</v>
      </c>
      <c r="L34" s="4" t="s">
        <v>7</v>
      </c>
      <c r="M34" s="9" t="e">
        <f>+M24</f>
        <v>#REF!</v>
      </c>
      <c r="N34" s="9" t="e">
        <f>+SUMPRODUCT($D$31:$J$31,N8:T8)*(1+N46)</f>
        <v>#REF!</v>
      </c>
      <c r="O34" s="9" t="e">
        <f>+SUMPRODUCT($D$32:$J$32,N8:T8)*(1+N46)</f>
        <v>#REF!</v>
      </c>
      <c r="P34" s="18"/>
      <c r="Q34" s="18"/>
      <c r="R34" s="18"/>
      <c r="S34" s="26" t="e">
        <f>+IF(P38&gt;0,P38,Q38)</f>
        <v>#REF!</v>
      </c>
      <c r="X34" s="18"/>
      <c r="Y34" s="18"/>
      <c r="Z34" s="18"/>
      <c r="AA34" s="18"/>
      <c r="AB34" s="18"/>
      <c r="AC34" s="18"/>
    </row>
    <row r="35" spans="2:29" x14ac:dyDescent="0.25">
      <c r="B35" s="4" t="s">
        <v>31</v>
      </c>
      <c r="C35" s="4"/>
      <c r="D35" s="19">
        <f>+D34+D22</f>
        <v>1.9480000000000001E-2</v>
      </c>
      <c r="E35" s="19">
        <f t="shared" ref="E35:J35" si="15">+E34+E22</f>
        <v>1.7064511854785441E-2</v>
      </c>
      <c r="F35" s="19">
        <f t="shared" si="15"/>
        <v>1.6796030642741738E-2</v>
      </c>
      <c r="G35" s="19">
        <f t="shared" si="15"/>
        <v>1.7923104122807315E-2</v>
      </c>
      <c r="H35" s="19">
        <f t="shared" si="15"/>
        <v>1.9818571605527052E-2</v>
      </c>
      <c r="I35" s="19">
        <f t="shared" si="15"/>
        <v>2.1881267174560654E-2</v>
      </c>
      <c r="J35" s="19">
        <f t="shared" si="15"/>
        <v>2.3833395857715406E-2</v>
      </c>
      <c r="L35" s="4" t="s">
        <v>52</v>
      </c>
      <c r="M35" s="9" t="e">
        <f>+M25</f>
        <v>#REF!</v>
      </c>
      <c r="N35" s="9" t="e">
        <f>+SUMPRODUCT($D$31:$J$31,N9:T9)*(1+O46)</f>
        <v>#REF!</v>
      </c>
      <c r="O35" s="9" t="e">
        <f>+SUMPRODUCT($D$32:$J$32,N9:T9)*(1+O46)</f>
        <v>#REF!</v>
      </c>
      <c r="P35" s="18"/>
      <c r="Q35" s="18"/>
      <c r="R35" s="18"/>
      <c r="S35" s="18"/>
      <c r="W35" s="6" t="s">
        <v>34</v>
      </c>
      <c r="X35" s="6" t="s">
        <v>43</v>
      </c>
      <c r="Y35" s="6" t="s">
        <v>46</v>
      </c>
      <c r="Z35" s="18"/>
      <c r="AA35" s="18"/>
      <c r="AB35" s="18"/>
      <c r="AC35" s="18"/>
    </row>
    <row r="36" spans="2:29" x14ac:dyDescent="0.25">
      <c r="B36" s="4" t="s">
        <v>32</v>
      </c>
      <c r="C36" s="4"/>
      <c r="D36" s="20" t="e">
        <f>1/(1+D35)^D21</f>
        <v>#REF!</v>
      </c>
      <c r="E36" s="20" t="e">
        <f t="shared" ref="E36:J36" si="16">1/(1+E35)^E21</f>
        <v>#REF!</v>
      </c>
      <c r="F36" s="20" t="e">
        <f t="shared" si="16"/>
        <v>#REF!</v>
      </c>
      <c r="G36" s="20" t="e">
        <f t="shared" si="16"/>
        <v>#REF!</v>
      </c>
      <c r="H36" s="20" t="e">
        <f t="shared" si="16"/>
        <v>#REF!</v>
      </c>
      <c r="I36" s="20" t="e">
        <f t="shared" si="16"/>
        <v>#REF!</v>
      </c>
      <c r="J36" s="20" t="e">
        <f t="shared" si="16"/>
        <v>#REF!</v>
      </c>
      <c r="L36" s="4" t="s">
        <v>11</v>
      </c>
      <c r="M36" s="9" t="e">
        <f>+M26</f>
        <v>#REF!</v>
      </c>
      <c r="N36" s="9" t="e">
        <f>+M36</f>
        <v>#REF!</v>
      </c>
      <c r="O36" s="9" t="e">
        <f>+N36</f>
        <v>#REF!</v>
      </c>
      <c r="P36" s="18"/>
      <c r="Q36" s="18"/>
      <c r="R36" s="18"/>
      <c r="S36" s="18"/>
      <c r="V36" s="4" t="s">
        <v>5</v>
      </c>
      <c r="W36" s="9" t="e">
        <f t="shared" ref="W36:W41" si="17">+W25</f>
        <v>#REF!</v>
      </c>
      <c r="X36" s="9" t="e">
        <f>+SUMPRODUCT($D$31:$J$31,X7:AD7)*(1+W50)</f>
        <v>#REF!</v>
      </c>
      <c r="Y36" s="9" t="e">
        <f>+SUMPRODUCT($D$32:$J$32,X7:AD7)*(1+W50)</f>
        <v>#REF!</v>
      </c>
      <c r="Z36" s="18"/>
      <c r="AA36" s="18"/>
      <c r="AB36" s="18"/>
      <c r="AC36" s="25" t="s">
        <v>49</v>
      </c>
    </row>
    <row r="37" spans="2:29" x14ac:dyDescent="0.25">
      <c r="B37" s="4" t="s">
        <v>44</v>
      </c>
      <c r="C37" s="4"/>
      <c r="D37" s="20" t="e">
        <f>1/(1+(D34+D29))^D21</f>
        <v>#REF!</v>
      </c>
      <c r="E37" s="20" t="e">
        <f t="shared" ref="E37:J37" si="18">1/(1+(E34+E29))^E21</f>
        <v>#REF!</v>
      </c>
      <c r="F37" s="20" t="e">
        <f t="shared" si="18"/>
        <v>#REF!</v>
      </c>
      <c r="G37" s="20" t="e">
        <f t="shared" si="18"/>
        <v>#REF!</v>
      </c>
      <c r="H37" s="20" t="e">
        <f t="shared" si="18"/>
        <v>#REF!</v>
      </c>
      <c r="I37" s="20" t="e">
        <f t="shared" si="18"/>
        <v>#REF!</v>
      </c>
      <c r="J37" s="20" t="e">
        <f t="shared" si="18"/>
        <v>#REF!</v>
      </c>
      <c r="L37" s="4" t="s">
        <v>16</v>
      </c>
      <c r="M37" s="9" t="e">
        <f>+M27</f>
        <v>#REF!</v>
      </c>
      <c r="N37" s="9" t="e">
        <f>+SUMPRODUCT($D$37:$J$37,N6:T6)</f>
        <v>#REF!</v>
      </c>
      <c r="O37" s="9" t="e">
        <f>+SUMPRODUCT($D$38:$J$38,N6:T6)</f>
        <v>#REF!</v>
      </c>
      <c r="P37" s="28" t="s">
        <v>47</v>
      </c>
      <c r="Q37" s="28" t="s">
        <v>48</v>
      </c>
      <c r="R37" s="18"/>
      <c r="S37" s="18"/>
      <c r="V37" s="4" t="s">
        <v>7</v>
      </c>
      <c r="W37" s="9" t="e">
        <f t="shared" si="17"/>
        <v>#REF!</v>
      </c>
      <c r="X37" s="9" t="e">
        <f>+SUMPRODUCT($D$31:$J$31,X8:AD8)*(1+X50)</f>
        <v>#REF!</v>
      </c>
      <c r="Y37" s="9" t="e">
        <f>+SUMPRODUCT($D$32:$J$32,X8:AD8)*(1+X50)</f>
        <v>#REF!</v>
      </c>
      <c r="Z37" s="18"/>
      <c r="AA37" s="18"/>
      <c r="AB37" s="18"/>
      <c r="AC37" s="26" t="e">
        <f>+IF(Z42&gt;0,Z42,AA42)</f>
        <v>#REF!</v>
      </c>
    </row>
    <row r="38" spans="2:29" x14ac:dyDescent="0.25">
      <c r="B38" s="4" t="s">
        <v>45</v>
      </c>
      <c r="C38" s="4"/>
      <c r="D38" s="20" t="e">
        <f>1/(1+(D34+D30))^D21</f>
        <v>#REF!</v>
      </c>
      <c r="E38" s="20" t="e">
        <f t="shared" ref="E38:J38" si="19">1/(1+(E34+E30))^E21</f>
        <v>#REF!</v>
      </c>
      <c r="F38" s="20" t="e">
        <f t="shared" si="19"/>
        <v>#REF!</v>
      </c>
      <c r="G38" s="20" t="e">
        <f t="shared" si="19"/>
        <v>#REF!</v>
      </c>
      <c r="H38" s="20" t="e">
        <f t="shared" si="19"/>
        <v>#REF!</v>
      </c>
      <c r="I38" s="20" t="e">
        <f t="shared" si="19"/>
        <v>#REF!</v>
      </c>
      <c r="J38" s="20" t="e">
        <f t="shared" si="19"/>
        <v>#REF!</v>
      </c>
      <c r="L38" s="22" t="s">
        <v>36</v>
      </c>
      <c r="M38" s="24" t="e">
        <f>+SUM(M33:M37)</f>
        <v>#REF!</v>
      </c>
      <c r="N38" s="24" t="e">
        <f>+SUM(N33:N37)</f>
        <v>#REF!</v>
      </c>
      <c r="O38" s="24" t="e">
        <f>+SUM(O33:O37)</f>
        <v>#REF!</v>
      </c>
      <c r="P38" s="20" t="e">
        <f>+M38-N38</f>
        <v>#REF!</v>
      </c>
      <c r="Q38" s="20" t="e">
        <f>+M38-O38</f>
        <v>#REF!</v>
      </c>
      <c r="R38" s="18"/>
      <c r="S38" s="18"/>
      <c r="V38" s="4" t="s">
        <v>52</v>
      </c>
      <c r="W38" s="9" t="e">
        <f t="shared" si="17"/>
        <v>#REF!</v>
      </c>
      <c r="X38" s="9" t="e">
        <f>+SUMPRODUCT($D$31:$J$31,X9:AD9)*(1+Y50)</f>
        <v>#REF!</v>
      </c>
      <c r="Y38" s="9" t="e">
        <f>+SUMPRODUCT($D$32:$J$32,X9:AD9)*(1+Y50)</f>
        <v>#REF!</v>
      </c>
      <c r="Z38" s="18"/>
      <c r="AA38" s="18"/>
      <c r="AB38" s="18"/>
      <c r="AC38" s="18"/>
    </row>
    <row r="39" spans="2:29" x14ac:dyDescent="0.25">
      <c r="D39" s="18"/>
      <c r="E39" s="18"/>
      <c r="F39" s="18"/>
      <c r="G39" s="18"/>
      <c r="H39" s="18"/>
      <c r="I39" s="18"/>
      <c r="J39" s="18"/>
      <c r="N39" s="18"/>
      <c r="O39" s="18"/>
      <c r="P39" s="18"/>
      <c r="Q39" s="18"/>
      <c r="R39" s="18"/>
      <c r="S39" s="18"/>
      <c r="V39" s="4" t="s">
        <v>57</v>
      </c>
      <c r="W39" s="9" t="e">
        <f t="shared" si="17"/>
        <v>#REF!</v>
      </c>
      <c r="X39" s="9" t="e">
        <f>+SUMPRODUCT($D$31:$J$31,X10:AD10)*(1+Z50)</f>
        <v>#REF!</v>
      </c>
      <c r="Y39" s="9" t="e">
        <f>+SUMPRODUCT($D$32:$J$32,X10:AD10)*(1+Z50)</f>
        <v>#REF!</v>
      </c>
      <c r="Z39" s="18"/>
      <c r="AA39" s="18"/>
      <c r="AB39" s="18"/>
      <c r="AC39" s="18"/>
    </row>
    <row r="40" spans="2:29" x14ac:dyDescent="0.25">
      <c r="B40" s="27" t="s">
        <v>33</v>
      </c>
      <c r="D40" s="18"/>
      <c r="E40" s="18"/>
      <c r="F40" s="18"/>
      <c r="G40" s="18"/>
      <c r="H40" s="18"/>
      <c r="I40" s="18"/>
      <c r="J40" s="18"/>
      <c r="N40" s="18"/>
      <c r="O40" s="18"/>
      <c r="P40" s="18"/>
      <c r="Q40" s="18"/>
      <c r="R40" s="18"/>
      <c r="S40" s="18"/>
      <c r="V40" s="4" t="s">
        <v>11</v>
      </c>
      <c r="W40" s="9" t="e">
        <f t="shared" si="17"/>
        <v>#REF!</v>
      </c>
      <c r="X40" s="9" t="e">
        <f>+W40</f>
        <v>#REF!</v>
      </c>
      <c r="Y40" s="9" t="e">
        <f>+X40</f>
        <v>#REF!</v>
      </c>
      <c r="Z40" s="18"/>
      <c r="AA40" s="18"/>
      <c r="AB40" s="18"/>
      <c r="AC40" s="18"/>
    </row>
    <row r="41" spans="2:29" x14ac:dyDescent="0.25">
      <c r="C41" s="6" t="s">
        <v>34</v>
      </c>
      <c r="D41" s="6" t="s">
        <v>37</v>
      </c>
      <c r="E41" s="18"/>
      <c r="F41" s="18"/>
      <c r="G41" s="18"/>
      <c r="H41" s="18"/>
      <c r="I41" s="18"/>
      <c r="J41" s="18"/>
      <c r="N41" s="18"/>
      <c r="O41" s="18"/>
      <c r="P41" s="18"/>
      <c r="Q41" s="18"/>
      <c r="R41" s="18"/>
      <c r="S41" s="18"/>
      <c r="V41" s="4" t="s">
        <v>16</v>
      </c>
      <c r="W41" s="9" t="e">
        <f t="shared" si="17"/>
        <v>#REF!</v>
      </c>
      <c r="X41" s="9" t="e">
        <f>+SUMPRODUCT($D$37:$J$37,X6:AD6)</f>
        <v>#REF!</v>
      </c>
      <c r="Y41" s="9" t="e">
        <f>+SUMPRODUCT($D$38:$J$38,X6:AD6)</f>
        <v>#REF!</v>
      </c>
      <c r="Z41" s="28" t="s">
        <v>47</v>
      </c>
      <c r="AA41" s="28" t="s">
        <v>48</v>
      </c>
      <c r="AB41" s="18"/>
      <c r="AC41" s="18"/>
    </row>
    <row r="42" spans="2:29" x14ac:dyDescent="0.25">
      <c r="B42" s="4" t="s">
        <v>5</v>
      </c>
      <c r="C42" s="9" t="e">
        <f>+SUMPRODUCT(D7:J7,D23:J23)*(1+C63)</f>
        <v>#REF!</v>
      </c>
      <c r="D42" s="9" t="e">
        <f>+SUMPRODUCT(D7:J7,D27:J27)*(1+C63)</f>
        <v>#REF!</v>
      </c>
      <c r="E42" s="18"/>
      <c r="G42" s="18"/>
      <c r="H42" s="18"/>
      <c r="I42" s="25" t="s">
        <v>35</v>
      </c>
      <c r="J42" s="18"/>
      <c r="L42" s="27" t="s">
        <v>39</v>
      </c>
      <c r="N42" s="18"/>
      <c r="O42" s="18"/>
      <c r="P42" s="18"/>
      <c r="Q42" s="18"/>
      <c r="R42" s="18"/>
      <c r="S42" s="18"/>
      <c r="V42" s="22" t="s">
        <v>36</v>
      </c>
      <c r="W42" s="24" t="e">
        <f>+SUM(W36:W41)</f>
        <v>#REF!</v>
      </c>
      <c r="X42" s="24" t="e">
        <f>+SUM(X36:X41)</f>
        <v>#REF!</v>
      </c>
      <c r="Y42" s="24" t="e">
        <f>+SUM(Y36:Y41)</f>
        <v>#REF!</v>
      </c>
      <c r="Z42" s="9" t="e">
        <f>+W42-X42</f>
        <v>#REF!</v>
      </c>
      <c r="AA42" s="9" t="e">
        <f>+W42-Y42</f>
        <v>#REF!</v>
      </c>
      <c r="AB42" s="18"/>
      <c r="AC42" s="18"/>
    </row>
    <row r="43" spans="2:29" x14ac:dyDescent="0.25">
      <c r="B43" s="4" t="s">
        <v>7</v>
      </c>
      <c r="C43" s="9" t="e">
        <f>+SUMPRODUCT(D8:J8,D23:J23)*(1+D63)</f>
        <v>#REF!</v>
      </c>
      <c r="D43" s="9" t="e">
        <f>+SUMPRODUCT(D8:J8,D27:J27)*(1+D63)</f>
        <v>#REF!</v>
      </c>
      <c r="E43" s="18"/>
      <c r="G43" s="18"/>
      <c r="H43" s="18"/>
      <c r="I43" s="26" t="e">
        <f>+C46-D46</f>
        <v>#REF!</v>
      </c>
      <c r="J43" s="18"/>
      <c r="M43" s="6" t="s">
        <v>17</v>
      </c>
      <c r="N43" s="28" t="s">
        <v>53</v>
      </c>
      <c r="O43" s="28" t="s">
        <v>54</v>
      </c>
      <c r="P43" s="18"/>
      <c r="Q43" s="18"/>
      <c r="R43" s="18"/>
      <c r="S43" s="18"/>
      <c r="X43" s="18"/>
      <c r="Y43" s="18"/>
      <c r="Z43" s="18"/>
      <c r="AA43" s="18"/>
      <c r="AB43" s="18"/>
      <c r="AC43" s="18"/>
    </row>
    <row r="44" spans="2:29" x14ac:dyDescent="0.25">
      <c r="B44" s="4" t="s">
        <v>11</v>
      </c>
      <c r="C44" s="9" t="e">
        <f>+G16</f>
        <v>#REF!</v>
      </c>
      <c r="D44" s="9" t="e">
        <f>+C44</f>
        <v>#REF!</v>
      </c>
      <c r="E44" s="18"/>
      <c r="F44" s="18"/>
      <c r="G44" s="18"/>
      <c r="H44" s="18"/>
      <c r="I44" s="18"/>
      <c r="J44" s="18"/>
      <c r="L44" s="4" t="s">
        <v>40</v>
      </c>
      <c r="M44" s="9" t="e">
        <f>+SUMPRODUCT(N7:T7,D23:J23)</f>
        <v>#REF!</v>
      </c>
      <c r="N44" s="9" t="e">
        <f>+SUMPRODUCT(N8:T8,D23:J23)</f>
        <v>#REF!</v>
      </c>
      <c r="O44" s="9" t="e">
        <f>+SUMPRODUCT(N9:T9,D23:J23)</f>
        <v>#REF!</v>
      </c>
      <c r="P44" s="18"/>
      <c r="Q44" s="18"/>
      <c r="R44" s="18"/>
      <c r="S44" s="18"/>
      <c r="X44" s="18"/>
      <c r="Y44" s="18"/>
      <c r="Z44" s="18"/>
      <c r="AA44" s="18"/>
      <c r="AB44" s="18"/>
      <c r="AC44" s="18"/>
    </row>
    <row r="45" spans="2:29" x14ac:dyDescent="0.25">
      <c r="B45" s="4" t="s">
        <v>16</v>
      </c>
      <c r="C45" s="9" t="e">
        <f>+SUMPRODUCT(D6:J6,D36:J36)</f>
        <v>#REF!</v>
      </c>
      <c r="D45" s="9" t="e">
        <f>+SUMPRODUCT(D6:J6,D36:J36)</f>
        <v>#REF!</v>
      </c>
      <c r="E45" s="18"/>
      <c r="F45" s="18"/>
      <c r="G45" s="18"/>
      <c r="H45" s="18"/>
      <c r="I45" s="18"/>
      <c r="J45" s="18"/>
      <c r="L45" s="4" t="s">
        <v>41</v>
      </c>
      <c r="M45" s="9" t="e">
        <f>+Q14</f>
        <v>#REF!</v>
      </c>
      <c r="N45" s="9" t="e">
        <f>+Q15</f>
        <v>#REF!</v>
      </c>
      <c r="O45" s="9" t="e">
        <f>+Q16</f>
        <v>#REF!</v>
      </c>
      <c r="P45" s="18"/>
      <c r="Q45" s="18"/>
      <c r="R45" s="18"/>
      <c r="S45" s="18"/>
      <c r="X45" s="18"/>
      <c r="Y45" s="18"/>
      <c r="Z45" s="18"/>
      <c r="AA45" s="18"/>
      <c r="AB45" s="18"/>
      <c r="AC45" s="18"/>
    </row>
    <row r="46" spans="2:29" x14ac:dyDescent="0.25">
      <c r="B46" s="22" t="s">
        <v>36</v>
      </c>
      <c r="C46" s="24" t="e">
        <f>+SUM(C42:C45)</f>
        <v>#REF!</v>
      </c>
      <c r="D46" s="24" t="e">
        <f>+SUM(D42:D45)</f>
        <v>#REF!</v>
      </c>
      <c r="E46" s="18"/>
      <c r="F46" s="18"/>
      <c r="G46" s="18"/>
      <c r="H46" s="18"/>
      <c r="I46" s="18"/>
      <c r="J46" s="18"/>
      <c r="L46" s="4" t="s">
        <v>42</v>
      </c>
      <c r="M46" s="19" t="e">
        <f>+M45/M44-1</f>
        <v>#REF!</v>
      </c>
      <c r="N46" s="19" t="e">
        <f>+N45/N44-1</f>
        <v>#REF!</v>
      </c>
      <c r="O46" s="19" t="e">
        <f>+O45/O44-1</f>
        <v>#REF!</v>
      </c>
      <c r="P46" s="18"/>
      <c r="Q46" s="18"/>
      <c r="R46" s="18"/>
      <c r="S46" s="18"/>
      <c r="V46" s="27" t="s">
        <v>39</v>
      </c>
      <c r="X46" s="18"/>
      <c r="Y46" s="18"/>
      <c r="Z46" s="18"/>
      <c r="AA46" s="18"/>
      <c r="AB46" s="18"/>
      <c r="AC46" s="18"/>
    </row>
    <row r="47" spans="2:29" x14ac:dyDescent="0.25">
      <c r="D47" s="18"/>
      <c r="E47" s="18"/>
      <c r="F47" s="18"/>
      <c r="G47" s="18"/>
      <c r="H47" s="18"/>
      <c r="I47" s="18"/>
      <c r="J47" s="18"/>
      <c r="W47" s="6" t="s">
        <v>17</v>
      </c>
      <c r="X47" s="28" t="s">
        <v>53</v>
      </c>
      <c r="Y47" s="28" t="s">
        <v>54</v>
      </c>
      <c r="Z47" s="28" t="s">
        <v>56</v>
      </c>
      <c r="AA47" s="18"/>
      <c r="AB47" s="18"/>
      <c r="AC47" s="18"/>
    </row>
    <row r="48" spans="2:29" x14ac:dyDescent="0.25">
      <c r="B48" s="27" t="s">
        <v>38</v>
      </c>
      <c r="D48" s="18"/>
      <c r="E48" s="18"/>
      <c r="F48" s="18"/>
      <c r="G48" s="18"/>
      <c r="H48" s="18"/>
      <c r="I48" s="18"/>
      <c r="J48" s="18"/>
      <c r="V48" s="4" t="s">
        <v>40</v>
      </c>
      <c r="W48" s="9" t="e">
        <f>+SUMPRODUCT(X7:AD7,$D$23:$J$23)</f>
        <v>#REF!</v>
      </c>
      <c r="X48" s="9" t="e">
        <f>+SUMPRODUCT(X8:AD8,$D$23:$J$23)</f>
        <v>#REF!</v>
      </c>
      <c r="Y48" s="9" t="e">
        <f>+SUMPRODUCT(X9:AD9,$D$23:$J$23)</f>
        <v>#REF!</v>
      </c>
      <c r="Z48" s="9" t="e">
        <f>+SUMPRODUCT(X10:AD10,$D$23:$J$23)</f>
        <v>#REF!</v>
      </c>
      <c r="AA48" s="18"/>
      <c r="AB48" s="18"/>
      <c r="AC48" s="18"/>
    </row>
    <row r="49" spans="2:29" x14ac:dyDescent="0.25">
      <c r="D49" s="18"/>
      <c r="E49" s="18"/>
      <c r="F49" s="18"/>
      <c r="G49" s="18"/>
      <c r="H49" s="18"/>
      <c r="I49" s="18"/>
      <c r="J49" s="18"/>
      <c r="V49" s="4" t="s">
        <v>41</v>
      </c>
      <c r="W49" s="9" t="e">
        <f>+AA15</f>
        <v>#REF!</v>
      </c>
      <c r="X49" s="9" t="e">
        <f>+AA16</f>
        <v>#REF!</v>
      </c>
      <c r="Y49" s="9" t="e">
        <f>+AA17</f>
        <v>#REF!</v>
      </c>
      <c r="Z49" s="9" t="e">
        <f>+AA18</f>
        <v>#REF!</v>
      </c>
      <c r="AA49" s="18"/>
      <c r="AB49" s="18"/>
      <c r="AC49" s="18"/>
    </row>
    <row r="50" spans="2:29" x14ac:dyDescent="0.25">
      <c r="C50" s="6" t="s">
        <v>34</v>
      </c>
      <c r="D50" s="6" t="s">
        <v>43</v>
      </c>
      <c r="E50" s="6" t="s">
        <v>46</v>
      </c>
      <c r="F50" s="18"/>
      <c r="G50" s="18"/>
      <c r="H50" s="18"/>
      <c r="I50" s="18"/>
      <c r="J50" s="18"/>
      <c r="V50" s="4" t="s">
        <v>42</v>
      </c>
      <c r="W50" s="19" t="e">
        <f>+W49/W48-1</f>
        <v>#REF!</v>
      </c>
      <c r="X50" s="19" t="e">
        <f>+X49/X48-1</f>
        <v>#REF!</v>
      </c>
      <c r="Y50" s="19" t="e">
        <f>+Y49/Y48-1</f>
        <v>#REF!</v>
      </c>
      <c r="Z50" s="19" t="e">
        <f>+Z49/Z48-1</f>
        <v>#REF!</v>
      </c>
      <c r="AA50" s="18"/>
      <c r="AB50" s="18"/>
      <c r="AC50" s="18"/>
    </row>
    <row r="51" spans="2:29" x14ac:dyDescent="0.25">
      <c r="B51" s="4" t="s">
        <v>5</v>
      </c>
      <c r="C51" s="9" t="e">
        <f>+C42</f>
        <v>#REF!</v>
      </c>
      <c r="D51" s="9" t="e">
        <f>+SUMPRODUCT(D7:J7,D31:J31)*(1+C63)</f>
        <v>#REF!</v>
      </c>
      <c r="E51" s="9" t="e">
        <f>+SUMPRODUCT(D7:J7,D32:J32)*(1+C63)</f>
        <v>#REF!</v>
      </c>
      <c r="F51" s="18"/>
      <c r="G51" s="18"/>
      <c r="H51" s="18"/>
      <c r="I51" s="25" t="s">
        <v>49</v>
      </c>
      <c r="J51" s="18"/>
    </row>
    <row r="52" spans="2:29" x14ac:dyDescent="0.25">
      <c r="B52" s="4" t="s">
        <v>7</v>
      </c>
      <c r="C52" s="9" t="e">
        <f>+C43</f>
        <v>#REF!</v>
      </c>
      <c r="D52" s="9" t="e">
        <f>+SUMPRODUCT(D8:J8,D31:J31)*(1+D63)</f>
        <v>#REF!</v>
      </c>
      <c r="E52" s="9" t="e">
        <f>+SUMPRODUCT(D8:J8,D32:J32)*(1+D63)</f>
        <v>#REF!</v>
      </c>
      <c r="F52" s="18"/>
      <c r="G52" s="18"/>
      <c r="H52" s="18"/>
      <c r="I52" s="26" t="e">
        <f>+IF(F55&gt;0,F55,G55)</f>
        <v>#REF!</v>
      </c>
      <c r="J52" s="18"/>
    </row>
    <row r="53" spans="2:29" x14ac:dyDescent="0.25">
      <c r="B53" s="4" t="s">
        <v>11</v>
      </c>
      <c r="C53" s="9" t="e">
        <f>+C44</f>
        <v>#REF!</v>
      </c>
      <c r="D53" s="9" t="e">
        <f>+C53</f>
        <v>#REF!</v>
      </c>
      <c r="E53" s="9" t="e">
        <f>+D53</f>
        <v>#REF!</v>
      </c>
      <c r="F53" s="18"/>
      <c r="G53" s="18"/>
      <c r="H53" s="18"/>
      <c r="I53" s="18"/>
      <c r="J53" s="18"/>
    </row>
    <row r="54" spans="2:29" x14ac:dyDescent="0.25">
      <c r="B54" s="4" t="s">
        <v>16</v>
      </c>
      <c r="C54" s="9" t="e">
        <f>+C45</f>
        <v>#REF!</v>
      </c>
      <c r="D54" s="9" t="e">
        <f>+SUMPRODUCT(D6:J6,D37:J37)</f>
        <v>#REF!</v>
      </c>
      <c r="E54" s="9" t="e">
        <f>+SUMPRODUCT(D6:J6,D38:J38)</f>
        <v>#REF!</v>
      </c>
      <c r="F54" s="28" t="s">
        <v>47</v>
      </c>
      <c r="G54" s="28" t="s">
        <v>48</v>
      </c>
      <c r="H54" s="18"/>
      <c r="I54" s="18"/>
      <c r="J54" s="18"/>
    </row>
    <row r="55" spans="2:29" x14ac:dyDescent="0.25">
      <c r="B55" s="22" t="s">
        <v>36</v>
      </c>
      <c r="C55" s="24" t="e">
        <f>+SUM(C51:C54)</f>
        <v>#REF!</v>
      </c>
      <c r="D55" s="24" t="e">
        <f>+SUM(D51:D54)</f>
        <v>#REF!</v>
      </c>
      <c r="E55" s="24" t="e">
        <f>+SUM(E51:E54)</f>
        <v>#REF!</v>
      </c>
      <c r="F55" s="20" t="e">
        <f>+C55-D55</f>
        <v>#REF!</v>
      </c>
      <c r="G55" s="20" t="e">
        <f>+C55-E55</f>
        <v>#REF!</v>
      </c>
      <c r="H55" s="18"/>
      <c r="I55" s="18"/>
      <c r="J55" s="18"/>
    </row>
    <row r="56" spans="2:29" x14ac:dyDescent="0.25">
      <c r="D56" s="18"/>
      <c r="E56" s="18"/>
      <c r="F56" s="18"/>
      <c r="G56" s="18"/>
      <c r="H56" s="18"/>
      <c r="I56" s="18"/>
      <c r="J56" s="18"/>
    </row>
    <row r="57" spans="2:29" x14ac:dyDescent="0.25">
      <c r="D57" s="18"/>
      <c r="E57" s="18"/>
      <c r="F57" s="18"/>
      <c r="G57" s="18"/>
      <c r="H57" s="18"/>
      <c r="I57" s="18"/>
      <c r="J57" s="18"/>
    </row>
    <row r="58" spans="2:29" x14ac:dyDescent="0.25">
      <c r="D58" s="18"/>
      <c r="E58" s="18"/>
      <c r="F58" s="18"/>
      <c r="G58" s="18"/>
      <c r="H58" s="18"/>
      <c r="I58" s="18"/>
      <c r="J58" s="18"/>
    </row>
    <row r="59" spans="2:29" x14ac:dyDescent="0.25">
      <c r="B59" s="27" t="s">
        <v>39</v>
      </c>
      <c r="D59" s="18"/>
      <c r="E59" s="18"/>
      <c r="F59" s="18"/>
      <c r="G59" s="18"/>
      <c r="H59" s="18"/>
      <c r="I59" s="18"/>
      <c r="J59" s="18"/>
    </row>
    <row r="60" spans="2:29" x14ac:dyDescent="0.25">
      <c r="C60" s="6" t="s">
        <v>17</v>
      </c>
      <c r="D60" s="28" t="s">
        <v>18</v>
      </c>
      <c r="E60" s="18"/>
      <c r="F60" s="18"/>
      <c r="G60" s="18"/>
      <c r="H60" s="18"/>
      <c r="I60" s="18"/>
      <c r="J60" s="18"/>
    </row>
    <row r="61" spans="2:29" x14ac:dyDescent="0.25">
      <c r="B61" s="4" t="s">
        <v>40</v>
      </c>
      <c r="C61" s="9" t="e">
        <f>+SUMPRODUCT(D23:J23,D7:J7)</f>
        <v>#REF!</v>
      </c>
      <c r="D61" s="9" t="e">
        <f>+SUMPRODUCT(D23:J23,D8:J8)</f>
        <v>#REF!</v>
      </c>
      <c r="E61" s="18"/>
      <c r="F61" s="18"/>
      <c r="G61" s="18"/>
      <c r="H61" s="18"/>
      <c r="I61" s="18"/>
      <c r="J61" s="18"/>
    </row>
    <row r="62" spans="2:29" x14ac:dyDescent="0.25">
      <c r="B62" s="4" t="s">
        <v>41</v>
      </c>
      <c r="C62" s="9" t="e">
        <f>+G14</f>
        <v>#REF!</v>
      </c>
      <c r="D62" s="9" t="e">
        <f>+G15</f>
        <v>#REF!</v>
      </c>
      <c r="E62" s="18"/>
      <c r="F62" s="18"/>
      <c r="G62" s="18"/>
      <c r="H62" s="18"/>
      <c r="I62" s="18"/>
      <c r="J62" s="18"/>
    </row>
    <row r="63" spans="2:29" x14ac:dyDescent="0.25">
      <c r="B63" s="4" t="s">
        <v>42</v>
      </c>
      <c r="C63" s="19" t="e">
        <f>+C62/C61-1</f>
        <v>#REF!</v>
      </c>
      <c r="D63" s="19" t="e">
        <f>+D62/D61-1</f>
        <v>#REF!</v>
      </c>
      <c r="E63" s="18"/>
      <c r="F63" s="18"/>
      <c r="G63" s="18"/>
      <c r="H63" s="18"/>
      <c r="I63" s="18"/>
      <c r="J63" s="18"/>
    </row>
    <row r="64" spans="2:29" x14ac:dyDescent="0.25">
      <c r="D64" s="18"/>
      <c r="E64" s="18"/>
      <c r="F64" s="18"/>
      <c r="G64" s="18"/>
      <c r="H64" s="18"/>
      <c r="I64" s="18"/>
      <c r="J64" s="18"/>
    </row>
    <row r="65" spans="2:10" x14ac:dyDescent="0.25">
      <c r="D65" s="18"/>
      <c r="E65" s="18"/>
      <c r="F65" s="18"/>
      <c r="G65" s="18"/>
      <c r="H65" s="18"/>
      <c r="I65" s="18"/>
      <c r="J65" s="18"/>
    </row>
    <row r="67" spans="2:10" x14ac:dyDescent="0.25">
      <c r="B67" s="5" t="s">
        <v>0</v>
      </c>
    </row>
    <row r="68" spans="2:10" x14ac:dyDescent="0.25">
      <c r="B68" s="5" t="s">
        <v>1</v>
      </c>
      <c r="C68" s="9" t="e">
        <f>+#REF!</f>
        <v>#REF!</v>
      </c>
      <c r="D68" s="9" t="e">
        <f>+#REF!</f>
        <v>#REF!</v>
      </c>
      <c r="E68" s="9" t="e">
        <f>+#REF!</f>
        <v>#REF!</v>
      </c>
      <c r="F68" s="9" t="e">
        <f>+#REF!</f>
        <v>#REF!</v>
      </c>
      <c r="G68" s="9" t="e">
        <f>+#REF!</f>
        <v>#REF!</v>
      </c>
      <c r="H68" s="9" t="e">
        <f>+#REF!</f>
        <v>#REF!</v>
      </c>
      <c r="I68" s="9" t="e">
        <f>+#REF!</f>
        <v>#REF!</v>
      </c>
      <c r="J68" s="9" t="e">
        <f>+#REF!</f>
        <v>#REF!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</vt:lpstr>
      <vt:lpstr>MODELLIZZAZIONE</vt:lpstr>
      <vt:lpstr>SCRMkt_LR</vt:lpstr>
      <vt:lpstr>SCRMkt_NR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2023-03-06T15:34:40Z</dcterms:modified>
</cp:coreProperties>
</file>