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edort\Desktop\MA Teledidattica\Esempi di compiti\compiti ma\"/>
    </mc:Choice>
  </mc:AlternateContent>
  <xr:revisionPtr revIDLastSave="0" documentId="8_{1EC10BC8-6D42-49B1-90A9-AE4176FF1649}" xr6:coauthVersionLast="47" xr6:coauthVersionMax="47" xr10:uidLastSave="{00000000-0000-0000-0000-000000000000}"/>
  <bookViews>
    <workbookView xWindow="-98" yWindow="-98" windowWidth="19396" windowHeight="10395" activeTab="4" xr2:uid="{00000000-000D-0000-FFFF-FFFF00000000}"/>
  </bookViews>
  <sheets>
    <sheet name="19_03_2004" sheetId="1" r:id="rId1"/>
    <sheet name="24_07_2014" sheetId="2" r:id="rId2"/>
    <sheet name="21_11_2017" sheetId="3" r:id="rId3"/>
    <sheet name="8_10_2018" sheetId="4" r:id="rId4"/>
    <sheet name="16_4_2018" sheetId="5" r:id="rId5"/>
  </sheets>
  <externalReferences>
    <externalReference r:id="rId6"/>
  </externalReferences>
  <definedNames>
    <definedName name="_xlnm.Print_Area" localSheetId="0">'19_03_2004'!$C$2:$O$14</definedName>
    <definedName name="_xlnm.Print_Area" localSheetId="2">'21_11_2017'!$C$36:$J$57</definedName>
    <definedName name="_xlnm.Print_Area" localSheetId="1">'24_07_2014'!$C$2:$P$23</definedName>
    <definedName name="_xlnm.Print_Area" localSheetId="3">'8_10_2018'!$B$2:$R$26</definedName>
  </definedNames>
  <calcPr calcId="181029" concurrentCalc="0"/>
</workbook>
</file>

<file path=xl/calcChain.xml><?xml version="1.0" encoding="utf-8"?>
<calcChain xmlns="http://schemas.openxmlformats.org/spreadsheetml/2006/main">
  <c r="C28" i="5" l="1"/>
  <c r="C27" i="5"/>
  <c r="C24" i="5"/>
  <c r="C23" i="5"/>
  <c r="C22" i="5"/>
  <c r="C21" i="5"/>
  <c r="C20" i="5"/>
  <c r="C6" i="5"/>
  <c r="C7" i="5"/>
  <c r="C8" i="5"/>
  <c r="C9" i="5"/>
  <c r="K7" i="5"/>
  <c r="K8" i="5"/>
  <c r="K9" i="5"/>
  <c r="K6" i="5"/>
  <c r="L6" i="5"/>
  <c r="L7" i="5"/>
  <c r="L8" i="5"/>
  <c r="L9" i="5"/>
  <c r="L11" i="5"/>
  <c r="K11" i="5"/>
  <c r="C5" i="5"/>
  <c r="D5" i="5"/>
  <c r="E5" i="5"/>
  <c r="H5" i="5"/>
  <c r="L5" i="5"/>
  <c r="D6" i="5"/>
  <c r="E6" i="5"/>
  <c r="H6" i="5"/>
  <c r="J6" i="5"/>
  <c r="J7" i="5"/>
  <c r="E7" i="5"/>
  <c r="J8" i="5"/>
  <c r="E8" i="5"/>
  <c r="J9" i="5"/>
  <c r="E9" i="5"/>
  <c r="J10" i="5"/>
  <c r="I10" i="5"/>
  <c r="D9" i="5"/>
  <c r="H9" i="5"/>
  <c r="I9" i="5"/>
  <c r="F9" i="5"/>
  <c r="G9" i="5"/>
  <c r="D8" i="5"/>
  <c r="H8" i="5"/>
  <c r="I8" i="5"/>
  <c r="F8" i="5"/>
  <c r="G8" i="5"/>
  <c r="D7" i="5"/>
  <c r="H7" i="5"/>
  <c r="I7" i="5"/>
  <c r="F7" i="5"/>
  <c r="G7" i="5"/>
  <c r="I6" i="5"/>
  <c r="F6" i="5"/>
  <c r="G6" i="5"/>
  <c r="F5" i="5"/>
  <c r="G5" i="5"/>
  <c r="I5" i="4"/>
  <c r="J5" i="4"/>
  <c r="M5" i="4"/>
  <c r="Q5" i="4"/>
  <c r="I6" i="4"/>
  <c r="P6" i="4"/>
  <c r="J6" i="4"/>
  <c r="M6" i="4"/>
  <c r="Q6" i="4"/>
  <c r="I7" i="4"/>
  <c r="P7" i="4"/>
  <c r="J7" i="4"/>
  <c r="M7" i="4"/>
  <c r="Q7" i="4"/>
  <c r="I8" i="4"/>
  <c r="P8" i="4"/>
  <c r="J8" i="4"/>
  <c r="M8" i="4"/>
  <c r="Q8" i="4"/>
  <c r="I9" i="4"/>
  <c r="P9" i="4"/>
  <c r="J9" i="4"/>
  <c r="M9" i="4"/>
  <c r="Q9" i="4"/>
  <c r="Q11" i="4"/>
  <c r="P11" i="4"/>
  <c r="H9" i="4"/>
  <c r="H5" i="4"/>
  <c r="O6" i="4"/>
  <c r="H6" i="4"/>
  <c r="O7" i="4"/>
  <c r="H7" i="4"/>
  <c r="O8" i="4"/>
  <c r="H8" i="4"/>
  <c r="O9" i="4"/>
  <c r="O10" i="4"/>
  <c r="N10" i="4"/>
  <c r="K9" i="4"/>
  <c r="L9" i="4"/>
  <c r="N9" i="4"/>
  <c r="K8" i="4"/>
  <c r="L8" i="4"/>
  <c r="N8" i="4"/>
  <c r="K7" i="4"/>
  <c r="L7" i="4"/>
  <c r="N7" i="4"/>
  <c r="K6" i="4"/>
  <c r="L6" i="4"/>
  <c r="N6" i="4"/>
  <c r="K5" i="4"/>
  <c r="L5" i="4"/>
  <c r="C26" i="4"/>
  <c r="C18" i="4"/>
  <c r="C17" i="4"/>
  <c r="C23" i="4"/>
  <c r="C15" i="4"/>
  <c r="C24" i="4"/>
  <c r="C25" i="4"/>
  <c r="C20" i="4"/>
  <c r="C16" i="4"/>
  <c r="C22" i="4"/>
  <c r="C21" i="4"/>
  <c r="C4" i="4"/>
  <c r="C7" i="4"/>
  <c r="C8" i="4"/>
  <c r="C9" i="4"/>
  <c r="D11" i="4"/>
  <c r="E11" i="4"/>
  <c r="C11" i="4"/>
  <c r="D54" i="3"/>
  <c r="D55" i="3"/>
  <c r="I46" i="3"/>
  <c r="I47" i="3"/>
  <c r="G46" i="3"/>
  <c r="D47" i="3"/>
  <c r="H46" i="3"/>
  <c r="H47" i="3"/>
  <c r="G47" i="3"/>
  <c r="D49" i="3"/>
  <c r="D48" i="3"/>
  <c r="G41" i="3"/>
  <c r="G40" i="3"/>
  <c r="G42" i="3"/>
  <c r="I40" i="3"/>
  <c r="I42" i="3"/>
  <c r="G38" i="3"/>
  <c r="G37" i="3"/>
  <c r="I37" i="3"/>
  <c r="D38" i="3"/>
  <c r="H37" i="3"/>
  <c r="H39" i="3"/>
  <c r="D39" i="3"/>
  <c r="H40" i="3"/>
  <c r="D40" i="3"/>
  <c r="I39" i="3"/>
  <c r="G39" i="3"/>
  <c r="H42" i="3"/>
  <c r="I41" i="3"/>
  <c r="H41" i="3"/>
  <c r="I38" i="3"/>
  <c r="H38" i="3"/>
  <c r="E17" i="3"/>
  <c r="F17" i="3"/>
  <c r="H17" i="3"/>
  <c r="I17" i="3"/>
  <c r="J17" i="3"/>
  <c r="E18" i="3"/>
  <c r="F18" i="3"/>
  <c r="G18" i="3"/>
  <c r="H18" i="3"/>
  <c r="I18" i="3"/>
  <c r="J18" i="3"/>
  <c r="E19" i="3"/>
  <c r="F19" i="3"/>
  <c r="G19" i="3"/>
  <c r="H19" i="3"/>
  <c r="I19" i="3"/>
  <c r="J19" i="3"/>
  <c r="E20" i="3"/>
  <c r="F20" i="3"/>
  <c r="G20" i="3"/>
  <c r="H20" i="3"/>
  <c r="I20" i="3"/>
  <c r="J20" i="3"/>
  <c r="E21" i="3"/>
  <c r="F21" i="3"/>
  <c r="G21" i="3"/>
  <c r="H21" i="3"/>
  <c r="I21" i="3"/>
  <c r="J21" i="3"/>
  <c r="J23" i="3"/>
  <c r="I23" i="3"/>
  <c r="K23" i="3"/>
  <c r="D9" i="3"/>
  <c r="D10" i="3"/>
  <c r="D11" i="3"/>
  <c r="D12" i="3"/>
  <c r="E12" i="3"/>
  <c r="F13" i="3"/>
  <c r="G13" i="3"/>
  <c r="D13" i="3"/>
  <c r="H13" i="3"/>
  <c r="J12" i="3"/>
  <c r="K12" i="3"/>
  <c r="L13" i="3"/>
  <c r="M13" i="3"/>
  <c r="J8" i="3"/>
  <c r="N9" i="3"/>
  <c r="J9" i="3"/>
  <c r="N10" i="3"/>
  <c r="J10" i="3"/>
  <c r="N11" i="3"/>
  <c r="J11" i="3"/>
  <c r="N12" i="3"/>
  <c r="O12" i="3"/>
  <c r="P13" i="3"/>
  <c r="E11" i="3"/>
  <c r="F12" i="3"/>
  <c r="G12" i="3"/>
  <c r="H12" i="3"/>
  <c r="K11" i="3"/>
  <c r="L12" i="3"/>
  <c r="M12" i="3"/>
  <c r="O11" i="3"/>
  <c r="P12" i="3"/>
  <c r="E10" i="3"/>
  <c r="F11" i="3"/>
  <c r="G11" i="3"/>
  <c r="H11" i="3"/>
  <c r="K10" i="3"/>
  <c r="L11" i="3"/>
  <c r="M11" i="3"/>
  <c r="O10" i="3"/>
  <c r="P11" i="3"/>
  <c r="E9" i="3"/>
  <c r="F10" i="3"/>
  <c r="G10" i="3"/>
  <c r="H10" i="3"/>
  <c r="K9" i="3"/>
  <c r="L10" i="3"/>
  <c r="M10" i="3"/>
  <c r="O9" i="3"/>
  <c r="P10" i="3"/>
  <c r="E8" i="3"/>
  <c r="F9" i="3"/>
  <c r="G9" i="3"/>
  <c r="H9" i="3"/>
  <c r="K8" i="3"/>
  <c r="L9" i="3"/>
  <c r="M9" i="3"/>
  <c r="P9" i="3"/>
  <c r="N13" i="3"/>
  <c r="O13" i="3"/>
  <c r="E27" i="3"/>
  <c r="F27" i="3"/>
  <c r="H27" i="3"/>
  <c r="I27" i="3"/>
  <c r="J27" i="3"/>
  <c r="G28" i="3"/>
  <c r="H28" i="3"/>
  <c r="I28" i="3"/>
  <c r="G29" i="3"/>
  <c r="H29" i="3"/>
  <c r="I29" i="3"/>
  <c r="G30" i="3"/>
  <c r="H30" i="3"/>
  <c r="I30" i="3"/>
  <c r="G31" i="3"/>
  <c r="H31" i="3"/>
  <c r="I31" i="3"/>
  <c r="I33" i="3"/>
  <c r="E31" i="3"/>
  <c r="F31" i="3"/>
  <c r="E30" i="3"/>
  <c r="F30" i="3"/>
  <c r="E22" i="3"/>
  <c r="E28" i="3"/>
  <c r="F28" i="3"/>
  <c r="J28" i="3"/>
  <c r="E29" i="3"/>
  <c r="F29" i="3"/>
  <c r="J29" i="3"/>
  <c r="J30" i="3"/>
  <c r="J31" i="3"/>
  <c r="J33" i="3"/>
  <c r="P18" i="3"/>
  <c r="E32" i="3"/>
  <c r="K33" i="3"/>
  <c r="P14" i="3"/>
  <c r="E13" i="3"/>
  <c r="J13" i="3"/>
  <c r="K13" i="3"/>
  <c r="E21" i="2"/>
  <c r="F21" i="2"/>
  <c r="D21" i="2"/>
  <c r="D22" i="2"/>
  <c r="P12" i="2"/>
  <c r="P11" i="2"/>
  <c r="P10" i="2"/>
  <c r="P9" i="2"/>
  <c r="P8" i="2"/>
  <c r="L8" i="2"/>
  <c r="H8" i="2"/>
  <c r="M8" i="2"/>
  <c r="N8" i="2"/>
  <c r="O8" i="2"/>
  <c r="L9" i="2"/>
  <c r="H9" i="2"/>
  <c r="M9" i="2"/>
  <c r="N9" i="2"/>
  <c r="O9" i="2"/>
  <c r="L10" i="2"/>
  <c r="H10" i="2"/>
  <c r="M10" i="2"/>
  <c r="N10" i="2"/>
  <c r="O10" i="2"/>
  <c r="L11" i="2"/>
  <c r="H11" i="2"/>
  <c r="M11" i="2"/>
  <c r="N11" i="2"/>
  <c r="O11" i="2"/>
  <c r="L12" i="2"/>
  <c r="H12" i="2"/>
  <c r="M12" i="2"/>
  <c r="N12" i="2"/>
  <c r="O12" i="2"/>
  <c r="O14" i="2"/>
  <c r="N14" i="2"/>
  <c r="G8" i="2"/>
  <c r="E9" i="2"/>
  <c r="G9" i="2"/>
  <c r="E10" i="2"/>
  <c r="G10" i="2"/>
  <c r="E11" i="2"/>
  <c r="G11" i="2"/>
  <c r="E12" i="2"/>
  <c r="G12" i="2"/>
  <c r="E13" i="2"/>
  <c r="F13" i="2"/>
  <c r="K12" i="2"/>
  <c r="J12" i="2"/>
  <c r="I12" i="2"/>
  <c r="F12" i="2"/>
  <c r="K11" i="2"/>
  <c r="J11" i="2"/>
  <c r="I11" i="2"/>
  <c r="F11" i="2"/>
  <c r="K10" i="2"/>
  <c r="J10" i="2"/>
  <c r="I10" i="2"/>
  <c r="F10" i="2"/>
  <c r="K9" i="2"/>
  <c r="J9" i="2"/>
  <c r="I9" i="2"/>
  <c r="F9" i="2"/>
  <c r="K8" i="2"/>
  <c r="J8" i="2"/>
  <c r="I8" i="2"/>
  <c r="D17" i="1"/>
  <c r="D19" i="1"/>
  <c r="D18" i="1"/>
  <c r="L8" i="1"/>
  <c r="H8" i="1"/>
  <c r="M8" i="1"/>
  <c r="N8" i="1"/>
  <c r="O8" i="1"/>
  <c r="L9" i="1"/>
  <c r="H9" i="1"/>
  <c r="M9" i="1"/>
  <c r="N9" i="1"/>
  <c r="O9" i="1"/>
  <c r="L10" i="1"/>
  <c r="H10" i="1"/>
  <c r="M10" i="1"/>
  <c r="N10" i="1"/>
  <c r="O10" i="1"/>
  <c r="L11" i="1"/>
  <c r="H11" i="1"/>
  <c r="M11" i="1"/>
  <c r="N11" i="1"/>
  <c r="O11" i="1"/>
  <c r="L12" i="1"/>
  <c r="H12" i="1"/>
  <c r="M12" i="1"/>
  <c r="N12" i="1"/>
  <c r="O12" i="1"/>
  <c r="O14" i="1"/>
  <c r="N14" i="1"/>
  <c r="G12" i="1"/>
  <c r="G8" i="1"/>
  <c r="E9" i="1"/>
  <c r="G9" i="1"/>
  <c r="E10" i="1"/>
  <c r="G10" i="1"/>
  <c r="E11" i="1"/>
  <c r="G11" i="1"/>
  <c r="E12" i="1"/>
  <c r="E13" i="1"/>
  <c r="F13" i="1"/>
  <c r="J12" i="1"/>
  <c r="I12" i="1"/>
  <c r="F12" i="1"/>
  <c r="J11" i="1"/>
  <c r="I11" i="1"/>
  <c r="F11" i="1"/>
  <c r="J10" i="1"/>
  <c r="I10" i="1"/>
  <c r="F10" i="1"/>
  <c r="J9" i="1"/>
  <c r="I9" i="1"/>
  <c r="F9" i="1"/>
  <c r="J8" i="1"/>
  <c r="I8" i="1"/>
  <c r="K12" i="1"/>
  <c r="K11" i="1"/>
  <c r="K10" i="1"/>
  <c r="K9" i="1"/>
  <c r="K8" i="1"/>
</calcChain>
</file>

<file path=xl/sharedStrings.xml><?xml version="1.0" encoding="utf-8"?>
<sst xmlns="http://schemas.openxmlformats.org/spreadsheetml/2006/main" count="165" uniqueCount="94">
  <si>
    <t>t</t>
  </si>
  <si>
    <t>V</t>
  </si>
  <si>
    <t>C-V</t>
  </si>
  <si>
    <t>P</t>
  </si>
  <si>
    <t>PN</t>
  </si>
  <si>
    <t>PS</t>
  </si>
  <si>
    <t>PR</t>
  </si>
  <si>
    <t>PAS</t>
  </si>
  <si>
    <t>qx+t</t>
  </si>
  <si>
    <r>
      <t>L</t>
    </r>
    <r>
      <rPr>
        <vertAlign val="subscript"/>
        <sz val="12"/>
        <color theme="1"/>
        <rFont val="Arial"/>
        <family val="2"/>
      </rPr>
      <t>x+t</t>
    </r>
  </si>
  <si>
    <t>Mista doppia</t>
  </si>
  <si>
    <t>Quesito 1 del 19/3/2014</t>
  </si>
  <si>
    <t>Cv =</t>
  </si>
  <si>
    <t>m = n =</t>
  </si>
  <si>
    <t>tPx</t>
  </si>
  <si>
    <t>tEx</t>
  </si>
  <si>
    <t>i =</t>
  </si>
  <si>
    <t>PN x E</t>
  </si>
  <si>
    <t>U =</t>
  </si>
  <si>
    <t>U</t>
  </si>
  <si>
    <t>P_cost</t>
  </si>
  <si>
    <t>P_decr</t>
  </si>
  <si>
    <t>Quesito 3 del 19/3/2014</t>
  </si>
  <si>
    <t>vt</t>
  </si>
  <si>
    <t>Quesito 1 del 24/7/2014</t>
  </si>
  <si>
    <t>Quesito 4 del 27/7/2014</t>
  </si>
  <si>
    <t>C</t>
  </si>
  <si>
    <t>i</t>
  </si>
  <si>
    <t>i* - i</t>
  </si>
  <si>
    <t>q - q*</t>
  </si>
  <si>
    <t>Quesito 1 del 21/11/2017</t>
  </si>
  <si>
    <r>
      <t>V</t>
    </r>
    <r>
      <rPr>
        <vertAlign val="subscript"/>
        <sz val="12"/>
        <color theme="1"/>
        <rFont val="Arial"/>
        <family val="2"/>
      </rPr>
      <t>t</t>
    </r>
    <r>
      <rPr>
        <sz val="12"/>
        <color theme="1"/>
        <rFont val="Arial"/>
        <family val="2"/>
      </rPr>
      <t xml:space="preserve"> </t>
    </r>
  </si>
  <si>
    <r>
      <t>V</t>
    </r>
    <r>
      <rPr>
        <vertAlign val="subscript"/>
        <sz val="12"/>
        <color theme="1"/>
        <rFont val="Arial"/>
        <family val="2"/>
      </rPr>
      <t>t</t>
    </r>
    <r>
      <rPr>
        <sz val="12"/>
        <color theme="1"/>
        <rFont val="Arial"/>
        <family val="2"/>
      </rPr>
      <t xml:space="preserve"> + P</t>
    </r>
  </si>
  <si>
    <r>
      <t>U</t>
    </r>
    <r>
      <rPr>
        <vertAlign val="subscript"/>
        <sz val="12"/>
        <color theme="1"/>
        <rFont val="Arial"/>
        <family val="2"/>
      </rPr>
      <t>t</t>
    </r>
    <r>
      <rPr>
        <sz val="12"/>
        <color theme="1"/>
        <rFont val="Arial"/>
        <family val="2"/>
      </rPr>
      <t>’</t>
    </r>
  </si>
  <si>
    <r>
      <t>C - V</t>
    </r>
    <r>
      <rPr>
        <vertAlign val="subscript"/>
        <sz val="12"/>
        <color theme="1"/>
        <rFont val="Arial"/>
        <family val="2"/>
      </rPr>
      <t>t+1</t>
    </r>
  </si>
  <si>
    <r>
      <t>q</t>
    </r>
    <r>
      <rPr>
        <vertAlign val="subscript"/>
        <sz val="12"/>
        <color theme="1"/>
        <rFont val="Arial"/>
        <family val="2"/>
      </rPr>
      <t>x+t</t>
    </r>
  </si>
  <si>
    <r>
      <t>q*</t>
    </r>
    <r>
      <rPr>
        <vertAlign val="subscript"/>
        <sz val="12"/>
        <color theme="1"/>
        <rFont val="Arial"/>
        <family val="2"/>
      </rPr>
      <t>x+t</t>
    </r>
  </si>
  <si>
    <r>
      <t>U</t>
    </r>
    <r>
      <rPr>
        <vertAlign val="subscript"/>
        <sz val="12"/>
        <color theme="1"/>
        <rFont val="Arial"/>
        <family val="2"/>
      </rPr>
      <t>t</t>
    </r>
    <r>
      <rPr>
        <sz val="12"/>
        <color theme="1"/>
        <rFont val="Arial"/>
        <family val="2"/>
      </rPr>
      <t>”</t>
    </r>
  </si>
  <si>
    <r>
      <t>U</t>
    </r>
    <r>
      <rPr>
        <vertAlign val="subscript"/>
        <sz val="12"/>
        <color theme="1"/>
        <rFont val="Arial"/>
        <family val="2"/>
      </rPr>
      <t>t</t>
    </r>
  </si>
  <si>
    <r>
      <t>t</t>
    </r>
    <r>
      <rPr>
        <sz val="12"/>
        <color theme="1"/>
        <rFont val="Arial"/>
        <family val="2"/>
      </rPr>
      <t>p*</t>
    </r>
    <r>
      <rPr>
        <vertAlign val="subscript"/>
        <sz val="12"/>
        <color theme="1"/>
        <rFont val="Arial"/>
        <family val="2"/>
      </rPr>
      <t>x</t>
    </r>
  </si>
  <si>
    <r>
      <t>t</t>
    </r>
    <r>
      <rPr>
        <sz val="12"/>
        <color theme="1"/>
        <rFont val="Arial"/>
        <family val="2"/>
      </rPr>
      <t>E*</t>
    </r>
    <r>
      <rPr>
        <vertAlign val="subscript"/>
        <sz val="12"/>
        <color theme="1"/>
        <rFont val="Arial"/>
        <family val="2"/>
      </rPr>
      <t>x</t>
    </r>
  </si>
  <si>
    <r>
      <t>U</t>
    </r>
    <r>
      <rPr>
        <vertAlign val="subscript"/>
        <sz val="12"/>
        <color theme="1"/>
        <rFont val="Arial"/>
        <family val="2"/>
      </rPr>
      <t>t</t>
    </r>
    <r>
      <rPr>
        <sz val="12"/>
        <color theme="1"/>
        <rFont val="Arial"/>
        <family val="2"/>
      </rPr>
      <t>(0)</t>
    </r>
  </si>
  <si>
    <t xml:space="preserve">i* = </t>
  </si>
  <si>
    <t>q* = 0,85q</t>
  </si>
  <si>
    <t>v</t>
  </si>
  <si>
    <t>Pn</t>
  </si>
  <si>
    <t>Pn x E</t>
  </si>
  <si>
    <t>Ut =</t>
  </si>
  <si>
    <t>Ut = Premio(i,q) - Premio(i*, q*)</t>
  </si>
  <si>
    <r>
      <t>q</t>
    </r>
    <r>
      <rPr>
        <strike/>
        <vertAlign val="subscript"/>
        <sz val="12"/>
        <color theme="1"/>
        <rFont val="Arial"/>
        <family val="2"/>
      </rPr>
      <t>x+t</t>
    </r>
  </si>
  <si>
    <t>V12</t>
  </si>
  <si>
    <t>x</t>
  </si>
  <si>
    <t>Dx</t>
  </si>
  <si>
    <t>Nx</t>
  </si>
  <si>
    <t>Mx</t>
  </si>
  <si>
    <t>Up</t>
  </si>
  <si>
    <t>UT</t>
  </si>
  <si>
    <t>PT</t>
  </si>
  <si>
    <t>Quesito 3 del 21/11/2017</t>
  </si>
  <si>
    <t>Quesito 2 del 21/11/2017</t>
  </si>
  <si>
    <t>Quesito 4 del 21/11/2017</t>
  </si>
  <si>
    <t>c</t>
  </si>
  <si>
    <t>beta</t>
  </si>
  <si>
    <t>w</t>
  </si>
  <si>
    <t>y</t>
  </si>
  <si>
    <t>Quesito 1 del 8 ottobre 2018</t>
  </si>
  <si>
    <t>a =</t>
  </si>
  <si>
    <t>3P30</t>
  </si>
  <si>
    <t>L30</t>
  </si>
  <si>
    <t>L33</t>
  </si>
  <si>
    <t>3q30</t>
  </si>
  <si>
    <t>Quesito 4 del 8 ottobre 2018</t>
  </si>
  <si>
    <t>L40</t>
  </si>
  <si>
    <t>L41</t>
  </si>
  <si>
    <t>L43</t>
  </si>
  <si>
    <t>L60</t>
  </si>
  <si>
    <t>T</t>
  </si>
  <si>
    <t>Vv_3</t>
  </si>
  <si>
    <t>Vm_3</t>
  </si>
  <si>
    <t>M</t>
  </si>
  <si>
    <t>u(40)</t>
  </si>
  <si>
    <t xml:space="preserve"> P </t>
  </si>
  <si>
    <t>q(x+t)</t>
  </si>
  <si>
    <t xml:space="preserve">PN * tEx </t>
  </si>
  <si>
    <t>Lx+t</t>
  </si>
  <si>
    <t>Quesito 3  del 8 ottobre 2018</t>
  </si>
  <si>
    <t>Quesito 1 del 16 aprile 2018</t>
  </si>
  <si>
    <t>Quesito 2</t>
  </si>
  <si>
    <t>V10</t>
  </si>
  <si>
    <t>V'10</t>
  </si>
  <si>
    <t>P'</t>
  </si>
  <si>
    <t>Quesito 3</t>
  </si>
  <si>
    <t>t* =</t>
  </si>
  <si>
    <t>delta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</si>
</sst>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000000"/>
    <numFmt numFmtId="165" formatCode="0.00000"/>
    <numFmt numFmtId="166" formatCode="_-* #,##0.00_-;\-* #,##0.00_-;_-* &quot;-&quot;?????_-;_-@_-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theme="1"/>
      <name val="Arial"/>
      <family val="2"/>
    </font>
    <font>
      <i/>
      <sz val="12"/>
      <color theme="1"/>
      <name val="Calibri"/>
      <family val="2"/>
      <scheme val="minor"/>
    </font>
    <font>
      <vertAlign val="subscript"/>
      <sz val="12"/>
      <color theme="1"/>
      <name val="Arial"/>
      <family val="2"/>
    </font>
    <font>
      <b/>
      <sz val="12"/>
      <color theme="1"/>
      <name val="Arial"/>
      <family val="2"/>
    </font>
    <font>
      <b/>
      <i/>
      <sz val="12"/>
      <color theme="1"/>
      <name val="Arial"/>
      <family val="2"/>
    </font>
    <font>
      <i/>
      <sz val="12"/>
      <color theme="1"/>
      <name val="Arial"/>
      <family val="2"/>
    </font>
    <font>
      <strike/>
      <sz val="12"/>
      <color theme="1"/>
      <name val="Arial"/>
      <family val="2"/>
    </font>
    <font>
      <strike/>
      <vertAlign val="subscript"/>
      <sz val="12"/>
      <color theme="1"/>
      <name val="Arial"/>
      <family val="2"/>
    </font>
    <font>
      <b/>
      <strike/>
      <sz val="12"/>
      <color theme="1"/>
      <name val="Arial"/>
      <family val="2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5">
    <xf numFmtId="0" fontId="0" fillId="0" borderId="0" xfId="0"/>
    <xf numFmtId="0" fontId="2" fillId="0" borderId="0" xfId="0" applyFont="1"/>
    <xf numFmtId="0" fontId="3" fillId="0" borderId="5" xfId="0" applyFont="1" applyBorder="1" applyAlignment="1">
      <alignment horizontal="right" vertical="center" wrapText="1"/>
    </xf>
    <xf numFmtId="0" fontId="4" fillId="0" borderId="5" xfId="0" applyFont="1" applyBorder="1"/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right" vertical="center"/>
    </xf>
    <xf numFmtId="0" fontId="8" fillId="0" borderId="5" xfId="0" applyFont="1" applyBorder="1"/>
    <xf numFmtId="0" fontId="3" fillId="0" borderId="5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/>
    </xf>
    <xf numFmtId="0" fontId="3" fillId="0" borderId="0" xfId="0" applyFont="1"/>
    <xf numFmtId="0" fontId="3" fillId="0" borderId="5" xfId="0" applyFont="1" applyBorder="1"/>
    <xf numFmtId="165" fontId="3" fillId="0" borderId="5" xfId="0" applyNumberFormat="1" applyFont="1" applyBorder="1" applyAlignment="1">
      <alignment horizontal="right" vertical="center" wrapText="1"/>
    </xf>
    <xf numFmtId="2" fontId="3" fillId="0" borderId="5" xfId="0" applyNumberFormat="1" applyFont="1" applyBorder="1" applyAlignment="1">
      <alignment horizontal="right" vertical="center" wrapText="1"/>
    </xf>
    <xf numFmtId="165" fontId="3" fillId="0" borderId="5" xfId="0" applyNumberFormat="1" applyFont="1" applyBorder="1"/>
    <xf numFmtId="165" fontId="8" fillId="0" borderId="5" xfId="0" applyNumberFormat="1" applyFont="1" applyBorder="1"/>
    <xf numFmtId="43" fontId="6" fillId="0" borderId="5" xfId="1" applyFont="1" applyBorder="1"/>
    <xf numFmtId="43" fontId="3" fillId="0" borderId="5" xfId="1" applyFont="1" applyBorder="1" applyAlignment="1">
      <alignment horizontal="right" vertical="center"/>
    </xf>
    <xf numFmtId="43" fontId="3" fillId="0" borderId="5" xfId="1" applyNumberFormat="1" applyFont="1" applyBorder="1" applyAlignment="1">
      <alignment horizontal="right" vertical="center"/>
    </xf>
    <xf numFmtId="2" fontId="8" fillId="0" borderId="5" xfId="0" applyNumberFormat="1" applyFont="1" applyBorder="1"/>
    <xf numFmtId="165" fontId="8" fillId="0" borderId="5" xfId="0" applyNumberFormat="1" applyFont="1" applyFill="1" applyBorder="1"/>
    <xf numFmtId="43" fontId="7" fillId="0" borderId="5" xfId="1" applyFont="1" applyBorder="1"/>
    <xf numFmtId="43" fontId="3" fillId="0" borderId="5" xfId="1" applyFont="1" applyBorder="1" applyAlignment="1">
      <alignment horizontal="right" vertical="center" wrapText="1"/>
    </xf>
    <xf numFmtId="43" fontId="3" fillId="0" borderId="5" xfId="0" applyNumberFormat="1" applyFont="1" applyBorder="1" applyAlignment="1">
      <alignment horizontal="right" vertical="center"/>
    </xf>
    <xf numFmtId="43" fontId="3" fillId="0" borderId="5" xfId="0" applyNumberFormat="1" applyFont="1" applyBorder="1" applyAlignment="1">
      <alignment horizontal="right" vertical="center" wrapText="1"/>
    </xf>
    <xf numFmtId="9" fontId="3" fillId="0" borderId="0" xfId="0" applyNumberFormat="1" applyFont="1"/>
    <xf numFmtId="0" fontId="6" fillId="0" borderId="0" xfId="0" applyFont="1"/>
    <xf numFmtId="0" fontId="8" fillId="0" borderId="5" xfId="0" applyFont="1" applyFill="1" applyBorder="1" applyAlignment="1">
      <alignment horizontal="center"/>
    </xf>
    <xf numFmtId="0" fontId="8" fillId="0" borderId="5" xfId="0" applyFont="1" applyBorder="1" applyAlignment="1">
      <alignment horizontal="center"/>
    </xf>
    <xf numFmtId="43" fontId="3" fillId="0" borderId="0" xfId="1" applyFont="1"/>
    <xf numFmtId="43" fontId="6" fillId="0" borderId="0" xfId="1" applyFont="1"/>
    <xf numFmtId="43" fontId="6" fillId="0" borderId="0" xfId="0" applyNumberFormat="1" applyFont="1"/>
    <xf numFmtId="43" fontId="6" fillId="0" borderId="5" xfId="0" applyNumberFormat="1" applyFont="1" applyBorder="1"/>
    <xf numFmtId="0" fontId="3" fillId="0" borderId="0" xfId="0" applyFont="1" applyFill="1" applyBorder="1"/>
    <xf numFmtId="43" fontId="3" fillId="0" borderId="6" xfId="1" applyFont="1" applyBorder="1" applyAlignment="1">
      <alignment horizontal="right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right" vertical="center"/>
    </xf>
    <xf numFmtId="9" fontId="3" fillId="0" borderId="0" xfId="0" applyNumberFormat="1" applyFont="1" applyAlignment="1">
      <alignment horizontal="left"/>
    </xf>
    <xf numFmtId="166" fontId="3" fillId="0" borderId="5" xfId="0" applyNumberFormat="1" applyFont="1" applyBorder="1"/>
    <xf numFmtId="43" fontId="3" fillId="0" borderId="5" xfId="1" applyFont="1" applyBorder="1"/>
    <xf numFmtId="0" fontId="3" fillId="0" borderId="5" xfId="0" applyFont="1" applyBorder="1" applyAlignment="1">
      <alignment horizontal="justify" vertical="center"/>
    </xf>
    <xf numFmtId="0" fontId="5" fillId="0" borderId="5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justify" vertical="center" wrapText="1"/>
    </xf>
    <xf numFmtId="165" fontId="3" fillId="0" borderId="5" xfId="0" applyNumberFormat="1" applyFont="1" applyBorder="1" applyAlignment="1">
      <alignment horizontal="right" vertical="center"/>
    </xf>
    <xf numFmtId="43" fontId="6" fillId="0" borderId="5" xfId="1" applyNumberFormat="1" applyFont="1" applyBorder="1"/>
    <xf numFmtId="0" fontId="3" fillId="0" borderId="5" xfId="0" applyFont="1" applyBorder="1" applyAlignment="1">
      <alignment horizontal="center"/>
    </xf>
    <xf numFmtId="10" fontId="3" fillId="0" borderId="5" xfId="0" applyNumberFormat="1" applyFont="1" applyBorder="1" applyAlignment="1">
      <alignment horizontal="right" vertical="center" wrapText="1"/>
    </xf>
    <xf numFmtId="43" fontId="6" fillId="0" borderId="5" xfId="0" applyNumberFormat="1" applyFont="1" applyBorder="1" applyAlignment="1">
      <alignment horizontal="right" vertical="center" wrapText="1"/>
    </xf>
    <xf numFmtId="43" fontId="6" fillId="0" borderId="5" xfId="1" applyFont="1" applyBorder="1" applyAlignment="1">
      <alignment horizontal="right" vertical="center" wrapText="1"/>
    </xf>
    <xf numFmtId="43" fontId="6" fillId="0" borderId="5" xfId="0" applyNumberFormat="1" applyFont="1" applyBorder="1" applyAlignment="1">
      <alignment horizontal="right" vertical="center"/>
    </xf>
    <xf numFmtId="43" fontId="6" fillId="0" borderId="5" xfId="1" applyFont="1" applyBorder="1" applyAlignment="1">
      <alignment horizontal="right" vertical="center"/>
    </xf>
    <xf numFmtId="165" fontId="3" fillId="0" borderId="5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right"/>
    </xf>
    <xf numFmtId="0" fontId="9" fillId="0" borderId="0" xfId="0" applyFont="1"/>
    <xf numFmtId="43" fontId="9" fillId="0" borderId="0" xfId="0" applyNumberFormat="1" applyFont="1"/>
    <xf numFmtId="0" fontId="9" fillId="0" borderId="5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 wrapText="1"/>
    </xf>
    <xf numFmtId="0" fontId="9" fillId="0" borderId="5" xfId="0" applyFont="1" applyBorder="1"/>
    <xf numFmtId="0" fontId="9" fillId="0" borderId="5" xfId="0" applyFont="1" applyBorder="1" applyAlignment="1">
      <alignment horizontal="center"/>
    </xf>
    <xf numFmtId="0" fontId="9" fillId="0" borderId="5" xfId="0" applyFont="1" applyBorder="1" applyAlignment="1">
      <alignment horizontal="right" vertical="center"/>
    </xf>
    <xf numFmtId="165" fontId="9" fillId="0" borderId="5" xfId="0" applyNumberFormat="1" applyFont="1" applyBorder="1" applyAlignment="1">
      <alignment horizontal="right" vertical="center" wrapText="1"/>
    </xf>
    <xf numFmtId="43" fontId="9" fillId="0" borderId="5" xfId="1" applyFont="1" applyBorder="1" applyAlignment="1">
      <alignment horizontal="right" vertical="center" wrapText="1"/>
    </xf>
    <xf numFmtId="0" fontId="9" fillId="0" borderId="5" xfId="0" applyFont="1" applyBorder="1" applyAlignment="1">
      <alignment horizontal="justify" vertical="center"/>
    </xf>
    <xf numFmtId="166" fontId="9" fillId="0" borderId="5" xfId="0" applyNumberFormat="1" applyFont="1" applyBorder="1"/>
    <xf numFmtId="0" fontId="9" fillId="0" borderId="5" xfId="0" applyFont="1" applyBorder="1" applyAlignment="1">
      <alignment horizontal="right" vertical="center" wrapText="1"/>
    </xf>
    <xf numFmtId="165" fontId="9" fillId="0" borderId="5" xfId="0" applyNumberFormat="1" applyFont="1" applyBorder="1"/>
    <xf numFmtId="43" fontId="11" fillId="0" borderId="5" xfId="1" applyFont="1" applyBorder="1"/>
    <xf numFmtId="43" fontId="11" fillId="0" borderId="5" xfId="1" applyNumberFormat="1" applyFont="1" applyBorder="1"/>
    <xf numFmtId="0" fontId="3" fillId="0" borderId="4" xfId="0" applyFont="1" applyBorder="1"/>
    <xf numFmtId="0" fontId="3" fillId="0" borderId="4" xfId="0" applyFont="1" applyBorder="1" applyAlignment="1">
      <alignment horizontal="left" vertical="center"/>
    </xf>
    <xf numFmtId="43" fontId="3" fillId="0" borderId="4" xfId="1" applyFont="1" applyBorder="1"/>
    <xf numFmtId="43" fontId="3" fillId="0" borderId="4" xfId="0" applyNumberFormat="1" applyFont="1" applyBorder="1"/>
    <xf numFmtId="43" fontId="6" fillId="0" borderId="4" xfId="0" applyNumberFormat="1" applyFont="1" applyBorder="1"/>
    <xf numFmtId="0" fontId="3" fillId="0" borderId="8" xfId="0" applyFont="1" applyBorder="1" applyAlignment="1">
      <alignment horizontal="right" vertical="center"/>
    </xf>
    <xf numFmtId="0" fontId="3" fillId="0" borderId="7" xfId="0" applyFont="1" applyBorder="1" applyAlignment="1">
      <alignment horizontal="right" vertical="center"/>
    </xf>
    <xf numFmtId="0" fontId="3" fillId="0" borderId="3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64" fontId="3" fillId="0" borderId="0" xfId="0" applyNumberFormat="1" applyFont="1"/>
    <xf numFmtId="0" fontId="12" fillId="0" borderId="0" xfId="0" applyFont="1"/>
    <xf numFmtId="43" fontId="0" fillId="0" borderId="0" xfId="1" applyFont="1"/>
    <xf numFmtId="43" fontId="0" fillId="0" borderId="0" xfId="0" applyNumberFormat="1"/>
  </cellXfs>
  <cellStyles count="2">
    <cellStyle name="Migliaia" xfId="1" builtinId="3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16</xdr:row>
      <xdr:rowOff>9525</xdr:rowOff>
    </xdr:from>
    <xdr:to>
      <xdr:col>14</xdr:col>
      <xdr:colOff>77482</xdr:colOff>
      <xdr:row>22</xdr:row>
      <xdr:rowOff>19050</xdr:rowOff>
    </xdr:to>
    <xdr:pic>
      <xdr:nvPicPr>
        <xdr:cNvPr id="2" name="Immagin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29200" y="3228975"/>
          <a:ext cx="5135257" cy="1200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14287</xdr:colOff>
      <xdr:row>14</xdr:row>
      <xdr:rowOff>42862</xdr:rowOff>
    </xdr:from>
    <xdr:to>
      <xdr:col>6</xdr:col>
      <xdr:colOff>280987</xdr:colOff>
      <xdr:row>17</xdr:row>
      <xdr:rowOff>157162</xdr:rowOff>
    </xdr:to>
    <xdr:pic>
      <xdr:nvPicPr>
        <xdr:cNvPr id="2" name="Immagine 1">
          <a:extLst>
            <a:ext uri="{FF2B5EF4-FFF2-40B4-BE49-F238E27FC236}">
              <a16:creationId xmlns:a16="http://schemas.microsoft.com/office/drawing/2014/main" id="{F1BA6B10-0254-4B85-BCC4-A0B2589D47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1987" y="2743200"/>
          <a:ext cx="3505200" cy="657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emi/Premi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go"/>
      <sheetName val="DBasDem"/>
      <sheetName val="Premi_Annui"/>
      <sheetName val="Premi_Unici"/>
      <sheetName val="Procedure"/>
      <sheetName val="Tavole"/>
      <sheetName val="DreadDisease"/>
    </sheetNames>
    <definedNames>
      <definedName name="dx"/>
      <definedName name="mx"/>
      <definedName name="nx"/>
    </definedNames>
    <sheetDataSet>
      <sheetData sheetId="0"/>
      <sheetData sheetId="1"/>
      <sheetData sheetId="5"/>
      <sheetData sheetId="6"/>
    </sheetDataSet>
  </externalBook>
</externalLink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C2:O19"/>
  <sheetViews>
    <sheetView workbookViewId="0">
      <selection activeCell="C16" sqref="C16:E17"/>
    </sheetView>
  </sheetViews>
  <sheetFormatPr defaultRowHeight="14.25" x14ac:dyDescent="0.45"/>
  <cols>
    <col min="5" max="5" width="12.73046875" bestFit="1" customWidth="1"/>
    <col min="6" max="6" width="11.59765625" bestFit="1" customWidth="1"/>
    <col min="7" max="7" width="13.73046875" bestFit="1" customWidth="1"/>
    <col min="8" max="8" width="14.86328125" bestFit="1" customWidth="1"/>
    <col min="9" max="9" width="9.73046875" bestFit="1" customWidth="1"/>
    <col min="10" max="10" width="11" bestFit="1" customWidth="1"/>
    <col min="11" max="11" width="11.3984375" bestFit="1" customWidth="1"/>
    <col min="12" max="12" width="10.3984375" bestFit="1" customWidth="1"/>
    <col min="13" max="13" width="11.3984375" customWidth="1"/>
    <col min="14" max="14" width="11.59765625" customWidth="1"/>
    <col min="15" max="15" width="13.59765625" bestFit="1" customWidth="1"/>
  </cols>
  <sheetData>
    <row r="2" spans="3:15" ht="15.4" x14ac:dyDescent="0.45">
      <c r="C2" s="29" t="s">
        <v>11</v>
      </c>
      <c r="D2" s="13"/>
    </row>
    <row r="3" spans="3:15" ht="15.4" x14ac:dyDescent="0.45">
      <c r="C3" s="13" t="s">
        <v>12</v>
      </c>
      <c r="D3" s="13">
        <v>2000</v>
      </c>
    </row>
    <row r="4" spans="3:15" ht="15.4" x14ac:dyDescent="0.45">
      <c r="C4" s="13" t="s">
        <v>13</v>
      </c>
      <c r="D4" s="13">
        <v>5</v>
      </c>
    </row>
    <row r="5" spans="3:15" ht="15.4" x14ac:dyDescent="0.45">
      <c r="C5" s="13" t="s">
        <v>16</v>
      </c>
      <c r="D5" s="28">
        <v>0.02</v>
      </c>
    </row>
    <row r="6" spans="3:15" ht="15.4" x14ac:dyDescent="0.45">
      <c r="C6" s="29" t="s">
        <v>10</v>
      </c>
      <c r="D6" s="13"/>
    </row>
    <row r="7" spans="3:15" ht="18" x14ac:dyDescent="0.45">
      <c r="C7" s="4" t="s">
        <v>0</v>
      </c>
      <c r="D7" s="5" t="s">
        <v>9</v>
      </c>
      <c r="E7" s="6" t="s">
        <v>1</v>
      </c>
      <c r="F7" s="7" t="s">
        <v>2</v>
      </c>
      <c r="G7" s="7" t="s">
        <v>3</v>
      </c>
      <c r="H7" s="6" t="s">
        <v>4</v>
      </c>
      <c r="I7" s="7" t="s">
        <v>5</v>
      </c>
      <c r="J7" s="7" t="s">
        <v>6</v>
      </c>
      <c r="K7" s="6" t="s">
        <v>7</v>
      </c>
      <c r="L7" s="8" t="s">
        <v>8</v>
      </c>
      <c r="M7" s="10" t="s">
        <v>14</v>
      </c>
      <c r="N7" s="10" t="s">
        <v>15</v>
      </c>
      <c r="O7" s="10" t="s">
        <v>17</v>
      </c>
    </row>
    <row r="8" spans="3:15" ht="15.4" x14ac:dyDescent="0.45">
      <c r="C8" s="9">
        <v>0</v>
      </c>
      <c r="D8" s="2">
        <v>93016</v>
      </c>
      <c r="E8" s="25">
        <v>0</v>
      </c>
      <c r="F8" s="20"/>
      <c r="G8" s="21">
        <f>$O$14/$N$14</f>
        <v>375.42173124874751</v>
      </c>
      <c r="H8" s="16">
        <f>1.02^(-1)*1000*L8</f>
        <v>4.4900561067293063</v>
      </c>
      <c r="I8" s="20">
        <f>G8-J8</f>
        <v>372.63830537865823</v>
      </c>
      <c r="J8" s="20">
        <f>1.02^(-1)*L8*F9</f>
        <v>2.783425870089268</v>
      </c>
      <c r="K8" s="27">
        <f>G8-H8</f>
        <v>370.93167514201821</v>
      </c>
      <c r="L8" s="18">
        <f>1-D9/D8</f>
        <v>4.5798572288638928E-3</v>
      </c>
      <c r="M8" s="18">
        <f>D8/$D$8</f>
        <v>1</v>
      </c>
      <c r="N8" s="18">
        <f>1.02^(-C8)*M8</f>
        <v>1</v>
      </c>
      <c r="O8" s="22">
        <f>H8*N8</f>
        <v>4.4900561067293063</v>
      </c>
    </row>
    <row r="9" spans="3:15" ht="15.4" x14ac:dyDescent="0.45">
      <c r="C9" s="9">
        <v>1</v>
      </c>
      <c r="D9" s="2">
        <v>92590</v>
      </c>
      <c r="E9" s="25">
        <f>((E8+G8)*1.02-1000*L8)/(1-L8)</f>
        <v>380.09107148623139</v>
      </c>
      <c r="F9" s="20">
        <f>1000-E9</f>
        <v>619.90892851376861</v>
      </c>
      <c r="G9" s="21">
        <f t="shared" ref="G9:G12" si="0">$O$14/$N$14</f>
        <v>375.42173124874751</v>
      </c>
      <c r="H9" s="16">
        <f t="shared" ref="H9:H11" si="1">1.02^(-1)*1000*L9</f>
        <v>4.8707246155833959</v>
      </c>
      <c r="I9" s="20">
        <f t="shared" ref="I9:I12" si="2">G9-J9</f>
        <v>374.29892105772643</v>
      </c>
      <c r="J9" s="20">
        <f t="shared" ref="J9:J12" si="3">1.02^(-1)*L9*F10</f>
        <v>1.1228101910210933</v>
      </c>
      <c r="K9" s="25">
        <f t="shared" ref="K9:K12" si="4">G9-H9</f>
        <v>370.55100663316409</v>
      </c>
      <c r="L9" s="18">
        <f t="shared" ref="L9:L12" si="5">1-D10/D9</f>
        <v>4.9681391078950643E-3</v>
      </c>
      <c r="M9" s="18">
        <f t="shared" ref="M9:M12" si="6">D9/$D$8</f>
        <v>0.99542014277113611</v>
      </c>
      <c r="N9" s="18">
        <f t="shared" ref="N9:N12" si="7">1.02^(-C9)*M9</f>
        <v>0.9759021007560158</v>
      </c>
      <c r="O9" s="22">
        <f t="shared" ref="O9:O12" si="8">H9*N9</f>
        <v>4.7533503845518732</v>
      </c>
    </row>
    <row r="10" spans="3:15" ht="15.4" x14ac:dyDescent="0.45">
      <c r="C10" s="9">
        <v>2</v>
      </c>
      <c r="D10" s="2">
        <v>92130</v>
      </c>
      <c r="E10" s="25">
        <f t="shared" ref="E10:E13" si="9">((E9+G9)*1.02-1000*L9)/(1-L9)</f>
        <v>769.47779239483702</v>
      </c>
      <c r="F10" s="20">
        <f t="shared" ref="F10:F13" si="10">1000-E10</f>
        <v>230.52220760516298</v>
      </c>
      <c r="G10" s="21">
        <f t="shared" si="0"/>
        <v>375.42173124874751</v>
      </c>
      <c r="H10" s="16">
        <f t="shared" si="1"/>
        <v>5.3739068622130128</v>
      </c>
      <c r="I10" s="20">
        <f t="shared" si="2"/>
        <v>376.32842942309208</v>
      </c>
      <c r="J10" s="20">
        <f t="shared" si="3"/>
        <v>-0.90669817434459532</v>
      </c>
      <c r="K10" s="25">
        <f t="shared" si="4"/>
        <v>370.0478243865345</v>
      </c>
      <c r="L10" s="18">
        <f t="shared" si="5"/>
        <v>5.4813849994572728E-3</v>
      </c>
      <c r="M10" s="18">
        <f t="shared" si="6"/>
        <v>0.99047475703104837</v>
      </c>
      <c r="N10" s="18">
        <f t="shared" si="7"/>
        <v>0.95201341506252246</v>
      </c>
      <c r="O10" s="22">
        <f t="shared" si="8"/>
        <v>5.1160314241233351</v>
      </c>
    </row>
    <row r="11" spans="3:15" ht="15.4" x14ac:dyDescent="0.45">
      <c r="C11" s="9">
        <v>3</v>
      </c>
      <c r="D11" s="2">
        <v>91625</v>
      </c>
      <c r="E11" s="25">
        <f t="shared" si="9"/>
        <v>1168.7223462542875</v>
      </c>
      <c r="F11" s="20">
        <f t="shared" si="10"/>
        <v>-168.72234625428746</v>
      </c>
      <c r="G11" s="21">
        <f t="shared" si="0"/>
        <v>375.42173124874751</v>
      </c>
      <c r="H11" s="16">
        <f t="shared" si="1"/>
        <v>6.0562287670866821</v>
      </c>
      <c r="I11" s="20">
        <f t="shared" si="2"/>
        <v>378.92587237793197</v>
      </c>
      <c r="J11" s="20">
        <f t="shared" si="3"/>
        <v>-3.5041411291844429</v>
      </c>
      <c r="K11" s="25">
        <f t="shared" si="4"/>
        <v>369.36550248166083</v>
      </c>
      <c r="L11" s="18">
        <f t="shared" si="5"/>
        <v>6.1773533424284155E-3</v>
      </c>
      <c r="M11" s="18">
        <f t="shared" si="6"/>
        <v>0.9850455835555173</v>
      </c>
      <c r="N11" s="18">
        <f t="shared" si="7"/>
        <v>0.928230453931291</v>
      </c>
      <c r="O11" s="22">
        <f t="shared" si="8"/>
        <v>5.6215759775846141</v>
      </c>
    </row>
    <row r="12" spans="3:15" ht="15.4" x14ac:dyDescent="0.45">
      <c r="C12" s="9">
        <v>4</v>
      </c>
      <c r="D12" s="2">
        <v>91059</v>
      </c>
      <c r="E12" s="25">
        <f t="shared" si="9"/>
        <v>1578.601183004864</v>
      </c>
      <c r="F12" s="20">
        <f t="shared" si="10"/>
        <v>-578.60118300486397</v>
      </c>
      <c r="G12" s="21">
        <f t="shared" si="0"/>
        <v>375.42173124874751</v>
      </c>
      <c r="H12" s="16">
        <f>1.02^(-1)*1000*L12+1.02^(-1)*2000*(1-L12)</f>
        <v>1954.0229142536114</v>
      </c>
      <c r="I12" s="20">
        <f t="shared" si="2"/>
        <v>382.1831307206262</v>
      </c>
      <c r="J12" s="20">
        <f t="shared" si="3"/>
        <v>-6.7613994718786765</v>
      </c>
      <c r="K12" s="25">
        <f t="shared" si="4"/>
        <v>-1578.6011830048637</v>
      </c>
      <c r="L12" s="18">
        <f t="shared" si="5"/>
        <v>6.8966274613162515E-3</v>
      </c>
      <c r="M12" s="18">
        <f t="shared" si="6"/>
        <v>0.97896060892749637</v>
      </c>
      <c r="N12" s="18">
        <f t="shared" si="7"/>
        <v>0.90440828081779867</v>
      </c>
      <c r="O12" s="22">
        <f t="shared" si="8"/>
        <v>1767.2345045586935</v>
      </c>
    </row>
    <row r="13" spans="3:15" ht="15.4" x14ac:dyDescent="0.45">
      <c r="C13" s="9">
        <v>5</v>
      </c>
      <c r="D13" s="2">
        <v>90431</v>
      </c>
      <c r="E13" s="25">
        <f t="shared" si="9"/>
        <v>1999.9999999999998</v>
      </c>
      <c r="F13" s="20">
        <f t="shared" si="10"/>
        <v>-999.99999999999977</v>
      </c>
      <c r="G13" s="12"/>
      <c r="H13" s="11"/>
      <c r="I13" s="12"/>
      <c r="J13" s="12"/>
      <c r="K13" s="2"/>
      <c r="L13" s="10"/>
      <c r="M13" s="10"/>
      <c r="N13" s="18"/>
      <c r="O13" s="22"/>
    </row>
    <row r="14" spans="3:15" ht="15.4" x14ac:dyDescent="0.45">
      <c r="L14" s="1"/>
      <c r="M14" s="1"/>
      <c r="N14" s="23">
        <f>SUM(N8:N13)</f>
        <v>4.7605542505676279</v>
      </c>
      <c r="O14" s="24">
        <f>SUM(O8:O12)</f>
        <v>1787.2155184516826</v>
      </c>
    </row>
    <row r="16" spans="3:15" ht="15.4" x14ac:dyDescent="0.45">
      <c r="C16" s="29" t="s">
        <v>22</v>
      </c>
      <c r="D16" s="13"/>
    </row>
    <row r="17" spans="3:4" ht="15.4" x14ac:dyDescent="0.45">
      <c r="C17" s="13" t="s">
        <v>19</v>
      </c>
      <c r="D17" s="13">
        <f>20000*((1-1.02^(-20))/0.02-(1395451-581700)/50939)</f>
        <v>7528.4803943667102</v>
      </c>
    </row>
    <row r="18" spans="3:4" ht="15.4" x14ac:dyDescent="0.45">
      <c r="C18" s="13" t="s">
        <v>20</v>
      </c>
      <c r="D18" s="13">
        <f>D17/(1446390-983264)*50939</f>
        <v>828.05384022630108</v>
      </c>
    </row>
    <row r="19" spans="3:4" ht="15.4" x14ac:dyDescent="0.45">
      <c r="C19" s="13" t="s">
        <v>21</v>
      </c>
      <c r="D19" s="13">
        <f>D17/(1446390-983264-5%*(27110556-16260029-9*983264))*50939</f>
        <v>1056.2560938815968</v>
      </c>
    </row>
  </sheetData>
  <pageMargins left="0.7" right="0.7" top="0.75" bottom="0.75" header="0.3" footer="0.3"/>
  <pageSetup paperSize="9" scale="87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C2:P22"/>
  <sheetViews>
    <sheetView workbookViewId="0">
      <selection activeCell="C2" sqref="C2:C6"/>
    </sheetView>
  </sheetViews>
  <sheetFormatPr defaultRowHeight="14.25" x14ac:dyDescent="0.45"/>
  <cols>
    <col min="4" max="4" width="12.86328125" bestFit="1" customWidth="1"/>
    <col min="5" max="5" width="12" customWidth="1"/>
    <col min="6" max="6" width="11.73046875" customWidth="1"/>
    <col min="7" max="8" width="11.1328125" customWidth="1"/>
    <col min="9" max="9" width="10.59765625" customWidth="1"/>
    <col min="10" max="10" width="10.73046875" customWidth="1"/>
    <col min="11" max="11" width="11.59765625" customWidth="1"/>
    <col min="12" max="12" width="10.265625" customWidth="1"/>
    <col min="13" max="13" width="11.1328125" customWidth="1"/>
    <col min="14" max="14" width="10.73046875" customWidth="1"/>
    <col min="15" max="15" width="12.265625" customWidth="1"/>
  </cols>
  <sheetData>
    <row r="2" spans="3:16" ht="15.4" x14ac:dyDescent="0.45">
      <c r="C2" s="29" t="s">
        <v>24</v>
      </c>
      <c r="D2" s="13"/>
    </row>
    <row r="3" spans="3:16" ht="15.4" x14ac:dyDescent="0.45">
      <c r="C3" s="13" t="s">
        <v>12</v>
      </c>
      <c r="D3" s="13">
        <v>2000</v>
      </c>
    </row>
    <row r="4" spans="3:16" ht="15.4" x14ac:dyDescent="0.45">
      <c r="C4" s="13" t="s">
        <v>13</v>
      </c>
      <c r="D4" s="13">
        <v>5</v>
      </c>
    </row>
    <row r="5" spans="3:16" ht="15.4" x14ac:dyDescent="0.45">
      <c r="C5" s="13" t="s">
        <v>16</v>
      </c>
      <c r="D5" s="28">
        <v>0.02</v>
      </c>
    </row>
    <row r="6" spans="3:16" ht="15.4" x14ac:dyDescent="0.45">
      <c r="C6" s="29" t="s">
        <v>10</v>
      </c>
      <c r="D6" s="13"/>
    </row>
    <row r="7" spans="3:16" ht="18" x14ac:dyDescent="0.45">
      <c r="C7" s="4" t="s">
        <v>0</v>
      </c>
      <c r="D7" s="5" t="s">
        <v>9</v>
      </c>
      <c r="E7" s="6" t="s">
        <v>1</v>
      </c>
      <c r="F7" s="7" t="s">
        <v>2</v>
      </c>
      <c r="G7" s="7" t="s">
        <v>3</v>
      </c>
      <c r="H7" s="6" t="s">
        <v>4</v>
      </c>
      <c r="I7" s="7" t="s">
        <v>5</v>
      </c>
      <c r="J7" s="7" t="s">
        <v>6</v>
      </c>
      <c r="K7" s="6" t="s">
        <v>7</v>
      </c>
      <c r="L7" s="8" t="s">
        <v>8</v>
      </c>
      <c r="M7" s="31" t="s">
        <v>14</v>
      </c>
      <c r="N7" s="31" t="s">
        <v>15</v>
      </c>
      <c r="O7" s="31" t="s">
        <v>17</v>
      </c>
      <c r="P7" s="30" t="s">
        <v>23</v>
      </c>
    </row>
    <row r="8" spans="3:16" ht="15.4" x14ac:dyDescent="0.45">
      <c r="C8" s="9">
        <v>0</v>
      </c>
      <c r="D8" s="2">
        <v>94638</v>
      </c>
      <c r="E8" s="37">
        <v>0</v>
      </c>
      <c r="F8" s="20"/>
      <c r="G8" s="21">
        <f>$O$14/$N$14</f>
        <v>375.91647907491478</v>
      </c>
      <c r="H8" s="16">
        <f>1.02^(-1)*1000*L8</f>
        <v>2.6416450051776588</v>
      </c>
      <c r="I8" s="20">
        <f>G8-J8</f>
        <v>374.2833322387695</v>
      </c>
      <c r="J8" s="20">
        <f>1.02^(-1)*L8*F9</f>
        <v>1.633146836145267</v>
      </c>
      <c r="K8" s="27">
        <f>G8-H8</f>
        <v>373.2748340697371</v>
      </c>
      <c r="L8" s="18">
        <f>1-D9/D8</f>
        <v>2.6944779052812118E-3</v>
      </c>
      <c r="M8" s="18">
        <f>D8/$D$8</f>
        <v>1</v>
      </c>
      <c r="N8" s="18">
        <f>1.02^(-C8)*M8</f>
        <v>1</v>
      </c>
      <c r="O8" s="22">
        <f>H8*N8</f>
        <v>2.6416450051776588</v>
      </c>
      <c r="P8" s="10">
        <f>(1+0.02)^(-C8)</f>
        <v>1</v>
      </c>
    </row>
    <row r="9" spans="3:16" ht="15.4" x14ac:dyDescent="0.45">
      <c r="C9" s="9">
        <v>1</v>
      </c>
      <c r="D9" s="2">
        <v>94383</v>
      </c>
      <c r="E9" s="37">
        <f>((E8+G8)*1.02-1000*L8)/(1-L8)</f>
        <v>381.7689988835449</v>
      </c>
      <c r="F9" s="20">
        <f>1000-E9</f>
        <v>618.2310011164551</v>
      </c>
      <c r="G9" s="21">
        <f t="shared" ref="G9:G12" si="0">$O$14/$N$14</f>
        <v>375.91647907491478</v>
      </c>
      <c r="H9" s="16">
        <f t="shared" ref="H9:H11" si="1">1.02^(-1)*1000*L9</f>
        <v>2.9707908930924809</v>
      </c>
      <c r="I9" s="20">
        <f t="shared" ref="I9:I12" si="2">G9-J9</f>
        <v>375.23958065980457</v>
      </c>
      <c r="J9" s="20">
        <f t="shared" ref="J9:J12" si="3">1.02^(-1)*L9*F10</f>
        <v>0.6768984151102182</v>
      </c>
      <c r="K9" s="25">
        <f t="shared" ref="K9:K12" si="4">G9-H9</f>
        <v>372.94568818182228</v>
      </c>
      <c r="L9" s="18">
        <f t="shared" ref="L9:L12" si="5">1-D10/D9</f>
        <v>3.0302067109543307E-3</v>
      </c>
      <c r="M9" s="18">
        <f t="shared" ref="M9:M12" si="6">D9/$D$8</f>
        <v>0.99730552209471879</v>
      </c>
      <c r="N9" s="18">
        <f t="shared" ref="N9:N12" si="7">1.02^(-C9)*M9</f>
        <v>0.97775051185756745</v>
      </c>
      <c r="O9" s="22">
        <f t="shared" ref="O9:O12" si="8">H9*N9</f>
        <v>2.904692316342973</v>
      </c>
      <c r="P9" s="10">
        <f t="shared" ref="P9:P12" si="9">(1+0.02)^(-C9)</f>
        <v>0.98039215686274506</v>
      </c>
    </row>
    <row r="10" spans="3:16" ht="15.4" x14ac:dyDescent="0.45">
      <c r="C10" s="9">
        <v>2</v>
      </c>
      <c r="D10" s="2">
        <v>94097</v>
      </c>
      <c r="E10" s="37">
        <f t="shared" ref="E10:E13" si="10">((E9+G9)*1.02-1000*L9)/(1-L9)</f>
        <v>772.14875113421647</v>
      </c>
      <c r="F10" s="20">
        <f t="shared" ref="F10:F13" si="11">1000-E10</f>
        <v>227.85124886578353</v>
      </c>
      <c r="G10" s="21">
        <f t="shared" si="0"/>
        <v>375.91647907491478</v>
      </c>
      <c r="H10" s="16">
        <f t="shared" si="1"/>
        <v>3.3861595054081124</v>
      </c>
      <c r="I10" s="20">
        <f t="shared" si="2"/>
        <v>376.49760935727596</v>
      </c>
      <c r="J10" s="20">
        <f t="shared" si="3"/>
        <v>-0.58113028236120201</v>
      </c>
      <c r="K10" s="25">
        <f t="shared" si="4"/>
        <v>372.53031956950667</v>
      </c>
      <c r="L10" s="18">
        <f t="shared" si="5"/>
        <v>3.4538826955162749E-3</v>
      </c>
      <c r="M10" s="18">
        <f t="shared" si="6"/>
        <v>0.99428348020879564</v>
      </c>
      <c r="N10" s="18">
        <f t="shared" si="7"/>
        <v>0.95567424087735076</v>
      </c>
      <c r="O10" s="22">
        <f t="shared" si="8"/>
        <v>3.2360654148205232</v>
      </c>
      <c r="P10" s="10">
        <f t="shared" si="9"/>
        <v>0.96116878123798544</v>
      </c>
    </row>
    <row r="11" spans="3:16" ht="15.4" x14ac:dyDescent="0.45">
      <c r="C11" s="9">
        <v>3</v>
      </c>
      <c r="D11" s="2">
        <v>93772</v>
      </c>
      <c r="E11" s="37">
        <f t="shared" si="10"/>
        <v>1171.6192877013223</v>
      </c>
      <c r="F11" s="20">
        <f t="shared" si="11"/>
        <v>-171.61928770132226</v>
      </c>
      <c r="G11" s="21">
        <f t="shared" si="0"/>
        <v>375.91647907491478</v>
      </c>
      <c r="H11" s="16">
        <f t="shared" si="1"/>
        <v>3.7742777015255711</v>
      </c>
      <c r="I11" s="20">
        <f t="shared" si="2"/>
        <v>378.10828564136597</v>
      </c>
      <c r="J11" s="20">
        <f t="shared" si="3"/>
        <v>-2.1918065664512039</v>
      </c>
      <c r="K11" s="25">
        <f t="shared" si="4"/>
        <v>372.14220137338918</v>
      </c>
      <c r="L11" s="18">
        <f t="shared" si="5"/>
        <v>3.8497632555560823E-3</v>
      </c>
      <c r="M11" s="18">
        <f t="shared" si="6"/>
        <v>0.99084934170206473</v>
      </c>
      <c r="N11" s="18">
        <f t="shared" si="7"/>
        <v>0.93369946485709199</v>
      </c>
      <c r="O11" s="22">
        <f t="shared" si="8"/>
        <v>3.524041070136481</v>
      </c>
      <c r="P11" s="10">
        <f t="shared" si="9"/>
        <v>0.94232233454704462</v>
      </c>
    </row>
    <row r="12" spans="3:16" ht="15.4" x14ac:dyDescent="0.45">
      <c r="C12" s="9">
        <v>4</v>
      </c>
      <c r="D12" s="2">
        <v>93411</v>
      </c>
      <c r="E12" s="37">
        <f t="shared" si="10"/>
        <v>1580.722124809542</v>
      </c>
      <c r="F12" s="20">
        <f t="shared" si="11"/>
        <v>-580.72212480954204</v>
      </c>
      <c r="G12" s="21">
        <f t="shared" si="0"/>
        <v>375.91647907491478</v>
      </c>
      <c r="H12" s="16">
        <f>1.02^(-1)*1000*L12+1.02^(-1)*2000*(1-L12)</f>
        <v>1956.6386038844566</v>
      </c>
      <c r="I12" s="20">
        <f t="shared" si="2"/>
        <v>380.0621889159483</v>
      </c>
      <c r="J12" s="20">
        <f t="shared" si="3"/>
        <v>-4.1457098410335096</v>
      </c>
      <c r="K12" s="25">
        <f t="shared" si="4"/>
        <v>-1580.7221248095418</v>
      </c>
      <c r="L12" s="18">
        <f t="shared" si="5"/>
        <v>4.2286240378541784E-3</v>
      </c>
      <c r="M12" s="18">
        <f t="shared" si="6"/>
        <v>0.98703480631458818</v>
      </c>
      <c r="N12" s="18">
        <f t="shared" si="7"/>
        <v>0.91186759114269866</v>
      </c>
      <c r="O12" s="22">
        <f t="shared" si="8"/>
        <v>1784.1953304609324</v>
      </c>
      <c r="P12" s="10">
        <f t="shared" si="9"/>
        <v>0.9238454260265142</v>
      </c>
    </row>
    <row r="13" spans="3:16" ht="15.75" x14ac:dyDescent="0.5">
      <c r="C13" s="9">
        <v>5</v>
      </c>
      <c r="D13" s="2">
        <v>93016</v>
      </c>
      <c r="E13" s="37">
        <f t="shared" si="10"/>
        <v>2000.0000000000002</v>
      </c>
      <c r="F13" s="20">
        <f t="shared" si="11"/>
        <v>-1000.0000000000002</v>
      </c>
      <c r="G13" s="12"/>
      <c r="H13" s="11"/>
      <c r="I13" s="12"/>
      <c r="J13" s="12"/>
      <c r="K13" s="2"/>
      <c r="L13" s="10"/>
      <c r="M13" s="10"/>
      <c r="N13" s="18"/>
      <c r="O13" s="22"/>
      <c r="P13" s="3"/>
    </row>
    <row r="14" spans="3:16" ht="15.75" x14ac:dyDescent="0.5">
      <c r="L14" s="1"/>
      <c r="M14" s="1"/>
      <c r="N14" s="23">
        <f>SUM(N8:N13)</f>
        <v>4.7789918087347081</v>
      </c>
      <c r="O14" s="24">
        <f>SUM(O8:O12)</f>
        <v>1796.5017742674099</v>
      </c>
      <c r="P14" s="3"/>
    </row>
    <row r="18" spans="3:6" ht="15.4" x14ac:dyDescent="0.45">
      <c r="C18" s="29" t="s">
        <v>25</v>
      </c>
      <c r="D18" s="13"/>
    </row>
    <row r="19" spans="3:6" ht="15.4" x14ac:dyDescent="0.45">
      <c r="C19" s="13" t="s">
        <v>27</v>
      </c>
      <c r="D19" s="28">
        <v>0.03</v>
      </c>
    </row>
    <row r="20" spans="3:6" ht="15.4" x14ac:dyDescent="0.45">
      <c r="C20" s="13" t="s">
        <v>26</v>
      </c>
      <c r="D20" s="32">
        <v>20000</v>
      </c>
    </row>
    <row r="21" spans="3:6" ht="15.4" x14ac:dyDescent="0.45">
      <c r="C21" s="13" t="s">
        <v>19</v>
      </c>
      <c r="D21" s="35">
        <f>E21+F21</f>
        <v>717.20174680572245</v>
      </c>
      <c r="E21" s="32">
        <f>D20*(11596.93-8108.67)*(1.03)^(0.5)/38013.61</f>
        <v>1862.5946070814418</v>
      </c>
      <c r="F21" s="32">
        <f>-D20/30*(420943.89-121439.84-29*8108.67)/38013.61*1.03^0.5</f>
        <v>-1145.3928602757194</v>
      </c>
    </row>
    <row r="22" spans="3:6" ht="15.4" x14ac:dyDescent="0.45">
      <c r="C22" s="36" t="s">
        <v>3</v>
      </c>
      <c r="D22" s="19">
        <f>D21/(906972.42-575498.8)*38013.61</f>
        <v>82.249162073263875</v>
      </c>
    </row>
  </sheetData>
  <pageMargins left="0.7" right="0.7" top="0.75" bottom="0.75" header="0.3" footer="0.3"/>
  <pageSetup paperSize="9" scale="84" orientation="landscape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C2:P57"/>
  <sheetViews>
    <sheetView workbookViewId="0">
      <selection activeCell="J10" sqref="J10"/>
    </sheetView>
  </sheetViews>
  <sheetFormatPr defaultColWidth="9.1328125" defaultRowHeight="15" x14ac:dyDescent="0.4"/>
  <cols>
    <col min="1" max="3" width="9.1328125" style="13"/>
    <col min="4" max="4" width="14" style="13" customWidth="1"/>
    <col min="5" max="5" width="14.59765625" style="13" customWidth="1"/>
    <col min="6" max="6" width="12.73046875" style="13" bestFit="1" customWidth="1"/>
    <col min="7" max="7" width="15" style="13" bestFit="1" customWidth="1"/>
    <col min="8" max="8" width="16.1328125" style="13" bestFit="1" customWidth="1"/>
    <col min="9" max="9" width="12.86328125" style="13" bestFit="1" customWidth="1"/>
    <col min="10" max="10" width="14" style="13" customWidth="1"/>
    <col min="11" max="11" width="13.86328125" style="13" customWidth="1"/>
    <col min="12" max="12" width="10.73046875" style="13" bestFit="1" customWidth="1"/>
    <col min="13" max="13" width="11.59765625" style="13" bestFit="1" customWidth="1"/>
    <col min="14" max="14" width="14.86328125" style="13" bestFit="1" customWidth="1"/>
    <col min="15" max="15" width="9.1328125" style="13"/>
    <col min="16" max="16" width="11.59765625" style="13" bestFit="1" customWidth="1"/>
    <col min="17" max="16384" width="9.1328125" style="13"/>
  </cols>
  <sheetData>
    <row r="2" spans="3:16" x14ac:dyDescent="0.4">
      <c r="C2" s="29" t="s">
        <v>30</v>
      </c>
    </row>
    <row r="3" spans="3:16" x14ac:dyDescent="0.4">
      <c r="C3" s="13" t="s">
        <v>12</v>
      </c>
      <c r="D3" s="32">
        <v>100000</v>
      </c>
    </row>
    <row r="4" spans="3:16" x14ac:dyDescent="0.4">
      <c r="C4" s="13" t="s">
        <v>13</v>
      </c>
      <c r="D4" s="13">
        <v>5</v>
      </c>
    </row>
    <row r="5" spans="3:16" x14ac:dyDescent="0.4">
      <c r="C5" s="13" t="s">
        <v>16</v>
      </c>
      <c r="D5" s="28">
        <v>0.02</v>
      </c>
      <c r="E5" s="13" t="s">
        <v>42</v>
      </c>
      <c r="F5" s="40">
        <v>0.04</v>
      </c>
      <c r="G5" s="13" t="s">
        <v>43</v>
      </c>
    </row>
    <row r="6" spans="3:16" x14ac:dyDescent="0.4">
      <c r="C6" s="29" t="s">
        <v>10</v>
      </c>
    </row>
    <row r="7" spans="3:16" ht="18" x14ac:dyDescent="0.4">
      <c r="C7" s="4" t="s">
        <v>0</v>
      </c>
      <c r="D7" s="5" t="s">
        <v>31</v>
      </c>
      <c r="E7" s="4" t="s">
        <v>32</v>
      </c>
      <c r="F7" s="5" t="s">
        <v>28</v>
      </c>
      <c r="G7" s="5" t="s">
        <v>33</v>
      </c>
      <c r="H7" s="4" t="s">
        <v>34</v>
      </c>
      <c r="I7" s="5" t="s">
        <v>35</v>
      </c>
      <c r="J7" s="4" t="s">
        <v>36</v>
      </c>
      <c r="K7" s="4" t="s">
        <v>29</v>
      </c>
      <c r="L7" s="5" t="s">
        <v>37</v>
      </c>
      <c r="M7" s="4" t="s">
        <v>38</v>
      </c>
      <c r="N7" s="44" t="s">
        <v>39</v>
      </c>
      <c r="O7" s="45" t="s">
        <v>40</v>
      </c>
      <c r="P7" s="5" t="s">
        <v>41</v>
      </c>
    </row>
    <row r="8" spans="3:16" x14ac:dyDescent="0.4">
      <c r="C8" s="9">
        <v>0</v>
      </c>
      <c r="D8" s="2">
        <v>0</v>
      </c>
      <c r="E8" s="26">
        <f>D8+$K$23</f>
        <v>18815.693888561276</v>
      </c>
      <c r="F8" s="50"/>
      <c r="G8" s="46"/>
      <c r="H8" s="43"/>
      <c r="I8" s="15">
        <v>2E-3</v>
      </c>
      <c r="J8" s="47">
        <f>0.85*I8</f>
        <v>1.6999999999999999E-3</v>
      </c>
      <c r="K8" s="47">
        <f>I8-J8</f>
        <v>3.0000000000000014E-4</v>
      </c>
      <c r="L8" s="46"/>
      <c r="M8" s="43"/>
      <c r="N8" s="55">
        <v>1</v>
      </c>
      <c r="O8" s="9">
        <v>1</v>
      </c>
      <c r="P8" s="46"/>
    </row>
    <row r="9" spans="3:16" x14ac:dyDescent="0.4">
      <c r="C9" s="9">
        <v>1</v>
      </c>
      <c r="D9" s="25">
        <f>((D8+$K$23)*1.02-50000*I8)/(1-I8)</f>
        <v>19130.268302938381</v>
      </c>
      <c r="E9" s="26">
        <f t="shared" ref="E9:E12" si="0">D9+$K$23</f>
        <v>37945.962191499653</v>
      </c>
      <c r="F9" s="50">
        <f t="shared" ref="F9:F13" si="1">4%-2%</f>
        <v>0.02</v>
      </c>
      <c r="G9" s="51">
        <f>E8*F9</f>
        <v>376.31387777122552</v>
      </c>
      <c r="H9" s="26">
        <f>50000-D9</f>
        <v>30869.731697061619</v>
      </c>
      <c r="I9" s="15">
        <v>2.0999999999999999E-3</v>
      </c>
      <c r="J9" s="47">
        <f t="shared" ref="J9:J13" si="2">0.85*I9</f>
        <v>1.7849999999999999E-3</v>
      </c>
      <c r="K9" s="47">
        <f t="shared" ref="K9:K13" si="3">I9-J9</f>
        <v>3.1499999999999996E-4</v>
      </c>
      <c r="L9" s="52">
        <f>H9*K8</f>
        <v>9.2609195091184908</v>
      </c>
      <c r="M9" s="53">
        <f>G9+L9</f>
        <v>385.574797280344</v>
      </c>
      <c r="N9" s="55">
        <f>(1-J8)</f>
        <v>0.99829999999999997</v>
      </c>
      <c r="O9" s="9">
        <f>1.04^(-C9)*N9</f>
        <v>0.95990384615384605</v>
      </c>
      <c r="P9" s="27">
        <f>M9/1.04*O8</f>
        <v>370.74499738494615</v>
      </c>
    </row>
    <row r="10" spans="3:16" x14ac:dyDescent="0.4">
      <c r="C10" s="9">
        <v>2</v>
      </c>
      <c r="D10" s="25">
        <f t="shared" ref="D10:D13" si="4">((D9+$K$23)*1.02-50000*I9)/(1-I9)</f>
        <v>38681.111770046744</v>
      </c>
      <c r="E10" s="26">
        <f t="shared" si="0"/>
        <v>57496.80565860802</v>
      </c>
      <c r="F10" s="50">
        <f t="shared" si="1"/>
        <v>0.02</v>
      </c>
      <c r="G10" s="51">
        <f>E9*F10</f>
        <v>758.91924382999309</v>
      </c>
      <c r="H10" s="26">
        <f t="shared" ref="H10:H13" si="5">50000-D10</f>
        <v>11318.888229953256</v>
      </c>
      <c r="I10" s="15">
        <v>2.2000000000000001E-3</v>
      </c>
      <c r="J10" s="47">
        <f t="shared" si="2"/>
        <v>1.8700000000000001E-3</v>
      </c>
      <c r="K10" s="47">
        <f t="shared" si="3"/>
        <v>3.3E-4</v>
      </c>
      <c r="L10" s="52">
        <f>H10*K9</f>
        <v>3.5654497924352753</v>
      </c>
      <c r="M10" s="54">
        <f t="shared" ref="M10:M12" si="6">G10+L10</f>
        <v>762.48469362242838</v>
      </c>
      <c r="N10" s="55">
        <f>N9*(1-J9)</f>
        <v>0.99651803449999998</v>
      </c>
      <c r="O10" s="9">
        <f t="shared" ref="O10:O11" si="7">1.04^(-C10)*N10</f>
        <v>0.92133694018121293</v>
      </c>
      <c r="P10" s="25">
        <f>M10/1.04*O9</f>
        <v>703.76152888615957</v>
      </c>
    </row>
    <row r="11" spans="3:16" x14ac:dyDescent="0.4">
      <c r="C11" s="9">
        <v>3</v>
      </c>
      <c r="D11" s="25">
        <f t="shared" si="4"/>
        <v>58665.806546181782</v>
      </c>
      <c r="E11" s="26">
        <f t="shared" si="0"/>
        <v>77481.500434743066</v>
      </c>
      <c r="F11" s="50">
        <f t="shared" si="1"/>
        <v>0.02</v>
      </c>
      <c r="G11" s="51">
        <f>E10*F11</f>
        <v>1149.9361131721605</v>
      </c>
      <c r="H11" s="26">
        <f t="shared" si="5"/>
        <v>-8665.8065461817823</v>
      </c>
      <c r="I11" s="15">
        <v>2.3999999999999998E-3</v>
      </c>
      <c r="J11" s="47">
        <f t="shared" si="2"/>
        <v>2.0399999999999997E-3</v>
      </c>
      <c r="K11" s="47">
        <f t="shared" si="3"/>
        <v>3.6000000000000008E-4</v>
      </c>
      <c r="L11" s="52">
        <f>H11*K10</f>
        <v>-2.8597161602399881</v>
      </c>
      <c r="M11" s="54">
        <f t="shared" si="6"/>
        <v>1147.0763970119206</v>
      </c>
      <c r="N11" s="55">
        <f>N10*(1-J10)</f>
        <v>0.99465454577548496</v>
      </c>
      <c r="O11" s="9">
        <f t="shared" si="7"/>
        <v>0.88424426932987898</v>
      </c>
      <c r="P11" s="25">
        <f>M11/1.04*O10</f>
        <v>1016.1960170933203</v>
      </c>
    </row>
    <row r="12" spans="3:16" x14ac:dyDescent="0.4">
      <c r="C12" s="9">
        <v>4</v>
      </c>
      <c r="D12" s="25">
        <f t="shared" si="4"/>
        <v>79100.972778105381</v>
      </c>
      <c r="E12" s="26">
        <f t="shared" si="0"/>
        <v>97916.666666666657</v>
      </c>
      <c r="F12" s="50">
        <f t="shared" si="1"/>
        <v>0.02</v>
      </c>
      <c r="G12" s="51">
        <f>E11*F12</f>
        <v>1549.6300086948613</v>
      </c>
      <c r="H12" s="26">
        <f t="shared" si="5"/>
        <v>-29100.972778105381</v>
      </c>
      <c r="I12" s="15">
        <v>2.5000000000000001E-3</v>
      </c>
      <c r="J12" s="47">
        <f t="shared" si="2"/>
        <v>2.1250000000000002E-3</v>
      </c>
      <c r="K12" s="47">
        <f t="shared" si="3"/>
        <v>3.749999999999999E-4</v>
      </c>
      <c r="L12" s="52">
        <f>H12*K11</f>
        <v>-10.47635020011794</v>
      </c>
      <c r="M12" s="54">
        <f t="shared" si="6"/>
        <v>1539.1536584947435</v>
      </c>
      <c r="N12" s="55">
        <f>N11*(1-J11)</f>
        <v>0.99262545050210294</v>
      </c>
      <c r="O12" s="9">
        <f>1.04^(-C12)*N12</f>
        <v>0.84850039521196718</v>
      </c>
      <c r="P12" s="25">
        <f>M12/1.04*O11</f>
        <v>1308.6421174443215</v>
      </c>
    </row>
    <row r="13" spans="3:16" x14ac:dyDescent="0.4">
      <c r="C13" s="9">
        <v>5</v>
      </c>
      <c r="D13" s="25">
        <f t="shared" si="4"/>
        <v>99999.999999999985</v>
      </c>
      <c r="E13" s="26">
        <f>D13</f>
        <v>99999.999999999985</v>
      </c>
      <c r="F13" s="50">
        <f t="shared" si="1"/>
        <v>0.02</v>
      </c>
      <c r="G13" s="51">
        <f>E12*F13</f>
        <v>1958.3333333333333</v>
      </c>
      <c r="H13" s="26">
        <f t="shared" si="5"/>
        <v>-49999.999999999985</v>
      </c>
      <c r="I13" s="15">
        <v>2.8E-3</v>
      </c>
      <c r="J13" s="47">
        <f t="shared" si="2"/>
        <v>2.3799999999999997E-3</v>
      </c>
      <c r="K13" s="47">
        <f t="shared" si="3"/>
        <v>4.2000000000000023E-4</v>
      </c>
      <c r="L13" s="52">
        <f>H13*K12</f>
        <v>-18.749999999999989</v>
      </c>
      <c r="M13" s="54">
        <f>G13+L13</f>
        <v>1939.5833333333333</v>
      </c>
      <c r="N13" s="55">
        <f>N12*(1-J12)</f>
        <v>0.99051612141978596</v>
      </c>
      <c r="O13" s="9">
        <f>1.04^(-C13)*N13</f>
        <v>0.81413204987705923</v>
      </c>
      <c r="P13" s="25">
        <f>M13/1.04*O12</f>
        <v>1582.4396393075749</v>
      </c>
    </row>
    <row r="14" spans="3:16" x14ac:dyDescent="0.4">
      <c r="O14" s="56" t="s">
        <v>47</v>
      </c>
      <c r="P14" s="34">
        <f>SUM(P9:P13)</f>
        <v>4981.7843001163219</v>
      </c>
    </row>
    <row r="16" spans="3:16" ht="18" x14ac:dyDescent="0.4">
      <c r="C16" s="4" t="s">
        <v>0</v>
      </c>
      <c r="D16" s="5" t="s">
        <v>35</v>
      </c>
      <c r="E16" s="4" t="s">
        <v>44</v>
      </c>
      <c r="F16" s="5" t="s">
        <v>45</v>
      </c>
      <c r="G16" s="5" t="s">
        <v>14</v>
      </c>
      <c r="H16" s="4" t="s">
        <v>23</v>
      </c>
      <c r="I16" s="4" t="s">
        <v>15</v>
      </c>
      <c r="J16" s="14" t="s">
        <v>46</v>
      </c>
      <c r="K16" s="49" t="s">
        <v>3</v>
      </c>
      <c r="P16" s="13">
        <v>4956.9010815191086</v>
      </c>
    </row>
    <row r="17" spans="3:16" x14ac:dyDescent="0.4">
      <c r="C17" s="9">
        <v>0</v>
      </c>
      <c r="D17" s="15">
        <v>2E-3</v>
      </c>
      <c r="E17" s="9">
        <f t="shared" ref="E17:E22" si="8">1.02^(-1)</f>
        <v>0.98039215686274506</v>
      </c>
      <c r="F17" s="25">
        <f>E17*D17*$D$3/2</f>
        <v>98.039215686274503</v>
      </c>
      <c r="G17" s="15">
        <v>1</v>
      </c>
      <c r="H17" s="43">
        <f>1.02^(-C17)</f>
        <v>1</v>
      </c>
      <c r="I17" s="15">
        <f>G17*H17</f>
        <v>1</v>
      </c>
      <c r="J17" s="41">
        <f>F17*I17</f>
        <v>98.039215686274503</v>
      </c>
      <c r="K17" s="14"/>
    </row>
    <row r="18" spans="3:16" x14ac:dyDescent="0.4">
      <c r="C18" s="9">
        <v>1</v>
      </c>
      <c r="D18" s="15">
        <v>2.0999999999999999E-3</v>
      </c>
      <c r="E18" s="9">
        <f t="shared" si="8"/>
        <v>0.98039215686274506</v>
      </c>
      <c r="F18" s="25">
        <f t="shared" ref="F18:F20" si="9">E18*D18*$D$3/2</f>
        <v>102.94117647058822</v>
      </c>
      <c r="G18" s="15">
        <f>(1-D17)</f>
        <v>0.998</v>
      </c>
      <c r="H18" s="43">
        <f>1.02^(-C18)</f>
        <v>0.98039215686274506</v>
      </c>
      <c r="I18" s="15">
        <f t="shared" ref="I18:I21" si="10">G18*H18</f>
        <v>0.97843137254901957</v>
      </c>
      <c r="J18" s="41">
        <f t="shared" ref="J18:J21" si="11">F18*I18</f>
        <v>100.72087658592847</v>
      </c>
      <c r="K18" s="14"/>
      <c r="M18" s="57" t="s">
        <v>48</v>
      </c>
      <c r="N18" s="57"/>
      <c r="O18" s="57"/>
      <c r="P18" s="58">
        <f>J23-J33</f>
        <v>8254.0256738151074</v>
      </c>
    </row>
    <row r="19" spans="3:16" x14ac:dyDescent="0.4">
      <c r="C19" s="9">
        <v>2</v>
      </c>
      <c r="D19" s="15">
        <v>2.2000000000000001E-3</v>
      </c>
      <c r="E19" s="9">
        <f t="shared" si="8"/>
        <v>0.98039215686274506</v>
      </c>
      <c r="F19" s="25">
        <f t="shared" si="9"/>
        <v>107.84313725490196</v>
      </c>
      <c r="G19" s="15">
        <f>G18*(1-D18)</f>
        <v>0.99590420000000002</v>
      </c>
      <c r="H19" s="43">
        <f>1.02^(-C19)</f>
        <v>0.96116878123798544</v>
      </c>
      <c r="I19" s="15">
        <f t="shared" si="10"/>
        <v>0.95723202614379088</v>
      </c>
      <c r="J19" s="41">
        <f t="shared" si="11"/>
        <v>103.23090478021274</v>
      </c>
      <c r="K19" s="14"/>
    </row>
    <row r="20" spans="3:16" x14ac:dyDescent="0.4">
      <c r="C20" s="9">
        <v>3</v>
      </c>
      <c r="D20" s="15">
        <v>2.3999999999999998E-3</v>
      </c>
      <c r="E20" s="9">
        <f t="shared" si="8"/>
        <v>0.98039215686274506</v>
      </c>
      <c r="F20" s="25">
        <f t="shared" si="9"/>
        <v>117.64705882352941</v>
      </c>
      <c r="G20" s="15">
        <f>G19*(1-D19)</f>
        <v>0.99371321076000008</v>
      </c>
      <c r="H20" s="43">
        <f>1.02^(-C20)</f>
        <v>0.94232233454704462</v>
      </c>
      <c r="I20" s="15">
        <f t="shared" si="10"/>
        <v>0.9363981526336026</v>
      </c>
      <c r="J20" s="41">
        <f t="shared" si="11"/>
        <v>110.16448854512971</v>
      </c>
      <c r="K20" s="14"/>
    </row>
    <row r="21" spans="3:16" x14ac:dyDescent="0.4">
      <c r="C21" s="9">
        <v>4</v>
      </c>
      <c r="D21" s="15">
        <v>2.5000000000000001E-3</v>
      </c>
      <c r="E21" s="9">
        <f t="shared" si="8"/>
        <v>0.98039215686274506</v>
      </c>
      <c r="F21" s="25">
        <f>E21*D21*$D$3/2+E21*(1-D21)*$D$3</f>
        <v>97916.666666666672</v>
      </c>
      <c r="G21" s="15">
        <f>G20*(1-D20)</f>
        <v>0.99132829905417608</v>
      </c>
      <c r="H21" s="43">
        <f>1.02^(-C21)</f>
        <v>0.9238454260265142</v>
      </c>
      <c r="I21" s="15">
        <f t="shared" si="10"/>
        <v>0.91583411477184495</v>
      </c>
      <c r="J21" s="41">
        <f t="shared" si="11"/>
        <v>89675.423738076483</v>
      </c>
      <c r="K21" s="14"/>
    </row>
    <row r="22" spans="3:16" x14ac:dyDescent="0.4">
      <c r="C22" s="9">
        <v>5</v>
      </c>
      <c r="D22" s="15">
        <v>2.8E-3</v>
      </c>
      <c r="E22" s="9">
        <f t="shared" si="8"/>
        <v>0.98039215686274506</v>
      </c>
      <c r="F22" s="2"/>
      <c r="G22" s="2"/>
      <c r="H22" s="9"/>
      <c r="I22" s="15"/>
      <c r="J22" s="14"/>
      <c r="K22" s="14"/>
    </row>
    <row r="23" spans="3:16" x14ac:dyDescent="0.4">
      <c r="C23" s="14"/>
      <c r="D23" s="14"/>
      <c r="E23" s="14"/>
      <c r="F23" s="14"/>
      <c r="G23" s="14"/>
      <c r="H23" s="14"/>
      <c r="I23" s="17">
        <f>SUM(I17:I21)</f>
        <v>4.7878956660982581</v>
      </c>
      <c r="J23" s="19">
        <f>SUM(J17:J21)</f>
        <v>90087.579223674024</v>
      </c>
      <c r="K23" s="48">
        <f>J23/I23</f>
        <v>18815.693888561276</v>
      </c>
    </row>
    <row r="26" spans="3:16" ht="18" x14ac:dyDescent="0.4">
      <c r="C26" s="59" t="s">
        <v>0</v>
      </c>
      <c r="D26" s="60" t="s">
        <v>49</v>
      </c>
      <c r="E26" s="59" t="s">
        <v>44</v>
      </c>
      <c r="F26" s="60" t="s">
        <v>45</v>
      </c>
      <c r="G26" s="60" t="s">
        <v>14</v>
      </c>
      <c r="H26" s="59" t="s">
        <v>23</v>
      </c>
      <c r="I26" s="59" t="s">
        <v>15</v>
      </c>
      <c r="J26" s="61" t="s">
        <v>46</v>
      </c>
      <c r="K26" s="62" t="s">
        <v>3</v>
      </c>
    </row>
    <row r="27" spans="3:16" x14ac:dyDescent="0.4">
      <c r="C27" s="63">
        <v>0</v>
      </c>
      <c r="D27" s="64">
        <v>1.6999999999999999E-3</v>
      </c>
      <c r="E27" s="63">
        <f>1.04^(-1)</f>
        <v>0.96153846153846145</v>
      </c>
      <c r="F27" s="65">
        <f>E27*D27*$D$3/2</f>
        <v>81.730769230769212</v>
      </c>
      <c r="G27" s="64">
        <v>1</v>
      </c>
      <c r="H27" s="66">
        <f>1.04^(-C27)</f>
        <v>1</v>
      </c>
      <c r="I27" s="64">
        <f>G27*H27</f>
        <v>1</v>
      </c>
      <c r="J27" s="67">
        <f>F27*I27</f>
        <v>81.730769230769212</v>
      </c>
      <c r="K27" s="61"/>
    </row>
    <row r="28" spans="3:16" x14ac:dyDescent="0.4">
      <c r="C28" s="63">
        <v>1</v>
      </c>
      <c r="D28" s="64">
        <v>1.7849999999999999E-3</v>
      </c>
      <c r="E28" s="63">
        <f t="shared" ref="E28:E32" si="12">1.04^(-1)</f>
        <v>0.96153846153846145</v>
      </c>
      <c r="F28" s="65">
        <f t="shared" ref="F28:F29" si="13">E28*D28*$D$3/2</f>
        <v>85.817307692307679</v>
      </c>
      <c r="G28" s="64">
        <f>(1-D27)</f>
        <v>0.99829999999999997</v>
      </c>
      <c r="H28" s="66">
        <f>1.04^(-C28)</f>
        <v>0.96153846153846145</v>
      </c>
      <c r="I28" s="64">
        <f>G28*H28</f>
        <v>0.95990384615384605</v>
      </c>
      <c r="J28" s="67">
        <f t="shared" ref="J28:J31" si="14">F28*I28</f>
        <v>82.376363720414176</v>
      </c>
      <c r="K28" s="61"/>
    </row>
    <row r="29" spans="3:16" x14ac:dyDescent="0.4">
      <c r="C29" s="63">
        <v>2</v>
      </c>
      <c r="D29" s="64">
        <v>1.8700000000000001E-3</v>
      </c>
      <c r="E29" s="63">
        <f t="shared" si="12"/>
        <v>0.96153846153846145</v>
      </c>
      <c r="F29" s="65">
        <f t="shared" si="13"/>
        <v>89.90384615384616</v>
      </c>
      <c r="G29" s="64">
        <f>G28*(1-D28)</f>
        <v>0.99651803449999998</v>
      </c>
      <c r="H29" s="66">
        <f>1.04^(-C29)</f>
        <v>0.92455621301775137</v>
      </c>
      <c r="I29" s="64">
        <f>G29*H29</f>
        <v>0.92133694018121293</v>
      </c>
      <c r="J29" s="67">
        <f t="shared" si="14"/>
        <v>82.831734525907123</v>
      </c>
      <c r="K29" s="61"/>
    </row>
    <row r="30" spans="3:16" x14ac:dyDescent="0.4">
      <c r="C30" s="63">
        <v>3</v>
      </c>
      <c r="D30" s="64">
        <v>2.0399999999999997E-3</v>
      </c>
      <c r="E30" s="63">
        <f t="shared" si="12"/>
        <v>0.96153846153846145</v>
      </c>
      <c r="F30" s="65">
        <f>E30*D30*$D$3/2</f>
        <v>98.076923076923066</v>
      </c>
      <c r="G30" s="64">
        <f>G29*(1-D29)</f>
        <v>0.99465454577548496</v>
      </c>
      <c r="H30" s="66">
        <f>1.04^(-C30)</f>
        <v>0.88899635867091487</v>
      </c>
      <c r="I30" s="64">
        <f>G30*H30</f>
        <v>0.88424426932987898</v>
      </c>
      <c r="J30" s="67">
        <f t="shared" si="14"/>
        <v>86.723957184276586</v>
      </c>
      <c r="K30" s="61"/>
    </row>
    <row r="31" spans="3:16" x14ac:dyDescent="0.4">
      <c r="C31" s="63">
        <v>4</v>
      </c>
      <c r="D31" s="64">
        <v>2.1250000000000002E-3</v>
      </c>
      <c r="E31" s="63">
        <f t="shared" si="12"/>
        <v>0.96153846153846145</v>
      </c>
      <c r="F31" s="65">
        <f>E31*D31*$D$3/2+E31*(1-D31)*$D$3</f>
        <v>96051.682692307688</v>
      </c>
      <c r="G31" s="64">
        <f>G30*(1-D30)</f>
        <v>0.99262545050210294</v>
      </c>
      <c r="H31" s="66">
        <f>1.04^(-C31)</f>
        <v>0.85480419102972571</v>
      </c>
      <c r="I31" s="64">
        <f>G31*H31</f>
        <v>0.84850039521196718</v>
      </c>
      <c r="J31" s="67">
        <f t="shared" si="14"/>
        <v>81499.890725197547</v>
      </c>
      <c r="K31" s="61"/>
    </row>
    <row r="32" spans="3:16" x14ac:dyDescent="0.4">
      <c r="C32" s="63">
        <v>5</v>
      </c>
      <c r="D32" s="64">
        <v>2.3799999999999997E-3</v>
      </c>
      <c r="E32" s="63">
        <f t="shared" si="12"/>
        <v>0.96153846153846145</v>
      </c>
      <c r="F32" s="68"/>
      <c r="G32" s="68"/>
      <c r="H32" s="63"/>
      <c r="I32" s="64"/>
      <c r="J32" s="61"/>
      <c r="K32" s="61"/>
    </row>
    <row r="33" spans="3:11" x14ac:dyDescent="0.4">
      <c r="C33" s="61"/>
      <c r="D33" s="61"/>
      <c r="E33" s="61"/>
      <c r="F33" s="61"/>
      <c r="G33" s="61"/>
      <c r="H33" s="61"/>
      <c r="I33" s="69">
        <f>SUM(I27:I31)</f>
        <v>4.6139854508769051</v>
      </c>
      <c r="J33" s="70">
        <f>SUM(J27:J31)</f>
        <v>81833.553549858916</v>
      </c>
      <c r="K33" s="71">
        <f>J33/I33</f>
        <v>17735.979972434925</v>
      </c>
    </row>
    <row r="36" spans="3:11" x14ac:dyDescent="0.4">
      <c r="C36" s="29" t="s">
        <v>59</v>
      </c>
      <c r="F36" s="42" t="s">
        <v>51</v>
      </c>
      <c r="G36" s="42" t="s">
        <v>52</v>
      </c>
      <c r="H36" s="42" t="s">
        <v>53</v>
      </c>
      <c r="I36" s="42" t="s">
        <v>54</v>
      </c>
    </row>
    <row r="37" spans="3:11" x14ac:dyDescent="0.4">
      <c r="C37" s="13" t="s">
        <v>26</v>
      </c>
      <c r="D37" s="13">
        <v>1000</v>
      </c>
      <c r="F37" s="42">
        <v>40</v>
      </c>
      <c r="G37" s="42">
        <f>[1]!dx(1,F37,2%)</f>
        <v>43310.363294579307</v>
      </c>
      <c r="H37" s="42">
        <f>[1]!nx(1,F37,2%)</f>
        <v>321326.1166032512</v>
      </c>
      <c r="I37" s="42">
        <f>[1]!mx(1,F37,2%)</f>
        <v>763.44657397253661</v>
      </c>
    </row>
    <row r="38" spans="3:11" x14ac:dyDescent="0.4">
      <c r="C38" s="13" t="s">
        <v>19</v>
      </c>
      <c r="D38" s="33">
        <f>D37*(20%*G38/G37+30%*G41/G37+50%*1.15*G42/G37+1/3*(I37-I42)/G37)</f>
        <v>577.10798200635611</v>
      </c>
      <c r="F38" s="42">
        <v>50</v>
      </c>
      <c r="G38" s="42">
        <f>[1]!dx(1,F38,2%)</f>
        <v>34558.037483921449</v>
      </c>
      <c r="H38" s="42">
        <f>[1]!nx(1,F38,2%)</f>
        <v>0</v>
      </c>
      <c r="I38" s="42">
        <f>[1]!mx(1,F38,2%)</f>
        <v>0</v>
      </c>
    </row>
    <row r="39" spans="3:11" x14ac:dyDescent="0.4">
      <c r="C39" s="13" t="s">
        <v>3</v>
      </c>
      <c r="D39" s="33">
        <f>D38/(H37-H39)*G37</f>
        <v>77.786258475088175</v>
      </c>
      <c r="F39" s="42">
        <v>55</v>
      </c>
      <c r="G39" s="42">
        <f>[1]!dx(1,F39,2%)</f>
        <v>30430.41579134962</v>
      </c>
      <c r="H39" s="42">
        <f>[1]!nx(1,F39,2%)</f>
        <v>0</v>
      </c>
      <c r="I39" s="42">
        <f>[1]!mx(1,F39,2%)</f>
        <v>0</v>
      </c>
    </row>
    <row r="40" spans="3:11" x14ac:dyDescent="0.4">
      <c r="C40" s="13" t="s">
        <v>50</v>
      </c>
      <c r="D40" s="33">
        <f>30%*D37*G41/G40+50%*1.15*D37*G42/G40+1/3*D37*(I40-I42)/G40-D39*(H40-H39)/G40</f>
        <v>541.90945178302275</v>
      </c>
      <c r="F40" s="42">
        <v>52</v>
      </c>
      <c r="G40" s="42">
        <f>[1]!dx(1,F40,2%)</f>
        <v>32899.715282926722</v>
      </c>
      <c r="H40" s="42">
        <f>[1]!nx(1,F40,2%)</f>
        <v>0</v>
      </c>
      <c r="I40" s="42">
        <f>[1]!mx(1,F40,2%)</f>
        <v>0</v>
      </c>
    </row>
    <row r="41" spans="3:11" x14ac:dyDescent="0.4">
      <c r="F41" s="42">
        <v>60</v>
      </c>
      <c r="G41" s="42">
        <f>[1]!dx(1,F41,2%)</f>
        <v>26237.181408129032</v>
      </c>
      <c r="H41" s="42">
        <f>[1]!nx(1,F41,2%)</f>
        <v>0</v>
      </c>
      <c r="I41" s="42">
        <f>[1]!mx(1,F41,2%)</f>
        <v>0</v>
      </c>
    </row>
    <row r="42" spans="3:11" x14ac:dyDescent="0.4">
      <c r="F42" s="42">
        <v>70</v>
      </c>
      <c r="G42" s="42">
        <f>[1]!dx(1,F42,2%)</f>
        <v>17317.41260930373</v>
      </c>
      <c r="H42" s="42">
        <f>[1]!nx(1,F42,2%)</f>
        <v>0</v>
      </c>
      <c r="I42" s="42">
        <f>[1]!mx(1,F42,2%)</f>
        <v>0</v>
      </c>
    </row>
    <row r="45" spans="3:11" x14ac:dyDescent="0.4">
      <c r="C45" s="29" t="s">
        <v>58</v>
      </c>
      <c r="F45" s="42" t="s">
        <v>51</v>
      </c>
      <c r="G45" s="42" t="s">
        <v>52</v>
      </c>
      <c r="H45" s="42" t="s">
        <v>53</v>
      </c>
      <c r="I45" s="42" t="s">
        <v>54</v>
      </c>
    </row>
    <row r="46" spans="3:11" x14ac:dyDescent="0.4">
      <c r="C46" s="13" t="s">
        <v>26</v>
      </c>
      <c r="D46" s="13">
        <v>10000</v>
      </c>
      <c r="F46" s="42">
        <v>30</v>
      </c>
      <c r="G46" s="42">
        <f>[1]!dx(1,F46,2%)</f>
        <v>53622.093375729833</v>
      </c>
      <c r="H46" s="42">
        <f>[1]!nx(1,F46,2%)</f>
        <v>809345.68425843026</v>
      </c>
      <c r="I46" s="42">
        <f>[1]!mx(1,F46,2%)</f>
        <v>1506.1655246293551</v>
      </c>
    </row>
    <row r="47" spans="3:11" x14ac:dyDescent="0.4">
      <c r="C47" s="13" t="s">
        <v>55</v>
      </c>
      <c r="D47" s="32">
        <f>10000*(I46-I47)/G46</f>
        <v>217.30424470431694</v>
      </c>
      <c r="F47" s="42">
        <v>45</v>
      </c>
      <c r="G47" s="42">
        <f>[1]!dx(1,F47,2%)</f>
        <v>38820.204995934815</v>
      </c>
      <c r="H47" s="42">
        <f>[1]!nx(1,F47,2%)</f>
        <v>113876.15024131892</v>
      </c>
      <c r="I47" s="42">
        <f>[1]!mx(1,F47,2%)</f>
        <v>340.93467458162212</v>
      </c>
    </row>
    <row r="48" spans="3:11" x14ac:dyDescent="0.4">
      <c r="C48" s="13" t="s">
        <v>56</v>
      </c>
      <c r="D48" s="32">
        <f>(D47+0.006*10000+0.005*10000*(H46-H47)/G46)/(1-8%-G47/G46)</f>
        <v>4722.4638329545642</v>
      </c>
    </row>
    <row r="49" spans="3:4" x14ac:dyDescent="0.4">
      <c r="C49" s="13" t="s">
        <v>57</v>
      </c>
      <c r="D49" s="32">
        <f>(D47/(H46-H47)*G46+0.006*10000/(H46-H47)*G46+0.005*10000)/(1-8%-15*G47/(H46-H47))</f>
        <v>862.92478993606755</v>
      </c>
    </row>
    <row r="52" spans="3:4" x14ac:dyDescent="0.4">
      <c r="C52" s="29" t="s">
        <v>60</v>
      </c>
    </row>
    <row r="53" spans="3:4" x14ac:dyDescent="0.4">
      <c r="C53" s="13" t="s">
        <v>61</v>
      </c>
      <c r="D53" s="13">
        <v>1.1000000000000001</v>
      </c>
    </row>
    <row r="54" spans="3:4" x14ac:dyDescent="0.4">
      <c r="C54" s="13" t="s">
        <v>62</v>
      </c>
      <c r="D54" s="13">
        <f>LN(D53)</f>
        <v>9.5310179804324935E-2</v>
      </c>
    </row>
    <row r="55" spans="3:4" x14ac:dyDescent="0.4">
      <c r="C55" s="13" t="s">
        <v>63</v>
      </c>
      <c r="D55" s="32">
        <f>1/D54*LN(EXP(D54*35)+EXP(D54*50))</f>
        <v>52.25181588223704</v>
      </c>
    </row>
    <row r="56" spans="3:4" x14ac:dyDescent="0.4">
      <c r="C56" s="13" t="s">
        <v>51</v>
      </c>
      <c r="D56" s="13">
        <v>35</v>
      </c>
    </row>
    <row r="57" spans="3:4" x14ac:dyDescent="0.4">
      <c r="C57" s="13" t="s">
        <v>64</v>
      </c>
      <c r="D57" s="13">
        <v>50</v>
      </c>
    </row>
  </sheetData>
  <pageMargins left="0.7" right="0.7" top="0.75" bottom="0.75" header="0.3" footer="0.3"/>
  <pageSetup paperSize="9" orientation="landscape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B2:R26"/>
  <sheetViews>
    <sheetView topLeftCell="D1" workbookViewId="0">
      <selection activeCell="P6" sqref="P6"/>
    </sheetView>
  </sheetViews>
  <sheetFormatPr defaultRowHeight="14.25" x14ac:dyDescent="0.45"/>
  <cols>
    <col min="3" max="3" width="12.86328125" bestFit="1" customWidth="1"/>
    <col min="4" max="5" width="9.265625" bestFit="1" customWidth="1"/>
    <col min="12" max="12" width="9.73046875" bestFit="1" customWidth="1"/>
    <col min="13" max="13" width="11.59765625" bestFit="1" customWidth="1"/>
    <col min="14" max="14" width="9.73046875" bestFit="1" customWidth="1"/>
    <col min="15" max="15" width="11.59765625" bestFit="1" customWidth="1"/>
    <col min="17" max="17" width="12.265625" customWidth="1"/>
  </cols>
  <sheetData>
    <row r="2" spans="2:18" ht="15.4" x14ac:dyDescent="0.45">
      <c r="B2" s="29" t="s">
        <v>65</v>
      </c>
      <c r="C2" s="13"/>
      <c r="D2" s="13"/>
      <c r="E2" s="13"/>
      <c r="G2" s="29" t="s">
        <v>85</v>
      </c>
    </row>
    <row r="3" spans="2:18" ht="15.75" thickBot="1" x14ac:dyDescent="0.5">
      <c r="B3" s="29"/>
      <c r="C3" s="13"/>
      <c r="D3" s="13"/>
      <c r="E3" s="13"/>
    </row>
    <row r="4" spans="2:18" ht="15.75" thickBot="1" x14ac:dyDescent="0.5">
      <c r="B4" s="13" t="s">
        <v>66</v>
      </c>
      <c r="C4" s="81">
        <f>1/30*LN(8/10)</f>
        <v>-7.4381183771403238E-3</v>
      </c>
      <c r="D4" s="13"/>
      <c r="E4" s="13"/>
      <c r="G4" s="80" t="s">
        <v>0</v>
      </c>
      <c r="H4" s="38" t="s">
        <v>81</v>
      </c>
      <c r="I4" s="38" t="s">
        <v>44</v>
      </c>
      <c r="J4" s="38" t="s">
        <v>82</v>
      </c>
      <c r="K4" s="38" t="s">
        <v>6</v>
      </c>
      <c r="L4" s="38" t="s">
        <v>5</v>
      </c>
      <c r="M4" s="38" t="s">
        <v>4</v>
      </c>
      <c r="N4" s="38" t="s">
        <v>2</v>
      </c>
      <c r="O4" s="38" t="s">
        <v>1</v>
      </c>
      <c r="P4" s="38" t="s">
        <v>15</v>
      </c>
      <c r="Q4" s="38" t="s">
        <v>83</v>
      </c>
      <c r="R4" s="38" t="s">
        <v>84</v>
      </c>
    </row>
    <row r="5" spans="2:18" ht="15.75" thickBot="1" x14ac:dyDescent="0.5">
      <c r="B5" s="13"/>
      <c r="C5" s="13"/>
      <c r="D5" s="13"/>
      <c r="E5" s="13"/>
      <c r="G5" s="79">
        <v>0</v>
      </c>
      <c r="H5" s="72">
        <f>$Q$11/$P$11</f>
        <v>278.56742721161032</v>
      </c>
      <c r="I5" s="72">
        <f>1.025^(-1)</f>
        <v>0.97560975609756106</v>
      </c>
      <c r="J5" s="72">
        <f>1-R6/R5</f>
        <v>1.7462956572659172E-3</v>
      </c>
      <c r="K5" s="75">
        <f>I5*J5*N6</f>
        <v>1.2193713748004653</v>
      </c>
      <c r="L5" s="75">
        <f>H5-K5</f>
        <v>277.34805583680986</v>
      </c>
      <c r="M5" s="74">
        <f>I5*J5*1000</f>
        <v>1.7037030802594315</v>
      </c>
      <c r="N5" s="72"/>
      <c r="O5" s="74">
        <v>0</v>
      </c>
      <c r="P5" s="72">
        <v>1</v>
      </c>
      <c r="Q5" s="75">
        <f>P5*M5</f>
        <v>1.7037030802594315</v>
      </c>
      <c r="R5" s="39">
        <v>95631</v>
      </c>
    </row>
    <row r="6" spans="2:18" ht="15.75" thickBot="1" x14ac:dyDescent="0.5">
      <c r="B6" s="13" t="s">
        <v>68</v>
      </c>
      <c r="C6" s="32">
        <v>80000</v>
      </c>
      <c r="D6" s="13"/>
      <c r="E6" s="13"/>
      <c r="G6" s="79">
        <v>1</v>
      </c>
      <c r="H6" s="72">
        <f t="shared" ref="H6:H9" si="0">$Q$11/$P$11</f>
        <v>278.56742721161032</v>
      </c>
      <c r="I6" s="72">
        <f t="shared" ref="I6:I9" si="1">1.025^(-1)</f>
        <v>0.97560975609756106</v>
      </c>
      <c r="J6" s="72">
        <f t="shared" ref="J6:J8" si="2">1-R7/R6</f>
        <v>1.885527528701969E-3</v>
      </c>
      <c r="K6" s="75">
        <f t="shared" ref="K6:K9" si="3">I6*J6*N7</f>
        <v>0.77974164495174103</v>
      </c>
      <c r="L6" s="75">
        <f t="shared" ref="L6:L9" si="4">H6-K6</f>
        <v>277.78768556665858</v>
      </c>
      <c r="M6" s="74">
        <f t="shared" ref="M6:M8" si="5">I6*J6*1000</f>
        <v>1.8395390523921651</v>
      </c>
      <c r="N6" s="75">
        <f>1000-O6</f>
        <v>715.71824276726989</v>
      </c>
      <c r="O6" s="74">
        <f>((O5+H5)*1.025-1000*J5)/(1-J5)</f>
        <v>284.28175723273011</v>
      </c>
      <c r="P6" s="72">
        <f>I6^G6*R6/$R$5</f>
        <v>0.97390605301730171</v>
      </c>
      <c r="Q6" s="75">
        <f t="shared" ref="Q6:Q9" si="6">P6*M6</f>
        <v>1.791538217886441</v>
      </c>
      <c r="R6" s="39">
        <v>95464</v>
      </c>
    </row>
    <row r="7" spans="2:18" ht="15.75" thickBot="1" x14ac:dyDescent="0.5">
      <c r="B7" s="13" t="s">
        <v>69</v>
      </c>
      <c r="C7" s="32">
        <f>100000*EXP(C4*33)</f>
        <v>78234.621483434283</v>
      </c>
      <c r="D7" s="13"/>
      <c r="E7" s="13"/>
      <c r="G7" s="79">
        <v>2</v>
      </c>
      <c r="H7" s="72">
        <f t="shared" si="0"/>
        <v>278.56742721161032</v>
      </c>
      <c r="I7" s="72">
        <f t="shared" si="1"/>
        <v>0.97560975609756106</v>
      </c>
      <c r="J7" s="72">
        <f t="shared" si="2"/>
        <v>2.0675034633306222E-3</v>
      </c>
      <c r="K7" s="75">
        <f t="shared" si="3"/>
        <v>0.25052285331606999</v>
      </c>
      <c r="L7" s="75">
        <f t="shared" si="4"/>
        <v>278.31690435829427</v>
      </c>
      <c r="M7" s="74">
        <f t="shared" si="5"/>
        <v>2.0170765495908514</v>
      </c>
      <c r="N7" s="75">
        <f t="shared" ref="N7:N10" si="7">1000-O7</f>
        <v>423.87882113062665</v>
      </c>
      <c r="O7" s="74">
        <f t="shared" ref="O7:O10" si="8">((O6+H6)*1.025-1000*J6)/(1-J6)</f>
        <v>576.12117886937335</v>
      </c>
      <c r="P7" s="72">
        <f t="shared" ref="P7:P9" si="9">I7^G7*R7/$R$5</f>
        <v>0.9483607086282615</v>
      </c>
      <c r="Q7" s="75">
        <f t="shared" si="6"/>
        <v>1.9129161459274284</v>
      </c>
      <c r="R7" s="39">
        <v>95284</v>
      </c>
    </row>
    <row r="8" spans="2:18" ht="15.75" thickBot="1" x14ac:dyDescent="0.5">
      <c r="B8" s="13" t="s">
        <v>67</v>
      </c>
      <c r="C8" s="13">
        <f>C7/C6</f>
        <v>0.97793276854292854</v>
      </c>
      <c r="D8" s="13"/>
      <c r="E8" s="13"/>
      <c r="G8" s="79">
        <v>3</v>
      </c>
      <c r="H8" s="72">
        <f t="shared" si="0"/>
        <v>278.56742721161032</v>
      </c>
      <c r="I8" s="72">
        <f t="shared" si="1"/>
        <v>0.97560975609756106</v>
      </c>
      <c r="J8" s="72">
        <f t="shared" si="2"/>
        <v>2.250570530146101E-3</v>
      </c>
      <c r="K8" s="75">
        <f t="shared" si="3"/>
        <v>-0.40321203265835137</v>
      </c>
      <c r="L8" s="75">
        <f t="shared" si="4"/>
        <v>278.97063924426868</v>
      </c>
      <c r="M8" s="74">
        <f t="shared" si="5"/>
        <v>2.1956785659961966</v>
      </c>
      <c r="N8" s="75">
        <f t="shared" si="7"/>
        <v>124.20096469164082</v>
      </c>
      <c r="O8" s="74">
        <f t="shared" si="8"/>
        <v>875.79903530835918</v>
      </c>
      <c r="P8" s="72">
        <f t="shared" si="9"/>
        <v>0.92331704349140109</v>
      </c>
      <c r="Q8" s="75">
        <f t="shared" si="6"/>
        <v>2.0273074420130475</v>
      </c>
      <c r="R8" s="39">
        <v>95087</v>
      </c>
    </row>
    <row r="9" spans="2:18" ht="15.75" thickBot="1" x14ac:dyDescent="0.5">
      <c r="B9" s="13" t="s">
        <v>70</v>
      </c>
      <c r="C9" s="13">
        <f>1-C8</f>
        <v>2.2067231457071457E-2</v>
      </c>
      <c r="D9" s="13"/>
      <c r="E9" s="13"/>
      <c r="G9" s="79">
        <v>4</v>
      </c>
      <c r="H9" s="72">
        <f t="shared" si="0"/>
        <v>278.56742721161032</v>
      </c>
      <c r="I9" s="72">
        <f t="shared" si="1"/>
        <v>0.97560975609756106</v>
      </c>
      <c r="J9" s="72">
        <f>1-R10/R9</f>
        <v>2.4769955624888151E-3</v>
      </c>
      <c r="K9" s="75">
        <f t="shared" si="3"/>
        <v>-1.2082905182872248</v>
      </c>
      <c r="L9" s="75">
        <f t="shared" si="4"/>
        <v>279.77571772989756</v>
      </c>
      <c r="M9" s="74">
        <f>I9*J9*1000+I9*(1-J9)*1500</f>
        <v>1462.2063436280541</v>
      </c>
      <c r="N9" s="75">
        <f t="shared" si="7"/>
        <v>-183.63891641644318</v>
      </c>
      <c r="O9" s="74">
        <f t="shared" si="8"/>
        <v>1183.6389164164432</v>
      </c>
      <c r="P9" s="72">
        <f t="shared" si="9"/>
        <v>0.8987698081593537</v>
      </c>
      <c r="Q9" s="75">
        <f t="shared" si="6"/>
        <v>1314.1869149519762</v>
      </c>
      <c r="R9" s="39">
        <v>94873</v>
      </c>
    </row>
    <row r="10" spans="2:18" ht="15.75" thickBot="1" x14ac:dyDescent="0.5">
      <c r="B10" s="13"/>
      <c r="C10" s="13"/>
      <c r="D10" s="13"/>
      <c r="E10" s="13"/>
      <c r="G10" s="79">
        <v>5</v>
      </c>
      <c r="H10" s="72"/>
      <c r="I10" s="72"/>
      <c r="J10" s="72"/>
      <c r="K10" s="72"/>
      <c r="L10" s="72"/>
      <c r="M10" s="72"/>
      <c r="N10" s="75">
        <f t="shared" si="7"/>
        <v>-499.99999999999909</v>
      </c>
      <c r="O10" s="74">
        <f t="shared" si="8"/>
        <v>1499.9999999999991</v>
      </c>
      <c r="P10" s="72"/>
      <c r="Q10" s="73"/>
      <c r="R10" s="39">
        <v>94638</v>
      </c>
    </row>
    <row r="11" spans="2:18" ht="15.75" thickBot="1" x14ac:dyDescent="0.5">
      <c r="B11" s="13" t="s">
        <v>18</v>
      </c>
      <c r="C11" s="29">
        <f>D11/E11</f>
        <v>62.501499688890064</v>
      </c>
      <c r="D11" s="13">
        <f>100/0.1*1.1^(-3)*C9</f>
        <v>16.579437608618669</v>
      </c>
      <c r="E11" s="13">
        <f>1-1.1^(-3)*C8</f>
        <v>0.26526463670704115</v>
      </c>
      <c r="G11" s="77"/>
      <c r="H11" s="78"/>
      <c r="I11" s="78"/>
      <c r="J11" s="78"/>
      <c r="K11" s="78"/>
      <c r="L11" s="78"/>
      <c r="M11" s="78"/>
      <c r="N11" s="78"/>
      <c r="O11" s="78"/>
      <c r="P11" s="76">
        <f>SUM(P5:P9)</f>
        <v>4.744353613296318</v>
      </c>
      <c r="Q11" s="76">
        <f>SUM(Q5:Q9)</f>
        <v>1321.6223798380624</v>
      </c>
      <c r="R11" s="73"/>
    </row>
    <row r="12" spans="2:18" ht="15.4" x14ac:dyDescent="0.45">
      <c r="B12" s="13"/>
      <c r="C12" s="13"/>
      <c r="D12" s="13"/>
      <c r="E12" s="13"/>
    </row>
    <row r="13" spans="2:18" ht="15.4" x14ac:dyDescent="0.45">
      <c r="B13" s="29" t="s">
        <v>71</v>
      </c>
      <c r="C13" s="13"/>
      <c r="D13" s="13"/>
      <c r="E13" s="13"/>
    </row>
    <row r="14" spans="2:18" ht="15.4" x14ac:dyDescent="0.45">
      <c r="B14" s="13"/>
      <c r="C14" s="13"/>
      <c r="D14" s="13"/>
      <c r="E14" s="13"/>
    </row>
    <row r="15" spans="2:18" ht="15.4" x14ac:dyDescent="0.45">
      <c r="B15" s="13" t="s">
        <v>72</v>
      </c>
      <c r="C15" s="32">
        <f>400000*(1-EXP(-10/40))</f>
        <v>88479.68677143805</v>
      </c>
      <c r="D15" s="13"/>
      <c r="E15" s="13"/>
    </row>
    <row r="16" spans="2:18" ht="15.4" x14ac:dyDescent="0.45">
      <c r="B16" s="13" t="s">
        <v>73</v>
      </c>
      <c r="C16" s="32">
        <f>400000*(1-EXP(-10/41))</f>
        <v>86574.369676146118</v>
      </c>
      <c r="D16" s="13"/>
      <c r="E16" s="13"/>
    </row>
    <row r="17" spans="2:5" ht="15.4" x14ac:dyDescent="0.45">
      <c r="B17" s="13" t="s">
        <v>74</v>
      </c>
      <c r="C17" s="32">
        <f>400000*(1-EXP(-10/43))</f>
        <v>82998.531115022619</v>
      </c>
      <c r="D17" s="13"/>
      <c r="E17" s="13"/>
    </row>
    <row r="18" spans="2:5" ht="15.4" x14ac:dyDescent="0.45">
      <c r="B18" s="13" t="s">
        <v>75</v>
      </c>
      <c r="C18" s="32">
        <f>400000*(1-EXP(-10/60))</f>
        <v>61407.310043754347</v>
      </c>
      <c r="D18" s="13"/>
      <c r="E18" s="13"/>
    </row>
    <row r="19" spans="2:5" ht="15.4" x14ac:dyDescent="0.45">
      <c r="B19" s="13"/>
      <c r="C19" s="13"/>
      <c r="D19" s="13"/>
      <c r="E19" s="13"/>
    </row>
    <row r="20" spans="2:5" ht="15.4" x14ac:dyDescent="0.45">
      <c r="B20" s="13" t="s">
        <v>19</v>
      </c>
      <c r="C20" s="33">
        <f>100000*1.05^(-20)*(1-C18/C15)</f>
        <v>11531.792705592477</v>
      </c>
      <c r="D20" s="13"/>
      <c r="E20" s="13"/>
    </row>
    <row r="21" spans="2:5" ht="15.4" x14ac:dyDescent="0.45">
      <c r="B21" s="13" t="s">
        <v>76</v>
      </c>
      <c r="C21" s="33">
        <f>C20*1.07</f>
        <v>12339.018194983952</v>
      </c>
      <c r="D21" s="13"/>
      <c r="E21" s="13"/>
    </row>
    <row r="22" spans="2:5" ht="15.4" x14ac:dyDescent="0.45">
      <c r="B22" s="13" t="s">
        <v>3</v>
      </c>
      <c r="C22" s="33">
        <f>C20/(1+1.05^(-1)*C16/C15)</f>
        <v>5969.2309551431927</v>
      </c>
      <c r="D22" s="13"/>
      <c r="E22" s="13"/>
    </row>
    <row r="23" spans="2:5" ht="15.4" x14ac:dyDescent="0.45">
      <c r="B23" s="13" t="s">
        <v>77</v>
      </c>
      <c r="C23" s="33">
        <f>100000*1.05^(-17)*(1-C18/C17)</f>
        <v>11349.81319345669</v>
      </c>
      <c r="D23" s="13"/>
      <c r="E23" s="13"/>
    </row>
    <row r="24" spans="2:5" ht="15.4" x14ac:dyDescent="0.45">
      <c r="B24" s="13" t="s">
        <v>78</v>
      </c>
      <c r="C24" s="33">
        <f>100000*1.05^(-17)</f>
        <v>43629.668761085726</v>
      </c>
      <c r="D24" s="13"/>
      <c r="E24" s="13"/>
    </row>
    <row r="25" spans="2:5" ht="15.4" x14ac:dyDescent="0.45">
      <c r="B25" s="13" t="s">
        <v>79</v>
      </c>
      <c r="C25" s="34">
        <f>C23*C17/C15+C24*(1-C17/C15)</f>
        <v>13349.491530811492</v>
      </c>
      <c r="D25" s="13"/>
      <c r="E25" s="13"/>
    </row>
    <row r="26" spans="2:5" ht="15.4" x14ac:dyDescent="0.45">
      <c r="B26" s="13" t="s">
        <v>80</v>
      </c>
      <c r="C26" s="13">
        <f>10/40^2*EXP(-10/40)/(1-EXP(-10/40))</f>
        <v>2.2005072901173744E-2</v>
      </c>
      <c r="D26" s="13"/>
      <c r="E26" s="13"/>
    </row>
  </sheetData>
  <pageMargins left="0.7" right="0.7" top="0.75" bottom="0.75" header="0.3" footer="0.3"/>
  <pageSetup paperSize="9" scale="77" orientation="landscape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42C5E-E1A6-43BB-8B11-81CA0F213C2C}">
  <dimension ref="B2:M28"/>
  <sheetViews>
    <sheetView tabSelected="1" topLeftCell="A9" workbookViewId="0">
      <selection activeCell="C29" sqref="C29"/>
    </sheetView>
  </sheetViews>
  <sheetFormatPr defaultRowHeight="14.25" x14ac:dyDescent="0.45"/>
  <cols>
    <col min="3" max="4" width="9.86328125" bestFit="1" customWidth="1"/>
    <col min="8" max="8" width="10.59765625" customWidth="1"/>
    <col min="10" max="10" width="11.59765625" customWidth="1"/>
    <col min="12" max="12" width="11.33203125" customWidth="1"/>
  </cols>
  <sheetData>
    <row r="2" spans="2:13" ht="15.4" x14ac:dyDescent="0.45">
      <c r="B2" s="29" t="s">
        <v>86</v>
      </c>
    </row>
    <row r="3" spans="2:13" ht="14.65" thickBot="1" x14ac:dyDescent="0.5"/>
    <row r="4" spans="2:13" ht="15.4" thickBot="1" x14ac:dyDescent="0.5">
      <c r="B4" s="80" t="s">
        <v>0</v>
      </c>
      <c r="C4" s="38" t="s">
        <v>81</v>
      </c>
      <c r="D4" s="38" t="s">
        <v>44</v>
      </c>
      <c r="E4" s="38" t="s">
        <v>82</v>
      </c>
      <c r="F4" s="38" t="s">
        <v>6</v>
      </c>
      <c r="G4" s="38" t="s">
        <v>5</v>
      </c>
      <c r="H4" s="38" t="s">
        <v>4</v>
      </c>
      <c r="I4" s="38" t="s">
        <v>2</v>
      </c>
      <c r="J4" s="38" t="s">
        <v>1</v>
      </c>
      <c r="K4" s="38" t="s">
        <v>15</v>
      </c>
      <c r="L4" s="38" t="s">
        <v>83</v>
      </c>
      <c r="M4" s="38" t="s">
        <v>84</v>
      </c>
    </row>
    <row r="5" spans="2:13" ht="15.75" thickBot="1" x14ac:dyDescent="0.5">
      <c r="B5" s="79">
        <v>0</v>
      </c>
      <c r="C5" s="72">
        <f>$L$11/$K$11</f>
        <v>278.56742721161032</v>
      </c>
      <c r="D5" s="72">
        <f>1.025^(-1)</f>
        <v>0.97560975609756106</v>
      </c>
      <c r="E5" s="72">
        <f>1-M6/M5</f>
        <v>1.7462956572659172E-3</v>
      </c>
      <c r="F5" s="75">
        <f>D5*E5*I6</f>
        <v>1.2193713748004653</v>
      </c>
      <c r="G5" s="75">
        <f>C5-F5</f>
        <v>277.34805583680986</v>
      </c>
      <c r="H5" s="74">
        <f>D5*E5*1000</f>
        <v>1.7037030802594315</v>
      </c>
      <c r="I5" s="72"/>
      <c r="J5" s="74">
        <v>0</v>
      </c>
      <c r="K5" s="72">
        <v>1</v>
      </c>
      <c r="L5" s="75">
        <f>K5*H5</f>
        <v>1.7037030802594315</v>
      </c>
      <c r="M5" s="39">
        <v>95631</v>
      </c>
    </row>
    <row r="6" spans="2:13" ht="15.75" thickBot="1" x14ac:dyDescent="0.5">
      <c r="B6" s="79">
        <v>1</v>
      </c>
      <c r="C6" s="72">
        <f t="shared" ref="C6:C9" si="0">$L$11/$K$11</f>
        <v>278.56742721161032</v>
      </c>
      <c r="D6" s="72">
        <f t="shared" ref="D6:D9" si="1">1.025^(-1)</f>
        <v>0.97560975609756106</v>
      </c>
      <c r="E6" s="72">
        <f t="shared" ref="E6:E8" si="2">1-M7/M6</f>
        <v>1.885527528701969E-3</v>
      </c>
      <c r="F6" s="75">
        <f t="shared" ref="F6:F9" si="3">D6*E6*I7</f>
        <v>0.77974164495174103</v>
      </c>
      <c r="G6" s="75">
        <f t="shared" ref="G6:G9" si="4">C6-F6</f>
        <v>277.78768556665858</v>
      </c>
      <c r="H6" s="74">
        <f t="shared" ref="H6:H8" si="5">D6*E6*1000</f>
        <v>1.8395390523921651</v>
      </c>
      <c r="I6" s="75">
        <f>1000-J6</f>
        <v>715.71824276726989</v>
      </c>
      <c r="J6" s="74">
        <f>((J5+C5)*1.025-1000*E5)/(1-E5)</f>
        <v>284.28175723273011</v>
      </c>
      <c r="K6" s="72">
        <f>D6^B6*M6/$M$5</f>
        <v>0.97390605301730171</v>
      </c>
      <c r="L6" s="75">
        <f t="shared" ref="L6:L9" si="6">K6*H6</f>
        <v>1.791538217886441</v>
      </c>
      <c r="M6" s="39">
        <v>95464</v>
      </c>
    </row>
    <row r="7" spans="2:13" ht="15.75" thickBot="1" x14ac:dyDescent="0.5">
      <c r="B7" s="79">
        <v>2</v>
      </c>
      <c r="C7" s="72">
        <f t="shared" si="0"/>
        <v>278.56742721161032</v>
      </c>
      <c r="D7" s="72">
        <f t="shared" si="1"/>
        <v>0.97560975609756106</v>
      </c>
      <c r="E7" s="72">
        <f t="shared" si="2"/>
        <v>2.0675034633306222E-3</v>
      </c>
      <c r="F7" s="75">
        <f t="shared" si="3"/>
        <v>0.25052285331606999</v>
      </c>
      <c r="G7" s="75">
        <f t="shared" si="4"/>
        <v>278.31690435829427</v>
      </c>
      <c r="H7" s="74">
        <f t="shared" si="5"/>
        <v>2.0170765495908514</v>
      </c>
      <c r="I7" s="75">
        <f t="shared" ref="I7:I10" si="7">1000-J7</f>
        <v>423.87882113062665</v>
      </c>
      <c r="J7" s="74">
        <f t="shared" ref="J7:J10" si="8">((J6+C6)*1.025-1000*E6)/(1-E6)</f>
        <v>576.12117886937335</v>
      </c>
      <c r="K7" s="72">
        <f t="shared" ref="K7:K9" si="9">D7^B7*M7/$M$5</f>
        <v>0.9483607086282615</v>
      </c>
      <c r="L7" s="75">
        <f t="shared" si="6"/>
        <v>1.9129161459274284</v>
      </c>
      <c r="M7" s="39">
        <v>95284</v>
      </c>
    </row>
    <row r="8" spans="2:13" ht="15.75" thickBot="1" x14ac:dyDescent="0.5">
      <c r="B8" s="79">
        <v>3</v>
      </c>
      <c r="C8" s="72">
        <f t="shared" si="0"/>
        <v>278.56742721161032</v>
      </c>
      <c r="D8" s="72">
        <f t="shared" si="1"/>
        <v>0.97560975609756106</v>
      </c>
      <c r="E8" s="72">
        <f t="shared" si="2"/>
        <v>2.250570530146101E-3</v>
      </c>
      <c r="F8" s="75">
        <f t="shared" si="3"/>
        <v>-0.40321203265835137</v>
      </c>
      <c r="G8" s="75">
        <f t="shared" si="4"/>
        <v>278.97063924426868</v>
      </c>
      <c r="H8" s="74">
        <f t="shared" si="5"/>
        <v>2.1956785659961966</v>
      </c>
      <c r="I8" s="75">
        <f t="shared" si="7"/>
        <v>124.20096469164082</v>
      </c>
      <c r="J8" s="74">
        <f t="shared" si="8"/>
        <v>875.79903530835918</v>
      </c>
      <c r="K8" s="72">
        <f t="shared" si="9"/>
        <v>0.92331704349140109</v>
      </c>
      <c r="L8" s="75">
        <f t="shared" si="6"/>
        <v>2.0273074420130475</v>
      </c>
      <c r="M8" s="39">
        <v>95087</v>
      </c>
    </row>
    <row r="9" spans="2:13" ht="15.75" thickBot="1" x14ac:dyDescent="0.5">
      <c r="B9" s="79">
        <v>4</v>
      </c>
      <c r="C9" s="72">
        <f t="shared" si="0"/>
        <v>278.56742721161032</v>
      </c>
      <c r="D9" s="72">
        <f t="shared" si="1"/>
        <v>0.97560975609756106</v>
      </c>
      <c r="E9" s="72">
        <f>1-M10/M9</f>
        <v>2.4769955624888151E-3</v>
      </c>
      <c r="F9" s="75">
        <f t="shared" si="3"/>
        <v>-1.2082905182872248</v>
      </c>
      <c r="G9" s="75">
        <f t="shared" si="4"/>
        <v>279.77571772989756</v>
      </c>
      <c r="H9" s="74">
        <f>D9*E9*1000+D9*(1-E9)*1500</f>
        <v>1462.2063436280541</v>
      </c>
      <c r="I9" s="75">
        <f t="shared" si="7"/>
        <v>-183.63891641644318</v>
      </c>
      <c r="J9" s="74">
        <f t="shared" si="8"/>
        <v>1183.6389164164432</v>
      </c>
      <c r="K9" s="72">
        <f t="shared" si="9"/>
        <v>0.8987698081593537</v>
      </c>
      <c r="L9" s="75">
        <f t="shared" si="6"/>
        <v>1314.1869149519762</v>
      </c>
      <c r="M9" s="39">
        <v>94873</v>
      </c>
    </row>
    <row r="10" spans="2:13" ht="15.75" thickBot="1" x14ac:dyDescent="0.5">
      <c r="B10" s="79">
        <v>5</v>
      </c>
      <c r="C10" s="72"/>
      <c r="D10" s="72"/>
      <c r="E10" s="72"/>
      <c r="F10" s="72"/>
      <c r="G10" s="72"/>
      <c r="H10" s="72"/>
      <c r="I10" s="75">
        <f t="shared" si="7"/>
        <v>-499.99999999999909</v>
      </c>
      <c r="J10" s="74">
        <f t="shared" si="8"/>
        <v>1499.9999999999991</v>
      </c>
      <c r="K10" s="72"/>
      <c r="L10" s="73"/>
      <c r="M10" s="39">
        <v>94638</v>
      </c>
    </row>
    <row r="11" spans="2:13" ht="15.75" thickBot="1" x14ac:dyDescent="0.5">
      <c r="B11" s="77"/>
      <c r="C11" s="78"/>
      <c r="D11" s="78"/>
      <c r="E11" s="78"/>
      <c r="F11" s="78"/>
      <c r="G11" s="78"/>
      <c r="H11" s="78"/>
      <c r="I11" s="78"/>
      <c r="J11" s="78"/>
      <c r="K11" s="76">
        <f>SUM(K5:K9)</f>
        <v>4.744353613296318</v>
      </c>
      <c r="L11" s="76">
        <f>SUM(L5:L9)</f>
        <v>1321.6223798380624</v>
      </c>
      <c r="M11" s="73"/>
    </row>
    <row r="14" spans="2:13" ht="15.4" x14ac:dyDescent="0.45">
      <c r="B14" s="29" t="s">
        <v>87</v>
      </c>
    </row>
    <row r="20" spans="2:4" x14ac:dyDescent="0.45">
      <c r="B20" t="s">
        <v>19</v>
      </c>
      <c r="C20" s="83">
        <f>100000*(28567+19244-17824)/44269</f>
        <v>67738.146332648132</v>
      </c>
    </row>
    <row r="21" spans="2:4" x14ac:dyDescent="0.45">
      <c r="B21" t="s">
        <v>3</v>
      </c>
      <c r="C21" s="84">
        <f>C20/(1276246-547885)*44269</f>
        <v>4117.0518465431296</v>
      </c>
    </row>
    <row r="22" spans="2:4" x14ac:dyDescent="0.45">
      <c r="B22" t="s">
        <v>88</v>
      </c>
      <c r="C22" s="83">
        <f>100000*(28567+18706-17824)/35818-C21*(872695-547885)/35818</f>
        <v>44883.588969912511</v>
      </c>
    </row>
    <row r="23" spans="2:4" x14ac:dyDescent="0.45">
      <c r="B23" t="s">
        <v>89</v>
      </c>
      <c r="C23" s="84">
        <f>1.5*C22</f>
        <v>67325.383454868774</v>
      </c>
      <c r="D23" s="83"/>
    </row>
    <row r="24" spans="2:4" x14ac:dyDescent="0.45">
      <c r="B24" t="s">
        <v>90</v>
      </c>
      <c r="C24" s="84">
        <f>1.5*C21</f>
        <v>6175.577769814694</v>
      </c>
    </row>
    <row r="26" spans="2:4" ht="15.75" x14ac:dyDescent="0.5">
      <c r="B26" s="82" t="s">
        <v>91</v>
      </c>
    </row>
    <row r="27" spans="2:4" x14ac:dyDescent="0.45">
      <c r="B27" t="s">
        <v>93</v>
      </c>
      <c r="C27">
        <f>LN(1+2%)</f>
        <v>1.980262729617973E-2</v>
      </c>
    </row>
    <row r="28" spans="2:4" x14ac:dyDescent="0.45">
      <c r="B28" t="s">
        <v>92</v>
      </c>
      <c r="C28">
        <f>-1/C27*LN(19612.69*1.02^(0.5)/54374.12)</f>
        <v>50.99374799651784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5</vt:i4>
      </vt:variant>
      <vt:variant>
        <vt:lpstr>Intervalli denominati</vt:lpstr>
      </vt:variant>
      <vt:variant>
        <vt:i4>4</vt:i4>
      </vt:variant>
    </vt:vector>
  </HeadingPairs>
  <TitlesOfParts>
    <vt:vector size="9" baseType="lpstr">
      <vt:lpstr>19_03_2004</vt:lpstr>
      <vt:lpstr>24_07_2014</vt:lpstr>
      <vt:lpstr>21_11_2017</vt:lpstr>
      <vt:lpstr>8_10_2018</vt:lpstr>
      <vt:lpstr>16_4_2018</vt:lpstr>
      <vt:lpstr>'19_03_2004'!Area_stampa</vt:lpstr>
      <vt:lpstr>'21_11_2017'!Area_stampa</vt:lpstr>
      <vt:lpstr>'24_07_2014'!Area_stampa</vt:lpstr>
      <vt:lpstr>'8_10_2018'!Area_stampa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nedort</dc:creator>
  <cp:lastModifiedBy>nedort</cp:lastModifiedBy>
  <cp:lastPrinted>2021-06-07T21:23:48Z</cp:lastPrinted>
  <dcterms:created xsi:type="dcterms:W3CDTF">2021-06-06T15:10:06Z</dcterms:created>
  <dcterms:modified xsi:type="dcterms:W3CDTF">2021-06-08T09:45:50Z</dcterms:modified>
</cp:coreProperties>
</file>