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565" windowHeight="5370" firstSheet="5" activeTab="8"/>
  </bookViews>
  <sheets>
    <sheet name="Foglio2" sheetId="2" r:id="rId1"/>
    <sheet name="CD_U" sheetId="1" r:id="rId2"/>
    <sheet name="CD_P" sheetId="4" r:id="rId3"/>
    <sheet name="CD_Pk" sheetId="5" r:id="rId4"/>
    <sheet name="CD_Pk (2)" sheetId="7" r:id="rId5"/>
    <sheet name="CD_Pk (3)" sheetId="6" r:id="rId6"/>
    <sheet name="CD_Pk (4)" sheetId="8" r:id="rId7"/>
    <sheet name="MS_Pk (5)" sheetId="9" r:id="rId8"/>
    <sheet name="MS_Pk (6)" sheetId="10" r:id="rId9"/>
    <sheet name="Foglio3 (2)" sheetId="11" r:id="rId10"/>
    <sheet name="Foglio3" sheetId="3" r:id="rId11"/>
  </sheets>
  <externalReferences>
    <externalReference r:id="rId12"/>
  </externalReferences>
  <definedNames>
    <definedName name="_xlnm.Print_Area" localSheetId="2">CD_P!$C$1:$I$22</definedName>
    <definedName name="_xlnm.Print_Area" localSheetId="3">CD_Pk!$C$1:$I$30</definedName>
    <definedName name="_xlnm.Print_Area" localSheetId="4">'CD_Pk (2)'!$C$1:$I$30</definedName>
    <definedName name="_xlnm.Print_Area" localSheetId="5">'CD_Pk (3)'!$C$1:$I$30</definedName>
    <definedName name="_xlnm.Print_Area" localSheetId="6">'CD_Pk (4)'!$C$1:$I$37</definedName>
    <definedName name="_xlnm.Print_Area" localSheetId="1">CD_U!$C$1:$I$18</definedName>
    <definedName name="_xlnm.Print_Area" localSheetId="7">'MS_Pk (5)'!$C$1:$J$30</definedName>
    <definedName name="_xlnm.Print_Area" localSheetId="8">'MS_Pk (6)'!$C$1:$J$30</definedName>
  </definedNames>
  <calcPr calcId="145621"/>
</workbook>
</file>

<file path=xl/calcChain.xml><?xml version="1.0" encoding="utf-8"?>
<calcChain xmlns="http://schemas.openxmlformats.org/spreadsheetml/2006/main">
  <c r="D14" i="10" l="1"/>
  <c r="D14" i="9"/>
  <c r="D22" i="10"/>
  <c r="D21" i="10"/>
  <c r="D19" i="10"/>
  <c r="D11" i="10"/>
  <c r="U26" i="11"/>
  <c r="T26" i="11"/>
  <c r="N26" i="11"/>
  <c r="M26" i="11"/>
  <c r="J26" i="11"/>
  <c r="V25" i="11"/>
  <c r="V26" i="11" s="1"/>
  <c r="U25" i="11"/>
  <c r="T25" i="11"/>
  <c r="S25" i="11"/>
  <c r="S26" i="11" s="1"/>
  <c r="R25" i="11"/>
  <c r="R26" i="11" s="1"/>
  <c r="Q30" i="11" s="1"/>
  <c r="Q33" i="11" s="1"/>
  <c r="N25" i="11"/>
  <c r="M25" i="11"/>
  <c r="L25" i="11"/>
  <c r="L26" i="11" s="1"/>
  <c r="K25" i="11"/>
  <c r="K26" i="11" s="1"/>
  <c r="J25" i="11"/>
  <c r="R8" i="11"/>
  <c r="AD7" i="11"/>
  <c r="AD8" i="11" s="1"/>
  <c r="AC7" i="11"/>
  <c r="AC8" i="11" s="1"/>
  <c r="AB7" i="11"/>
  <c r="AB8" i="11" s="1"/>
  <c r="AA7" i="11"/>
  <c r="AA8" i="11" s="1"/>
  <c r="Z7" i="11"/>
  <c r="Z8" i="11" s="1"/>
  <c r="V7" i="11"/>
  <c r="V8" i="11" s="1"/>
  <c r="U7" i="11"/>
  <c r="U8" i="11" s="1"/>
  <c r="T7" i="11"/>
  <c r="T8" i="11" s="1"/>
  <c r="S7" i="11"/>
  <c r="S8" i="11" s="1"/>
  <c r="R7" i="11"/>
  <c r="N7" i="11"/>
  <c r="M7" i="11"/>
  <c r="L7" i="11"/>
  <c r="G6" i="10"/>
  <c r="G7" i="10" s="1"/>
  <c r="G8" i="10" s="1"/>
  <c r="G9" i="10" s="1"/>
  <c r="G10" i="10" s="1"/>
  <c r="G11" i="10" s="1"/>
  <c r="G12" i="10" s="1"/>
  <c r="G13" i="10" s="1"/>
  <c r="G5" i="10"/>
  <c r="G4" i="10"/>
  <c r="G9" i="9"/>
  <c r="G10" i="9" s="1"/>
  <c r="G11" i="9" s="1"/>
  <c r="G12" i="9" s="1"/>
  <c r="G13" i="9" s="1"/>
  <c r="H4" i="10"/>
  <c r="H12" i="10"/>
  <c r="H5" i="10"/>
  <c r="H13" i="10"/>
  <c r="H11" i="10"/>
  <c r="H6" i="10"/>
  <c r="H7" i="10"/>
  <c r="H8" i="10"/>
  <c r="H9" i="10"/>
  <c r="H10" i="10"/>
  <c r="J11" i="11"/>
  <c r="I5" i="11"/>
  <c r="I10" i="10"/>
  <c r="J4" i="10"/>
  <c r="J13" i="11"/>
  <c r="J10" i="11"/>
  <c r="J4" i="11"/>
  <c r="J9" i="10"/>
  <c r="I4" i="10"/>
  <c r="I13" i="11"/>
  <c r="I10" i="11"/>
  <c r="I4" i="11"/>
  <c r="J11" i="10"/>
  <c r="J6" i="10"/>
  <c r="J9" i="11"/>
  <c r="J8" i="11"/>
  <c r="J3" i="11"/>
  <c r="J13" i="10"/>
  <c r="I6" i="10"/>
  <c r="I9" i="11"/>
  <c r="I8" i="11"/>
  <c r="I3" i="11"/>
  <c r="J8" i="10"/>
  <c r="I9" i="10"/>
  <c r="J7" i="11"/>
  <c r="I11" i="10"/>
  <c r="I13" i="10"/>
  <c r="L3" i="10"/>
  <c r="I7" i="11"/>
  <c r="J3" i="10"/>
  <c r="J12" i="11"/>
  <c r="J6" i="11"/>
  <c r="H3" i="11"/>
  <c r="I8" i="10"/>
  <c r="J5" i="10"/>
  <c r="I3" i="10"/>
  <c r="I12" i="11"/>
  <c r="I6" i="11"/>
  <c r="J12" i="10"/>
  <c r="J10" i="10"/>
  <c r="I5" i="10"/>
  <c r="H3" i="10"/>
  <c r="J5" i="11"/>
  <c r="I12" i="10"/>
  <c r="J7" i="10"/>
  <c r="I11" i="11"/>
  <c r="I7" i="10"/>
  <c r="J13" i="3"/>
  <c r="J9" i="3"/>
  <c r="J11" i="9"/>
  <c r="I9" i="3"/>
  <c r="I12" i="3"/>
  <c r="I13" i="9"/>
  <c r="J10" i="9"/>
  <c r="I11" i="3"/>
  <c r="I12" i="9"/>
  <c r="I11" i="9"/>
  <c r="J11" i="3"/>
  <c r="I10" i="9"/>
  <c r="J12" i="9"/>
  <c r="J10" i="3"/>
  <c r="J9" i="9"/>
  <c r="J12" i="3"/>
  <c r="I10" i="3"/>
  <c r="I9" i="9"/>
  <c r="I13" i="3"/>
  <c r="J13" i="9"/>
  <c r="D12" i="10" l="1"/>
  <c r="D15" i="10" s="1"/>
  <c r="K7" i="11"/>
  <c r="K8" i="11" s="1"/>
  <c r="M8" i="11"/>
  <c r="I15" i="11"/>
  <c r="N8" i="11"/>
  <c r="Q12" i="11"/>
  <c r="Q15" i="11" s="1"/>
  <c r="L8" i="11"/>
  <c r="Y12" i="11"/>
  <c r="Y15" i="11" s="1"/>
  <c r="I30" i="11"/>
  <c r="I33" i="11" s="1"/>
  <c r="H19" i="6"/>
  <c r="G19" i="6"/>
  <c r="AD8" i="3"/>
  <c r="AA8" i="3"/>
  <c r="Z8" i="3"/>
  <c r="N26" i="3"/>
  <c r="M26" i="3"/>
  <c r="L26" i="3"/>
  <c r="K26" i="3"/>
  <c r="J26" i="3"/>
  <c r="V26" i="3"/>
  <c r="U26" i="3"/>
  <c r="T26" i="3"/>
  <c r="S26" i="3"/>
  <c r="R26" i="3"/>
  <c r="V8" i="3"/>
  <c r="U8" i="3"/>
  <c r="T8" i="3"/>
  <c r="S8" i="3"/>
  <c r="R8" i="3"/>
  <c r="N8" i="3"/>
  <c r="M8" i="3"/>
  <c r="L8" i="3"/>
  <c r="V25" i="3"/>
  <c r="U25" i="3"/>
  <c r="T25" i="3"/>
  <c r="S25" i="3"/>
  <c r="R25" i="3"/>
  <c r="AD7" i="3"/>
  <c r="AC7" i="3"/>
  <c r="AC8" i="3" s="1"/>
  <c r="AB7" i="3"/>
  <c r="AB8" i="3" s="1"/>
  <c r="AA7" i="3"/>
  <c r="Z7" i="3"/>
  <c r="V7" i="3"/>
  <c r="U7" i="3"/>
  <c r="T7" i="3"/>
  <c r="S7" i="3"/>
  <c r="R7" i="3"/>
  <c r="N25" i="3"/>
  <c r="M25" i="3"/>
  <c r="L25" i="3"/>
  <c r="K25" i="3"/>
  <c r="J25" i="3"/>
  <c r="N7" i="3"/>
  <c r="M7" i="3"/>
  <c r="L7" i="3"/>
  <c r="D21" i="9"/>
  <c r="D22" i="9" s="1"/>
  <c r="G5" i="9"/>
  <c r="G6" i="9" s="1"/>
  <c r="G7" i="9" s="1"/>
  <c r="G8" i="9" s="1"/>
  <c r="G4" i="9"/>
  <c r="J8" i="3"/>
  <c r="J8" i="9"/>
  <c r="J7" i="3"/>
  <c r="J7" i="9"/>
  <c r="J6" i="3"/>
  <c r="J6" i="9"/>
  <c r="J5" i="3"/>
  <c r="J5" i="9"/>
  <c r="J4" i="3"/>
  <c r="J4" i="9"/>
  <c r="J3" i="3"/>
  <c r="J3" i="9"/>
  <c r="I8" i="3"/>
  <c r="I8" i="9"/>
  <c r="I7" i="3"/>
  <c r="I7" i="9"/>
  <c r="I6" i="3"/>
  <c r="I6" i="9"/>
  <c r="I5" i="3"/>
  <c r="I5" i="9"/>
  <c r="I4" i="3"/>
  <c r="I4" i="9"/>
  <c r="I3" i="3"/>
  <c r="I3" i="9"/>
  <c r="H3" i="3"/>
  <c r="H3" i="9"/>
  <c r="L3" i="9"/>
  <c r="G25" i="10" l="1"/>
  <c r="D25" i="10"/>
  <c r="G26" i="10"/>
  <c r="D26" i="10"/>
  <c r="D16" i="10"/>
  <c r="G27" i="10" s="1"/>
  <c r="K7" i="3"/>
  <c r="K8" i="3" s="1"/>
  <c r="I15" i="3"/>
  <c r="I30" i="3"/>
  <c r="I33" i="3"/>
  <c r="Q30" i="3"/>
  <c r="Q33" i="3" s="1"/>
  <c r="Y12" i="3"/>
  <c r="Y15" i="3" s="1"/>
  <c r="Q12" i="3"/>
  <c r="Q15" i="3" s="1"/>
  <c r="D11" i="9"/>
  <c r="D12" i="9" s="1"/>
  <c r="J19" i="8"/>
  <c r="J20" i="8"/>
  <c r="D27" i="10" l="1"/>
  <c r="D29" i="10" s="1"/>
  <c r="G29" i="10"/>
  <c r="D15" i="9"/>
  <c r="D16" i="9" s="1"/>
  <c r="D27" i="9" s="1"/>
  <c r="G25" i="9"/>
  <c r="D26" i="9"/>
  <c r="D25" i="9"/>
  <c r="G26" i="9"/>
  <c r="G4" i="8"/>
  <c r="G5" i="8" s="1"/>
  <c r="G6" i="8" s="1"/>
  <c r="G7" i="8" s="1"/>
  <c r="G8" i="8" s="1"/>
  <c r="G4" i="6"/>
  <c r="G5" i="6" s="1"/>
  <c r="G6" i="6" s="1"/>
  <c r="G7" i="6" s="1"/>
  <c r="G8" i="6" s="1"/>
  <c r="G4" i="7"/>
  <c r="G5" i="7" s="1"/>
  <c r="G6" i="7" s="1"/>
  <c r="G7" i="7" s="1"/>
  <c r="G8" i="7" s="1"/>
  <c r="G4" i="5"/>
  <c r="G5" i="5" s="1"/>
  <c r="G6" i="5" s="1"/>
  <c r="G7" i="5" s="1"/>
  <c r="G8" i="5" s="1"/>
  <c r="G4" i="4"/>
  <c r="G5" i="4" s="1"/>
  <c r="G6" i="4" s="1"/>
  <c r="G7" i="4" s="1"/>
  <c r="G8" i="4" s="1"/>
  <c r="D29" i="9" l="1"/>
  <c r="D29" i="8"/>
  <c r="D28" i="8"/>
  <c r="D26" i="8"/>
  <c r="E25" i="8"/>
  <c r="E23" i="8"/>
  <c r="E24" i="8"/>
  <c r="E21" i="8"/>
  <c r="E20" i="8"/>
  <c r="E19" i="8"/>
  <c r="D21" i="7"/>
  <c r="D22" i="7" s="1"/>
  <c r="D21" i="6"/>
  <c r="D22" i="6" s="1"/>
  <c r="D21" i="5"/>
  <c r="D22" i="5"/>
  <c r="G4" i="1"/>
  <c r="G5" i="1" s="1"/>
  <c r="G6" i="1" s="1"/>
  <c r="G7" i="1" s="1"/>
  <c r="G8" i="1" s="1"/>
  <c r="G27" i="9" l="1"/>
  <c r="G29" i="9" s="1"/>
  <c r="D14" i="8"/>
  <c r="D11" i="8"/>
  <c r="D12" i="8" s="1"/>
  <c r="D15" i="8" s="1"/>
  <c r="D32" i="8" s="1"/>
  <c r="D14" i="1"/>
  <c r="D15" i="1"/>
  <c r="D14" i="7"/>
  <c r="D11" i="7"/>
  <c r="D12" i="7" s="1"/>
  <c r="D15" i="7" s="1"/>
  <c r="D14" i="6"/>
  <c r="D11" i="6"/>
  <c r="D12" i="6" s="1"/>
  <c r="D15" i="6" s="1"/>
  <c r="D16" i="6" s="1"/>
  <c r="D11" i="5"/>
  <c r="D12" i="5" s="1"/>
  <c r="D15" i="5" s="1"/>
  <c r="D16" i="5" s="1"/>
  <c r="D14" i="5"/>
  <c r="D11" i="4"/>
  <c r="D19" i="4" s="1"/>
  <c r="D17" i="1" l="1"/>
  <c r="D33" i="8"/>
  <c r="G32" i="8"/>
  <c r="D16" i="8"/>
  <c r="D34" i="8" s="1"/>
  <c r="G33" i="8"/>
  <c r="D16" i="7"/>
  <c r="D26" i="7"/>
  <c r="D25" i="7"/>
  <c r="G26" i="7"/>
  <c r="G25" i="7"/>
  <c r="G27" i="6"/>
  <c r="D27" i="6"/>
  <c r="D25" i="6"/>
  <c r="G26" i="6"/>
  <c r="G25" i="6"/>
  <c r="D26" i="6"/>
  <c r="G27" i="5"/>
  <c r="D27" i="5"/>
  <c r="G25" i="5"/>
  <c r="D26" i="5"/>
  <c r="G26" i="5"/>
  <c r="D25" i="5"/>
  <c r="D17" i="4"/>
  <c r="D18" i="4"/>
  <c r="D36" i="8" l="1"/>
  <c r="G34" i="8"/>
  <c r="G36" i="8" s="1"/>
  <c r="G27" i="7"/>
  <c r="G29" i="7" s="1"/>
  <c r="D27" i="7"/>
  <c r="D29" i="7" s="1"/>
  <c r="D29" i="6"/>
  <c r="G29" i="6"/>
  <c r="G29" i="5"/>
  <c r="D29" i="5"/>
  <c r="D21" i="4"/>
</calcChain>
</file>

<file path=xl/sharedStrings.xml><?xml version="1.0" encoding="utf-8"?>
<sst xmlns="http://schemas.openxmlformats.org/spreadsheetml/2006/main" count="401" uniqueCount="81">
  <si>
    <t>x</t>
  </si>
  <si>
    <t>Capitale differito</t>
  </si>
  <si>
    <t>C =</t>
  </si>
  <si>
    <t>n =</t>
  </si>
  <si>
    <t>Premio =</t>
  </si>
  <si>
    <t xml:space="preserve">i = </t>
  </si>
  <si>
    <t>{qx} =</t>
  </si>
  <si>
    <t>RG48</t>
  </si>
  <si>
    <t>t =</t>
  </si>
  <si>
    <t>t + r =</t>
  </si>
  <si>
    <t>Unico</t>
  </si>
  <si>
    <t>x =</t>
  </si>
  <si>
    <t>Dx</t>
  </si>
  <si>
    <t>Nx</t>
  </si>
  <si>
    <t>Calcolo della riserva</t>
  </si>
  <si>
    <t>V(3)</t>
  </si>
  <si>
    <t>V(4)</t>
  </si>
  <si>
    <t>r =</t>
  </si>
  <si>
    <t>Riporto premi</t>
  </si>
  <si>
    <t>Annuo</t>
  </si>
  <si>
    <t>Calcolo del premio annuo</t>
  </si>
  <si>
    <t>P =</t>
  </si>
  <si>
    <t>m =</t>
  </si>
  <si>
    <t>Pk</t>
  </si>
  <si>
    <t>k =</t>
  </si>
  <si>
    <t>Calcolo del premio annuo frazionato</t>
  </si>
  <si>
    <t>Pk / k</t>
  </si>
  <si>
    <t>frazione premio annuo</t>
  </si>
  <si>
    <t>premio annuo frazionato</t>
  </si>
  <si>
    <t>premio annuo</t>
  </si>
  <si>
    <t>Vk(3)</t>
  </si>
  <si>
    <t>Vk(4)</t>
  </si>
  <si>
    <t>(h+r)/k =</t>
  </si>
  <si>
    <t>= 45 gg / 180 gg</t>
  </si>
  <si>
    <t>1 - (h+r) / k =</t>
  </si>
  <si>
    <t>V(3,25)</t>
  </si>
  <si>
    <t>Compimento</t>
  </si>
  <si>
    <t>h =</t>
  </si>
  <si>
    <t>Formula 5</t>
  </si>
  <si>
    <t>Formula 7</t>
  </si>
  <si>
    <t>a(5) =</t>
  </si>
  <si>
    <t>ak(5) =</t>
  </si>
  <si>
    <t>Formula 2</t>
  </si>
  <si>
    <t>Formula 1</t>
  </si>
  <si>
    <t>t+1 =</t>
  </si>
  <si>
    <t>gg</t>
  </si>
  <si>
    <t>t0 =</t>
  </si>
  <si>
    <t>Date</t>
  </si>
  <si>
    <t>Durate</t>
  </si>
  <si>
    <t>anni</t>
  </si>
  <si>
    <t>t + 1/k =</t>
  </si>
  <si>
    <t>(t + 1/k) - t =</t>
  </si>
  <si>
    <t>(t + r) - t =</t>
  </si>
  <si>
    <t>Annuo frazionato</t>
  </si>
  <si>
    <t>Riporto di 
frazione di premio</t>
  </si>
  <si>
    <t>Riporto di
 premio annuo</t>
  </si>
  <si>
    <t>= 125 gg /183 gg</t>
  </si>
  <si>
    <t>Calcolo della riserva per interpolazione</t>
  </si>
  <si>
    <t xml:space="preserve">Un contratto di Capitale differito è stato emesso il 28 aprile 2020 e scade il 28 aprile 2025.
Il premio annuo è pagato per frazioni semestrali. Calcolare la riserva matematica al 31/08/2023 </t>
  </si>
  <si>
    <t>t</t>
  </si>
  <si>
    <t>t+r</t>
  </si>
  <si>
    <t>t+1</t>
  </si>
  <si>
    <t>Mx</t>
  </si>
  <si>
    <t>Mista semplice</t>
  </si>
  <si>
    <t>gt</t>
  </si>
  <si>
    <t>jt</t>
  </si>
  <si>
    <t>a</t>
  </si>
  <si>
    <t>F</t>
  </si>
  <si>
    <t>gamma</t>
  </si>
  <si>
    <t>S</t>
  </si>
  <si>
    <t>U</t>
  </si>
  <si>
    <t>I(t)</t>
  </si>
  <si>
    <t>anni t</t>
  </si>
  <si>
    <t>LA ROCCA</t>
  </si>
  <si>
    <t>TORNUSCIOLO</t>
  </si>
  <si>
    <t>MARANO</t>
  </si>
  <si>
    <t>ZOLLO</t>
  </si>
  <si>
    <t>SALERNO</t>
  </si>
  <si>
    <t>g'</t>
  </si>
  <si>
    <t>a(10) =</t>
  </si>
  <si>
    <t>ak(6)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</si>
</sst>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_-* #,##0_-;\-* #,##0_-;_-* &quot;-&quot;??_-;_-@_-"/>
    <numFmt numFmtId="167" formatCode="_-* #,##0.000_-;\-* #,##0.000_-;_-* &quot;-&quot;???_-;_-@_-"/>
    <numFmt numFmtId="168" formatCode="0.000000"/>
    <numFmt numFmtId="169" formatCode="_-* #,##0.0000000_-;\-* #,##0.000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9" fontId="3" fillId="0" borderId="0" xfId="0" applyNumberFormat="1" applyFont="1"/>
    <xf numFmtId="164" fontId="3" fillId="0" borderId="0" xfId="0" applyNumberFormat="1" applyFont="1"/>
    <xf numFmtId="0" fontId="3" fillId="2" borderId="0" xfId="0" applyFont="1" applyFill="1"/>
    <xf numFmtId="2" fontId="3" fillId="0" borderId="0" xfId="0" applyNumberFormat="1" applyFont="1"/>
    <xf numFmtId="0" fontId="3" fillId="0" borderId="1" xfId="0" applyFont="1" applyBorder="1"/>
    <xf numFmtId="2" fontId="3" fillId="3" borderId="1" xfId="0" applyNumberFormat="1" applyFont="1" applyFill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43" fontId="3" fillId="2" borderId="0" xfId="1" applyFont="1" applyFill="1"/>
    <xf numFmtId="43" fontId="3" fillId="0" borderId="0" xfId="1" applyFont="1"/>
    <xf numFmtId="43" fontId="3" fillId="0" borderId="0" xfId="0" applyNumberFormat="1" applyFont="1"/>
    <xf numFmtId="165" fontId="3" fillId="0" borderId="0" xfId="0" applyNumberFormat="1" applyFont="1"/>
    <xf numFmtId="164" fontId="3" fillId="0" borderId="0" xfId="0" quotePrefix="1" applyNumberFormat="1" applyFont="1"/>
    <xf numFmtId="167" fontId="3" fillId="0" borderId="0" xfId="0" applyNumberFormat="1" applyFont="1"/>
    <xf numFmtId="0" fontId="3" fillId="0" borderId="0" xfId="0" applyFont="1" applyFill="1" applyBorder="1"/>
    <xf numFmtId="43" fontId="3" fillId="0" borderId="0" xfId="1" applyFont="1" applyFill="1"/>
    <xf numFmtId="166" fontId="3" fillId="0" borderId="0" xfId="1" applyNumberFormat="1" applyFont="1" applyFill="1"/>
    <xf numFmtId="43" fontId="3" fillId="2" borderId="0" xfId="0" applyNumberFormat="1" applyFont="1" applyFill="1"/>
    <xf numFmtId="0" fontId="3" fillId="4" borderId="0" xfId="0" applyFont="1" applyFill="1"/>
    <xf numFmtId="43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/>
    <xf numFmtId="15" fontId="3" fillId="0" borderId="0" xfId="1" applyNumberFormat="1" applyFont="1" applyFill="1"/>
    <xf numFmtId="15" fontId="0" fillId="0" borderId="0" xfId="0" applyNumberFormat="1"/>
    <xf numFmtId="164" fontId="3" fillId="2" borderId="0" xfId="0" applyNumberFormat="1" applyFont="1" applyFill="1"/>
    <xf numFmtId="1" fontId="3" fillId="2" borderId="0" xfId="0" applyNumberFormat="1" applyFont="1" applyFill="1"/>
    <xf numFmtId="168" fontId="3" fillId="2" borderId="0" xfId="0" applyNumberFormat="1" applyFont="1" applyFill="1"/>
    <xf numFmtId="169" fontId="3" fillId="0" borderId="0" xfId="1" applyNumberFormat="1" applyFont="1" applyFill="1"/>
    <xf numFmtId="2" fontId="3" fillId="2" borderId="0" xfId="0" applyNumberFormat="1" applyFont="1" applyFill="1"/>
    <xf numFmtId="0" fontId="3" fillId="0" borderId="0" xfId="0" applyFont="1" applyAlignment="1">
      <alignment wrapText="1"/>
    </xf>
    <xf numFmtId="15" fontId="2" fillId="0" borderId="0" xfId="1" applyNumberFormat="1" applyFont="1" applyFill="1"/>
    <xf numFmtId="0" fontId="4" fillId="2" borderId="0" xfId="0" applyFont="1" applyFill="1"/>
    <xf numFmtId="43" fontId="3" fillId="0" borderId="1" xfId="1" applyFont="1" applyBorder="1" applyAlignment="1">
      <alignment horizontal="center"/>
    </xf>
    <xf numFmtId="15" fontId="3" fillId="2" borderId="0" xfId="1" applyNumberFormat="1" applyFont="1" applyFill="1"/>
    <xf numFmtId="15" fontId="2" fillId="2" borderId="0" xfId="1" applyNumberFormat="1" applyFont="1" applyFill="1"/>
    <xf numFmtId="15" fontId="3" fillId="5" borderId="0" xfId="1" applyNumberFormat="1" applyFont="1" applyFill="1"/>
    <xf numFmtId="15" fontId="2" fillId="6" borderId="0" xfId="1" applyNumberFormat="1" applyFont="1" applyFill="1"/>
    <xf numFmtId="43" fontId="0" fillId="0" borderId="0" xfId="1" applyFont="1"/>
    <xf numFmtId="9" fontId="0" fillId="0" borderId="0" xfId="0" applyNumberFormat="1"/>
    <xf numFmtId="0" fontId="5" fillId="0" borderId="1" xfId="0" applyFont="1" applyBorder="1"/>
    <xf numFmtId="0" fontId="2" fillId="0" borderId="0" xfId="0" applyFont="1" applyAlignment="1">
      <alignment wrapText="1"/>
    </xf>
    <xf numFmtId="0" fontId="0" fillId="0" borderId="0" xfId="0" applyAlignme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mi/Prem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DBasDem"/>
      <sheetName val="Premi_Annui"/>
      <sheetName val="Premi_Unici"/>
      <sheetName val="Procedure"/>
      <sheetName val="Tavole"/>
      <sheetName val="DreadDisease"/>
    </sheetNames>
    <definedNames>
      <definedName name="dx"/>
      <definedName name="mx"/>
      <definedName name="nx"/>
    </definedNames>
    <sheetDataSet>
      <sheetData sheetId="0"/>
      <sheetData sheetId="1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"/>
  <sheetViews>
    <sheetView workbookViewId="0">
      <selection activeCell="E15" sqref="E15"/>
    </sheetView>
  </sheetViews>
  <sheetFormatPr defaultRowHeight="15" x14ac:dyDescent="0.25"/>
  <sheetData>
    <row r="4" spans="2:10" ht="43.5" customHeight="1" x14ac:dyDescent="0.35">
      <c r="B4" s="38" t="s">
        <v>57</v>
      </c>
      <c r="C4" s="2"/>
      <c r="D4" s="2"/>
      <c r="E4" s="2"/>
      <c r="F4" s="2"/>
      <c r="G4" s="2"/>
      <c r="H4" s="2"/>
      <c r="I4" s="2"/>
      <c r="J4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33"/>
  <sheetViews>
    <sheetView topLeftCell="B1" workbookViewId="0">
      <selection activeCell="D11" sqref="D11"/>
    </sheetView>
  </sheetViews>
  <sheetFormatPr defaultRowHeight="15" x14ac:dyDescent="0.25"/>
  <sheetData>
    <row r="1" spans="4:30" x14ac:dyDescent="0.25">
      <c r="H1" s="2" t="s">
        <v>73</v>
      </c>
      <c r="P1" s="2" t="s">
        <v>75</v>
      </c>
      <c r="X1" s="2" t="s">
        <v>77</v>
      </c>
    </row>
    <row r="2" spans="4:30" x14ac:dyDescent="0.25">
      <c r="D2">
        <v>10000</v>
      </c>
      <c r="H2" t="s">
        <v>70</v>
      </c>
      <c r="I2">
        <v>1000</v>
      </c>
      <c r="P2" t="s">
        <v>70</v>
      </c>
      <c r="Q2">
        <v>1000</v>
      </c>
      <c r="X2" t="s">
        <v>70</v>
      </c>
      <c r="Y2">
        <v>1000</v>
      </c>
    </row>
    <row r="3" spans="4:30" x14ac:dyDescent="0.25">
      <c r="D3">
        <v>10</v>
      </c>
      <c r="H3">
        <f>[1]!dx(1,G3,2%)</f>
        <v>100000</v>
      </c>
      <c r="I3">
        <f>[1]!mx(1,G3,2%)</f>
        <v>20764.168367013677</v>
      </c>
      <c r="J3">
        <f>[1]!nx(1,G3,2%)</f>
        <v>4041015.1563498313</v>
      </c>
    </row>
    <row r="4" spans="4:30" ht="15.75" x14ac:dyDescent="0.25">
      <c r="D4">
        <v>6</v>
      </c>
      <c r="H4" s="46">
        <v>35046.698636964502</v>
      </c>
      <c r="I4" s="46">
        <f>[1]!mx(1,G4,2%)</f>
        <v>20764.168367013677</v>
      </c>
      <c r="J4" s="46">
        <f>[1]!nx(1,G4,2%)</f>
        <v>4041015.1563498313</v>
      </c>
      <c r="K4" s="46">
        <v>2</v>
      </c>
      <c r="L4" s="46">
        <v>3</v>
      </c>
      <c r="M4" s="46">
        <v>4</v>
      </c>
      <c r="N4" s="46">
        <v>5</v>
      </c>
      <c r="P4" s="46" t="s">
        <v>72</v>
      </c>
      <c r="Q4" s="46">
        <v>0</v>
      </c>
      <c r="R4" s="46">
        <v>1</v>
      </c>
      <c r="S4" s="46">
        <v>2</v>
      </c>
      <c r="T4" s="46">
        <v>3</v>
      </c>
      <c r="U4" s="46">
        <v>4</v>
      </c>
      <c r="V4" s="46">
        <v>5</v>
      </c>
      <c r="X4" s="46" t="s">
        <v>72</v>
      </c>
      <c r="Y4" s="46">
        <v>0</v>
      </c>
      <c r="Z4" s="46">
        <v>1</v>
      </c>
      <c r="AA4" s="46">
        <v>2</v>
      </c>
      <c r="AB4" s="46">
        <v>3</v>
      </c>
      <c r="AC4" s="46">
        <v>4</v>
      </c>
      <c r="AD4" s="46">
        <v>5</v>
      </c>
    </row>
    <row r="5" spans="4:30" ht="15.75" x14ac:dyDescent="0.25">
      <c r="H5" s="46">
        <v>34288.488220402098</v>
      </c>
      <c r="I5" s="46">
        <f>[1]!mx(1,G5,2%)</f>
        <v>20764.168367013677</v>
      </c>
      <c r="J5" s="46">
        <f>[1]!nx(1,G5,2%)</f>
        <v>4041015.1563498313</v>
      </c>
      <c r="K5" s="46">
        <v>102</v>
      </c>
      <c r="L5" s="46">
        <v>108</v>
      </c>
      <c r="M5" s="46">
        <v>90</v>
      </c>
      <c r="N5" s="46">
        <v>95</v>
      </c>
      <c r="P5" s="46" t="s">
        <v>71</v>
      </c>
      <c r="Q5" s="46">
        <v>100</v>
      </c>
      <c r="R5" s="46">
        <v>90</v>
      </c>
      <c r="S5" s="46">
        <v>95</v>
      </c>
      <c r="T5" s="46">
        <v>80</v>
      </c>
      <c r="U5" s="46">
        <v>125</v>
      </c>
      <c r="V5" s="46">
        <v>150</v>
      </c>
      <c r="X5" s="46" t="s">
        <v>71</v>
      </c>
      <c r="Y5" s="46">
        <v>100</v>
      </c>
      <c r="Z5" s="46">
        <v>80</v>
      </c>
      <c r="AA5" s="46">
        <v>110</v>
      </c>
      <c r="AB5" s="46">
        <v>125</v>
      </c>
      <c r="AC5" s="46">
        <v>145</v>
      </c>
      <c r="AD5" s="46">
        <v>100</v>
      </c>
    </row>
    <row r="6" spans="4:30" x14ac:dyDescent="0.25">
      <c r="H6">
        <v>33542.241513629</v>
      </c>
      <c r="I6">
        <f>[1]!mx(1,G6,2%)</f>
        <v>20764.168367013677</v>
      </c>
      <c r="J6">
        <f>[1]!nx(1,G6,2%)</f>
        <v>4041015.1563498313</v>
      </c>
    </row>
    <row r="7" spans="4:30" x14ac:dyDescent="0.25">
      <c r="H7">
        <v>32807.041326131097</v>
      </c>
      <c r="I7">
        <f>[1]!mx(1,G7,2%)</f>
        <v>20764.168367013677</v>
      </c>
      <c r="J7">
        <f>[1]!nx(1,G7,2%)</f>
        <v>4041015.1563498313</v>
      </c>
      <c r="K7">
        <f t="shared" ref="K7:N7" si="0">(K5-J5)/J5</f>
        <v>-0.99997475881775899</v>
      </c>
      <c r="L7">
        <f t="shared" si="0"/>
        <v>5.8823529411764705E-2</v>
      </c>
      <c r="M7">
        <f t="shared" si="0"/>
        <v>-0.16666666666666666</v>
      </c>
      <c r="N7">
        <f t="shared" si="0"/>
        <v>5.5555555555555552E-2</v>
      </c>
      <c r="P7" t="s">
        <v>64</v>
      </c>
      <c r="R7">
        <f>(R5-Q5)/Q5</f>
        <v>-0.1</v>
      </c>
      <c r="S7">
        <f t="shared" ref="S7:V7" si="1">(S5-R5)/R5</f>
        <v>5.5555555555555552E-2</v>
      </c>
      <c r="T7">
        <f t="shared" si="1"/>
        <v>-0.15789473684210525</v>
      </c>
      <c r="U7">
        <f t="shared" si="1"/>
        <v>0.5625</v>
      </c>
      <c r="V7" s="1">
        <f t="shared" si="1"/>
        <v>0.2</v>
      </c>
      <c r="X7" t="s">
        <v>64</v>
      </c>
      <c r="Z7">
        <f>(Z5-Y5)/Y5</f>
        <v>-0.2</v>
      </c>
      <c r="AA7">
        <f t="shared" ref="AA7:AD7" si="2">(AA5-Z5)/Z5</f>
        <v>0.375</v>
      </c>
      <c r="AB7">
        <f t="shared" si="2"/>
        <v>0.13636363636363635</v>
      </c>
      <c r="AC7">
        <f t="shared" si="2"/>
        <v>0.16</v>
      </c>
      <c r="AD7">
        <f t="shared" si="2"/>
        <v>-0.31034482758620691</v>
      </c>
    </row>
    <row r="8" spans="4:30" x14ac:dyDescent="0.25">
      <c r="H8">
        <v>32081.941632689501</v>
      </c>
      <c r="I8">
        <f>[1]!mx(1,G8,2%)</f>
        <v>20764.168367013677</v>
      </c>
      <c r="J8">
        <f>[1]!nx(1,G8,2%)</f>
        <v>4041015.1563498313</v>
      </c>
      <c r="K8">
        <f t="shared" ref="K8:N8" si="3">MIN(MAX(K7,0),$I$9)</f>
        <v>0</v>
      </c>
      <c r="L8">
        <f t="shared" si="3"/>
        <v>5.8823529411764705E-2</v>
      </c>
      <c r="M8">
        <f t="shared" si="3"/>
        <v>0</v>
      </c>
      <c r="N8">
        <f t="shared" si="3"/>
        <v>5.5555555555555552E-2</v>
      </c>
      <c r="P8" t="s">
        <v>65</v>
      </c>
      <c r="R8">
        <f>MIN(MAX(R7,0),$Q$9)</f>
        <v>0</v>
      </c>
      <c r="S8">
        <f t="shared" ref="S8:V8" si="4">MIN(MAX(S7,0),$Q$9)</f>
        <v>5.5555555555555552E-2</v>
      </c>
      <c r="T8">
        <f t="shared" si="4"/>
        <v>0</v>
      </c>
      <c r="U8">
        <f t="shared" si="4"/>
        <v>0.18</v>
      </c>
      <c r="V8">
        <f t="shared" si="4"/>
        <v>0.18</v>
      </c>
      <c r="X8" t="s">
        <v>65</v>
      </c>
      <c r="Z8">
        <f>MIN(MAX(Z7,0),$Y$9)</f>
        <v>0</v>
      </c>
      <c r="AA8">
        <f t="shared" ref="AA8:AD8" si="5">MIN(MAX(AA7,0),$Y$9)</f>
        <v>0.2</v>
      </c>
      <c r="AB8">
        <f t="shared" si="5"/>
        <v>0.13636363636363635</v>
      </c>
      <c r="AC8">
        <f t="shared" si="5"/>
        <v>0.16</v>
      </c>
      <c r="AD8">
        <f t="shared" si="5"/>
        <v>0</v>
      </c>
    </row>
    <row r="9" spans="4:30" x14ac:dyDescent="0.25">
      <c r="H9">
        <v>32081.941632689501</v>
      </c>
      <c r="I9">
        <f>[1]!mx(1,G9,2%)</f>
        <v>20764.168367013677</v>
      </c>
      <c r="J9">
        <f>[1]!nx(1,G9,2%)</f>
        <v>4041015.1563498313</v>
      </c>
      <c r="P9" t="s">
        <v>78</v>
      </c>
      <c r="Q9">
        <v>0.18</v>
      </c>
      <c r="X9" t="s">
        <v>78</v>
      </c>
      <c r="Y9">
        <v>0.2</v>
      </c>
    </row>
    <row r="10" spans="4:30" x14ac:dyDescent="0.25">
      <c r="H10">
        <v>32081.941632689501</v>
      </c>
      <c r="I10">
        <f>[1]!mx(1,G10,2%)</f>
        <v>20764.168367013677</v>
      </c>
      <c r="J10">
        <f>[1]!nx(1,G10,2%)</f>
        <v>4041015.1563498313</v>
      </c>
      <c r="P10" t="s">
        <v>66</v>
      </c>
      <c r="Q10" s="45">
        <v>0.85</v>
      </c>
      <c r="X10" t="s">
        <v>66</v>
      </c>
      <c r="Y10" s="45">
        <v>0.85</v>
      </c>
    </row>
    <row r="11" spans="4:30" x14ac:dyDescent="0.25">
      <c r="H11">
        <v>32081.941632689501</v>
      </c>
      <c r="I11">
        <f>[1]!mx(1,G11,2%)</f>
        <v>20764.168367013677</v>
      </c>
      <c r="J11">
        <f>[1]!nx(1,G11,2%)</f>
        <v>4041015.1563498313</v>
      </c>
    </row>
    <row r="12" spans="4:30" x14ac:dyDescent="0.25">
      <c r="H12">
        <v>32081.941632689501</v>
      </c>
      <c r="I12">
        <f>[1]!mx(1,G12,2%)</f>
        <v>20764.168367013677</v>
      </c>
      <c r="J12">
        <f>[1]!nx(1,G12,2%)</f>
        <v>4041015.1563498313</v>
      </c>
      <c r="P12" t="s">
        <v>67</v>
      </c>
      <c r="Q12">
        <f>Q10*(1+R8)*(1+S8)*(1+T8)*(1+U8)*(1+V8)</f>
        <v>1.249292222222222</v>
      </c>
      <c r="X12" t="s">
        <v>67</v>
      </c>
      <c r="Y12">
        <f>Y10*(1+Z8)*(1+AA8)*(1+AB8)*(1+AC8)*(1+AD8)</f>
        <v>1.3445454545454543</v>
      </c>
    </row>
    <row r="13" spans="4:30" x14ac:dyDescent="0.25">
      <c r="H13">
        <v>32081.941632689501</v>
      </c>
      <c r="I13">
        <f>[1]!mx(1,G13,2%)</f>
        <v>20764.168367013677</v>
      </c>
      <c r="J13">
        <f>[1]!nx(1,G13,2%)</f>
        <v>4041015.1563498313</v>
      </c>
      <c r="P13" t="s">
        <v>68</v>
      </c>
      <c r="Q13" s="1">
        <v>0.85</v>
      </c>
      <c r="X13" t="s">
        <v>68</v>
      </c>
      <c r="Y13" s="1">
        <v>0.85</v>
      </c>
    </row>
    <row r="15" spans="4:30" x14ac:dyDescent="0.25">
      <c r="H15" t="s">
        <v>69</v>
      </c>
      <c r="I15">
        <f>MAX(I13*I2,I2*I12)</f>
        <v>20764168.367013678</v>
      </c>
      <c r="P15" t="s">
        <v>69</v>
      </c>
      <c r="Q15">
        <f>MAX(Q13*Q2,Q2*Q12)</f>
        <v>1249.2922222222221</v>
      </c>
      <c r="X15" t="s">
        <v>69</v>
      </c>
      <c r="Y15">
        <f>MAX(Y13*Y2,Y2*Y12)</f>
        <v>1344.5454545454543</v>
      </c>
    </row>
    <row r="19" spans="8:22" x14ac:dyDescent="0.25">
      <c r="H19" s="2" t="s">
        <v>74</v>
      </c>
      <c r="P19" s="2" t="s">
        <v>76</v>
      </c>
    </row>
    <row r="20" spans="8:22" x14ac:dyDescent="0.25">
      <c r="H20" t="s">
        <v>70</v>
      </c>
      <c r="I20">
        <v>1000</v>
      </c>
      <c r="P20" t="s">
        <v>70</v>
      </c>
      <c r="Q20">
        <v>1000</v>
      </c>
    </row>
    <row r="22" spans="8:22" ht="15.75" x14ac:dyDescent="0.25">
      <c r="H22" s="46" t="s">
        <v>72</v>
      </c>
      <c r="I22" s="46">
        <v>0</v>
      </c>
      <c r="J22" s="46">
        <v>1</v>
      </c>
      <c r="K22" s="46">
        <v>2</v>
      </c>
      <c r="L22" s="46">
        <v>3</v>
      </c>
      <c r="M22" s="46">
        <v>4</v>
      </c>
      <c r="N22" s="46">
        <v>5</v>
      </c>
      <c r="P22" s="46" t="s">
        <v>72</v>
      </c>
      <c r="Q22" s="46">
        <v>0</v>
      </c>
      <c r="R22" s="46">
        <v>1</v>
      </c>
      <c r="S22" s="46">
        <v>2</v>
      </c>
      <c r="T22" s="46">
        <v>3</v>
      </c>
      <c r="U22" s="46">
        <v>4</v>
      </c>
      <c r="V22" s="46">
        <v>5</v>
      </c>
    </row>
    <row r="23" spans="8:22" ht="15.75" x14ac:dyDescent="0.25">
      <c r="H23" s="46" t="s">
        <v>71</v>
      </c>
      <c r="I23" s="46">
        <v>100</v>
      </c>
      <c r="J23" s="46">
        <v>110</v>
      </c>
      <c r="K23" s="46">
        <v>150</v>
      </c>
      <c r="L23" s="46">
        <v>90</v>
      </c>
      <c r="M23" s="46">
        <v>115</v>
      </c>
      <c r="N23" s="46">
        <v>100</v>
      </c>
      <c r="P23" s="46" t="s">
        <v>71</v>
      </c>
      <c r="Q23" s="46">
        <v>100</v>
      </c>
      <c r="R23" s="46">
        <v>125</v>
      </c>
      <c r="S23" s="46">
        <v>102</v>
      </c>
      <c r="T23" s="46">
        <v>125</v>
      </c>
      <c r="U23" s="46">
        <v>90</v>
      </c>
      <c r="V23" s="46">
        <v>95</v>
      </c>
    </row>
    <row r="25" spans="8:22" x14ac:dyDescent="0.25">
      <c r="H25" t="s">
        <v>64</v>
      </c>
      <c r="J25">
        <f>(J23-I23)/I23</f>
        <v>0.1</v>
      </c>
      <c r="K25">
        <f t="shared" ref="K25:N25" si="6">(K23-J23)/J23</f>
        <v>0.36363636363636365</v>
      </c>
      <c r="L25">
        <f t="shared" si="6"/>
        <v>-0.4</v>
      </c>
      <c r="M25">
        <f t="shared" si="6"/>
        <v>0.27777777777777779</v>
      </c>
      <c r="N25">
        <f t="shared" si="6"/>
        <v>-0.13043478260869565</v>
      </c>
      <c r="P25" t="s">
        <v>64</v>
      </c>
      <c r="R25">
        <f>(R23-Q23)/Q23</f>
        <v>0.25</v>
      </c>
      <c r="S25">
        <f t="shared" ref="S25:V25" si="7">(S23-R23)/R23</f>
        <v>-0.184</v>
      </c>
      <c r="T25">
        <f t="shared" si="7"/>
        <v>0.22549019607843138</v>
      </c>
      <c r="U25">
        <f t="shared" si="7"/>
        <v>-0.28000000000000003</v>
      </c>
      <c r="V25">
        <f t="shared" si="7"/>
        <v>5.5555555555555552E-2</v>
      </c>
    </row>
    <row r="26" spans="8:22" x14ac:dyDescent="0.25">
      <c r="H26" t="s">
        <v>65</v>
      </c>
      <c r="J26">
        <f>MIN(MAX(J25,0),$I$27)</f>
        <v>0.1</v>
      </c>
      <c r="K26">
        <f t="shared" ref="K26:N26" si="8">MIN(MAX(K25,0),$I$27)</f>
        <v>0.2</v>
      </c>
      <c r="L26">
        <f t="shared" si="8"/>
        <v>0</v>
      </c>
      <c r="M26">
        <f t="shared" si="8"/>
        <v>0.2</v>
      </c>
      <c r="N26">
        <f t="shared" si="8"/>
        <v>0</v>
      </c>
      <c r="P26" t="s">
        <v>65</v>
      </c>
      <c r="R26">
        <f>MIN(MAX(R25,0),$Q$27)</f>
        <v>0.15</v>
      </c>
      <c r="S26">
        <f t="shared" ref="S26:V26" si="9">MIN(MAX(S25,0),$Q$27)</f>
        <v>0</v>
      </c>
      <c r="T26">
        <f t="shared" si="9"/>
        <v>0.15</v>
      </c>
      <c r="U26">
        <f t="shared" si="9"/>
        <v>0</v>
      </c>
      <c r="V26">
        <f t="shared" si="9"/>
        <v>5.5555555555555552E-2</v>
      </c>
    </row>
    <row r="27" spans="8:22" x14ac:dyDescent="0.25">
      <c r="H27" t="s">
        <v>78</v>
      </c>
      <c r="I27">
        <v>0.2</v>
      </c>
      <c r="P27" t="s">
        <v>78</v>
      </c>
      <c r="Q27">
        <v>0.15</v>
      </c>
    </row>
    <row r="28" spans="8:22" x14ac:dyDescent="0.25">
      <c r="H28" t="s">
        <v>66</v>
      </c>
      <c r="I28" s="45">
        <v>0.85</v>
      </c>
      <c r="P28" t="s">
        <v>66</v>
      </c>
      <c r="Q28" s="45">
        <v>0.85</v>
      </c>
    </row>
    <row r="30" spans="8:22" x14ac:dyDescent="0.25">
      <c r="H30" t="s">
        <v>67</v>
      </c>
      <c r="I30">
        <f>I28*(1+J26)*(1+K26)*(1+L26)*(1+M26)*(1+N26)</f>
        <v>1.3464</v>
      </c>
      <c r="P30" t="s">
        <v>67</v>
      </c>
      <c r="Q30">
        <f>Q28*(1+R26)*(1+S26)*(1+T26)*(1+U26)*(1+V26)</f>
        <v>1.1865763888888887</v>
      </c>
    </row>
    <row r="31" spans="8:22" x14ac:dyDescent="0.25">
      <c r="H31" t="s">
        <v>68</v>
      </c>
      <c r="I31" s="1">
        <v>0.85</v>
      </c>
      <c r="P31" t="s">
        <v>68</v>
      </c>
      <c r="Q31" s="1">
        <v>0.85</v>
      </c>
    </row>
    <row r="33" spans="8:17" x14ac:dyDescent="0.25">
      <c r="H33" t="s">
        <v>69</v>
      </c>
      <c r="I33">
        <f>MAX(I31*I20,I20*I30)</f>
        <v>1346.4</v>
      </c>
      <c r="P33" t="s">
        <v>69</v>
      </c>
      <c r="Q33">
        <f>MAX(Q31*Q20,Q20*Q30)</f>
        <v>1186.5763888888887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33"/>
  <sheetViews>
    <sheetView topLeftCell="B1" workbookViewId="0">
      <selection activeCell="D11" sqref="D11"/>
    </sheetView>
  </sheetViews>
  <sheetFormatPr defaultRowHeight="15" x14ac:dyDescent="0.25"/>
  <sheetData>
    <row r="1" spans="4:30" x14ac:dyDescent="0.25">
      <c r="H1" s="2" t="s">
        <v>73</v>
      </c>
      <c r="P1" s="2" t="s">
        <v>75</v>
      </c>
      <c r="X1" s="2" t="s">
        <v>77</v>
      </c>
    </row>
    <row r="2" spans="4:30" x14ac:dyDescent="0.25">
      <c r="D2">
        <v>10000</v>
      </c>
      <c r="H2" t="s">
        <v>70</v>
      </c>
      <c r="I2">
        <v>1000</v>
      </c>
      <c r="P2" t="s">
        <v>70</v>
      </c>
      <c r="Q2">
        <v>1000</v>
      </c>
      <c r="X2" t="s">
        <v>70</v>
      </c>
      <c r="Y2">
        <v>1000</v>
      </c>
    </row>
    <row r="3" spans="4:30" x14ac:dyDescent="0.25">
      <c r="D3">
        <v>10</v>
      </c>
      <c r="H3">
        <f>[1]!dx(1,G3,2%)</f>
        <v>100000</v>
      </c>
      <c r="I3">
        <f>[1]!mx(1,G3,2%)</f>
        <v>20764.168367013677</v>
      </c>
      <c r="J3">
        <f>[1]!nx(1,G3,2%)</f>
        <v>4041015.1563498313</v>
      </c>
    </row>
    <row r="4" spans="4:30" ht="15.75" x14ac:dyDescent="0.25">
      <c r="D4">
        <v>6</v>
      </c>
      <c r="H4" s="46">
        <v>35046.698636964502</v>
      </c>
      <c r="I4" s="46">
        <f>[1]!mx(1,G4,2%)</f>
        <v>20764.168367013677</v>
      </c>
      <c r="J4" s="46">
        <f>[1]!nx(1,G4,2%)</f>
        <v>4041015.1563498313</v>
      </c>
      <c r="K4" s="46">
        <v>2</v>
      </c>
      <c r="L4" s="46">
        <v>3</v>
      </c>
      <c r="M4" s="46">
        <v>4</v>
      </c>
      <c r="N4" s="46">
        <v>5</v>
      </c>
      <c r="P4" s="46" t="s">
        <v>72</v>
      </c>
      <c r="Q4" s="46">
        <v>0</v>
      </c>
      <c r="R4" s="46">
        <v>1</v>
      </c>
      <c r="S4" s="46">
        <v>2</v>
      </c>
      <c r="T4" s="46">
        <v>3</v>
      </c>
      <c r="U4" s="46">
        <v>4</v>
      </c>
      <c r="V4" s="46">
        <v>5</v>
      </c>
      <c r="X4" s="46" t="s">
        <v>72</v>
      </c>
      <c r="Y4" s="46">
        <v>0</v>
      </c>
      <c r="Z4" s="46">
        <v>1</v>
      </c>
      <c r="AA4" s="46">
        <v>2</v>
      </c>
      <c r="AB4" s="46">
        <v>3</v>
      </c>
      <c r="AC4" s="46">
        <v>4</v>
      </c>
      <c r="AD4" s="46">
        <v>5</v>
      </c>
    </row>
    <row r="5" spans="4:30" ht="15.75" x14ac:dyDescent="0.25">
      <c r="H5" s="46">
        <v>34288.488220402098</v>
      </c>
      <c r="I5" s="46">
        <f>[1]!mx(1,G5,2%)</f>
        <v>20764.168367013677</v>
      </c>
      <c r="J5" s="46">
        <f>[1]!nx(1,G5,2%)</f>
        <v>4041015.1563498313</v>
      </c>
      <c r="K5" s="46">
        <v>102</v>
      </c>
      <c r="L5" s="46">
        <v>108</v>
      </c>
      <c r="M5" s="46">
        <v>90</v>
      </c>
      <c r="N5" s="46">
        <v>95</v>
      </c>
      <c r="P5" s="46" t="s">
        <v>71</v>
      </c>
      <c r="Q5" s="46">
        <v>100</v>
      </c>
      <c r="R5" s="46">
        <v>90</v>
      </c>
      <c r="S5" s="46">
        <v>95</v>
      </c>
      <c r="T5" s="46">
        <v>80</v>
      </c>
      <c r="U5" s="46">
        <v>125</v>
      </c>
      <c r="V5" s="46">
        <v>150</v>
      </c>
      <c r="X5" s="46" t="s">
        <v>71</v>
      </c>
      <c r="Y5" s="46">
        <v>100</v>
      </c>
      <c r="Z5" s="46">
        <v>80</v>
      </c>
      <c r="AA5" s="46">
        <v>110</v>
      </c>
      <c r="AB5" s="46">
        <v>125</v>
      </c>
      <c r="AC5" s="46">
        <v>145</v>
      </c>
      <c r="AD5" s="46">
        <v>100</v>
      </c>
    </row>
    <row r="6" spans="4:30" x14ac:dyDescent="0.25">
      <c r="H6">
        <v>33542.241513629</v>
      </c>
      <c r="I6">
        <f>[1]!mx(1,G6,2%)</f>
        <v>20764.168367013677</v>
      </c>
      <c r="J6">
        <f>[1]!nx(1,G6,2%)</f>
        <v>4041015.1563498313</v>
      </c>
    </row>
    <row r="7" spans="4:30" x14ac:dyDescent="0.25">
      <c r="H7">
        <v>32807.041326131097</v>
      </c>
      <c r="I7">
        <f>[1]!mx(1,G7,2%)</f>
        <v>20764.168367013677</v>
      </c>
      <c r="J7">
        <f>[1]!nx(1,G7,2%)</f>
        <v>4041015.1563498313</v>
      </c>
      <c r="K7">
        <f t="shared" ref="K7:N7" si="0">(K5-J5)/J5</f>
        <v>-0.99997475881775899</v>
      </c>
      <c r="L7">
        <f t="shared" si="0"/>
        <v>5.8823529411764705E-2</v>
      </c>
      <c r="M7">
        <f t="shared" si="0"/>
        <v>-0.16666666666666666</v>
      </c>
      <c r="N7">
        <f t="shared" si="0"/>
        <v>5.5555555555555552E-2</v>
      </c>
      <c r="P7" t="s">
        <v>64</v>
      </c>
      <c r="R7">
        <f>(R5-Q5)/Q5</f>
        <v>-0.1</v>
      </c>
      <c r="S7">
        <f t="shared" ref="S7:V7" si="1">(S5-R5)/R5</f>
        <v>5.5555555555555552E-2</v>
      </c>
      <c r="T7">
        <f t="shared" si="1"/>
        <v>-0.15789473684210525</v>
      </c>
      <c r="U7">
        <f t="shared" si="1"/>
        <v>0.5625</v>
      </c>
      <c r="V7" s="1">
        <f t="shared" si="1"/>
        <v>0.2</v>
      </c>
      <c r="X7" t="s">
        <v>64</v>
      </c>
      <c r="Z7">
        <f>(Z5-Y5)/Y5</f>
        <v>-0.2</v>
      </c>
      <c r="AA7">
        <f t="shared" ref="AA7:AD7" si="2">(AA5-Z5)/Z5</f>
        <v>0.375</v>
      </c>
      <c r="AB7">
        <f t="shared" si="2"/>
        <v>0.13636363636363635</v>
      </c>
      <c r="AC7">
        <f t="shared" si="2"/>
        <v>0.16</v>
      </c>
      <c r="AD7">
        <f t="shared" si="2"/>
        <v>-0.31034482758620691</v>
      </c>
    </row>
    <row r="8" spans="4:30" x14ac:dyDescent="0.25">
      <c r="H8">
        <v>32081.941632689501</v>
      </c>
      <c r="I8">
        <f>[1]!mx(1,G8,2%)</f>
        <v>20764.168367013677</v>
      </c>
      <c r="J8">
        <f>[1]!nx(1,G8,2%)</f>
        <v>4041015.1563498313</v>
      </c>
      <c r="K8">
        <f t="shared" ref="K8:N8" si="3">MIN(MAX(K7,0),$I$9)</f>
        <v>0</v>
      </c>
      <c r="L8">
        <f t="shared" si="3"/>
        <v>5.8823529411764705E-2</v>
      </c>
      <c r="M8">
        <f t="shared" si="3"/>
        <v>0</v>
      </c>
      <c r="N8">
        <f t="shared" si="3"/>
        <v>5.5555555555555552E-2</v>
      </c>
      <c r="P8" t="s">
        <v>65</v>
      </c>
      <c r="R8">
        <f>MIN(MAX(R7,0),$Q$9)</f>
        <v>0</v>
      </c>
      <c r="S8">
        <f t="shared" ref="S8:V8" si="4">MIN(MAX(S7,0),$Q$9)</f>
        <v>5.5555555555555552E-2</v>
      </c>
      <c r="T8">
        <f t="shared" si="4"/>
        <v>0</v>
      </c>
      <c r="U8">
        <f t="shared" si="4"/>
        <v>0.18</v>
      </c>
      <c r="V8">
        <f t="shared" si="4"/>
        <v>0.18</v>
      </c>
      <c r="X8" t="s">
        <v>65</v>
      </c>
      <c r="Z8">
        <f>MIN(MAX(Z7,0),$Y$9)</f>
        <v>0</v>
      </c>
      <c r="AA8">
        <f t="shared" ref="AA8:AD8" si="5">MIN(MAX(AA7,0),$Y$9)</f>
        <v>0.2</v>
      </c>
      <c r="AB8">
        <f t="shared" si="5"/>
        <v>0.13636363636363635</v>
      </c>
      <c r="AC8">
        <f t="shared" si="5"/>
        <v>0.16</v>
      </c>
      <c r="AD8">
        <f t="shared" si="5"/>
        <v>0</v>
      </c>
    </row>
    <row r="9" spans="4:30" x14ac:dyDescent="0.25">
      <c r="H9">
        <v>32081.941632689501</v>
      </c>
      <c r="I9">
        <f>[1]!mx(1,G9,2%)</f>
        <v>20764.168367013677</v>
      </c>
      <c r="J9">
        <f>[1]!nx(1,G9,2%)</f>
        <v>4041015.1563498313</v>
      </c>
      <c r="P9" t="s">
        <v>78</v>
      </c>
      <c r="Q9">
        <v>0.18</v>
      </c>
      <c r="X9" t="s">
        <v>78</v>
      </c>
      <c r="Y9">
        <v>0.2</v>
      </c>
    </row>
    <row r="10" spans="4:30" x14ac:dyDescent="0.25">
      <c r="H10">
        <v>32081.941632689501</v>
      </c>
      <c r="I10">
        <f>[1]!mx(1,G10,2%)</f>
        <v>20764.168367013677</v>
      </c>
      <c r="J10">
        <f>[1]!nx(1,G10,2%)</f>
        <v>4041015.1563498313</v>
      </c>
      <c r="P10" t="s">
        <v>66</v>
      </c>
      <c r="Q10" s="45">
        <v>0.85</v>
      </c>
      <c r="X10" t="s">
        <v>66</v>
      </c>
      <c r="Y10" s="45">
        <v>0.85</v>
      </c>
    </row>
    <row r="11" spans="4:30" x14ac:dyDescent="0.25">
      <c r="H11">
        <v>32081.941632689501</v>
      </c>
      <c r="I11">
        <f>[1]!mx(1,G11,2%)</f>
        <v>20764.168367013677</v>
      </c>
      <c r="J11">
        <f>[1]!nx(1,G11,2%)</f>
        <v>4041015.1563498313</v>
      </c>
    </row>
    <row r="12" spans="4:30" x14ac:dyDescent="0.25">
      <c r="H12">
        <v>32081.941632689501</v>
      </c>
      <c r="I12">
        <f>[1]!mx(1,G12,2%)</f>
        <v>20764.168367013677</v>
      </c>
      <c r="J12">
        <f>[1]!nx(1,G12,2%)</f>
        <v>4041015.1563498313</v>
      </c>
      <c r="P12" t="s">
        <v>67</v>
      </c>
      <c r="Q12">
        <f>Q10*(1+R8)*(1+S8)*(1+T8)*(1+U8)*(1+V8)</f>
        <v>1.249292222222222</v>
      </c>
      <c r="X12" t="s">
        <v>67</v>
      </c>
      <c r="Y12">
        <f>Y10*(1+Z8)*(1+AA8)*(1+AB8)*(1+AC8)*(1+AD8)</f>
        <v>1.3445454545454543</v>
      </c>
    </row>
    <row r="13" spans="4:30" x14ac:dyDescent="0.25">
      <c r="H13">
        <v>32081.941632689501</v>
      </c>
      <c r="I13">
        <f>[1]!mx(1,G13,2%)</f>
        <v>20764.168367013677</v>
      </c>
      <c r="J13">
        <f>[1]!nx(1,G13,2%)</f>
        <v>4041015.1563498313</v>
      </c>
      <c r="P13" t="s">
        <v>68</v>
      </c>
      <c r="Q13" s="1">
        <v>0.85</v>
      </c>
      <c r="X13" t="s">
        <v>68</v>
      </c>
      <c r="Y13" s="1">
        <v>0.85</v>
      </c>
    </row>
    <row r="15" spans="4:30" x14ac:dyDescent="0.25">
      <c r="H15" t="s">
        <v>69</v>
      </c>
      <c r="I15">
        <f>MAX(I13*I2,I2*I12)</f>
        <v>20764168.367013678</v>
      </c>
      <c r="P15" t="s">
        <v>69</v>
      </c>
      <c r="Q15">
        <f>MAX(Q13*Q2,Q2*Q12)</f>
        <v>1249.2922222222221</v>
      </c>
      <c r="X15" t="s">
        <v>69</v>
      </c>
      <c r="Y15">
        <f>MAX(Y13*Y2,Y2*Y12)</f>
        <v>1344.5454545454543</v>
      </c>
    </row>
    <row r="19" spans="8:22" x14ac:dyDescent="0.25">
      <c r="H19" s="2" t="s">
        <v>74</v>
      </c>
      <c r="P19" s="2" t="s">
        <v>76</v>
      </c>
    </row>
    <row r="20" spans="8:22" x14ac:dyDescent="0.25">
      <c r="H20" t="s">
        <v>70</v>
      </c>
      <c r="I20">
        <v>1000</v>
      </c>
      <c r="P20" t="s">
        <v>70</v>
      </c>
      <c r="Q20">
        <v>1000</v>
      </c>
    </row>
    <row r="22" spans="8:22" ht="15.75" x14ac:dyDescent="0.25">
      <c r="H22" s="46" t="s">
        <v>72</v>
      </c>
      <c r="I22" s="46">
        <v>0</v>
      </c>
      <c r="J22" s="46">
        <v>1</v>
      </c>
      <c r="K22" s="46">
        <v>2</v>
      </c>
      <c r="L22" s="46">
        <v>3</v>
      </c>
      <c r="M22" s="46">
        <v>4</v>
      </c>
      <c r="N22" s="46">
        <v>5</v>
      </c>
      <c r="P22" s="46" t="s">
        <v>72</v>
      </c>
      <c r="Q22" s="46">
        <v>0</v>
      </c>
      <c r="R22" s="46">
        <v>1</v>
      </c>
      <c r="S22" s="46">
        <v>2</v>
      </c>
      <c r="T22" s="46">
        <v>3</v>
      </c>
      <c r="U22" s="46">
        <v>4</v>
      </c>
      <c r="V22" s="46">
        <v>5</v>
      </c>
    </row>
    <row r="23" spans="8:22" ht="15.75" x14ac:dyDescent="0.25">
      <c r="H23" s="46" t="s">
        <v>71</v>
      </c>
      <c r="I23" s="46">
        <v>100</v>
      </c>
      <c r="J23" s="46">
        <v>110</v>
      </c>
      <c r="K23" s="46">
        <v>150</v>
      </c>
      <c r="L23" s="46">
        <v>90</v>
      </c>
      <c r="M23" s="46">
        <v>115</v>
      </c>
      <c r="N23" s="46">
        <v>100</v>
      </c>
      <c r="P23" s="46" t="s">
        <v>71</v>
      </c>
      <c r="Q23" s="46">
        <v>100</v>
      </c>
      <c r="R23" s="46">
        <v>125</v>
      </c>
      <c r="S23" s="46">
        <v>102</v>
      </c>
      <c r="T23" s="46">
        <v>125</v>
      </c>
      <c r="U23" s="46">
        <v>90</v>
      </c>
      <c r="V23" s="46">
        <v>95</v>
      </c>
    </row>
    <row r="25" spans="8:22" x14ac:dyDescent="0.25">
      <c r="H25" t="s">
        <v>64</v>
      </c>
      <c r="J25">
        <f>(J23-I23)/I23</f>
        <v>0.1</v>
      </c>
      <c r="K25">
        <f t="shared" ref="K25:N25" si="6">(K23-J23)/J23</f>
        <v>0.36363636363636365</v>
      </c>
      <c r="L25">
        <f t="shared" si="6"/>
        <v>-0.4</v>
      </c>
      <c r="M25">
        <f t="shared" si="6"/>
        <v>0.27777777777777779</v>
      </c>
      <c r="N25">
        <f t="shared" si="6"/>
        <v>-0.13043478260869565</v>
      </c>
      <c r="P25" t="s">
        <v>64</v>
      </c>
      <c r="R25">
        <f>(R23-Q23)/Q23</f>
        <v>0.25</v>
      </c>
      <c r="S25">
        <f t="shared" ref="S25:V25" si="7">(S23-R23)/R23</f>
        <v>-0.184</v>
      </c>
      <c r="T25">
        <f t="shared" si="7"/>
        <v>0.22549019607843138</v>
      </c>
      <c r="U25">
        <f t="shared" si="7"/>
        <v>-0.28000000000000003</v>
      </c>
      <c r="V25">
        <f t="shared" si="7"/>
        <v>5.5555555555555552E-2</v>
      </c>
    </row>
    <row r="26" spans="8:22" x14ac:dyDescent="0.25">
      <c r="H26" t="s">
        <v>65</v>
      </c>
      <c r="J26">
        <f>MIN(MAX(J25,0),$I$27)</f>
        <v>0.1</v>
      </c>
      <c r="K26">
        <f t="shared" ref="K26:N26" si="8">MIN(MAX(K25,0),$I$27)</f>
        <v>0.2</v>
      </c>
      <c r="L26">
        <f t="shared" si="8"/>
        <v>0</v>
      </c>
      <c r="M26">
        <f t="shared" si="8"/>
        <v>0.2</v>
      </c>
      <c r="N26">
        <f t="shared" si="8"/>
        <v>0</v>
      </c>
      <c r="P26" t="s">
        <v>65</v>
      </c>
      <c r="R26">
        <f>MIN(MAX(R25,0),$Q$27)</f>
        <v>0.15</v>
      </c>
      <c r="S26">
        <f t="shared" ref="S26:V26" si="9">MIN(MAX(S25,0),$Q$27)</f>
        <v>0</v>
      </c>
      <c r="T26">
        <f t="shared" si="9"/>
        <v>0.15</v>
      </c>
      <c r="U26">
        <f t="shared" si="9"/>
        <v>0</v>
      </c>
      <c r="V26">
        <f t="shared" si="9"/>
        <v>5.5555555555555552E-2</v>
      </c>
    </row>
    <row r="27" spans="8:22" x14ac:dyDescent="0.25">
      <c r="H27" t="s">
        <v>78</v>
      </c>
      <c r="I27">
        <v>0.2</v>
      </c>
      <c r="P27" t="s">
        <v>78</v>
      </c>
      <c r="Q27">
        <v>0.15</v>
      </c>
    </row>
    <row r="28" spans="8:22" x14ac:dyDescent="0.25">
      <c r="H28" t="s">
        <v>66</v>
      </c>
      <c r="I28" s="45">
        <v>0.85</v>
      </c>
      <c r="P28" t="s">
        <v>66</v>
      </c>
      <c r="Q28" s="45">
        <v>0.85</v>
      </c>
    </row>
    <row r="30" spans="8:22" x14ac:dyDescent="0.25">
      <c r="H30" t="s">
        <v>67</v>
      </c>
      <c r="I30">
        <f>I28*(1+J26)*(1+K26)*(1+L26)*(1+M26)*(1+N26)</f>
        <v>1.3464</v>
      </c>
      <c r="P30" t="s">
        <v>67</v>
      </c>
      <c r="Q30">
        <f>Q28*(1+R26)*(1+S26)*(1+T26)*(1+U26)*(1+V26)</f>
        <v>1.1865763888888887</v>
      </c>
    </row>
    <row r="31" spans="8:22" x14ac:dyDescent="0.25">
      <c r="H31" t="s">
        <v>68</v>
      </c>
      <c r="I31" s="1">
        <v>0.85</v>
      </c>
      <c r="P31" t="s">
        <v>68</v>
      </c>
      <c r="Q31" s="1">
        <v>0.85</v>
      </c>
    </row>
    <row r="33" spans="8:17" x14ac:dyDescent="0.25">
      <c r="H33" t="s">
        <v>69</v>
      </c>
      <c r="I33">
        <f>MAX(I31*I20,I20*I30)</f>
        <v>1346.4</v>
      </c>
      <c r="P33" t="s">
        <v>69</v>
      </c>
      <c r="Q33">
        <f>MAX(Q31*Q20,Q20*Q30)</f>
        <v>1186.5763888888887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8"/>
  <sheetViews>
    <sheetView zoomScale="90" zoomScaleNormal="90" workbookViewId="0">
      <selection activeCell="D17" sqref="D17"/>
    </sheetView>
  </sheetViews>
  <sheetFormatPr defaultRowHeight="15" x14ac:dyDescent="0.25"/>
  <cols>
    <col min="4" max="4" width="13.85546875" customWidth="1"/>
    <col min="5" max="5" width="11.42578125" customWidth="1"/>
    <col min="7" max="7" width="9.28515625" bestFit="1" customWidth="1"/>
    <col min="8" max="8" width="14.5703125" bestFit="1" customWidth="1"/>
    <col min="9" max="9" width="17" customWidth="1"/>
  </cols>
  <sheetData>
    <row r="1" spans="3:9" ht="18.75" x14ac:dyDescent="0.3">
      <c r="C1" s="3" t="s">
        <v>1</v>
      </c>
      <c r="D1" s="4"/>
      <c r="E1" s="4"/>
      <c r="F1" s="4"/>
      <c r="G1" s="4"/>
      <c r="H1" s="4"/>
      <c r="I1" s="4"/>
    </row>
    <row r="2" spans="3:9" ht="18.75" x14ac:dyDescent="0.3">
      <c r="C2" s="4" t="s">
        <v>2</v>
      </c>
      <c r="D2" s="4">
        <v>1000</v>
      </c>
      <c r="E2" s="4"/>
      <c r="F2" s="4"/>
      <c r="G2" s="5" t="s">
        <v>0</v>
      </c>
      <c r="H2" s="5" t="s">
        <v>12</v>
      </c>
      <c r="I2" s="6" t="s">
        <v>13</v>
      </c>
    </row>
    <row r="3" spans="3:9" ht="18.75" x14ac:dyDescent="0.3">
      <c r="C3" s="4" t="s">
        <v>3</v>
      </c>
      <c r="D3" s="4">
        <v>5</v>
      </c>
      <c r="E3" s="4"/>
      <c r="F3" s="4"/>
      <c r="G3" s="5">
        <v>50</v>
      </c>
      <c r="H3" s="39">
        <v>35817.654469648238</v>
      </c>
      <c r="I3" s="39">
        <v>872691.32522475102</v>
      </c>
    </row>
    <row r="4" spans="3:9" ht="18.75" x14ac:dyDescent="0.3">
      <c r="C4" s="4" t="s">
        <v>11</v>
      </c>
      <c r="D4" s="4">
        <v>50</v>
      </c>
      <c r="E4" s="4"/>
      <c r="F4" s="4"/>
      <c r="G4" s="5">
        <f>G3+1</f>
        <v>51</v>
      </c>
      <c r="H4" s="39">
        <v>35046.69863696448</v>
      </c>
      <c r="I4" s="39">
        <v>836873.67075510276</v>
      </c>
    </row>
    <row r="5" spans="3:9" ht="18.75" x14ac:dyDescent="0.3">
      <c r="C5" s="4" t="s">
        <v>4</v>
      </c>
      <c r="D5" s="4" t="s">
        <v>10</v>
      </c>
      <c r="E5" s="4"/>
      <c r="F5" s="4"/>
      <c r="G5" s="5">
        <f t="shared" ref="G5:G8" si="0">G4+1</f>
        <v>52</v>
      </c>
      <c r="H5" s="39">
        <v>34288.488220402112</v>
      </c>
      <c r="I5" s="39">
        <v>801826.97211813822</v>
      </c>
    </row>
    <row r="6" spans="3:9" ht="18.75" x14ac:dyDescent="0.3">
      <c r="C6" s="4" t="s">
        <v>5</v>
      </c>
      <c r="D6" s="7">
        <v>0.02</v>
      </c>
      <c r="E6" s="4"/>
      <c r="F6" s="4"/>
      <c r="G6" s="5">
        <f t="shared" si="0"/>
        <v>53</v>
      </c>
      <c r="H6" s="39">
        <v>33542.241513629044</v>
      </c>
      <c r="I6" s="39">
        <v>767538.48389773606</v>
      </c>
    </row>
    <row r="7" spans="3:9" ht="18.75" x14ac:dyDescent="0.3">
      <c r="C7" s="4" t="s">
        <v>6</v>
      </c>
      <c r="D7" s="4" t="s">
        <v>7</v>
      </c>
      <c r="E7" s="4"/>
      <c r="F7" s="4"/>
      <c r="G7" s="5">
        <f t="shared" si="0"/>
        <v>54</v>
      </c>
      <c r="H7" s="39">
        <v>32807.04132613109</v>
      </c>
      <c r="I7" s="39">
        <v>733996.24238410697</v>
      </c>
    </row>
    <row r="8" spans="3:9" ht="18.75" x14ac:dyDescent="0.3">
      <c r="C8" s="4"/>
      <c r="D8" s="4"/>
      <c r="E8" s="8"/>
      <c r="F8" s="4"/>
      <c r="G8" s="5">
        <f t="shared" si="0"/>
        <v>55</v>
      </c>
      <c r="H8" s="39">
        <v>32081.941632689504</v>
      </c>
      <c r="I8" s="39">
        <v>701189.201057976</v>
      </c>
    </row>
    <row r="9" spans="3:9" ht="18.75" x14ac:dyDescent="0.3">
      <c r="C9" s="4" t="s">
        <v>9</v>
      </c>
      <c r="D9" s="9">
        <v>3.25</v>
      </c>
      <c r="E9" s="8"/>
      <c r="F9" s="4"/>
      <c r="G9" s="4"/>
      <c r="H9" s="4"/>
      <c r="I9" s="4"/>
    </row>
    <row r="10" spans="3:9" ht="18.75" x14ac:dyDescent="0.3">
      <c r="C10" s="4" t="s">
        <v>17</v>
      </c>
      <c r="D10" s="4">
        <v>0.25</v>
      </c>
      <c r="E10" s="8"/>
      <c r="F10" s="4"/>
      <c r="G10" s="4"/>
      <c r="H10" s="4"/>
      <c r="I10" s="4"/>
    </row>
    <row r="11" spans="3:9" ht="18.75" x14ac:dyDescent="0.3">
      <c r="C11" s="4"/>
      <c r="D11" s="4"/>
      <c r="E11" s="8"/>
      <c r="F11" s="4"/>
      <c r="G11" s="4"/>
      <c r="H11" s="4"/>
      <c r="I11" s="4"/>
    </row>
    <row r="12" spans="3:9" ht="18.75" x14ac:dyDescent="0.3">
      <c r="C12" s="4" t="s">
        <v>14</v>
      </c>
      <c r="D12" s="4"/>
      <c r="E12" s="8"/>
      <c r="F12" s="4"/>
      <c r="G12" s="4"/>
      <c r="H12" s="4"/>
      <c r="I12" s="4"/>
    </row>
    <row r="13" spans="3:9" ht="18.75" x14ac:dyDescent="0.3">
      <c r="C13" s="4"/>
      <c r="D13" s="10"/>
      <c r="E13" s="10"/>
      <c r="F13" s="4"/>
      <c r="G13" s="4"/>
      <c r="H13" s="4"/>
      <c r="I13" s="4"/>
    </row>
    <row r="14" spans="3:9" ht="18.75" x14ac:dyDescent="0.3">
      <c r="C14" s="4" t="s">
        <v>15</v>
      </c>
      <c r="D14" s="10">
        <f>$D$2*$H$8/H6</f>
        <v>956.46385527496182</v>
      </c>
      <c r="E14" s="10"/>
      <c r="F14" s="4"/>
      <c r="G14" s="4"/>
      <c r="H14" s="4"/>
      <c r="I14" s="4"/>
    </row>
    <row r="15" spans="3:9" ht="18.75" x14ac:dyDescent="0.3">
      <c r="C15" s="4" t="s">
        <v>16</v>
      </c>
      <c r="D15" s="10">
        <f>$D$2*$H$8/H7</f>
        <v>977.89804675668711</v>
      </c>
      <c r="E15" s="10"/>
      <c r="F15" s="4"/>
      <c r="G15" s="4"/>
      <c r="H15" s="4"/>
      <c r="I15" s="4"/>
    </row>
    <row r="16" spans="3:9" ht="18.75" x14ac:dyDescent="0.3">
      <c r="C16" s="4"/>
      <c r="D16" s="10"/>
      <c r="E16" s="10"/>
      <c r="F16" s="4"/>
      <c r="G16" s="4"/>
      <c r="H16" s="4"/>
      <c r="I16" s="4"/>
    </row>
    <row r="17" spans="3:9" ht="18.75" x14ac:dyDescent="0.3">
      <c r="C17" s="11" t="s">
        <v>35</v>
      </c>
      <c r="D17" s="12">
        <f>(1-D10)*D14+D10*D15</f>
        <v>961.82240314539308</v>
      </c>
      <c r="E17" s="10"/>
      <c r="F17" s="4"/>
      <c r="G17" s="4"/>
      <c r="H17" s="4"/>
      <c r="I17" s="4"/>
    </row>
    <row r="18" spans="3:9" ht="18.75" x14ac:dyDescent="0.3">
      <c r="C18" s="21" t="s">
        <v>43</v>
      </c>
      <c r="D18" s="1"/>
      <c r="E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zoomScale="80" zoomScaleNormal="80" workbookViewId="0">
      <selection activeCell="D21" sqref="D21"/>
    </sheetView>
  </sheetViews>
  <sheetFormatPr defaultRowHeight="15" x14ac:dyDescent="0.25"/>
  <cols>
    <col min="3" max="3" width="17.5703125" customWidth="1"/>
    <col min="4" max="4" width="15.7109375" customWidth="1"/>
    <col min="5" max="5" width="11.42578125" customWidth="1"/>
    <col min="6" max="6" width="9.85546875" bestFit="1" customWidth="1"/>
    <col min="7" max="7" width="9.28515625" bestFit="1" customWidth="1"/>
    <col min="8" max="8" width="12.85546875" customWidth="1"/>
    <col min="9" max="9" width="15.140625" customWidth="1"/>
  </cols>
  <sheetData>
    <row r="1" spans="3:9" ht="18.75" x14ac:dyDescent="0.3">
      <c r="C1" s="3" t="s">
        <v>1</v>
      </c>
      <c r="D1" s="4"/>
      <c r="E1" s="4"/>
      <c r="F1" s="4"/>
      <c r="G1" s="4"/>
      <c r="H1" s="4"/>
      <c r="I1" s="4"/>
    </row>
    <row r="2" spans="3:9" ht="18.75" x14ac:dyDescent="0.3">
      <c r="C2" s="4" t="s">
        <v>2</v>
      </c>
      <c r="D2" s="4">
        <v>1000</v>
      </c>
      <c r="E2" s="4"/>
      <c r="F2" s="4"/>
      <c r="G2" s="5" t="s">
        <v>0</v>
      </c>
      <c r="H2" s="5" t="s">
        <v>12</v>
      </c>
      <c r="I2" s="6" t="s">
        <v>13</v>
      </c>
    </row>
    <row r="3" spans="3:9" ht="18.75" x14ac:dyDescent="0.3">
      <c r="C3" s="4" t="s">
        <v>3</v>
      </c>
      <c r="D3" s="4">
        <v>5</v>
      </c>
      <c r="E3" s="4"/>
      <c r="F3" s="4"/>
      <c r="G3" s="5">
        <v>50</v>
      </c>
      <c r="H3" s="39">
        <v>35817.654469648238</v>
      </c>
      <c r="I3" s="39">
        <v>872691.32522475102</v>
      </c>
    </row>
    <row r="4" spans="3:9" ht="18.75" x14ac:dyDescent="0.3">
      <c r="C4" s="4" t="s">
        <v>22</v>
      </c>
      <c r="D4" s="4">
        <v>5</v>
      </c>
      <c r="E4" s="4"/>
      <c r="F4" s="4"/>
      <c r="G4" s="5">
        <f>G3+1</f>
        <v>51</v>
      </c>
      <c r="H4" s="39">
        <v>35046.69863696448</v>
      </c>
      <c r="I4" s="39">
        <v>836873.67075510276</v>
      </c>
    </row>
    <row r="5" spans="3:9" ht="18.75" x14ac:dyDescent="0.3">
      <c r="C5" s="4" t="s">
        <v>11</v>
      </c>
      <c r="D5" s="4">
        <v>50</v>
      </c>
      <c r="E5" s="4"/>
      <c r="F5" s="4"/>
      <c r="G5" s="5">
        <f t="shared" ref="G5:G8" si="0">G4+1</f>
        <v>52</v>
      </c>
      <c r="H5" s="39">
        <v>34288.488220402112</v>
      </c>
      <c r="I5" s="39">
        <v>801826.97211813822</v>
      </c>
    </row>
    <row r="6" spans="3:9" ht="18.75" x14ac:dyDescent="0.3">
      <c r="C6" s="4" t="s">
        <v>4</v>
      </c>
      <c r="D6" s="4" t="s">
        <v>19</v>
      </c>
      <c r="E6" s="4"/>
      <c r="F6" s="4"/>
      <c r="G6" s="5">
        <f t="shared" si="0"/>
        <v>53</v>
      </c>
      <c r="H6" s="39">
        <v>33542.241513629044</v>
      </c>
      <c r="I6" s="39">
        <v>767538.48389773606</v>
      </c>
    </row>
    <row r="7" spans="3:9" ht="18.75" x14ac:dyDescent="0.3">
      <c r="C7" s="4" t="s">
        <v>5</v>
      </c>
      <c r="D7" s="7">
        <v>0.02</v>
      </c>
      <c r="E7" s="4"/>
      <c r="F7" s="4"/>
      <c r="G7" s="5">
        <f t="shared" si="0"/>
        <v>54</v>
      </c>
      <c r="H7" s="39">
        <v>32807.04132613109</v>
      </c>
      <c r="I7" s="39">
        <v>733996.24238410697</v>
      </c>
    </row>
    <row r="8" spans="3:9" ht="18.75" x14ac:dyDescent="0.3">
      <c r="C8" s="4" t="s">
        <v>6</v>
      </c>
      <c r="D8" s="4" t="s">
        <v>7</v>
      </c>
      <c r="E8" s="8"/>
      <c r="F8" s="4"/>
      <c r="G8" s="5">
        <f t="shared" si="0"/>
        <v>55</v>
      </c>
      <c r="H8" s="39">
        <v>32081.941632689504</v>
      </c>
      <c r="I8" s="39">
        <v>701189.201057976</v>
      </c>
    </row>
    <row r="9" spans="3:9" ht="18.75" x14ac:dyDescent="0.3">
      <c r="C9" s="4"/>
      <c r="D9" s="4"/>
      <c r="E9" s="8"/>
      <c r="F9" s="4"/>
      <c r="G9" s="13"/>
      <c r="H9" s="14"/>
      <c r="I9" s="14"/>
    </row>
    <row r="10" spans="3:9" ht="18.75" x14ac:dyDescent="0.3">
      <c r="C10" s="4" t="s">
        <v>20</v>
      </c>
      <c r="D10" s="4"/>
      <c r="E10" s="8"/>
      <c r="F10" s="4"/>
      <c r="G10" s="13"/>
      <c r="H10" s="14"/>
      <c r="I10" s="14"/>
    </row>
    <row r="11" spans="3:9" ht="18.75" x14ac:dyDescent="0.3">
      <c r="C11" s="4" t="s">
        <v>21</v>
      </c>
      <c r="D11" s="15">
        <f>D2*H8/(I3-I8)</f>
        <v>187.06439811492851</v>
      </c>
      <c r="E11" s="8"/>
      <c r="F11" s="4"/>
      <c r="G11" s="13"/>
      <c r="H11" s="14"/>
      <c r="I11" s="14"/>
    </row>
    <row r="12" spans="3:9" ht="18.75" x14ac:dyDescent="0.3">
      <c r="C12" s="4"/>
      <c r="D12" s="4"/>
      <c r="E12" s="8"/>
      <c r="F12" s="4"/>
      <c r="G12" s="4"/>
      <c r="H12" s="4"/>
      <c r="I12" s="4"/>
    </row>
    <row r="13" spans="3:9" ht="18.75" x14ac:dyDescent="0.3">
      <c r="C13" s="4" t="s">
        <v>9</v>
      </c>
      <c r="D13" s="9">
        <v>3.25</v>
      </c>
      <c r="E13" s="8"/>
      <c r="F13" s="4"/>
      <c r="G13" s="4"/>
      <c r="H13" s="4"/>
      <c r="I13" s="4"/>
    </row>
    <row r="14" spans="3:9" ht="18.75" x14ac:dyDescent="0.3">
      <c r="C14" s="4" t="s">
        <v>17</v>
      </c>
      <c r="D14" s="4">
        <v>0.25</v>
      </c>
      <c r="E14" s="8"/>
      <c r="F14" s="4"/>
      <c r="G14" s="4"/>
      <c r="H14" s="4"/>
      <c r="I14" s="4"/>
    </row>
    <row r="15" spans="3:9" ht="18.75" x14ac:dyDescent="0.3">
      <c r="C15" s="4"/>
      <c r="D15" s="4"/>
      <c r="E15" s="8"/>
      <c r="F15" s="4"/>
      <c r="G15" s="4"/>
      <c r="H15" s="4"/>
      <c r="I15" s="4"/>
    </row>
    <row r="16" spans="3:9" ht="18.75" x14ac:dyDescent="0.3">
      <c r="C16" s="4" t="s">
        <v>14</v>
      </c>
      <c r="D16" s="10"/>
      <c r="E16" s="10"/>
      <c r="F16" s="4"/>
      <c r="G16" s="4"/>
      <c r="H16" s="4"/>
      <c r="I16" s="4"/>
    </row>
    <row r="17" spans="3:9" ht="18.75" x14ac:dyDescent="0.3">
      <c r="C17" s="4" t="s">
        <v>15</v>
      </c>
      <c r="D17" s="16">
        <f>$D$2*$H$8/H6-$D$11*(I6-$I$8)/H6</f>
        <v>586.43525552459232</v>
      </c>
      <c r="E17" s="10"/>
      <c r="F17" s="4"/>
      <c r="G17" s="4"/>
      <c r="H17" s="4"/>
      <c r="I17" s="4"/>
    </row>
    <row r="18" spans="3:9" ht="18.75" x14ac:dyDescent="0.3">
      <c r="C18" s="4" t="s">
        <v>16</v>
      </c>
      <c r="D18" s="16">
        <f>$D$2*$H$8/H7-$D$11*(I7-$I$8)/H7</f>
        <v>790.83364864175928</v>
      </c>
      <c r="E18" s="10"/>
      <c r="F18" s="4"/>
      <c r="G18" s="4"/>
      <c r="H18" s="4"/>
      <c r="I18" s="4"/>
    </row>
    <row r="19" spans="3:9" ht="18.75" x14ac:dyDescent="0.3">
      <c r="C19" s="4" t="s">
        <v>18</v>
      </c>
      <c r="D19" s="16">
        <f>(1-D14)*D11</f>
        <v>140.29829858619638</v>
      </c>
      <c r="E19" s="10"/>
      <c r="F19" s="4"/>
      <c r="G19" s="4"/>
      <c r="H19" s="4"/>
      <c r="I19" s="4"/>
    </row>
    <row r="20" spans="3:9" ht="18.75" x14ac:dyDescent="0.3">
      <c r="C20" s="4"/>
      <c r="D20" s="10"/>
      <c r="E20" s="10"/>
      <c r="F20" s="4"/>
      <c r="G20" s="4"/>
      <c r="H20" s="4"/>
      <c r="I20" s="4"/>
    </row>
    <row r="21" spans="3:9" ht="18.75" x14ac:dyDescent="0.3">
      <c r="C21" s="11" t="s">
        <v>35</v>
      </c>
      <c r="D21" s="12">
        <f>(1-D14)*D17+D14*D18+D19</f>
        <v>777.83315239008039</v>
      </c>
      <c r="E21" s="1"/>
    </row>
    <row r="22" spans="3:9" ht="18.75" x14ac:dyDescent="0.3">
      <c r="C22" s="21" t="s">
        <v>42</v>
      </c>
      <c r="D22" s="1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I30"/>
  <sheetViews>
    <sheetView zoomScale="70" zoomScaleNormal="70" workbookViewId="0">
      <selection activeCell="D14" sqref="D14"/>
    </sheetView>
  </sheetViews>
  <sheetFormatPr defaultRowHeight="15" x14ac:dyDescent="0.25"/>
  <cols>
    <col min="3" max="3" width="17.5703125" customWidth="1"/>
    <col min="4" max="4" width="15.7109375" customWidth="1"/>
    <col min="5" max="5" width="11.42578125" customWidth="1"/>
    <col min="6" max="6" width="19.5703125" customWidth="1"/>
    <col min="7" max="7" width="10.140625" customWidth="1"/>
    <col min="8" max="8" width="15.28515625" customWidth="1"/>
    <col min="9" max="9" width="17" customWidth="1"/>
  </cols>
  <sheetData>
    <row r="1" spans="3:9" ht="18.75" x14ac:dyDescent="0.3">
      <c r="C1" s="3" t="s">
        <v>1</v>
      </c>
      <c r="D1" s="4"/>
      <c r="E1" s="4"/>
      <c r="F1" s="4"/>
      <c r="G1" s="4"/>
      <c r="H1" s="4"/>
      <c r="I1" s="4"/>
    </row>
    <row r="2" spans="3:9" ht="18.75" x14ac:dyDescent="0.3">
      <c r="C2" s="4" t="s">
        <v>2</v>
      </c>
      <c r="D2" s="4">
        <v>1000</v>
      </c>
      <c r="E2" s="4"/>
      <c r="F2" s="4"/>
      <c r="G2" s="5" t="s">
        <v>0</v>
      </c>
      <c r="H2" s="5" t="s">
        <v>12</v>
      </c>
      <c r="I2" s="6" t="s">
        <v>13</v>
      </c>
    </row>
    <row r="3" spans="3:9" ht="18.75" x14ac:dyDescent="0.3">
      <c r="C3" s="4" t="s">
        <v>3</v>
      </c>
      <c r="D3" s="4">
        <v>5</v>
      </c>
      <c r="E3" s="4"/>
      <c r="F3" s="4"/>
      <c r="G3" s="5">
        <v>50</v>
      </c>
      <c r="H3" s="39">
        <v>35817.654469648238</v>
      </c>
      <c r="I3" s="39">
        <v>872691.32522475102</v>
      </c>
    </row>
    <row r="4" spans="3:9" ht="18.75" x14ac:dyDescent="0.3">
      <c r="C4" s="4" t="s">
        <v>22</v>
      </c>
      <c r="D4" s="4">
        <v>5</v>
      </c>
      <c r="E4" s="4"/>
      <c r="F4" s="4"/>
      <c r="G4" s="5">
        <f>G3+1</f>
        <v>51</v>
      </c>
      <c r="H4" s="39">
        <v>35046.69863696448</v>
      </c>
      <c r="I4" s="39">
        <v>836873.67075510276</v>
      </c>
    </row>
    <row r="5" spans="3:9" ht="18.75" x14ac:dyDescent="0.3">
      <c r="C5" s="4" t="s">
        <v>11</v>
      </c>
      <c r="D5" s="4">
        <v>50</v>
      </c>
      <c r="E5" s="4"/>
      <c r="F5" s="4"/>
      <c r="G5" s="5">
        <f t="shared" ref="G5:G8" si="0">G4+1</f>
        <v>52</v>
      </c>
      <c r="H5" s="39">
        <v>34288.488220402112</v>
      </c>
      <c r="I5" s="39">
        <v>801826.97211813822</v>
      </c>
    </row>
    <row r="6" spans="3:9" ht="18.75" x14ac:dyDescent="0.3">
      <c r="C6" s="4" t="s">
        <v>4</v>
      </c>
      <c r="D6" s="4" t="s">
        <v>53</v>
      </c>
      <c r="E6" s="4"/>
      <c r="F6" s="4"/>
      <c r="G6" s="5">
        <f t="shared" si="0"/>
        <v>53</v>
      </c>
      <c r="H6" s="39">
        <v>33542.241513629044</v>
      </c>
      <c r="I6" s="39">
        <v>767538.48389773606</v>
      </c>
    </row>
    <row r="7" spans="3:9" ht="18.75" x14ac:dyDescent="0.3">
      <c r="C7" s="4" t="s">
        <v>5</v>
      </c>
      <c r="D7" s="7">
        <v>0.02</v>
      </c>
      <c r="E7" s="4"/>
      <c r="F7" s="4"/>
      <c r="G7" s="5">
        <f t="shared" si="0"/>
        <v>54</v>
      </c>
      <c r="H7" s="39">
        <v>32807.04132613109</v>
      </c>
      <c r="I7" s="39">
        <v>733996.24238410697</v>
      </c>
    </row>
    <row r="8" spans="3:9" ht="18.75" x14ac:dyDescent="0.3">
      <c r="C8" s="4" t="s">
        <v>6</v>
      </c>
      <c r="D8" s="4" t="s">
        <v>7</v>
      </c>
      <c r="E8" s="8"/>
      <c r="F8" s="4"/>
      <c r="G8" s="5">
        <f t="shared" si="0"/>
        <v>55</v>
      </c>
      <c r="H8" s="39">
        <v>32081.941632689504</v>
      </c>
      <c r="I8" s="39">
        <v>701189.201057976</v>
      </c>
    </row>
    <row r="9" spans="3:9" ht="18.75" x14ac:dyDescent="0.3">
      <c r="C9" s="4"/>
      <c r="D9" s="4"/>
      <c r="E9" s="8"/>
      <c r="F9" s="4"/>
      <c r="G9" s="13"/>
      <c r="H9" s="14"/>
      <c r="I9" s="14"/>
    </row>
    <row r="10" spans="3:9" ht="18.75" x14ac:dyDescent="0.3">
      <c r="C10" s="4" t="s">
        <v>25</v>
      </c>
      <c r="D10" s="4"/>
      <c r="E10" s="8"/>
      <c r="F10" s="4"/>
      <c r="G10" s="13"/>
      <c r="H10" s="14"/>
      <c r="I10" s="14"/>
    </row>
    <row r="11" spans="3:9" ht="18.75" x14ac:dyDescent="0.3">
      <c r="C11" s="4" t="s">
        <v>40</v>
      </c>
      <c r="D11" s="4">
        <f>(I3-I8)/H3</f>
        <v>4.7882008664778803</v>
      </c>
      <c r="E11" s="8"/>
      <c r="F11" s="4"/>
      <c r="G11" s="13"/>
      <c r="H11" s="14"/>
      <c r="I11" s="14"/>
    </row>
    <row r="12" spans="3:9" ht="18.75" x14ac:dyDescent="0.3">
      <c r="C12" s="4" t="s">
        <v>21</v>
      </c>
      <c r="D12" s="22">
        <f>(D2*H8/H3)/D11</f>
        <v>187.06439811492851</v>
      </c>
      <c r="E12" s="8" t="s">
        <v>29</v>
      </c>
      <c r="F12" s="4"/>
      <c r="G12" s="13"/>
      <c r="H12" s="14"/>
      <c r="I12" s="14"/>
    </row>
    <row r="13" spans="3:9" ht="18.75" x14ac:dyDescent="0.3">
      <c r="C13" s="4" t="s">
        <v>24</v>
      </c>
      <c r="D13" s="23">
        <v>2</v>
      </c>
      <c r="E13" s="8"/>
      <c r="F13" s="4"/>
      <c r="G13" s="13"/>
      <c r="H13" s="14"/>
      <c r="I13" s="14"/>
    </row>
    <row r="14" spans="3:9" ht="18.75" x14ac:dyDescent="0.3">
      <c r="C14" s="4" t="s">
        <v>41</v>
      </c>
      <c r="D14" s="34">
        <f>(I3-I8)/H3-(D13-1)/(2*D13)</f>
        <v>4.5382008664778803</v>
      </c>
      <c r="E14" s="8"/>
      <c r="F14" s="4"/>
      <c r="G14" s="13"/>
      <c r="H14" s="14"/>
      <c r="I14" s="14"/>
    </row>
    <row r="15" spans="3:9" ht="18.75" x14ac:dyDescent="0.3">
      <c r="C15" s="4" t="s">
        <v>23</v>
      </c>
      <c r="D15" s="22">
        <f>D12*D11/D14</f>
        <v>197.36938480561847</v>
      </c>
      <c r="E15" s="8" t="s">
        <v>28</v>
      </c>
      <c r="F15" s="4"/>
      <c r="G15" s="13"/>
      <c r="H15" s="14"/>
      <c r="I15" s="14"/>
    </row>
    <row r="16" spans="3:9" ht="18.75" x14ac:dyDescent="0.3">
      <c r="C16" s="4" t="s">
        <v>26</v>
      </c>
      <c r="D16" s="22">
        <f>D15/D13</f>
        <v>98.684692402809233</v>
      </c>
      <c r="E16" s="8" t="s">
        <v>27</v>
      </c>
      <c r="F16" s="4"/>
      <c r="G16" s="13"/>
      <c r="H16" s="14"/>
      <c r="I16" s="14"/>
    </row>
    <row r="17" spans="3:9" ht="18.75" x14ac:dyDescent="0.3">
      <c r="C17" s="4"/>
      <c r="D17" s="22"/>
      <c r="E17" s="8"/>
      <c r="F17" s="4"/>
      <c r="G17" s="13"/>
      <c r="H17" s="14"/>
      <c r="I17" s="14"/>
    </row>
    <row r="18" spans="3:9" ht="18.75" x14ac:dyDescent="0.3">
      <c r="C18" s="4" t="s">
        <v>9</v>
      </c>
      <c r="D18" s="9">
        <v>3.25</v>
      </c>
      <c r="E18" s="8"/>
      <c r="F18" s="4"/>
      <c r="G18" s="4"/>
      <c r="H18" s="4"/>
      <c r="I18" s="4"/>
    </row>
    <row r="19" spans="3:9" ht="18.75" x14ac:dyDescent="0.3">
      <c r="C19" s="4" t="s">
        <v>17</v>
      </c>
      <c r="D19" s="4">
        <v>0.25</v>
      </c>
      <c r="E19" s="19" t="s">
        <v>33</v>
      </c>
      <c r="F19" s="4"/>
      <c r="G19" s="4"/>
      <c r="H19" s="4"/>
      <c r="I19" s="4"/>
    </row>
    <row r="20" spans="3:9" ht="18.75" x14ac:dyDescent="0.3">
      <c r="C20" s="4" t="s">
        <v>37</v>
      </c>
      <c r="D20" s="25">
        <v>0</v>
      </c>
      <c r="E20" s="19"/>
      <c r="F20" s="4"/>
      <c r="G20" s="4"/>
      <c r="H20" s="4"/>
      <c r="I20" s="4"/>
    </row>
    <row r="21" spans="3:9" ht="18.75" x14ac:dyDescent="0.3">
      <c r="C21" s="4" t="s">
        <v>32</v>
      </c>
      <c r="D21" s="18">
        <f>(D20+D19)/D13</f>
        <v>0.125</v>
      </c>
      <c r="E21" s="8"/>
      <c r="F21" s="20"/>
      <c r="G21" s="4"/>
      <c r="H21" s="4"/>
      <c r="I21" s="4"/>
    </row>
    <row r="22" spans="3:9" ht="18.75" x14ac:dyDescent="0.3">
      <c r="C22" s="4" t="s">
        <v>34</v>
      </c>
      <c r="D22" s="20">
        <f>1-D21</f>
        <v>0.875</v>
      </c>
      <c r="E22" s="8"/>
      <c r="F22" s="4"/>
      <c r="G22" s="4"/>
      <c r="H22" s="4"/>
      <c r="I22" s="4"/>
    </row>
    <row r="23" spans="3:9" ht="18.75" x14ac:dyDescent="0.3">
      <c r="C23" s="4"/>
      <c r="D23" s="4"/>
      <c r="E23" s="8"/>
      <c r="F23" s="4"/>
      <c r="G23" s="4"/>
      <c r="H23" s="4"/>
      <c r="I23" s="4"/>
    </row>
    <row r="24" spans="3:9" ht="18.75" x14ac:dyDescent="0.3">
      <c r="C24" s="4" t="s">
        <v>14</v>
      </c>
      <c r="D24" s="10"/>
      <c r="E24" s="10"/>
      <c r="F24" s="4" t="s">
        <v>14</v>
      </c>
      <c r="G24" s="4"/>
      <c r="H24" s="4"/>
      <c r="I24" s="4"/>
    </row>
    <row r="25" spans="3:9" ht="18.75" x14ac:dyDescent="0.3">
      <c r="C25" s="4" t="s">
        <v>30</v>
      </c>
      <c r="D25" s="16">
        <f>$D$2*$H$8/H6-$D$15*((I6-$I$8)/H6-($D$13-1)/(2*$D$13))</f>
        <v>615.39349959845322</v>
      </c>
      <c r="E25" s="10"/>
      <c r="F25" s="4" t="s">
        <v>30</v>
      </c>
      <c r="G25" s="4">
        <f>$D$2*$H$8/H6-$D$15*((I6-$I$8)/H6-($D$13-1)/(2*$D$13))</f>
        <v>615.39349959845322</v>
      </c>
      <c r="H25" s="4"/>
      <c r="I25" s="4"/>
    </row>
    <row r="26" spans="3:9" ht="18.75" x14ac:dyDescent="0.3">
      <c r="C26" s="4" t="s">
        <v>31</v>
      </c>
      <c r="D26" s="16">
        <f>$D$2*$H$8/H7-$D$15*((I7-$I$8)/H7-($D$13-1)/(2*$D$13))</f>
        <v>829.87100815247391</v>
      </c>
      <c r="E26" s="10"/>
      <c r="F26" s="4" t="s">
        <v>31</v>
      </c>
      <c r="G26" s="4">
        <f>$D$2*$H$8/H7-$D$15*((I7-$I$8)/H7-($D$13-1)/(2*$D$13))</f>
        <v>829.87100815247391</v>
      </c>
      <c r="H26" s="4"/>
      <c r="I26" s="4"/>
    </row>
    <row r="27" spans="3:9" ht="37.5" x14ac:dyDescent="0.3">
      <c r="C27" s="36" t="s">
        <v>55</v>
      </c>
      <c r="D27" s="15">
        <f>(1-D19)*D16</f>
        <v>74.013519302106928</v>
      </c>
      <c r="E27" s="10"/>
      <c r="F27" s="3" t="s">
        <v>36</v>
      </c>
      <c r="G27" s="24">
        <f>(D13-D20-1)*D16</f>
        <v>98.684692402809233</v>
      </c>
      <c r="H27" s="4"/>
      <c r="I27" s="4"/>
    </row>
    <row r="28" spans="3:9" ht="18.75" x14ac:dyDescent="0.3">
      <c r="C28" s="4"/>
      <c r="D28" s="10"/>
      <c r="E28" s="10"/>
      <c r="F28" s="4"/>
      <c r="G28" s="4"/>
      <c r="H28" s="4"/>
      <c r="I28" s="4"/>
    </row>
    <row r="29" spans="3:9" ht="18.75" x14ac:dyDescent="0.3">
      <c r="C29" s="11" t="s">
        <v>35</v>
      </c>
      <c r="D29" s="12">
        <f>D22*D25+D21*D26+D27</f>
        <v>716.21670746981283</v>
      </c>
      <c r="E29" s="10"/>
      <c r="F29" s="11" t="s">
        <v>35</v>
      </c>
      <c r="G29" s="12">
        <f>D22*(D25+D15)+D21*D26-G27</f>
        <v>716.21670746981272</v>
      </c>
    </row>
    <row r="30" spans="3:9" ht="18.75" x14ac:dyDescent="0.3">
      <c r="C30" s="21" t="s">
        <v>38</v>
      </c>
      <c r="D30" s="1"/>
      <c r="F30" s="21" t="s">
        <v>39</v>
      </c>
    </row>
  </sheetData>
  <pageMargins left="0.7" right="0.7" top="0.75" bottom="0.75" header="0.3" footer="0.3"/>
  <pageSetup paperSize="9"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I30"/>
  <sheetViews>
    <sheetView zoomScale="70" zoomScaleNormal="70" workbookViewId="0">
      <selection activeCell="D19" sqref="D19"/>
    </sheetView>
  </sheetViews>
  <sheetFormatPr defaultRowHeight="15" x14ac:dyDescent="0.25"/>
  <cols>
    <col min="3" max="3" width="17.5703125" customWidth="1"/>
    <col min="4" max="4" width="15.7109375" customWidth="1"/>
    <col min="5" max="5" width="11.42578125" customWidth="1"/>
    <col min="6" max="6" width="19.5703125" customWidth="1"/>
    <col min="7" max="7" width="10.140625" customWidth="1"/>
    <col min="8" max="8" width="14.42578125" customWidth="1"/>
    <col min="9" max="9" width="17" customWidth="1"/>
  </cols>
  <sheetData>
    <row r="1" spans="3:9" ht="18.75" x14ac:dyDescent="0.3">
      <c r="C1" s="3" t="s">
        <v>1</v>
      </c>
      <c r="D1" s="4"/>
      <c r="E1" s="4"/>
      <c r="F1" s="4"/>
      <c r="G1" s="4"/>
      <c r="H1" s="4"/>
      <c r="I1" s="4"/>
    </row>
    <row r="2" spans="3:9" ht="18.75" x14ac:dyDescent="0.3">
      <c r="C2" s="4" t="s">
        <v>2</v>
      </c>
      <c r="D2" s="4">
        <v>1000</v>
      </c>
      <c r="E2" s="4"/>
      <c r="F2" s="4"/>
      <c r="G2" s="5" t="s">
        <v>0</v>
      </c>
      <c r="H2" s="5" t="s">
        <v>12</v>
      </c>
      <c r="I2" s="6" t="s">
        <v>13</v>
      </c>
    </row>
    <row r="3" spans="3:9" ht="18.75" x14ac:dyDescent="0.3">
      <c r="C3" s="4" t="s">
        <v>3</v>
      </c>
      <c r="D3" s="4">
        <v>5</v>
      </c>
      <c r="E3" s="4"/>
      <c r="F3" s="4"/>
      <c r="G3" s="5">
        <v>50</v>
      </c>
      <c r="H3" s="39">
        <v>35817.654469648238</v>
      </c>
      <c r="I3" s="39">
        <v>872691.32522475102</v>
      </c>
    </row>
    <row r="4" spans="3:9" ht="18.75" x14ac:dyDescent="0.3">
      <c r="C4" s="4" t="s">
        <v>22</v>
      </c>
      <c r="D4" s="4">
        <v>5</v>
      </c>
      <c r="E4" s="4"/>
      <c r="F4" s="4"/>
      <c r="G4" s="5">
        <f>G3+1</f>
        <v>51</v>
      </c>
      <c r="H4" s="39">
        <v>35046.69863696448</v>
      </c>
      <c r="I4" s="39">
        <v>836873.67075510276</v>
      </c>
    </row>
    <row r="5" spans="3:9" ht="18.75" x14ac:dyDescent="0.3">
      <c r="C5" s="4" t="s">
        <v>11</v>
      </c>
      <c r="D5" s="4">
        <v>50</v>
      </c>
      <c r="E5" s="4"/>
      <c r="F5" s="4"/>
      <c r="G5" s="5">
        <f t="shared" ref="G5:G8" si="0">G4+1</f>
        <v>52</v>
      </c>
      <c r="H5" s="39">
        <v>34288.488220402112</v>
      </c>
      <c r="I5" s="39">
        <v>801826.97211813822</v>
      </c>
    </row>
    <row r="6" spans="3:9" ht="18.75" x14ac:dyDescent="0.3">
      <c r="C6" s="4" t="s">
        <v>4</v>
      </c>
      <c r="D6" s="4" t="s">
        <v>53</v>
      </c>
      <c r="E6" s="4"/>
      <c r="F6" s="4"/>
      <c r="G6" s="5">
        <f t="shared" si="0"/>
        <v>53</v>
      </c>
      <c r="H6" s="39">
        <v>33542.241513629044</v>
      </c>
      <c r="I6" s="39">
        <v>767538.48389773606</v>
      </c>
    </row>
    <row r="7" spans="3:9" ht="18.75" x14ac:dyDescent="0.3">
      <c r="C7" s="4" t="s">
        <v>5</v>
      </c>
      <c r="D7" s="7">
        <v>0.02</v>
      </c>
      <c r="E7" s="4"/>
      <c r="F7" s="4"/>
      <c r="G7" s="5">
        <f t="shared" si="0"/>
        <v>54</v>
      </c>
      <c r="H7" s="39">
        <v>32807.04132613109</v>
      </c>
      <c r="I7" s="39">
        <v>733996.24238410697</v>
      </c>
    </row>
    <row r="8" spans="3:9" ht="18.75" x14ac:dyDescent="0.3">
      <c r="C8" s="4" t="s">
        <v>6</v>
      </c>
      <c r="D8" s="4" t="s">
        <v>7</v>
      </c>
      <c r="E8" s="8"/>
      <c r="F8" s="4"/>
      <c r="G8" s="5">
        <f t="shared" si="0"/>
        <v>55</v>
      </c>
      <c r="H8" s="39">
        <v>32081.941632689504</v>
      </c>
      <c r="I8" s="39">
        <v>701189.201057976</v>
      </c>
    </row>
    <row r="9" spans="3:9" ht="18.75" x14ac:dyDescent="0.3">
      <c r="C9" s="4"/>
      <c r="D9" s="4"/>
      <c r="E9" s="8"/>
      <c r="F9" s="4"/>
      <c r="G9" s="13"/>
      <c r="H9" s="14"/>
      <c r="I9" s="14"/>
    </row>
    <row r="10" spans="3:9" ht="18.75" x14ac:dyDescent="0.3">
      <c r="C10" s="4" t="s">
        <v>25</v>
      </c>
      <c r="D10" s="4"/>
      <c r="E10" s="8"/>
      <c r="F10" s="4"/>
      <c r="G10" s="13"/>
      <c r="H10" s="14"/>
      <c r="I10" s="14"/>
    </row>
    <row r="11" spans="3:9" ht="18.75" x14ac:dyDescent="0.3">
      <c r="C11" s="4" t="s">
        <v>40</v>
      </c>
      <c r="D11" s="4">
        <f>(I3-I8)/H3</f>
        <v>4.7882008664778803</v>
      </c>
      <c r="E11" s="8"/>
      <c r="F11" s="4"/>
      <c r="G11" s="13"/>
      <c r="H11" s="14"/>
      <c r="I11" s="14"/>
    </row>
    <row r="12" spans="3:9" ht="18.75" x14ac:dyDescent="0.3">
      <c r="C12" s="4" t="s">
        <v>21</v>
      </c>
      <c r="D12" s="22">
        <f>(D2*H8/H3)/D11</f>
        <v>187.06439811492851</v>
      </c>
      <c r="E12" s="8" t="s">
        <v>29</v>
      </c>
      <c r="F12" s="4"/>
      <c r="G12" s="13"/>
      <c r="H12" s="14"/>
      <c r="I12" s="14"/>
    </row>
    <row r="13" spans="3:9" ht="18.75" x14ac:dyDescent="0.3">
      <c r="C13" s="4" t="s">
        <v>24</v>
      </c>
      <c r="D13" s="23">
        <v>2</v>
      </c>
      <c r="E13" s="8"/>
      <c r="F13" s="4"/>
      <c r="G13" s="13"/>
      <c r="H13" s="14"/>
      <c r="I13" s="14"/>
    </row>
    <row r="14" spans="3:9" ht="18.75" x14ac:dyDescent="0.3">
      <c r="C14" s="4" t="s">
        <v>41</v>
      </c>
      <c r="D14" s="34">
        <f>(I3-I8)/H3-(D13-1)/(2*D13)</f>
        <v>4.5382008664778803</v>
      </c>
      <c r="E14" s="8"/>
      <c r="F14" s="4"/>
      <c r="G14" s="13"/>
      <c r="H14" s="14"/>
      <c r="I14" s="14"/>
    </row>
    <row r="15" spans="3:9" ht="18.75" x14ac:dyDescent="0.3">
      <c r="C15" s="4" t="s">
        <v>23</v>
      </c>
      <c r="D15" s="22">
        <f>D12*D11/D14</f>
        <v>197.36938480561847</v>
      </c>
      <c r="E15" s="8" t="s">
        <v>28</v>
      </c>
      <c r="F15" s="4"/>
      <c r="G15" s="13"/>
      <c r="H15" s="14"/>
      <c r="I15" s="14"/>
    </row>
    <row r="16" spans="3:9" ht="18.75" x14ac:dyDescent="0.3">
      <c r="C16" s="4" t="s">
        <v>26</v>
      </c>
      <c r="D16" s="22">
        <f>D15/D13</f>
        <v>98.684692402809233</v>
      </c>
      <c r="E16" s="8" t="s">
        <v>27</v>
      </c>
      <c r="F16" s="4"/>
      <c r="G16" s="13"/>
      <c r="H16" s="14"/>
      <c r="I16" s="14"/>
    </row>
    <row r="17" spans="3:9" ht="18.75" x14ac:dyDescent="0.3">
      <c r="C17" s="4"/>
      <c r="D17" s="22"/>
      <c r="E17" s="8"/>
      <c r="F17" s="4"/>
      <c r="G17" s="13"/>
      <c r="H17" s="14"/>
      <c r="I17" s="14"/>
    </row>
    <row r="18" spans="3:9" ht="19.5" thickBot="1" x14ac:dyDescent="0.35">
      <c r="C18" s="4" t="s">
        <v>9</v>
      </c>
      <c r="D18" s="9">
        <v>3.45</v>
      </c>
      <c r="E18" s="8"/>
      <c r="F18" s="4"/>
      <c r="G18" s="4"/>
      <c r="H18" s="4"/>
      <c r="I18" s="4"/>
    </row>
    <row r="19" spans="3:9" ht="19.5" thickBot="1" x14ac:dyDescent="0.35">
      <c r="C19" s="4" t="s">
        <v>17</v>
      </c>
      <c r="D19" s="28">
        <v>0.45</v>
      </c>
      <c r="E19" s="19" t="s">
        <v>33</v>
      </c>
      <c r="F19" s="4"/>
      <c r="G19" s="4"/>
      <c r="H19" s="4"/>
      <c r="I19" s="4"/>
    </row>
    <row r="20" spans="3:9" ht="18.75" x14ac:dyDescent="0.3">
      <c r="C20" s="4" t="s">
        <v>37</v>
      </c>
      <c r="D20" s="25">
        <v>0</v>
      </c>
      <c r="E20" s="19"/>
      <c r="F20" s="4"/>
      <c r="G20" s="4"/>
      <c r="H20" s="4"/>
      <c r="I20" s="4"/>
    </row>
    <row r="21" spans="3:9" ht="18.75" x14ac:dyDescent="0.3">
      <c r="C21" s="4" t="s">
        <v>32</v>
      </c>
      <c r="D21" s="18">
        <f>(D20+D19)/D13</f>
        <v>0.22500000000000001</v>
      </c>
      <c r="E21" s="8"/>
      <c r="F21" s="20"/>
      <c r="G21" s="4"/>
      <c r="H21" s="4"/>
      <c r="I21" s="4"/>
    </row>
    <row r="22" spans="3:9" ht="18.75" x14ac:dyDescent="0.3">
      <c r="C22" s="4" t="s">
        <v>34</v>
      </c>
      <c r="D22" s="20">
        <f>1-D21</f>
        <v>0.77500000000000002</v>
      </c>
      <c r="E22" s="8"/>
      <c r="F22" s="4"/>
      <c r="G22" s="4"/>
      <c r="H22" s="4"/>
      <c r="I22" s="4"/>
    </row>
    <row r="23" spans="3:9" ht="18.75" x14ac:dyDescent="0.3">
      <c r="C23" s="4"/>
      <c r="D23" s="4"/>
      <c r="E23" s="8"/>
      <c r="F23" s="4"/>
      <c r="G23" s="4"/>
      <c r="H23" s="4"/>
      <c r="I23" s="4"/>
    </row>
    <row r="24" spans="3:9" ht="18.75" x14ac:dyDescent="0.3">
      <c r="C24" s="4" t="s">
        <v>14</v>
      </c>
      <c r="D24" s="10"/>
      <c r="E24" s="10"/>
      <c r="F24" s="4" t="s">
        <v>14</v>
      </c>
      <c r="G24" s="4"/>
      <c r="H24" s="4"/>
      <c r="I24" s="4"/>
    </row>
    <row r="25" spans="3:9" ht="18.75" x14ac:dyDescent="0.3">
      <c r="C25" s="4" t="s">
        <v>30</v>
      </c>
      <c r="D25" s="16">
        <f>$D$2*$H$8/H6-$D$15*((I6-$I$8)/H6-($D$13-1)/(2*$D$13))</f>
        <v>615.39349959845322</v>
      </c>
      <c r="E25" s="10"/>
      <c r="F25" s="4" t="s">
        <v>30</v>
      </c>
      <c r="G25" s="4">
        <f>$D$2*$H$8/H6-$D$15*((I6-$I$8)/H6-($D$13-1)/(2*$D$13))</f>
        <v>615.39349959845322</v>
      </c>
      <c r="H25" s="4"/>
      <c r="I25" s="4"/>
    </row>
    <row r="26" spans="3:9" ht="19.5" thickBot="1" x14ac:dyDescent="0.35">
      <c r="C26" s="4" t="s">
        <v>31</v>
      </c>
      <c r="D26" s="16">
        <f>$D$2*$H$8/H7-$D$15*((I7-$I$8)/H7-($D$13-1)/(2*$D$13))</f>
        <v>829.87100815247391</v>
      </c>
      <c r="E26" s="10"/>
      <c r="F26" s="4" t="s">
        <v>31</v>
      </c>
      <c r="G26" s="4">
        <f>$D$2*$H$8/H7-$D$15*((I7-$I$8)/H7-($D$13-1)/(2*$D$13))</f>
        <v>829.87100815247391</v>
      </c>
      <c r="H26" s="4"/>
      <c r="I26" s="4"/>
    </row>
    <row r="27" spans="3:9" ht="57" thickBot="1" x14ac:dyDescent="0.35">
      <c r="C27" s="36" t="s">
        <v>54</v>
      </c>
      <c r="D27" s="15">
        <f>(1-D19)*D16</f>
        <v>54.276580821545082</v>
      </c>
      <c r="E27" s="10"/>
      <c r="F27" s="3" t="s">
        <v>36</v>
      </c>
      <c r="G27" s="26">
        <f>(D13-D20-1)*D16</f>
        <v>98.684692402809233</v>
      </c>
      <c r="H27" s="4"/>
      <c r="I27" s="4"/>
    </row>
    <row r="28" spans="3:9" ht="18.75" x14ac:dyDescent="0.3">
      <c r="C28" s="4"/>
      <c r="D28" s="10"/>
      <c r="E28" s="10"/>
      <c r="F28" s="4"/>
      <c r="G28" s="4"/>
      <c r="H28" s="4"/>
      <c r="I28" s="4"/>
    </row>
    <row r="29" spans="3:9" ht="18.75" x14ac:dyDescent="0.3">
      <c r="C29" s="11" t="s">
        <v>35</v>
      </c>
      <c r="D29" s="12">
        <f>D22*D25+D21*D26+D27</f>
        <v>717.92751984465292</v>
      </c>
      <c r="E29" s="10"/>
      <c r="F29" s="11" t="s">
        <v>35</v>
      </c>
      <c r="G29" s="12">
        <f>D22*(D25+D15)+D21*D26-G27</f>
        <v>717.92751984465292</v>
      </c>
    </row>
    <row r="30" spans="3:9" ht="18.75" x14ac:dyDescent="0.3">
      <c r="C30" s="21" t="s">
        <v>38</v>
      </c>
      <c r="D30" s="1"/>
      <c r="F30" s="21" t="s">
        <v>39</v>
      </c>
    </row>
  </sheetData>
  <pageMargins left="0.7" right="0.7" top="0.75" bottom="0.75" header="0.3" footer="0.3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I30"/>
  <sheetViews>
    <sheetView zoomScale="70" zoomScaleNormal="70" workbookViewId="0">
      <selection activeCell="H20" sqref="H20"/>
    </sheetView>
  </sheetViews>
  <sheetFormatPr defaultRowHeight="15" x14ac:dyDescent="0.25"/>
  <cols>
    <col min="3" max="3" width="17.5703125" customWidth="1"/>
    <col min="4" max="4" width="15.7109375" customWidth="1"/>
    <col min="5" max="5" width="11.42578125" customWidth="1"/>
    <col min="6" max="6" width="19.5703125" customWidth="1"/>
    <col min="7" max="7" width="10.140625" customWidth="1"/>
    <col min="8" max="8" width="15.7109375" customWidth="1"/>
    <col min="9" max="9" width="18.42578125" customWidth="1"/>
  </cols>
  <sheetData>
    <row r="1" spans="3:9" ht="18.75" x14ac:dyDescent="0.3">
      <c r="C1" s="3" t="s">
        <v>1</v>
      </c>
      <c r="D1" s="4"/>
      <c r="E1" s="4"/>
      <c r="F1" s="4"/>
      <c r="G1" s="4"/>
      <c r="H1" s="4"/>
      <c r="I1" s="4"/>
    </row>
    <row r="2" spans="3:9" ht="18.75" x14ac:dyDescent="0.3">
      <c r="C2" s="4" t="s">
        <v>2</v>
      </c>
      <c r="D2" s="4">
        <v>1000</v>
      </c>
      <c r="E2" s="4"/>
      <c r="F2" s="4"/>
      <c r="G2" s="5" t="s">
        <v>0</v>
      </c>
      <c r="H2" s="5" t="s">
        <v>12</v>
      </c>
      <c r="I2" s="6" t="s">
        <v>13</v>
      </c>
    </row>
    <row r="3" spans="3:9" ht="18.75" x14ac:dyDescent="0.3">
      <c r="C3" s="4" t="s">
        <v>3</v>
      </c>
      <c r="D3" s="4">
        <v>5</v>
      </c>
      <c r="E3" s="4"/>
      <c r="F3" s="4"/>
      <c r="G3" s="5">
        <v>50</v>
      </c>
      <c r="H3" s="39">
        <v>35817.654469648238</v>
      </c>
      <c r="I3" s="39">
        <v>872691.32522475102</v>
      </c>
    </row>
    <row r="4" spans="3:9" ht="18.75" x14ac:dyDescent="0.3">
      <c r="C4" s="4" t="s">
        <v>22</v>
      </c>
      <c r="D4" s="4">
        <v>5</v>
      </c>
      <c r="E4" s="4"/>
      <c r="F4" s="4"/>
      <c r="G4" s="5">
        <f>G3+1</f>
        <v>51</v>
      </c>
      <c r="H4" s="39">
        <v>35046.69863696448</v>
      </c>
      <c r="I4" s="39">
        <v>836873.67075510276</v>
      </c>
    </row>
    <row r="5" spans="3:9" ht="18.75" x14ac:dyDescent="0.3">
      <c r="C5" s="4" t="s">
        <v>11</v>
      </c>
      <c r="D5" s="4">
        <v>50</v>
      </c>
      <c r="E5" s="4"/>
      <c r="F5" s="4"/>
      <c r="G5" s="5">
        <f t="shared" ref="G5:G8" si="0">G4+1</f>
        <v>52</v>
      </c>
      <c r="H5" s="39">
        <v>34288.488220402112</v>
      </c>
      <c r="I5" s="39">
        <v>801826.97211813822</v>
      </c>
    </row>
    <row r="6" spans="3:9" ht="18.75" x14ac:dyDescent="0.3">
      <c r="C6" s="4" t="s">
        <v>4</v>
      </c>
      <c r="D6" s="4" t="s">
        <v>53</v>
      </c>
      <c r="E6" s="4"/>
      <c r="F6" s="4"/>
      <c r="G6" s="5">
        <f t="shared" si="0"/>
        <v>53</v>
      </c>
      <c r="H6" s="39">
        <v>33542.241513629044</v>
      </c>
      <c r="I6" s="39">
        <v>767538.48389773606</v>
      </c>
    </row>
    <row r="7" spans="3:9" ht="18.75" x14ac:dyDescent="0.3">
      <c r="C7" s="4" t="s">
        <v>5</v>
      </c>
      <c r="D7" s="7">
        <v>0.02</v>
      </c>
      <c r="E7" s="4"/>
      <c r="F7" s="4"/>
      <c r="G7" s="5">
        <f t="shared" si="0"/>
        <v>54</v>
      </c>
      <c r="H7" s="39">
        <v>32807.04132613109</v>
      </c>
      <c r="I7" s="39">
        <v>733996.24238410697</v>
      </c>
    </row>
    <row r="8" spans="3:9" ht="18.75" x14ac:dyDescent="0.3">
      <c r="C8" s="4" t="s">
        <v>6</v>
      </c>
      <c r="D8" s="4" t="s">
        <v>7</v>
      </c>
      <c r="E8" s="8"/>
      <c r="F8" s="4"/>
      <c r="G8" s="5">
        <f t="shared" si="0"/>
        <v>55</v>
      </c>
      <c r="H8" s="39">
        <v>32081.941632689504</v>
      </c>
      <c r="I8" s="39">
        <v>701189.201057976</v>
      </c>
    </row>
    <row r="9" spans="3:9" ht="18.75" x14ac:dyDescent="0.3">
      <c r="C9" s="4"/>
      <c r="D9" s="4"/>
      <c r="E9" s="8"/>
      <c r="F9" s="4"/>
      <c r="G9" s="13"/>
      <c r="H9" s="14"/>
      <c r="I9" s="14"/>
    </row>
    <row r="10" spans="3:9" ht="18.75" x14ac:dyDescent="0.3">
      <c r="C10" s="4" t="s">
        <v>25</v>
      </c>
      <c r="D10" s="4"/>
      <c r="E10" s="8"/>
      <c r="F10" s="4"/>
      <c r="G10" s="13"/>
      <c r="H10" s="14"/>
      <c r="I10" s="14"/>
    </row>
    <row r="11" spans="3:9" ht="18.75" x14ac:dyDescent="0.3">
      <c r="C11" s="4" t="s">
        <v>40</v>
      </c>
      <c r="D11" s="4">
        <f>(I3-I8)/H3</f>
        <v>4.7882008664778803</v>
      </c>
      <c r="E11" s="8"/>
      <c r="F11" s="4"/>
      <c r="G11" s="13"/>
      <c r="H11" s="14"/>
      <c r="I11" s="14"/>
    </row>
    <row r="12" spans="3:9" ht="18.75" x14ac:dyDescent="0.3">
      <c r="C12" s="4" t="s">
        <v>21</v>
      </c>
      <c r="D12" s="22">
        <f>(D2*H8/H3)/D11</f>
        <v>187.06439811492851</v>
      </c>
      <c r="E12" s="8" t="s">
        <v>29</v>
      </c>
      <c r="F12" s="4"/>
      <c r="G12" s="13"/>
      <c r="H12" s="14"/>
      <c r="I12" s="14"/>
    </row>
    <row r="13" spans="3:9" ht="18.75" x14ac:dyDescent="0.3">
      <c r="C13" s="4" t="s">
        <v>24</v>
      </c>
      <c r="D13" s="23">
        <v>2</v>
      </c>
      <c r="E13" s="8"/>
      <c r="F13" s="4"/>
      <c r="G13" s="13"/>
      <c r="H13" s="14"/>
      <c r="I13" s="14"/>
    </row>
    <row r="14" spans="3:9" ht="18.75" x14ac:dyDescent="0.3">
      <c r="C14" s="4" t="s">
        <v>41</v>
      </c>
      <c r="D14" s="34">
        <f>(I3-I8)/H3-(D13-1)/(2*D13)</f>
        <v>4.5382008664778803</v>
      </c>
      <c r="E14" s="8"/>
      <c r="F14" s="4"/>
      <c r="G14" s="13"/>
      <c r="H14" s="14"/>
      <c r="I14" s="14"/>
    </row>
    <row r="15" spans="3:9" ht="18.75" x14ac:dyDescent="0.3">
      <c r="C15" s="4" t="s">
        <v>23</v>
      </c>
      <c r="D15" s="22">
        <f>D12*D11/D14</f>
        <v>197.36938480561847</v>
      </c>
      <c r="E15" s="8" t="s">
        <v>28</v>
      </c>
      <c r="F15" s="4"/>
      <c r="G15" s="13"/>
      <c r="H15" s="14"/>
      <c r="I15" s="14"/>
    </row>
    <row r="16" spans="3:9" ht="18.75" x14ac:dyDescent="0.3">
      <c r="C16" s="4" t="s">
        <v>26</v>
      </c>
      <c r="D16" s="22">
        <f>D15/D13</f>
        <v>98.684692402809233</v>
      </c>
      <c r="E16" s="8" t="s">
        <v>27</v>
      </c>
      <c r="F16" s="4"/>
      <c r="G16" s="13"/>
      <c r="H16" s="14"/>
      <c r="I16" s="14"/>
    </row>
    <row r="17" spans="3:9" ht="18.75" x14ac:dyDescent="0.3">
      <c r="C17" s="4"/>
      <c r="D17" s="22"/>
      <c r="E17" s="8"/>
      <c r="F17" s="4"/>
      <c r="G17" s="13"/>
      <c r="H17" s="14"/>
      <c r="I17" s="14"/>
    </row>
    <row r="18" spans="3:9" ht="18.75" x14ac:dyDescent="0.3">
      <c r="C18" s="4" t="s">
        <v>9</v>
      </c>
      <c r="D18" s="9">
        <v>3.75</v>
      </c>
      <c r="E18" s="8"/>
      <c r="F18" s="4"/>
      <c r="G18" s="4"/>
      <c r="H18" s="4"/>
      <c r="I18" s="4"/>
    </row>
    <row r="19" spans="3:9" ht="19.5" thickBot="1" x14ac:dyDescent="0.35">
      <c r="C19" s="4" t="s">
        <v>17</v>
      </c>
      <c r="D19" s="4">
        <v>0.75</v>
      </c>
      <c r="E19" s="19" t="s">
        <v>33</v>
      </c>
      <c r="F19" s="4"/>
      <c r="G19" s="4">
        <f>0.75*180</f>
        <v>135</v>
      </c>
      <c r="H19" s="4">
        <f>0.25*180</f>
        <v>45</v>
      </c>
      <c r="I19" s="4"/>
    </row>
    <row r="20" spans="3:9" ht="19.5" thickBot="1" x14ac:dyDescent="0.35">
      <c r="C20" s="4" t="s">
        <v>37</v>
      </c>
      <c r="D20" s="27">
        <v>1</v>
      </c>
      <c r="E20" s="19"/>
      <c r="F20" s="4"/>
      <c r="G20" s="4"/>
      <c r="H20" s="4"/>
      <c r="I20" s="4"/>
    </row>
    <row r="21" spans="3:9" ht="18.75" x14ac:dyDescent="0.3">
      <c r="C21" s="4" t="s">
        <v>32</v>
      </c>
      <c r="D21" s="18">
        <f>(D20+D19)/D13</f>
        <v>0.875</v>
      </c>
      <c r="E21" s="8"/>
      <c r="F21" s="20"/>
      <c r="G21" s="4"/>
      <c r="H21" s="4"/>
      <c r="I21" s="4"/>
    </row>
    <row r="22" spans="3:9" ht="18.75" x14ac:dyDescent="0.3">
      <c r="C22" s="4" t="s">
        <v>34</v>
      </c>
      <c r="D22" s="20">
        <f>1-D21</f>
        <v>0.125</v>
      </c>
      <c r="E22" s="8"/>
      <c r="F22" s="4"/>
      <c r="G22" s="4"/>
      <c r="H22" s="4"/>
      <c r="I22" s="4"/>
    </row>
    <row r="23" spans="3:9" ht="18.75" x14ac:dyDescent="0.3">
      <c r="C23" s="4"/>
      <c r="D23" s="4"/>
      <c r="E23" s="8"/>
      <c r="F23" s="4"/>
      <c r="G23" s="4"/>
      <c r="H23" s="4"/>
      <c r="I23" s="4"/>
    </row>
    <row r="24" spans="3:9" ht="18.75" x14ac:dyDescent="0.3">
      <c r="C24" s="4" t="s">
        <v>14</v>
      </c>
      <c r="D24" s="10"/>
      <c r="E24" s="10"/>
      <c r="F24" s="4" t="s">
        <v>14</v>
      </c>
      <c r="G24" s="4"/>
      <c r="H24" s="4"/>
      <c r="I24" s="4"/>
    </row>
    <row r="25" spans="3:9" ht="18.75" x14ac:dyDescent="0.3">
      <c r="C25" s="4" t="s">
        <v>30</v>
      </c>
      <c r="D25" s="16">
        <f>$D$2*$H$8/H6-$D$15*((I6-$I$8)/H6-($D$13-1)/(2*$D$13))</f>
        <v>615.39349959845322</v>
      </c>
      <c r="E25" s="10"/>
      <c r="F25" s="4" t="s">
        <v>30</v>
      </c>
      <c r="G25" s="4">
        <f>$D$2*$H$8/H6-$D$15*((I6-$I$8)/H6-($D$13-1)/(2*$D$13))</f>
        <v>615.39349959845322</v>
      </c>
      <c r="H25" s="4"/>
      <c r="I25" s="4"/>
    </row>
    <row r="26" spans="3:9" ht="19.5" thickBot="1" x14ac:dyDescent="0.35">
      <c r="C26" s="4" t="s">
        <v>31</v>
      </c>
      <c r="D26" s="16">
        <f>$D$2*$H$8/H7-$D$15*((I7-$I$8)/H7-($D$13-1)/(2*$D$13))</f>
        <v>829.87100815247391</v>
      </c>
      <c r="E26" s="10"/>
      <c r="F26" s="4" t="s">
        <v>31</v>
      </c>
      <c r="G26" s="4">
        <f>$D$2*$H$8/H7-$D$15*((I7-$I$8)/H7-($D$13-1)/(2*$D$13))</f>
        <v>829.87100815247391</v>
      </c>
      <c r="H26" s="4"/>
      <c r="I26" s="4"/>
    </row>
    <row r="27" spans="3:9" ht="57" thickBot="1" x14ac:dyDescent="0.35">
      <c r="C27" s="36" t="s">
        <v>54</v>
      </c>
      <c r="D27" s="15">
        <f>(1-D19)*D16</f>
        <v>24.671173100702308</v>
      </c>
      <c r="E27" s="10"/>
      <c r="F27" s="3" t="s">
        <v>36</v>
      </c>
      <c r="G27" s="26">
        <f>(D13-D20-1)*D16</f>
        <v>0</v>
      </c>
      <c r="H27" s="4"/>
      <c r="I27" s="4"/>
    </row>
    <row r="28" spans="3:9" ht="18.75" x14ac:dyDescent="0.3">
      <c r="C28" s="4"/>
      <c r="D28" s="10"/>
      <c r="E28" s="10"/>
      <c r="F28" s="4"/>
      <c r="G28" s="4"/>
      <c r="H28" s="4"/>
      <c r="I28" s="4"/>
    </row>
    <row r="29" spans="3:9" ht="18.75" x14ac:dyDescent="0.3">
      <c r="C29" s="11" t="s">
        <v>35</v>
      </c>
      <c r="D29" s="12">
        <f>D22*D25+D21*D26+D27</f>
        <v>827.73249268392362</v>
      </c>
      <c r="E29" s="10"/>
      <c r="F29" s="11" t="s">
        <v>35</v>
      </c>
      <c r="G29" s="12">
        <f>D22*(D25+D15)+D21*D26-G27</f>
        <v>827.73249268392362</v>
      </c>
    </row>
    <row r="30" spans="3:9" ht="18.75" x14ac:dyDescent="0.3">
      <c r="C30" s="21" t="s">
        <v>38</v>
      </c>
      <c r="D30" s="1"/>
      <c r="F30" s="21" t="s">
        <v>39</v>
      </c>
    </row>
  </sheetData>
  <pageMargins left="0.7" right="0.7" top="0.75" bottom="0.75" header="0.3" footer="0.3"/>
  <pageSetup paperSize="9"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37"/>
  <sheetViews>
    <sheetView topLeftCell="A10" zoomScaleNormal="100" workbookViewId="0">
      <selection activeCell="G36" sqref="G36"/>
    </sheetView>
  </sheetViews>
  <sheetFormatPr defaultRowHeight="15" x14ac:dyDescent="0.25"/>
  <cols>
    <col min="3" max="3" width="17.5703125" customWidth="1"/>
    <col min="4" max="5" width="15.7109375" customWidth="1"/>
    <col min="6" max="6" width="24.28515625" customWidth="1"/>
    <col min="7" max="7" width="13" customWidth="1"/>
    <col min="8" max="8" width="14.28515625" customWidth="1"/>
    <col min="9" max="9" width="17.140625" customWidth="1"/>
    <col min="10" max="10" width="13.85546875" customWidth="1"/>
    <col min="11" max="11" width="12" bestFit="1" customWidth="1"/>
    <col min="12" max="12" width="14.85546875" customWidth="1"/>
  </cols>
  <sheetData>
    <row r="1" spans="3:11" ht="63.75" customHeight="1" x14ac:dyDescent="0.3">
      <c r="C1" s="47" t="s">
        <v>58</v>
      </c>
      <c r="D1" s="48"/>
      <c r="E1" s="48"/>
      <c r="F1" s="48"/>
      <c r="G1" s="48"/>
      <c r="H1" s="48"/>
      <c r="I1" s="48"/>
    </row>
    <row r="2" spans="3:11" ht="18.75" x14ac:dyDescent="0.3">
      <c r="C2" s="4" t="s">
        <v>2</v>
      </c>
      <c r="D2" s="4">
        <v>1000</v>
      </c>
      <c r="E2" s="4"/>
      <c r="F2" s="4"/>
      <c r="G2" s="5" t="s">
        <v>0</v>
      </c>
      <c r="H2" s="5" t="s">
        <v>12</v>
      </c>
      <c r="I2" s="6" t="s">
        <v>13</v>
      </c>
    </row>
    <row r="3" spans="3:11" ht="18.75" x14ac:dyDescent="0.3">
      <c r="C3" s="4" t="s">
        <v>3</v>
      </c>
      <c r="D3" s="4">
        <v>5</v>
      </c>
      <c r="E3" s="4"/>
      <c r="F3" s="4"/>
      <c r="G3" s="5">
        <v>50</v>
      </c>
      <c r="H3" s="39">
        <v>35817.654469648238</v>
      </c>
      <c r="I3" s="39">
        <v>872691.32522475102</v>
      </c>
      <c r="J3" s="10"/>
    </row>
    <row r="4" spans="3:11" ht="18.75" x14ac:dyDescent="0.3">
      <c r="C4" s="4" t="s">
        <v>22</v>
      </c>
      <c r="D4" s="4">
        <v>5</v>
      </c>
      <c r="E4" s="4"/>
      <c r="F4" s="4"/>
      <c r="G4" s="5">
        <f>G3+1</f>
        <v>51</v>
      </c>
      <c r="H4" s="39">
        <v>35046.69863696448</v>
      </c>
      <c r="I4" s="39">
        <v>836873.67075510276</v>
      </c>
    </row>
    <row r="5" spans="3:11" ht="18.75" x14ac:dyDescent="0.3">
      <c r="C5" s="4" t="s">
        <v>11</v>
      </c>
      <c r="D5" s="4">
        <v>50</v>
      </c>
      <c r="E5" s="4"/>
      <c r="F5" s="4"/>
      <c r="G5" s="5">
        <f t="shared" ref="G5:G8" si="0">G4+1</f>
        <v>52</v>
      </c>
      <c r="H5" s="39">
        <v>34288.488220402112</v>
      </c>
      <c r="I5" s="39">
        <v>801826.97211813822</v>
      </c>
    </row>
    <row r="6" spans="3:11" ht="18.75" x14ac:dyDescent="0.3">
      <c r="C6" s="4" t="s">
        <v>4</v>
      </c>
      <c r="D6" s="4" t="s">
        <v>53</v>
      </c>
      <c r="E6" s="4"/>
      <c r="F6" s="4"/>
      <c r="G6" s="5">
        <f t="shared" si="0"/>
        <v>53</v>
      </c>
      <c r="H6" s="39">
        <v>33542.241513629044</v>
      </c>
      <c r="I6" s="39">
        <v>767538.48389773606</v>
      </c>
    </row>
    <row r="7" spans="3:11" ht="18.75" x14ac:dyDescent="0.3">
      <c r="C7" s="4" t="s">
        <v>5</v>
      </c>
      <c r="D7" s="7">
        <v>0.02</v>
      </c>
      <c r="E7" s="4"/>
      <c r="F7" s="4"/>
      <c r="G7" s="5">
        <f t="shared" si="0"/>
        <v>54</v>
      </c>
      <c r="H7" s="39">
        <v>32807.04132613109</v>
      </c>
      <c r="I7" s="39">
        <v>733996.24238410697</v>
      </c>
    </row>
    <row r="8" spans="3:11" ht="18.75" x14ac:dyDescent="0.3">
      <c r="C8" s="4" t="s">
        <v>6</v>
      </c>
      <c r="D8" s="4" t="s">
        <v>7</v>
      </c>
      <c r="E8" s="8"/>
      <c r="F8" s="4"/>
      <c r="G8" s="5">
        <f t="shared" si="0"/>
        <v>55</v>
      </c>
      <c r="H8" s="39">
        <v>32081.941632689504</v>
      </c>
      <c r="I8" s="39">
        <v>701189.201057976</v>
      </c>
    </row>
    <row r="9" spans="3:11" ht="18.75" x14ac:dyDescent="0.3">
      <c r="C9" s="4"/>
      <c r="D9" s="4"/>
      <c r="E9" s="8"/>
      <c r="F9" s="4"/>
      <c r="G9" s="13"/>
      <c r="H9" s="14"/>
      <c r="I9" s="14"/>
    </row>
    <row r="10" spans="3:11" ht="18.75" x14ac:dyDescent="0.3">
      <c r="C10" s="4" t="s">
        <v>25</v>
      </c>
      <c r="D10" s="4"/>
      <c r="E10" s="8"/>
      <c r="F10" s="4"/>
      <c r="G10" s="13"/>
      <c r="H10" s="14"/>
      <c r="I10" s="14"/>
    </row>
    <row r="11" spans="3:11" ht="18.75" x14ac:dyDescent="0.3">
      <c r="C11" s="4" t="s">
        <v>40</v>
      </c>
      <c r="D11" s="4">
        <f>(I3-I8)/H3</f>
        <v>4.7882008664778803</v>
      </c>
      <c r="E11" s="8"/>
      <c r="F11" s="4"/>
      <c r="G11" s="13"/>
      <c r="H11" s="14"/>
      <c r="I11" s="14"/>
    </row>
    <row r="12" spans="3:11" ht="18.75" x14ac:dyDescent="0.3">
      <c r="C12" s="4" t="s">
        <v>21</v>
      </c>
      <c r="D12" s="22">
        <f>(D2*H8/H3)/D11</f>
        <v>187.06439811492851</v>
      </c>
      <c r="E12" s="8" t="s">
        <v>29</v>
      </c>
      <c r="F12" s="4"/>
      <c r="G12" s="13"/>
      <c r="H12" s="14"/>
      <c r="I12" s="14"/>
    </row>
    <row r="13" spans="3:11" ht="18.75" x14ac:dyDescent="0.3">
      <c r="C13" s="4" t="s">
        <v>24</v>
      </c>
      <c r="D13" s="23">
        <v>2</v>
      </c>
      <c r="E13" s="8"/>
      <c r="F13" s="4"/>
      <c r="G13" s="13"/>
      <c r="H13" s="14"/>
      <c r="I13" s="14"/>
      <c r="K13" s="30"/>
    </row>
    <row r="14" spans="3:11" ht="18.75" x14ac:dyDescent="0.3">
      <c r="C14" s="4" t="s">
        <v>41</v>
      </c>
      <c r="D14" s="34">
        <f>(I3-I8)/H3-(D13-1)/(2*D13)</f>
        <v>4.5382008664778803</v>
      </c>
      <c r="E14" s="8"/>
      <c r="F14" s="4"/>
      <c r="G14" s="13"/>
      <c r="H14" s="14"/>
      <c r="I14" s="14"/>
      <c r="K14" s="30"/>
    </row>
    <row r="15" spans="3:11" ht="18.75" x14ac:dyDescent="0.3">
      <c r="C15" s="4" t="s">
        <v>23</v>
      </c>
      <c r="D15" s="22">
        <f>D12*D11/D14</f>
        <v>197.36938480561847</v>
      </c>
      <c r="E15" s="8" t="s">
        <v>28</v>
      </c>
      <c r="F15" s="4"/>
      <c r="G15" s="13"/>
      <c r="H15" s="14"/>
      <c r="I15" s="14"/>
    </row>
    <row r="16" spans="3:11" ht="18.75" x14ac:dyDescent="0.3">
      <c r="C16" s="4" t="s">
        <v>26</v>
      </c>
      <c r="D16" s="22">
        <f>D15/D13</f>
        <v>98.684692402809233</v>
      </c>
      <c r="E16" s="8" t="s">
        <v>27</v>
      </c>
      <c r="F16" s="4"/>
      <c r="G16" s="13"/>
      <c r="H16" s="14"/>
      <c r="I16" s="14"/>
    </row>
    <row r="17" spans="3:12" ht="18.75" x14ac:dyDescent="0.3">
      <c r="C17" s="4"/>
      <c r="D17" s="22"/>
      <c r="E17" s="8"/>
      <c r="F17" s="4"/>
      <c r="G17" s="13"/>
      <c r="H17" s="14"/>
      <c r="I17" s="41">
        <v>45044</v>
      </c>
      <c r="J17" s="37">
        <v>45169</v>
      </c>
      <c r="K17" s="40">
        <v>45227</v>
      </c>
      <c r="L17" s="37">
        <v>45410</v>
      </c>
    </row>
    <row r="18" spans="3:12" ht="18.75" x14ac:dyDescent="0.3">
      <c r="C18" s="4"/>
      <c r="D18" s="22" t="s">
        <v>47</v>
      </c>
      <c r="E18" s="8" t="s">
        <v>48</v>
      </c>
      <c r="F18" s="4"/>
      <c r="G18" s="13"/>
      <c r="H18" s="14"/>
      <c r="I18" s="14" t="s">
        <v>59</v>
      </c>
      <c r="J18" s="4" t="s">
        <v>60</v>
      </c>
      <c r="K18" s="4" t="s">
        <v>61</v>
      </c>
    </row>
    <row r="19" spans="3:12" ht="18.75" x14ac:dyDescent="0.3">
      <c r="C19" s="4" t="s">
        <v>46</v>
      </c>
      <c r="D19" s="42">
        <v>43949</v>
      </c>
      <c r="E19" s="8">
        <f>0</f>
        <v>0</v>
      </c>
      <c r="F19" s="4"/>
      <c r="G19" s="13"/>
      <c r="H19" s="14"/>
      <c r="I19" s="14"/>
      <c r="J19" s="4">
        <f>J17-I17</f>
        <v>125</v>
      </c>
    </row>
    <row r="20" spans="3:12" ht="18.75" x14ac:dyDescent="0.3">
      <c r="C20" s="4" t="s">
        <v>8</v>
      </c>
      <c r="D20" s="37">
        <v>45044</v>
      </c>
      <c r="E20" s="8">
        <f>(D20-D19)/365</f>
        <v>3</v>
      </c>
      <c r="F20" s="4" t="s">
        <v>49</v>
      </c>
      <c r="G20" s="13"/>
      <c r="H20" s="14"/>
      <c r="I20" s="14"/>
      <c r="J20" s="4">
        <f>K17-I17</f>
        <v>183</v>
      </c>
    </row>
    <row r="21" spans="3:12" ht="18.75" x14ac:dyDescent="0.3">
      <c r="C21" s="4" t="s">
        <v>44</v>
      </c>
      <c r="D21" s="37">
        <v>45410</v>
      </c>
      <c r="E21" s="8">
        <f>(D21-D19)/365</f>
        <v>4.0027397260273974</v>
      </c>
      <c r="F21" s="4" t="s">
        <v>49</v>
      </c>
      <c r="G21" s="13"/>
      <c r="H21" s="14"/>
      <c r="I21" s="14"/>
    </row>
    <row r="22" spans="3:12" ht="18.75" x14ac:dyDescent="0.3">
      <c r="C22" s="4" t="s">
        <v>50</v>
      </c>
      <c r="D22" s="29">
        <v>45227</v>
      </c>
      <c r="E22" s="8"/>
      <c r="F22" s="4"/>
      <c r="G22" s="13"/>
      <c r="H22" s="14"/>
      <c r="I22" s="14"/>
    </row>
    <row r="23" spans="3:12" ht="18.75" x14ac:dyDescent="0.3">
      <c r="C23" s="4" t="s">
        <v>51</v>
      </c>
      <c r="D23" s="29"/>
      <c r="E23" s="31">
        <f>(D22-D20)</f>
        <v>183</v>
      </c>
      <c r="F23" s="4" t="s">
        <v>45</v>
      </c>
      <c r="G23" s="13"/>
      <c r="H23" s="14"/>
      <c r="I23" s="14"/>
    </row>
    <row r="24" spans="3:12" ht="18.75" x14ac:dyDescent="0.3">
      <c r="C24" s="4" t="s">
        <v>9</v>
      </c>
      <c r="D24" s="43">
        <v>45169</v>
      </c>
      <c r="E24" s="35">
        <f>(D24-D19)/365</f>
        <v>3.3424657534246576</v>
      </c>
      <c r="F24" s="4" t="s">
        <v>49</v>
      </c>
      <c r="G24" s="13"/>
      <c r="H24" s="14"/>
      <c r="I24" s="14"/>
    </row>
    <row r="25" spans="3:12" ht="18.75" x14ac:dyDescent="0.3">
      <c r="C25" s="4" t="s">
        <v>52</v>
      </c>
      <c r="D25" s="29"/>
      <c r="E25" s="32">
        <f>(D24-D20)</f>
        <v>125</v>
      </c>
      <c r="F25" s="4" t="s">
        <v>45</v>
      </c>
      <c r="G25" s="13"/>
      <c r="H25" s="14"/>
      <c r="I25" s="14"/>
    </row>
    <row r="26" spans="3:12" ht="19.5" thickBot="1" x14ac:dyDescent="0.35">
      <c r="C26" s="4" t="s">
        <v>17</v>
      </c>
      <c r="D26" s="33">
        <f>E25/E23</f>
        <v>0.68306010928961747</v>
      </c>
      <c r="E26" s="19" t="s">
        <v>56</v>
      </c>
      <c r="F26" s="4"/>
      <c r="G26" s="4"/>
      <c r="H26" s="4"/>
      <c r="I26" s="4"/>
    </row>
    <row r="27" spans="3:12" ht="19.5" thickBot="1" x14ac:dyDescent="0.35">
      <c r="C27" s="4" t="s">
        <v>37</v>
      </c>
      <c r="D27" s="27">
        <v>0</v>
      </c>
      <c r="E27" s="19"/>
      <c r="F27" s="4"/>
      <c r="G27" s="4"/>
      <c r="H27" s="4"/>
      <c r="I27" s="4"/>
    </row>
    <row r="28" spans="3:12" ht="18.75" x14ac:dyDescent="0.3">
      <c r="C28" s="4" t="s">
        <v>32</v>
      </c>
      <c r="D28" s="18">
        <f>(D27+D26)/D13</f>
        <v>0.34153005464480873</v>
      </c>
      <c r="E28" s="8"/>
      <c r="F28" s="20"/>
      <c r="G28" s="4"/>
      <c r="H28" s="4"/>
      <c r="I28" s="4"/>
    </row>
    <row r="29" spans="3:12" ht="18.75" x14ac:dyDescent="0.3">
      <c r="C29" s="4" t="s">
        <v>34</v>
      </c>
      <c r="D29" s="20">
        <f>1-D28</f>
        <v>0.65846994535519121</v>
      </c>
      <c r="E29" s="8"/>
      <c r="F29" s="4"/>
      <c r="G29" s="4"/>
      <c r="H29" s="4"/>
      <c r="I29" s="4"/>
    </row>
    <row r="30" spans="3:12" ht="18.75" x14ac:dyDescent="0.3">
      <c r="C30" s="4"/>
      <c r="D30" s="4"/>
      <c r="E30" s="8"/>
      <c r="F30" s="4"/>
      <c r="G30" s="4"/>
      <c r="H30" s="4"/>
      <c r="I30" s="4"/>
    </row>
    <row r="31" spans="3:12" ht="18.75" x14ac:dyDescent="0.3">
      <c r="C31" s="4" t="s">
        <v>14</v>
      </c>
      <c r="D31" s="10"/>
      <c r="E31" s="10"/>
      <c r="F31" s="4" t="s">
        <v>14</v>
      </c>
      <c r="G31" s="4"/>
      <c r="H31" s="4"/>
      <c r="I31" s="4"/>
    </row>
    <row r="32" spans="3:12" ht="18.75" x14ac:dyDescent="0.3">
      <c r="C32" s="4" t="s">
        <v>30</v>
      </c>
      <c r="D32" s="16">
        <f>$D$2*$H$8/H6-$D$15*((I6-$I$8)/H6-($D$13-1)/(2*$D$13))</f>
        <v>615.39349959845322</v>
      </c>
      <c r="E32" s="10"/>
      <c r="F32" s="4" t="s">
        <v>30</v>
      </c>
      <c r="G32" s="17">
        <f>$D$2*$H$8/H6-$D$15*((I6-$I$8)/H6-($D$13-1)/(2*$D$13))</f>
        <v>615.39349959845322</v>
      </c>
      <c r="H32" s="4"/>
      <c r="I32" s="4"/>
    </row>
    <row r="33" spans="3:9" ht="19.5" thickBot="1" x14ac:dyDescent="0.35">
      <c r="C33" s="4" t="s">
        <v>31</v>
      </c>
      <c r="D33" s="16">
        <f>$D$2*$H$8/H7-$D$15*((I7-$I$8)/H7-($D$13-1)/(2*$D$13))</f>
        <v>829.87100815247391</v>
      </c>
      <c r="E33" s="10"/>
      <c r="F33" s="4" t="s">
        <v>31</v>
      </c>
      <c r="G33" s="4">
        <f>$D$2*$H$8/H7-$D$15*((I7-$I$8)/H7-($D$13-1)/(2*$D$13))</f>
        <v>829.87100815247391</v>
      </c>
      <c r="H33" s="4"/>
      <c r="I33" s="4"/>
    </row>
    <row r="34" spans="3:9" ht="57" thickBot="1" x14ac:dyDescent="0.35">
      <c r="C34" s="36" t="s">
        <v>54</v>
      </c>
      <c r="D34" s="15">
        <f>(1-D26)*D16</f>
        <v>31.277115624934076</v>
      </c>
      <c r="E34" s="10"/>
      <c r="F34" s="3" t="s">
        <v>36</v>
      </c>
      <c r="G34" s="26">
        <f>(D13-D27-1)*D16</f>
        <v>98.684692402809233</v>
      </c>
      <c r="H34" s="4"/>
      <c r="I34" s="4"/>
    </row>
    <row r="35" spans="3:9" ht="18.75" x14ac:dyDescent="0.3">
      <c r="C35" s="4"/>
      <c r="D35" s="10"/>
      <c r="E35" s="10"/>
      <c r="F35" s="4"/>
      <c r="G35" s="4"/>
      <c r="H35" s="4"/>
      <c r="I35" s="4"/>
    </row>
    <row r="36" spans="3:9" ht="18.75" x14ac:dyDescent="0.3">
      <c r="C36" s="11" t="s">
        <v>35</v>
      </c>
      <c r="D36" s="12">
        <f>D29*D32+D28*D33+D34</f>
        <v>719.92113043992424</v>
      </c>
      <c r="E36" s="10"/>
      <c r="F36" s="11" t="s">
        <v>35</v>
      </c>
      <c r="G36" s="12">
        <f>D29*(D32+D15)+D28*D33-G34</f>
        <v>719.92113043992435</v>
      </c>
    </row>
    <row r="37" spans="3:9" ht="18.75" x14ac:dyDescent="0.3">
      <c r="C37" s="21" t="s">
        <v>38</v>
      </c>
      <c r="D37" s="1"/>
      <c r="F37" s="21" t="s">
        <v>39</v>
      </c>
    </row>
  </sheetData>
  <mergeCells count="1">
    <mergeCell ref="C1:I1"/>
  </mergeCells>
  <pageMargins left="0.7" right="0.7" top="0.75" bottom="0.75" header="0.3" footer="0.3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30"/>
  <sheetViews>
    <sheetView zoomScale="70" zoomScaleNormal="70" workbookViewId="0">
      <selection activeCell="D15" sqref="D15"/>
    </sheetView>
  </sheetViews>
  <sheetFormatPr defaultRowHeight="15" x14ac:dyDescent="0.25"/>
  <cols>
    <col min="3" max="3" width="17.5703125" customWidth="1"/>
    <col min="4" max="4" width="15.7109375" customWidth="1"/>
    <col min="5" max="5" width="11.42578125" customWidth="1"/>
    <col min="6" max="6" width="19.5703125" customWidth="1"/>
    <col min="7" max="7" width="11.140625" customWidth="1"/>
    <col min="8" max="9" width="15.28515625" customWidth="1"/>
    <col min="10" max="10" width="17" customWidth="1"/>
    <col min="12" max="12" width="12.42578125" customWidth="1"/>
  </cols>
  <sheetData>
    <row r="1" spans="3:12" ht="18.75" x14ac:dyDescent="0.3">
      <c r="C1" s="3" t="s">
        <v>63</v>
      </c>
      <c r="D1" s="4"/>
      <c r="E1" s="4"/>
      <c r="F1" s="4"/>
      <c r="G1" s="4"/>
      <c r="H1" s="4"/>
      <c r="I1" s="4"/>
      <c r="J1" s="4"/>
    </row>
    <row r="2" spans="3:12" ht="18.75" x14ac:dyDescent="0.3">
      <c r="C2" s="4" t="s">
        <v>2</v>
      </c>
      <c r="D2" s="4">
        <v>10000</v>
      </c>
      <c r="E2" s="4"/>
      <c r="F2" s="4"/>
      <c r="G2" s="5" t="s">
        <v>0</v>
      </c>
      <c r="H2" s="5" t="s">
        <v>12</v>
      </c>
      <c r="I2" s="5" t="s">
        <v>62</v>
      </c>
      <c r="J2" s="6" t="s">
        <v>13</v>
      </c>
    </row>
    <row r="3" spans="3:12" ht="18.75" x14ac:dyDescent="0.3">
      <c r="C3" s="4" t="s">
        <v>3</v>
      </c>
      <c r="D3" s="4">
        <v>5</v>
      </c>
      <c r="E3" s="4"/>
      <c r="F3" s="4"/>
      <c r="G3" s="5">
        <v>50</v>
      </c>
      <c r="H3" s="39">
        <f>[1]!dx(1,G3,2%)</f>
        <v>35817.654469648238</v>
      </c>
      <c r="I3" s="39">
        <f>[1]!mx(1,G3,2%)</f>
        <v>18705.819525389055</v>
      </c>
      <c r="J3" s="39">
        <f>[1]!nx(1,G3,2%)</f>
        <v>872691.32522475102</v>
      </c>
      <c r="L3" s="44">
        <f>[1]!dx(1,50,2%)</f>
        <v>34558.037483921449</v>
      </c>
    </row>
    <row r="4" spans="3:12" ht="18.75" x14ac:dyDescent="0.3">
      <c r="C4" s="4" t="s">
        <v>22</v>
      </c>
      <c r="D4" s="4">
        <v>5</v>
      </c>
      <c r="E4" s="4"/>
      <c r="F4" s="4"/>
      <c r="G4" s="5">
        <f>G3+1</f>
        <v>51</v>
      </c>
      <c r="H4" s="39">
        <v>35046.698636964502</v>
      </c>
      <c r="I4" s="39">
        <f>[1]!mx(1,G4,2%)</f>
        <v>18637.170643090558</v>
      </c>
      <c r="J4" s="39">
        <f>[1]!nx(1,G4,2%)</f>
        <v>836873.67075510276</v>
      </c>
    </row>
    <row r="5" spans="3:12" ht="18.75" x14ac:dyDescent="0.3">
      <c r="C5" s="4" t="s">
        <v>11</v>
      </c>
      <c r="D5" s="4">
        <v>50</v>
      </c>
      <c r="E5" s="4"/>
      <c r="F5" s="4"/>
      <c r="G5" s="5">
        <f t="shared" ref="G5:G13" si="0">G4+1</f>
        <v>52</v>
      </c>
      <c r="H5" s="39">
        <v>34288.488220402098</v>
      </c>
      <c r="I5" s="39">
        <f>[1]!mx(1,G5,2%)</f>
        <v>18566.150395880439</v>
      </c>
      <c r="J5" s="39">
        <f>[1]!nx(1,G5,2%)</f>
        <v>801826.97211813822</v>
      </c>
    </row>
    <row r="6" spans="3:12" ht="18.75" x14ac:dyDescent="0.3">
      <c r="C6" s="4" t="s">
        <v>4</v>
      </c>
      <c r="D6" s="4" t="s">
        <v>53</v>
      </c>
      <c r="E6" s="4"/>
      <c r="F6" s="4"/>
      <c r="G6" s="5">
        <f t="shared" si="0"/>
        <v>53</v>
      </c>
      <c r="H6" s="39">
        <v>33542.241513629</v>
      </c>
      <c r="I6" s="39">
        <f>[1]!mx(1,G6,2%)</f>
        <v>18492.226987546623</v>
      </c>
      <c r="J6" s="39">
        <f>[1]!nx(1,G6,2%)</f>
        <v>767538.48389773606</v>
      </c>
    </row>
    <row r="7" spans="3:12" ht="18.75" x14ac:dyDescent="0.3">
      <c r="C7" s="4" t="s">
        <v>5</v>
      </c>
      <c r="D7" s="7">
        <v>0.02</v>
      </c>
      <c r="E7" s="4"/>
      <c r="F7" s="4"/>
      <c r="G7" s="5">
        <f t="shared" si="0"/>
        <v>54</v>
      </c>
      <c r="H7" s="39">
        <v>32807.041326131097</v>
      </c>
      <c r="I7" s="39">
        <f>[1]!mx(1,G7,2%)</f>
        <v>18414.71781011983</v>
      </c>
      <c r="J7" s="39">
        <f>[1]!nx(1,G7,2%)</f>
        <v>733996.24238410697</v>
      </c>
    </row>
    <row r="8" spans="3:12" ht="18.75" x14ac:dyDescent="0.3">
      <c r="C8" s="4" t="s">
        <v>6</v>
      </c>
      <c r="D8" s="4" t="s">
        <v>7</v>
      </c>
      <c r="E8" s="8"/>
      <c r="F8" s="4"/>
      <c r="G8" s="5">
        <f t="shared" si="0"/>
        <v>55</v>
      </c>
      <c r="H8" s="39">
        <v>32081.941632689501</v>
      </c>
      <c r="I8" s="39">
        <f>[1]!mx(1,G8,2%)</f>
        <v>18332.893436798462</v>
      </c>
      <c r="J8" s="39">
        <f>[1]!nx(1,G8,2%)</f>
        <v>701189.201057976</v>
      </c>
    </row>
    <row r="9" spans="3:12" ht="18.75" x14ac:dyDescent="0.3">
      <c r="C9" s="4"/>
      <c r="D9" s="4"/>
      <c r="E9" s="8"/>
      <c r="F9" s="4"/>
      <c r="G9" s="5">
        <f t="shared" si="0"/>
        <v>56</v>
      </c>
      <c r="H9" s="39">
        <v>32081.941632689501</v>
      </c>
      <c r="I9" s="39">
        <f>[1]!mx(1,G9,2%)</f>
        <v>18244.950360520612</v>
      </c>
      <c r="J9" s="39">
        <f>[1]!nx(1,G9,2%)</f>
        <v>669107.25942528655</v>
      </c>
    </row>
    <row r="10" spans="3:12" ht="18.75" x14ac:dyDescent="0.3">
      <c r="C10" s="4" t="s">
        <v>25</v>
      </c>
      <c r="D10" s="4"/>
      <c r="E10" s="8"/>
      <c r="F10" s="4"/>
      <c r="G10" s="5">
        <f t="shared" si="0"/>
        <v>57</v>
      </c>
      <c r="H10" s="39">
        <v>32081.941632689501</v>
      </c>
      <c r="I10" s="39">
        <f>[1]!mx(1,G10,2%)</f>
        <v>18149.811255362889</v>
      </c>
      <c r="J10" s="39">
        <f>[1]!nx(1,G10,2%)</f>
        <v>637742.3185479471</v>
      </c>
    </row>
    <row r="11" spans="3:12" ht="18.75" x14ac:dyDescent="0.3">
      <c r="C11" s="4" t="s">
        <v>40</v>
      </c>
      <c r="D11" s="4">
        <f>(J3-J8)/H3</f>
        <v>4.7882008664778803</v>
      </c>
      <c r="E11" s="8"/>
      <c r="F11" s="4"/>
      <c r="G11" s="5">
        <f t="shared" si="0"/>
        <v>58</v>
      </c>
      <c r="H11" s="39">
        <v>32081.941632689501</v>
      </c>
      <c r="I11" s="39">
        <f>[1]!mx(1,G11,2%)</f>
        <v>18047.357708998134</v>
      </c>
      <c r="J11" s="39">
        <f>[1]!nx(1,G11,2%)</f>
        <v>607087.51561649761</v>
      </c>
    </row>
    <row r="12" spans="3:12" ht="18.75" x14ac:dyDescent="0.3">
      <c r="C12" s="4" t="s">
        <v>21</v>
      </c>
      <c r="D12" s="22">
        <f>(D2*(H8+(I3-I8)*1.02^(0.5))/H3)/D11</f>
        <v>1892.6050436822609</v>
      </c>
      <c r="E12" s="8" t="s">
        <v>29</v>
      </c>
      <c r="F12" s="4"/>
      <c r="G12" s="5">
        <f t="shared" si="0"/>
        <v>59</v>
      </c>
      <c r="H12" s="39">
        <v>32081.941632689501</v>
      </c>
      <c r="I12" s="39">
        <f>[1]!mx(1,G12,2%)</f>
        <v>17938.183603936333</v>
      </c>
      <c r="J12" s="39">
        <f>[1]!nx(1,G12,2%)</f>
        <v>577136.24079869641</v>
      </c>
    </row>
    <row r="13" spans="3:12" ht="18.75" x14ac:dyDescent="0.3">
      <c r="C13" s="4" t="s">
        <v>24</v>
      </c>
      <c r="D13" s="23">
        <v>2</v>
      </c>
      <c r="E13" s="8"/>
      <c r="F13" s="4"/>
      <c r="G13" s="5">
        <f t="shared" si="0"/>
        <v>60</v>
      </c>
      <c r="H13" s="39">
        <v>32081.941632689501</v>
      </c>
      <c r="I13" s="39">
        <f>[1]!mx(1,G13,2%)</f>
        <v>17823.832345383555</v>
      </c>
      <c r="J13" s="39">
        <f>[1]!nx(1,G13,2%)</f>
        <v>547881.41998434509</v>
      </c>
    </row>
    <row r="14" spans="3:12" ht="18.75" x14ac:dyDescent="0.3">
      <c r="C14" s="4" t="s">
        <v>41</v>
      </c>
      <c r="D14" s="34">
        <f>(J3-J8)/H3-(D13-1)/(2*D13)*(1-H8/H3)</f>
        <v>4.7621263447631463</v>
      </c>
      <c r="E14" s="8"/>
      <c r="F14" s="4"/>
      <c r="G14" s="13"/>
      <c r="H14" s="14"/>
      <c r="I14" s="14"/>
      <c r="J14" s="14"/>
    </row>
    <row r="15" spans="3:12" ht="18.75" x14ac:dyDescent="0.3">
      <c r="C15" s="4" t="s">
        <v>23</v>
      </c>
      <c r="D15" s="22">
        <f>D12*D11/D14</f>
        <v>1902.9678034530461</v>
      </c>
      <c r="E15" s="8" t="s">
        <v>28</v>
      </c>
      <c r="F15" s="4"/>
      <c r="G15" s="13"/>
      <c r="H15" s="14"/>
      <c r="I15" s="14"/>
      <c r="J15" s="14"/>
    </row>
    <row r="16" spans="3:12" ht="18.75" x14ac:dyDescent="0.3">
      <c r="C16" s="4" t="s">
        <v>26</v>
      </c>
      <c r="D16" s="22">
        <f>D15/D13</f>
        <v>951.48390172652307</v>
      </c>
      <c r="E16" s="8" t="s">
        <v>27</v>
      </c>
      <c r="F16" s="4"/>
      <c r="G16" s="13"/>
      <c r="H16" s="14"/>
      <c r="I16" s="14"/>
      <c r="J16" s="14"/>
    </row>
    <row r="17" spans="3:10" ht="18.75" x14ac:dyDescent="0.3">
      <c r="C17" s="4"/>
      <c r="D17" s="22"/>
      <c r="E17" s="8"/>
      <c r="F17" s="4"/>
      <c r="G17" s="13"/>
      <c r="H17" s="14"/>
      <c r="I17" s="14"/>
      <c r="J17" s="14"/>
    </row>
    <row r="18" spans="3:10" ht="18.75" x14ac:dyDescent="0.3">
      <c r="C18" s="4" t="s">
        <v>9</v>
      </c>
      <c r="D18" s="9">
        <v>3.25</v>
      </c>
      <c r="E18" s="8"/>
      <c r="F18" s="4"/>
      <c r="G18" s="4"/>
      <c r="H18" s="4"/>
      <c r="I18" s="4"/>
      <c r="J18" s="4"/>
    </row>
    <row r="19" spans="3:10" ht="18.75" x14ac:dyDescent="0.3">
      <c r="C19" s="4" t="s">
        <v>17</v>
      </c>
      <c r="D19" s="4">
        <v>0.25</v>
      </c>
      <c r="E19" s="19" t="s">
        <v>33</v>
      </c>
      <c r="F19" s="4"/>
      <c r="G19" s="4"/>
      <c r="H19" s="4"/>
      <c r="I19" s="4"/>
      <c r="J19" s="4"/>
    </row>
    <row r="20" spans="3:10" ht="18.75" x14ac:dyDescent="0.3">
      <c r="C20" s="4" t="s">
        <v>37</v>
      </c>
      <c r="D20" s="25">
        <v>0</v>
      </c>
      <c r="E20" s="19"/>
      <c r="F20" s="4"/>
      <c r="G20" s="4"/>
      <c r="H20" s="4"/>
      <c r="I20" s="4"/>
      <c r="J20" s="4"/>
    </row>
    <row r="21" spans="3:10" ht="18.75" x14ac:dyDescent="0.3">
      <c r="C21" s="4" t="s">
        <v>32</v>
      </c>
      <c r="D21" s="18">
        <f>(D20+D19)/D13</f>
        <v>0.125</v>
      </c>
      <c r="E21" s="8"/>
      <c r="F21" s="20"/>
      <c r="G21" s="4"/>
      <c r="H21" s="4"/>
      <c r="I21" s="4"/>
      <c r="J21" s="4"/>
    </row>
    <row r="22" spans="3:10" ht="18.75" x14ac:dyDescent="0.3">
      <c r="C22" s="4" t="s">
        <v>34</v>
      </c>
      <c r="D22" s="20">
        <f>1-D21</f>
        <v>0.875</v>
      </c>
      <c r="E22" s="8"/>
      <c r="F22" s="4"/>
      <c r="G22" s="4"/>
      <c r="H22" s="4"/>
      <c r="I22" s="4"/>
      <c r="J22" s="4"/>
    </row>
    <row r="23" spans="3:10" ht="18.75" x14ac:dyDescent="0.3">
      <c r="C23" s="4"/>
      <c r="D23" s="4"/>
      <c r="E23" s="8"/>
      <c r="F23" s="4"/>
      <c r="G23" s="4"/>
      <c r="H23" s="4"/>
      <c r="I23" s="4"/>
      <c r="J23" s="4"/>
    </row>
    <row r="24" spans="3:10" ht="18.75" x14ac:dyDescent="0.3">
      <c r="C24" s="4" t="s">
        <v>14</v>
      </c>
      <c r="D24" s="10"/>
      <c r="E24" s="10"/>
      <c r="F24" s="4" t="s">
        <v>14</v>
      </c>
      <c r="G24" s="4"/>
      <c r="H24" s="4"/>
      <c r="I24" s="4"/>
      <c r="J24" s="4"/>
    </row>
    <row r="25" spans="3:10" ht="18.75" x14ac:dyDescent="0.3">
      <c r="C25" s="4" t="s">
        <v>30</v>
      </c>
      <c r="D25" s="16">
        <f>$D$2*($H$8+(I6-$I$8)*1.02^(0.5))/H6-$D$15*((J6-$J$8)/H6-($D$13-1)/(2*$D$13))</f>
        <v>6324.1303838054073</v>
      </c>
      <c r="E25" s="10"/>
      <c r="F25" s="4" t="s">
        <v>30</v>
      </c>
      <c r="G25" s="17">
        <f>$D$2*($H$8+(I6-$I$8)*1.02^(0.5))/H6-$D$15*((J6-$J$8)/H6-($D$13-1)/(2*$D$13))</f>
        <v>6324.1303838054073</v>
      </c>
      <c r="H25" s="4"/>
      <c r="I25" s="4"/>
      <c r="J25" s="4"/>
    </row>
    <row r="26" spans="3:10" ht="18.75" x14ac:dyDescent="0.3">
      <c r="C26" s="4" t="s">
        <v>31</v>
      </c>
      <c r="D26" s="16">
        <f>$D$2*($H$8+(I7-$I$8)*1.02^(0.5))/H7-$D$15*((J7-$J$8)/H7-($D$13-1)/(2*$D$13))</f>
        <v>8376.9438923100424</v>
      </c>
      <c r="E26" s="10"/>
      <c r="F26" s="4" t="s">
        <v>31</v>
      </c>
      <c r="G26" s="17">
        <f>$D$2*($H$8+(I7-$I$8)*1.02^(0.5))/H7-$D$15*((J7-$J$8)/H7-($D$13-1)/(2*$D$13))</f>
        <v>8376.9438923100424</v>
      </c>
      <c r="H26" s="4"/>
      <c r="I26" s="4"/>
      <c r="J26" s="4"/>
    </row>
    <row r="27" spans="3:10" ht="37.5" x14ac:dyDescent="0.3">
      <c r="C27" s="36" t="s">
        <v>55</v>
      </c>
      <c r="D27" s="15">
        <f>(1-D19)*D16</f>
        <v>713.6129262948923</v>
      </c>
      <c r="E27" s="10"/>
      <c r="F27" s="3" t="s">
        <v>36</v>
      </c>
      <c r="G27" s="24">
        <f>(D13-D20-1)*D16</f>
        <v>951.48390172652307</v>
      </c>
      <c r="H27" s="4"/>
      <c r="I27" s="4"/>
      <c r="J27" s="4"/>
    </row>
    <row r="28" spans="3:10" ht="18.75" x14ac:dyDescent="0.3">
      <c r="C28" s="4"/>
      <c r="D28" s="10"/>
      <c r="E28" s="10"/>
      <c r="F28" s="4"/>
      <c r="G28" s="4"/>
      <c r="H28" s="4"/>
      <c r="I28" s="4"/>
      <c r="J28" s="4"/>
    </row>
    <row r="29" spans="3:10" ht="18.75" x14ac:dyDescent="0.3">
      <c r="C29" s="11" t="s">
        <v>35</v>
      </c>
      <c r="D29" s="12">
        <f>D22*D25+D21*D26+D27</f>
        <v>7294.3449986633786</v>
      </c>
      <c r="E29" s="10"/>
      <c r="F29" s="11" t="s">
        <v>35</v>
      </c>
      <c r="G29" s="12">
        <f>D22*(D25+D15)+D21*D26-G27</f>
        <v>7294.3449986633777</v>
      </c>
    </row>
    <row r="30" spans="3:10" ht="18.75" x14ac:dyDescent="0.3">
      <c r="C30" s="21" t="s">
        <v>38</v>
      </c>
      <c r="D30" s="1"/>
      <c r="F30" s="21" t="s">
        <v>39</v>
      </c>
    </row>
  </sheetData>
  <pageMargins left="0.7" right="0.7" top="0.75" bottom="0.75" header="0.3" footer="0.3"/>
  <pageSetup paperSize="9" scale="8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30"/>
  <sheetViews>
    <sheetView tabSelected="1" zoomScale="70" zoomScaleNormal="70" workbookViewId="0">
      <selection activeCell="G18" sqref="G18"/>
    </sheetView>
  </sheetViews>
  <sheetFormatPr defaultRowHeight="15" x14ac:dyDescent="0.25"/>
  <cols>
    <col min="3" max="3" width="17.5703125" customWidth="1"/>
    <col min="4" max="4" width="15.7109375" customWidth="1"/>
    <col min="5" max="5" width="11.42578125" customWidth="1"/>
    <col min="6" max="6" width="19.5703125" customWidth="1"/>
    <col min="7" max="7" width="15.85546875" customWidth="1"/>
    <col min="8" max="9" width="15.28515625" customWidth="1"/>
    <col min="10" max="10" width="17" customWidth="1"/>
    <col min="12" max="12" width="12.42578125" customWidth="1"/>
  </cols>
  <sheetData>
    <row r="1" spans="3:12" ht="18.75" x14ac:dyDescent="0.3">
      <c r="C1" s="3" t="s">
        <v>63</v>
      </c>
      <c r="D1" s="4"/>
      <c r="E1" s="4"/>
      <c r="F1" s="4"/>
      <c r="G1" s="4"/>
      <c r="H1" s="4"/>
      <c r="I1" s="4"/>
      <c r="J1" s="4"/>
    </row>
    <row r="2" spans="3:12" ht="18.75" x14ac:dyDescent="0.3">
      <c r="C2" s="4" t="s">
        <v>2</v>
      </c>
      <c r="D2" s="4">
        <v>10000</v>
      </c>
      <c r="E2" s="4"/>
      <c r="F2" s="4"/>
      <c r="G2" s="5" t="s">
        <v>0</v>
      </c>
      <c r="H2" s="5" t="s">
        <v>12</v>
      </c>
      <c r="I2" s="5" t="s">
        <v>62</v>
      </c>
      <c r="J2" s="6" t="s">
        <v>13</v>
      </c>
    </row>
    <row r="3" spans="3:12" ht="18.75" x14ac:dyDescent="0.3">
      <c r="C3" s="4" t="s">
        <v>3</v>
      </c>
      <c r="D3" s="4">
        <v>10</v>
      </c>
      <c r="E3" s="4"/>
      <c r="F3" s="4"/>
      <c r="G3" s="5">
        <v>50</v>
      </c>
      <c r="H3" s="39">
        <f>[1]!dx(1,G3,2%)</f>
        <v>35817.654469648238</v>
      </c>
      <c r="I3" s="39">
        <f>[1]!mx(1,G3,2%)</f>
        <v>18705.819525389055</v>
      </c>
      <c r="J3" s="39">
        <f>[1]!nx(1,G3,2%)</f>
        <v>872691.32522475102</v>
      </c>
      <c r="L3" s="44">
        <f>[1]!dx(1,50,2%)</f>
        <v>35817.654469648238</v>
      </c>
    </row>
    <row r="4" spans="3:12" ht="18.75" x14ac:dyDescent="0.3">
      <c r="C4" s="4" t="s">
        <v>22</v>
      </c>
      <c r="D4" s="4">
        <v>6</v>
      </c>
      <c r="E4" s="4"/>
      <c r="F4" s="4"/>
      <c r="G4" s="5">
        <f>G3+1</f>
        <v>51</v>
      </c>
      <c r="H4" s="39">
        <f>[1]!dx(1,G4,2%)</f>
        <v>35046.69863696448</v>
      </c>
      <c r="I4" s="39">
        <f>[1]!mx(1,G4,2%)</f>
        <v>18637.170643090558</v>
      </c>
      <c r="J4" s="39">
        <f>[1]!nx(1,G4,2%)</f>
        <v>836873.67075510276</v>
      </c>
    </row>
    <row r="5" spans="3:12" ht="18.75" x14ac:dyDescent="0.3">
      <c r="C5" s="4" t="s">
        <v>11</v>
      </c>
      <c r="D5" s="4">
        <v>50</v>
      </c>
      <c r="E5" s="4"/>
      <c r="F5" s="4"/>
      <c r="G5" s="5">
        <f t="shared" ref="G5:G13" si="0">G4+1</f>
        <v>52</v>
      </c>
      <c r="H5" s="39">
        <f>[1]!dx(1,G5,2%)</f>
        <v>34288.488220402112</v>
      </c>
      <c r="I5" s="39">
        <f>[1]!mx(1,G5,2%)</f>
        <v>18566.150395880439</v>
      </c>
      <c r="J5" s="39">
        <f>[1]!nx(1,G5,2%)</f>
        <v>801826.97211813822</v>
      </c>
    </row>
    <row r="6" spans="3:12" ht="18.75" x14ac:dyDescent="0.3">
      <c r="C6" s="4" t="s">
        <v>4</v>
      </c>
      <c r="D6" s="4" t="s">
        <v>53</v>
      </c>
      <c r="E6" s="4"/>
      <c r="F6" s="4"/>
      <c r="G6" s="5">
        <f t="shared" si="0"/>
        <v>53</v>
      </c>
      <c r="H6" s="39">
        <f>[1]!dx(1,G6,2%)</f>
        <v>33542.241513629044</v>
      </c>
      <c r="I6" s="39">
        <f>[1]!mx(1,G6,2%)</f>
        <v>18492.226987546623</v>
      </c>
      <c r="J6" s="39">
        <f>[1]!nx(1,G6,2%)</f>
        <v>767538.48389773606</v>
      </c>
    </row>
    <row r="7" spans="3:12" ht="18.75" x14ac:dyDescent="0.3">
      <c r="C7" s="4" t="s">
        <v>5</v>
      </c>
      <c r="D7" s="7">
        <v>0.02</v>
      </c>
      <c r="E7" s="4"/>
      <c r="F7" s="4"/>
      <c r="G7" s="5">
        <f t="shared" si="0"/>
        <v>54</v>
      </c>
      <c r="H7" s="39">
        <f>[1]!dx(1,G7,2%)</f>
        <v>32807.04132613109</v>
      </c>
      <c r="I7" s="39">
        <f>[1]!mx(1,G7,2%)</f>
        <v>18414.71781011983</v>
      </c>
      <c r="J7" s="39">
        <f>[1]!nx(1,G7,2%)</f>
        <v>733996.24238410697</v>
      </c>
    </row>
    <row r="8" spans="3:12" ht="18.75" x14ac:dyDescent="0.3">
      <c r="C8" s="4" t="s">
        <v>6</v>
      </c>
      <c r="D8" s="4" t="s">
        <v>7</v>
      </c>
      <c r="E8" s="8"/>
      <c r="F8" s="4"/>
      <c r="G8" s="5">
        <f t="shared" si="0"/>
        <v>55</v>
      </c>
      <c r="H8" s="39">
        <f>[1]!dx(1,G8,2%)</f>
        <v>32081.941632689504</v>
      </c>
      <c r="I8" s="39">
        <f>[1]!mx(1,G8,2%)</f>
        <v>18332.893436798462</v>
      </c>
      <c r="J8" s="39">
        <f>[1]!nx(1,G8,2%)</f>
        <v>701189.201057976</v>
      </c>
    </row>
    <row r="9" spans="3:12" ht="18.75" x14ac:dyDescent="0.3">
      <c r="C9" s="4"/>
      <c r="D9" s="4"/>
      <c r="E9" s="8"/>
      <c r="F9" s="4"/>
      <c r="G9" s="5">
        <f t="shared" si="0"/>
        <v>56</v>
      </c>
      <c r="H9" s="39">
        <f>[1]!dx(1,G9,2%)</f>
        <v>31364.940877339308</v>
      </c>
      <c r="I9" s="39">
        <f>[1]!mx(1,G9,2%)</f>
        <v>18244.950360520612</v>
      </c>
      <c r="J9" s="39">
        <f>[1]!nx(1,G9,2%)</f>
        <v>669107.25942528655</v>
      </c>
    </row>
    <row r="10" spans="3:12" ht="18.75" x14ac:dyDescent="0.3">
      <c r="C10" s="4" t="s">
        <v>25</v>
      </c>
      <c r="D10" s="4"/>
      <c r="E10" s="8"/>
      <c r="F10" s="4"/>
      <c r="G10" s="5">
        <f t="shared" si="0"/>
        <v>57</v>
      </c>
      <c r="H10" s="39">
        <f>[1]!dx(1,G10,2%)</f>
        <v>30654.802931449449</v>
      </c>
      <c r="I10" s="39">
        <f>[1]!mx(1,G10,2%)</f>
        <v>18149.811255362889</v>
      </c>
      <c r="J10" s="39">
        <f>[1]!nx(1,G10,2%)</f>
        <v>637742.3185479471</v>
      </c>
    </row>
    <row r="11" spans="3:12" ht="18.75" x14ac:dyDescent="0.3">
      <c r="C11" s="4" t="s">
        <v>79</v>
      </c>
      <c r="D11" s="17">
        <f>(J3-J9)/H3</f>
        <v>5.6839027796189425</v>
      </c>
      <c r="E11" s="8"/>
      <c r="F11" s="4"/>
      <c r="G11" s="5">
        <f t="shared" si="0"/>
        <v>58</v>
      </c>
      <c r="H11" s="39">
        <f>[1]!dx(1,G11,2%)</f>
        <v>29951.274817801368</v>
      </c>
      <c r="I11" s="39">
        <f>[1]!mx(1,G11,2%)</f>
        <v>18047.357708998134</v>
      </c>
      <c r="J11" s="39">
        <f>[1]!nx(1,G11,2%)</f>
        <v>607087.51561649761</v>
      </c>
    </row>
    <row r="12" spans="3:12" ht="18.75" x14ac:dyDescent="0.3">
      <c r="C12" s="4" t="s">
        <v>21</v>
      </c>
      <c r="D12" s="22">
        <f>(D2*(H13+(I3-I13)*1.02^(0.5))/H3)/D11</f>
        <v>1446.9506191748073</v>
      </c>
      <c r="E12" s="8" t="s">
        <v>29</v>
      </c>
      <c r="F12" s="4"/>
      <c r="G12" s="5">
        <f t="shared" si="0"/>
        <v>59</v>
      </c>
      <c r="H12" s="39">
        <f>[1]!dx(1,G12,2%)</f>
        <v>29254.820814351307</v>
      </c>
      <c r="I12" s="39">
        <f>[1]!mx(1,G12,2%)</f>
        <v>17938.183603936333</v>
      </c>
      <c r="J12" s="39">
        <f>[1]!nx(1,G12,2%)</f>
        <v>577136.24079869641</v>
      </c>
    </row>
    <row r="13" spans="3:12" ht="18.75" x14ac:dyDescent="0.3">
      <c r="C13" s="4" t="s">
        <v>24</v>
      </c>
      <c r="D13" s="23">
        <v>2</v>
      </c>
      <c r="E13" s="8"/>
      <c r="F13" s="4"/>
      <c r="G13" s="5">
        <f t="shared" si="0"/>
        <v>60</v>
      </c>
      <c r="H13" s="39">
        <f>[1]!dx(1,G13,2%)</f>
        <v>28566.845618262225</v>
      </c>
      <c r="I13" s="39">
        <f>[1]!mx(1,G13,2%)</f>
        <v>17823.832345383555</v>
      </c>
      <c r="J13" s="39">
        <f>[1]!nx(1,G13,2%)</f>
        <v>547881.41998434509</v>
      </c>
    </row>
    <row r="14" spans="3:12" ht="18.75" x14ac:dyDescent="0.3">
      <c r="C14" s="4" t="s">
        <v>80</v>
      </c>
      <c r="D14" s="34">
        <f>(J3-J9)/H3-(D13-1)/(2*D13)*(1-H9/H3)</f>
        <v>5.6528237373265293</v>
      </c>
      <c r="E14" s="8"/>
      <c r="F14" s="4"/>
      <c r="G14" s="13"/>
      <c r="H14" s="14"/>
      <c r="I14" s="14"/>
      <c r="J14" s="14"/>
    </row>
    <row r="15" spans="3:12" ht="18.75" x14ac:dyDescent="0.3">
      <c r="C15" s="4" t="s">
        <v>23</v>
      </c>
      <c r="D15" s="22">
        <f>D12*D11/D14</f>
        <v>1454.9059069350508</v>
      </c>
      <c r="E15" s="8" t="s">
        <v>28</v>
      </c>
      <c r="F15" s="4"/>
      <c r="G15" s="13"/>
      <c r="H15" s="14"/>
      <c r="I15" s="14"/>
      <c r="J15" s="14"/>
    </row>
    <row r="16" spans="3:12" ht="18.75" x14ac:dyDescent="0.3">
      <c r="C16" s="4" t="s">
        <v>26</v>
      </c>
      <c r="D16" s="22">
        <f>D15/D13</f>
        <v>727.45295346752539</v>
      </c>
      <c r="E16" s="8" t="s">
        <v>27</v>
      </c>
      <c r="F16" s="4"/>
      <c r="G16" s="13"/>
      <c r="H16" s="14"/>
      <c r="I16" s="14"/>
      <c r="J16" s="14"/>
    </row>
    <row r="17" spans="3:10" ht="18.75" x14ac:dyDescent="0.3">
      <c r="C17" s="4"/>
      <c r="D17" s="22"/>
      <c r="E17" s="8"/>
      <c r="F17" s="4"/>
      <c r="G17" s="13"/>
      <c r="H17" s="14"/>
      <c r="I17" s="14"/>
      <c r="J17" s="14"/>
    </row>
    <row r="18" spans="3:10" ht="18.75" x14ac:dyDescent="0.3">
      <c r="C18" s="4" t="s">
        <v>59</v>
      </c>
      <c r="D18" s="9">
        <v>3</v>
      </c>
      <c r="E18" s="8"/>
      <c r="F18" s="4"/>
      <c r="G18" s="4"/>
      <c r="H18" s="4"/>
      <c r="I18" s="4"/>
      <c r="J18" s="4"/>
    </row>
    <row r="19" spans="3:10" ht="18.75" x14ac:dyDescent="0.3">
      <c r="C19" s="4" t="s">
        <v>17</v>
      </c>
      <c r="D19" s="4">
        <f>30/180</f>
        <v>0.16666666666666666</v>
      </c>
      <c r="E19" s="19" t="s">
        <v>33</v>
      </c>
      <c r="F19" s="4"/>
      <c r="G19" s="4"/>
      <c r="H19" s="4"/>
      <c r="I19" s="4"/>
      <c r="J19" s="4"/>
    </row>
    <row r="20" spans="3:10" ht="18.75" x14ac:dyDescent="0.3">
      <c r="C20" s="4" t="s">
        <v>37</v>
      </c>
      <c r="D20" s="25">
        <v>0</v>
      </c>
      <c r="E20" s="19"/>
      <c r="F20" s="4"/>
      <c r="G20" s="4"/>
      <c r="H20" s="4"/>
      <c r="I20" s="4"/>
      <c r="J20" s="4"/>
    </row>
    <row r="21" spans="3:10" ht="18.75" x14ac:dyDescent="0.3">
      <c r="C21" s="4" t="s">
        <v>32</v>
      </c>
      <c r="D21" s="18">
        <f>(D20+D19)/D13</f>
        <v>8.3333333333333329E-2</v>
      </c>
      <c r="E21" s="8"/>
      <c r="F21" s="20"/>
      <c r="G21" s="4"/>
      <c r="H21" s="4"/>
      <c r="I21" s="4"/>
      <c r="J21" s="4"/>
    </row>
    <row r="22" spans="3:10" ht="18.75" x14ac:dyDescent="0.3">
      <c r="C22" s="4" t="s">
        <v>34</v>
      </c>
      <c r="D22" s="20">
        <f>1-D21</f>
        <v>0.91666666666666663</v>
      </c>
      <c r="E22" s="8"/>
      <c r="F22" s="4"/>
      <c r="G22" s="4"/>
      <c r="H22" s="4"/>
      <c r="I22" s="4"/>
      <c r="J22" s="4"/>
    </row>
    <row r="23" spans="3:10" ht="18.75" x14ac:dyDescent="0.3">
      <c r="C23" s="4"/>
      <c r="D23" s="4"/>
      <c r="E23" s="8"/>
      <c r="F23" s="4"/>
      <c r="G23" s="4"/>
      <c r="H23" s="4"/>
      <c r="I23" s="4"/>
      <c r="J23" s="4"/>
    </row>
    <row r="24" spans="3:10" ht="18.75" x14ac:dyDescent="0.3">
      <c r="C24" s="4" t="s">
        <v>14</v>
      </c>
      <c r="D24" s="10"/>
      <c r="E24" s="10"/>
      <c r="F24" s="4" t="s">
        <v>14</v>
      </c>
      <c r="G24" s="4"/>
      <c r="H24" s="4"/>
      <c r="I24" s="4"/>
      <c r="J24" s="4"/>
    </row>
    <row r="25" spans="3:10" ht="18.75" x14ac:dyDescent="0.3">
      <c r="C25" s="4" t="s">
        <v>30</v>
      </c>
      <c r="D25" s="16">
        <f>$D$2*($H$13+(I6-$I$13)*1.02^(0.5))/H6-$D$15*((J6-$J$9)/H6-($D$13-1)/(2*$D$13))</f>
        <v>4812.1692321017426</v>
      </c>
      <c r="E25" s="10"/>
      <c r="F25" s="4" t="s">
        <v>30</v>
      </c>
      <c r="G25" s="17">
        <f>$D$2*($H$13+(I6-$I$13)*1.02^(0.5))/H6-$D$15*((J6-$J$9)/H6-($D$13-1)/(2*$D$13))</f>
        <v>4812.1692321017426</v>
      </c>
      <c r="H25" s="4"/>
      <c r="I25" s="4"/>
      <c r="J25" s="4"/>
    </row>
    <row r="26" spans="3:10" ht="18.75" x14ac:dyDescent="0.3">
      <c r="C26" s="4" t="s">
        <v>31</v>
      </c>
      <c r="D26" s="16">
        <f>$D$2*($H$13+(I7-$I$13)*1.02^(0.5))/H7-$D$15*((J7-$J$13)/H7-($D$13-1)/(2*$D$13))</f>
        <v>999.46050001304957</v>
      </c>
      <c r="E26" s="10"/>
      <c r="F26" s="4" t="s">
        <v>31</v>
      </c>
      <c r="G26" s="17">
        <f>$D$2*($H$13+(I7-$I$13)*1.02^(0.5))/H7-$D$15*((J7-$J$13)/H7-($D$13-1)/(2*$D$13))</f>
        <v>999.46050001304957</v>
      </c>
      <c r="H26" s="4"/>
      <c r="I26" s="4"/>
      <c r="J26" s="4"/>
    </row>
    <row r="27" spans="3:10" ht="37.5" x14ac:dyDescent="0.3">
      <c r="C27" s="36" t="s">
        <v>55</v>
      </c>
      <c r="D27" s="15">
        <f>(1-D19)*D16</f>
        <v>606.21079455627114</v>
      </c>
      <c r="E27" s="10"/>
      <c r="F27" s="3" t="s">
        <v>36</v>
      </c>
      <c r="G27" s="24">
        <f>(D13-D20-1)*D16</f>
        <v>727.45295346752539</v>
      </c>
      <c r="H27" s="17"/>
      <c r="I27" s="4"/>
      <c r="J27" s="4"/>
    </row>
    <row r="28" spans="3:10" ht="18.75" x14ac:dyDescent="0.3">
      <c r="C28" s="4"/>
      <c r="D28" s="10"/>
      <c r="E28" s="10"/>
      <c r="F28" s="4"/>
      <c r="G28" s="4"/>
      <c r="H28" s="4"/>
      <c r="I28" s="4"/>
      <c r="J28" s="4"/>
    </row>
    <row r="29" spans="3:10" ht="18.75" x14ac:dyDescent="0.3">
      <c r="C29" s="11" t="s">
        <v>35</v>
      </c>
      <c r="D29" s="12">
        <f>D22*D25+D21*D26+D27</f>
        <v>5100.6542989839563</v>
      </c>
      <c r="E29" s="10"/>
      <c r="F29" s="11" t="s">
        <v>35</v>
      </c>
      <c r="G29" s="12">
        <f>D22*(D25+D15)+D21*D26-G27</f>
        <v>5100.6542989839554</v>
      </c>
    </row>
    <row r="30" spans="3:10" ht="18.75" x14ac:dyDescent="0.3">
      <c r="C30" s="21" t="s">
        <v>38</v>
      </c>
      <c r="D30" s="1"/>
      <c r="F30" s="21" t="s">
        <v>39</v>
      </c>
    </row>
  </sheetData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8</vt:i4>
      </vt:variant>
    </vt:vector>
  </HeadingPairs>
  <TitlesOfParts>
    <vt:vector size="19" baseType="lpstr">
      <vt:lpstr>Foglio2</vt:lpstr>
      <vt:lpstr>CD_U</vt:lpstr>
      <vt:lpstr>CD_P</vt:lpstr>
      <vt:lpstr>CD_Pk</vt:lpstr>
      <vt:lpstr>CD_Pk (2)</vt:lpstr>
      <vt:lpstr>CD_Pk (3)</vt:lpstr>
      <vt:lpstr>CD_Pk (4)</vt:lpstr>
      <vt:lpstr>MS_Pk (5)</vt:lpstr>
      <vt:lpstr>MS_Pk (6)</vt:lpstr>
      <vt:lpstr>Foglio3 (2)</vt:lpstr>
      <vt:lpstr>Foglio3</vt:lpstr>
      <vt:lpstr>CD_P!Area_stampa</vt:lpstr>
      <vt:lpstr>CD_Pk!Area_stampa</vt:lpstr>
      <vt:lpstr>'CD_Pk (2)'!Area_stampa</vt:lpstr>
      <vt:lpstr>'CD_Pk (3)'!Area_stampa</vt:lpstr>
      <vt:lpstr>'CD_Pk (4)'!Area_stampa</vt:lpstr>
      <vt:lpstr>CD_U!Area_stampa</vt:lpstr>
      <vt:lpstr>'MS_Pk (5)'!Area_stampa</vt:lpstr>
      <vt:lpstr>'MS_Pk (6)'!Area_stampa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cp:lastPrinted>2020-04-24T16:22:56Z</cp:lastPrinted>
  <dcterms:created xsi:type="dcterms:W3CDTF">2020-04-23T13:01:08Z</dcterms:created>
  <dcterms:modified xsi:type="dcterms:W3CDTF">2021-03-29T20:51:32Z</dcterms:modified>
</cp:coreProperties>
</file>