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010" activeTab="4"/>
  </bookViews>
  <sheets>
    <sheet name="Foglio2" sheetId="2" r:id="rId1"/>
    <sheet name="MS_U" sheetId="1" r:id="rId2"/>
    <sheet name="MS_P" sheetId="4" r:id="rId3"/>
    <sheet name="MS_Pk" sheetId="5" r:id="rId4"/>
    <sheet name="MS_Pk (4)" sheetId="8" r:id="rId5"/>
  </sheets>
  <externalReferences>
    <externalReference r:id="rId6"/>
  </externalReferences>
  <definedNames>
    <definedName name="_xlnm.Print_Area" localSheetId="2">MS_P!$C$1:$I$22</definedName>
    <definedName name="_xlnm.Print_Area" localSheetId="3">MS_Pk!$C$1:$I$30</definedName>
    <definedName name="_xlnm.Print_Area" localSheetId="4">'MS_Pk (4)'!$C$1:$I$37</definedName>
    <definedName name="_xlnm.Print_Area" localSheetId="1">MS_U!$C$1:$I$18</definedName>
  </definedNames>
  <calcPr calcId="145621"/>
</workbook>
</file>

<file path=xl/calcChain.xml><?xml version="1.0" encoding="utf-8"?>
<calcChain xmlns="http://schemas.openxmlformats.org/spreadsheetml/2006/main">
  <c r="G34" i="8" l="1"/>
  <c r="D36" i="8"/>
  <c r="G36" i="8"/>
  <c r="G33" i="8"/>
  <c r="G32" i="8"/>
  <c r="D34" i="8"/>
  <c r="D33" i="8"/>
  <c r="D32" i="8"/>
  <c r="D29" i="8"/>
  <c r="D28" i="8"/>
  <c r="D26" i="8"/>
  <c r="E25" i="8"/>
  <c r="E23" i="8"/>
  <c r="D16" i="8"/>
  <c r="D12" i="8"/>
  <c r="D15" i="8" s="1"/>
  <c r="D14" i="8"/>
  <c r="D11" i="8"/>
  <c r="G29" i="5"/>
  <c r="D27" i="5"/>
  <c r="D25" i="5"/>
  <c r="G27" i="5"/>
  <c r="G26" i="5"/>
  <c r="G25" i="5"/>
  <c r="D29" i="5"/>
  <c r="D26" i="5"/>
  <c r="D22" i="5"/>
  <c r="D21" i="5"/>
  <c r="D19" i="5"/>
  <c r="D16" i="5"/>
  <c r="D12" i="5"/>
  <c r="D15" i="5" s="1"/>
  <c r="D14" i="5"/>
  <c r="D11" i="5"/>
  <c r="D18" i="4"/>
  <c r="D17" i="4"/>
  <c r="D11" i="4"/>
  <c r="D19" i="4" s="1"/>
  <c r="D14" i="1"/>
  <c r="D17" i="1"/>
  <c r="D15" i="1"/>
  <c r="D10" i="1"/>
  <c r="N6" i="4"/>
  <c r="N5" i="4"/>
  <c r="N4" i="4"/>
  <c r="N7" i="4"/>
  <c r="N8" i="4"/>
  <c r="N3" i="4"/>
  <c r="M8" i="4"/>
  <c r="M7" i="4"/>
  <c r="M6" i="4"/>
  <c r="M5" i="4"/>
  <c r="M4" i="4"/>
  <c r="M3" i="4"/>
  <c r="L8" i="4"/>
  <c r="L7" i="4"/>
  <c r="L4" i="4"/>
  <c r="L6" i="4"/>
  <c r="L5" i="4"/>
  <c r="L3" i="4"/>
  <c r="D21" i="4" l="1"/>
  <c r="G4" i="8"/>
  <c r="G5" i="8" s="1"/>
  <c r="G6" i="8" s="1"/>
  <c r="G7" i="8" s="1"/>
  <c r="G8" i="8" s="1"/>
  <c r="G4" i="5"/>
  <c r="G5" i="5" s="1"/>
  <c r="G6" i="5" s="1"/>
  <c r="G7" i="5" s="1"/>
  <c r="G8" i="5" s="1"/>
  <c r="G4" i="4"/>
  <c r="G5" i="4" s="1"/>
  <c r="G6" i="4" s="1"/>
  <c r="G7" i="4" s="1"/>
  <c r="G8" i="4" s="1"/>
  <c r="E21" i="8" l="1"/>
  <c r="E20" i="8"/>
  <c r="E19" i="8"/>
  <c r="G4" i="1"/>
  <c r="G5" i="1" s="1"/>
  <c r="G6" i="1" s="1"/>
  <c r="G7" i="1" s="1"/>
  <c r="G8" i="1" s="1"/>
</calcChain>
</file>

<file path=xl/sharedStrings.xml><?xml version="1.0" encoding="utf-8"?>
<sst xmlns="http://schemas.openxmlformats.org/spreadsheetml/2006/main" count="142" uniqueCount="61">
  <si>
    <t>x</t>
  </si>
  <si>
    <t>C =</t>
  </si>
  <si>
    <t>n =</t>
  </si>
  <si>
    <t>Premio =</t>
  </si>
  <si>
    <t xml:space="preserve">i = </t>
  </si>
  <si>
    <t>{qx} =</t>
  </si>
  <si>
    <t>RG48</t>
  </si>
  <si>
    <t>t =</t>
  </si>
  <si>
    <t>t + r =</t>
  </si>
  <si>
    <t>Unico</t>
  </si>
  <si>
    <t>x =</t>
  </si>
  <si>
    <t>Dx</t>
  </si>
  <si>
    <t>Nx</t>
  </si>
  <si>
    <t>Calcolo della riserva</t>
  </si>
  <si>
    <t>V(3)</t>
  </si>
  <si>
    <t>V(4)</t>
  </si>
  <si>
    <t>r =</t>
  </si>
  <si>
    <t>Riporto premi</t>
  </si>
  <si>
    <t>Annuo</t>
  </si>
  <si>
    <t>Calcolo del premio annuo</t>
  </si>
  <si>
    <t>P =</t>
  </si>
  <si>
    <t>m =</t>
  </si>
  <si>
    <t>Pk</t>
  </si>
  <si>
    <t>k =</t>
  </si>
  <si>
    <t>Calcolo del premio annuo frazionato</t>
  </si>
  <si>
    <t>Pk / k</t>
  </si>
  <si>
    <t>frazione premio annuo</t>
  </si>
  <si>
    <t>premio annuo frazionato</t>
  </si>
  <si>
    <t>premio annuo</t>
  </si>
  <si>
    <t>Vk(3)</t>
  </si>
  <si>
    <t>Vk(4)</t>
  </si>
  <si>
    <t>(h+r)/k =</t>
  </si>
  <si>
    <t>1 - (h+r) / k =</t>
  </si>
  <si>
    <t>Compimento</t>
  </si>
  <si>
    <t>h =</t>
  </si>
  <si>
    <t>Formula 5</t>
  </si>
  <si>
    <t>Formula 7</t>
  </si>
  <si>
    <t>a(5) =</t>
  </si>
  <si>
    <t>ak(5) =</t>
  </si>
  <si>
    <t>Formula 2</t>
  </si>
  <si>
    <t>Formula 1</t>
  </si>
  <si>
    <t>t+1 =</t>
  </si>
  <si>
    <t>gg</t>
  </si>
  <si>
    <t>t0 =</t>
  </si>
  <si>
    <t>Date</t>
  </si>
  <si>
    <t>Durate</t>
  </si>
  <si>
    <t>anni</t>
  </si>
  <si>
    <t>t + 1/k =</t>
  </si>
  <si>
    <t>(t + 1/k) - t =</t>
  </si>
  <si>
    <t>(t + r) - t =</t>
  </si>
  <si>
    <t>Annuo frazionato</t>
  </si>
  <si>
    <t>Riporto di 
frazione di premio</t>
  </si>
  <si>
    <t>Calcolo della riserva per interpolazione</t>
  </si>
  <si>
    <t>Mx</t>
  </si>
  <si>
    <t>Laboratorio</t>
  </si>
  <si>
    <t>= __ gg / __ gg</t>
  </si>
  <si>
    <t>V(3,35)</t>
  </si>
  <si>
    <t xml:space="preserve">Un contratto di Mista Semplice è stato emesso il 7 aprile 2020 e scade il 7  aprile 2025.
Il premio annuo è pagato per frazioni semestrali. Calcolare la riserva matematica al 31/08/2023 </t>
  </si>
  <si>
    <t>V(t+r)</t>
  </si>
  <si>
    <t>Mista Semplice</t>
  </si>
  <si>
    <t>Riporto di
frazione di premio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</si>
</sst>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0.0"/>
    <numFmt numFmtId="165" formatCode="_-* #,##0.000_-;\-* #,##0.000_-;_-* &quot;-&quot;??_-;_-@_-"/>
    <numFmt numFmtId="166" formatCode="_-* #,##0_-;\-* #,##0_-;_-* &quot;-&quot;??_-;_-@_-"/>
    <numFmt numFmtId="167" formatCode="_-* #,##0.000_-;\-* #,##0.000_-;_-* &quot;-&quot;???_-;_-@_-"/>
    <numFmt numFmtId="168" formatCode="0.000000"/>
    <numFmt numFmtId="169" formatCode="_-* #,##0.0000000_-;\-* #,##0.0000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2" fontId="0" fillId="0" borderId="0" xfId="0" applyNumberForma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9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0" fontId="3" fillId="0" borderId="1" xfId="0" applyFont="1" applyBorder="1"/>
    <xf numFmtId="2" fontId="3" fillId="3" borderId="1" xfId="0" applyNumberFormat="1" applyFont="1" applyFill="1" applyBorder="1"/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164" fontId="3" fillId="0" borderId="0" xfId="0" quotePrefix="1" applyNumberFormat="1" applyFont="1"/>
    <xf numFmtId="167" fontId="3" fillId="0" borderId="0" xfId="0" applyNumberFormat="1" applyFont="1"/>
    <xf numFmtId="0" fontId="3" fillId="0" borderId="0" xfId="0" applyFont="1" applyFill="1" applyBorder="1"/>
    <xf numFmtId="43" fontId="3" fillId="0" borderId="0" xfId="1" applyFont="1" applyFill="1"/>
    <xf numFmtId="166" fontId="3" fillId="0" borderId="0" xfId="1" applyNumberFormat="1" applyFont="1" applyFill="1"/>
    <xf numFmtId="15" fontId="0" fillId="0" borderId="0" xfId="0" applyNumberFormat="1"/>
    <xf numFmtId="169" fontId="3" fillId="0" borderId="0" xfId="1" applyNumberFormat="1" applyFont="1" applyFill="1"/>
    <xf numFmtId="0" fontId="3" fillId="0" borderId="0" xfId="0" applyFont="1" applyAlignment="1">
      <alignment wrapText="1"/>
    </xf>
    <xf numFmtId="0" fontId="4" fillId="2" borderId="0" xfId="0" applyFont="1" applyFill="1"/>
    <xf numFmtId="43" fontId="3" fillId="0" borderId="1" xfId="1" applyFont="1" applyBorder="1"/>
    <xf numFmtId="43" fontId="3" fillId="0" borderId="1" xfId="1" applyFont="1" applyBorder="1" applyAlignment="1">
      <alignment horizontal="center"/>
    </xf>
    <xf numFmtId="43" fontId="3" fillId="2" borderId="1" xfId="1" applyFont="1" applyFill="1" applyBorder="1"/>
    <xf numFmtId="2" fontId="3" fillId="0" borderId="1" xfId="0" applyNumberFormat="1" applyFont="1" applyBorder="1"/>
    <xf numFmtId="43" fontId="3" fillId="2" borderId="1" xfId="0" applyNumberFormat="1" applyFont="1" applyFill="1" applyBorder="1"/>
    <xf numFmtId="0" fontId="3" fillId="4" borderId="1" xfId="0" applyFont="1" applyFill="1" applyBorder="1"/>
    <xf numFmtId="43" fontId="3" fillId="0" borderId="1" xfId="1" applyFont="1" applyFill="1" applyBorder="1"/>
    <xf numFmtId="166" fontId="3" fillId="0" borderId="1" xfId="1" applyNumberFormat="1" applyFont="1" applyFill="1" applyBorder="1"/>
    <xf numFmtId="169" fontId="3" fillId="0" borderId="1" xfId="1" applyNumberFormat="1" applyFont="1" applyFill="1" applyBorder="1"/>
    <xf numFmtId="0" fontId="3" fillId="2" borderId="1" xfId="0" applyFont="1" applyFill="1" applyBorder="1"/>
    <xf numFmtId="165" fontId="3" fillId="0" borderId="1" xfId="0" applyNumberFormat="1" applyFont="1" applyBorder="1"/>
    <xf numFmtId="167" fontId="3" fillId="0" borderId="1" xfId="0" applyNumberFormat="1" applyFont="1" applyBorder="1"/>
    <xf numFmtId="43" fontId="3" fillId="4" borderId="1" xfId="0" applyNumberFormat="1" applyFont="1" applyFill="1" applyBorder="1"/>
    <xf numFmtId="164" fontId="3" fillId="2" borderId="2" xfId="0" applyNumberFormat="1" applyFont="1" applyFill="1" applyBorder="1"/>
    <xf numFmtId="2" fontId="3" fillId="2" borderId="2" xfId="0" applyNumberFormat="1" applyFont="1" applyFill="1" applyBorder="1"/>
    <xf numFmtId="1" fontId="3" fillId="2" borderId="2" xfId="0" applyNumberFormat="1" applyFont="1" applyFill="1" applyBorder="1"/>
    <xf numFmtId="15" fontId="3" fillId="0" borderId="1" xfId="1" applyNumberFormat="1" applyFont="1" applyFill="1" applyBorder="1"/>
    <xf numFmtId="15" fontId="2" fillId="0" borderId="1" xfId="1" applyNumberFormat="1" applyFont="1" applyFill="1" applyBorder="1"/>
    <xf numFmtId="168" fontId="3" fillId="2" borderId="1" xfId="0" applyNumberFormat="1" applyFont="1" applyFill="1" applyBorder="1"/>
    <xf numFmtId="43" fontId="3" fillId="0" borderId="1" xfId="0" applyNumberFormat="1" applyFont="1" applyBorder="1"/>
    <xf numFmtId="0" fontId="2" fillId="0" borderId="0" xfId="0" applyFont="1" applyAlignment="1">
      <alignment wrapText="1"/>
    </xf>
    <xf numFmtId="0" fontId="0" fillId="0" borderId="0" xfId="0" applyAlignment="1"/>
    <xf numFmtId="2" fontId="2" fillId="3" borderId="1" xfId="0" applyNumberFormat="1" applyFont="1" applyFill="1" applyBorder="1"/>
    <xf numFmtId="43" fontId="2" fillId="3" borderId="1" xfId="1" applyFont="1" applyFill="1" applyBorder="1"/>
    <xf numFmtId="43" fontId="0" fillId="0" borderId="0" xfId="1" applyFont="1"/>
    <xf numFmtId="2" fontId="3" fillId="0" borderId="1" xfId="0" applyNumberFormat="1" applyFont="1" applyFill="1" applyBorder="1"/>
    <xf numFmtId="43" fontId="3" fillId="0" borderId="0" xfId="0" applyNumberFormat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emi/Premi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o"/>
      <sheetName val="DBasDem"/>
      <sheetName val="Premi_Annui"/>
      <sheetName val="Premi_Unici"/>
      <sheetName val="Procedure"/>
      <sheetName val="Tavole"/>
      <sheetName val="DreadDisease"/>
    </sheetNames>
    <definedNames>
      <definedName name="dx"/>
      <definedName name="Mx"/>
      <definedName name="nx"/>
    </definedNames>
    <sheetDataSet>
      <sheetData sheetId="0"/>
      <sheetData sheetId="1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6"/>
  <sheetViews>
    <sheetView workbookViewId="0">
      <selection activeCell="B7" sqref="B7"/>
    </sheetView>
  </sheetViews>
  <sheetFormatPr defaultRowHeight="15" x14ac:dyDescent="0.25"/>
  <sheetData>
    <row r="4" spans="2:10" ht="43.5" customHeight="1" x14ac:dyDescent="0.35">
      <c r="B4" s="22" t="s">
        <v>52</v>
      </c>
      <c r="C4" s="2"/>
      <c r="D4" s="2"/>
      <c r="E4" s="2"/>
      <c r="F4" s="2"/>
      <c r="G4" s="2"/>
      <c r="H4" s="2"/>
      <c r="I4" s="2"/>
      <c r="J4" s="2"/>
    </row>
    <row r="6" spans="2:10" x14ac:dyDescent="0.25">
      <c r="B6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8"/>
  <sheetViews>
    <sheetView zoomScale="130" zoomScaleNormal="130" workbookViewId="0">
      <selection activeCell="C25" sqref="C25"/>
    </sheetView>
  </sheetViews>
  <sheetFormatPr defaultRowHeight="15" x14ac:dyDescent="0.25"/>
  <cols>
    <col min="4" max="4" width="13.85546875" customWidth="1"/>
    <col min="5" max="5" width="11.42578125" customWidth="1"/>
    <col min="7" max="7" width="9.28515625" bestFit="1" customWidth="1"/>
    <col min="8" max="8" width="14.5703125" bestFit="1" customWidth="1"/>
    <col min="9" max="9" width="16.5703125" customWidth="1"/>
    <col min="10" max="10" width="16" customWidth="1"/>
  </cols>
  <sheetData>
    <row r="1" spans="3:10" ht="18.75" x14ac:dyDescent="0.3">
      <c r="C1" s="3" t="s">
        <v>59</v>
      </c>
      <c r="D1" s="4"/>
      <c r="E1" s="4"/>
      <c r="F1" s="4"/>
      <c r="G1" s="4"/>
      <c r="H1" s="4"/>
      <c r="I1" s="4"/>
    </row>
    <row r="2" spans="3:10" ht="18.75" x14ac:dyDescent="0.3">
      <c r="C2" s="4" t="s">
        <v>1</v>
      </c>
      <c r="D2" s="4">
        <v>1000</v>
      </c>
      <c r="E2" s="4"/>
      <c r="F2" s="4"/>
      <c r="G2" s="5" t="s">
        <v>0</v>
      </c>
      <c r="H2" s="5" t="s">
        <v>11</v>
      </c>
      <c r="I2" s="6" t="s">
        <v>12</v>
      </c>
      <c r="J2" s="6" t="s">
        <v>53</v>
      </c>
    </row>
    <row r="3" spans="3:10" ht="18.75" x14ac:dyDescent="0.3">
      <c r="C3" s="4" t="s">
        <v>2</v>
      </c>
      <c r="D3" s="4">
        <v>5</v>
      </c>
      <c r="E3" s="4"/>
      <c r="F3" s="4"/>
      <c r="G3" s="5">
        <v>50</v>
      </c>
      <c r="H3" s="24">
        <v>34558.037483921449</v>
      </c>
      <c r="I3" s="24">
        <v>872691.32522475102</v>
      </c>
      <c r="J3" s="23">
        <v>18705.819525389055</v>
      </c>
    </row>
    <row r="4" spans="3:10" ht="18.75" x14ac:dyDescent="0.3">
      <c r="C4" s="4" t="s">
        <v>10</v>
      </c>
      <c r="D4" s="4">
        <v>50</v>
      </c>
      <c r="E4" s="4"/>
      <c r="F4" s="4"/>
      <c r="G4" s="5">
        <f>G3+1</f>
        <v>51</v>
      </c>
      <c r="H4" s="24">
        <v>33725.261378564086</v>
      </c>
      <c r="I4" s="24">
        <v>836873.67075510276</v>
      </c>
      <c r="J4" s="23">
        <v>18637.170643090558</v>
      </c>
    </row>
    <row r="5" spans="3:10" ht="18.75" x14ac:dyDescent="0.3">
      <c r="C5" s="4" t="s">
        <v>3</v>
      </c>
      <c r="D5" s="4" t="s">
        <v>9</v>
      </c>
      <c r="E5" s="4"/>
      <c r="F5" s="4"/>
      <c r="G5" s="5">
        <f t="shared" ref="G5:G8" si="0">G4+1</f>
        <v>52</v>
      </c>
      <c r="H5" s="24">
        <v>32899.715282926722</v>
      </c>
      <c r="I5" s="24">
        <v>801826.97211813822</v>
      </c>
      <c r="J5" s="23">
        <v>18566.150395880439</v>
      </c>
    </row>
    <row r="6" spans="3:10" ht="18.75" x14ac:dyDescent="0.3">
      <c r="C6" s="4" t="s">
        <v>4</v>
      </c>
      <c r="D6" s="7">
        <v>0.02</v>
      </c>
      <c r="E6" s="4"/>
      <c r="F6" s="4"/>
      <c r="G6" s="5">
        <f t="shared" si="0"/>
        <v>53</v>
      </c>
      <c r="H6" s="24">
        <v>32077.822820674974</v>
      </c>
      <c r="I6" s="24">
        <v>767538.48389773606</v>
      </c>
      <c r="J6" s="23">
        <v>18492.226987546623</v>
      </c>
    </row>
    <row r="7" spans="3:10" ht="18.75" x14ac:dyDescent="0.3">
      <c r="C7" s="4" t="s">
        <v>5</v>
      </c>
      <c r="D7" s="4" t="s">
        <v>6</v>
      </c>
      <c r="E7" s="4"/>
      <c r="F7" s="4"/>
      <c r="G7" s="5">
        <f t="shared" si="0"/>
        <v>54</v>
      </c>
      <c r="H7" s="24">
        <v>31254.575269270441</v>
      </c>
      <c r="I7" s="24">
        <v>733996.24238410697</v>
      </c>
      <c r="J7" s="23">
        <v>18414.71781011983</v>
      </c>
    </row>
    <row r="8" spans="3:10" ht="18.75" x14ac:dyDescent="0.3">
      <c r="C8" s="4"/>
      <c r="D8" s="4"/>
      <c r="E8" s="8"/>
      <c r="F8" s="4"/>
      <c r="G8" s="5">
        <f t="shared" si="0"/>
        <v>55</v>
      </c>
      <c r="H8" s="24">
        <v>30430.41579134962</v>
      </c>
      <c r="I8" s="24">
        <v>701189.201057976</v>
      </c>
      <c r="J8" s="23">
        <v>18332.893436798462</v>
      </c>
    </row>
    <row r="9" spans="3:10" ht="18.75" x14ac:dyDescent="0.3">
      <c r="C9" s="4" t="s">
        <v>8</v>
      </c>
      <c r="D9" s="32">
        <v>3.35</v>
      </c>
      <c r="E9" s="8"/>
      <c r="F9" s="4"/>
      <c r="G9" s="4"/>
      <c r="H9" s="4"/>
      <c r="I9" s="4"/>
    </row>
    <row r="10" spans="3:10" ht="18.75" x14ac:dyDescent="0.3">
      <c r="C10" s="4" t="s">
        <v>16</v>
      </c>
      <c r="D10" s="10">
        <f>D9-3</f>
        <v>0.35000000000000009</v>
      </c>
      <c r="E10" s="8"/>
      <c r="F10" s="4"/>
      <c r="G10" s="4"/>
      <c r="H10" s="4"/>
      <c r="I10" s="4"/>
    </row>
    <row r="11" spans="3:10" ht="18.75" x14ac:dyDescent="0.3">
      <c r="C11" s="4"/>
      <c r="D11" s="4"/>
      <c r="E11" s="8"/>
      <c r="F11" s="4"/>
      <c r="G11" s="4"/>
      <c r="H11" s="4"/>
      <c r="I11" s="4"/>
    </row>
    <row r="12" spans="3:10" ht="18.75" x14ac:dyDescent="0.3">
      <c r="C12" s="4" t="s">
        <v>13</v>
      </c>
      <c r="D12" s="4"/>
      <c r="E12" s="8"/>
      <c r="F12" s="4"/>
      <c r="G12" s="4"/>
      <c r="H12" s="4"/>
      <c r="I12" s="4"/>
    </row>
    <row r="13" spans="3:10" ht="18.75" x14ac:dyDescent="0.3">
      <c r="C13" s="4"/>
      <c r="D13" s="9"/>
      <c r="E13" s="9"/>
      <c r="F13" s="4"/>
      <c r="G13" s="4"/>
      <c r="H13" s="4"/>
      <c r="I13" s="4"/>
    </row>
    <row r="14" spans="3:10" ht="18.75" x14ac:dyDescent="0.3">
      <c r="C14" s="4" t="s">
        <v>14</v>
      </c>
      <c r="D14" s="26">
        <f>D2*(H8+J6-J8)/H6</f>
        <v>953.61052129703489</v>
      </c>
      <c r="E14" s="9"/>
      <c r="F14" s="4"/>
      <c r="G14" s="4"/>
      <c r="H14" s="4"/>
      <c r="I14" s="4"/>
    </row>
    <row r="15" spans="3:10" ht="18.75" x14ac:dyDescent="0.3">
      <c r="C15" s="4" t="s">
        <v>15</v>
      </c>
      <c r="D15" s="26">
        <f>D2*(H8+J7-J8)/H7</f>
        <v>976.24875403988244</v>
      </c>
      <c r="E15" s="9"/>
      <c r="F15" s="4"/>
      <c r="G15" s="4"/>
      <c r="H15" s="4"/>
      <c r="I15" s="4"/>
    </row>
    <row r="16" spans="3:10" ht="18.75" x14ac:dyDescent="0.3">
      <c r="C16" s="4"/>
      <c r="D16" s="9"/>
      <c r="E16" s="9"/>
      <c r="F16" s="4"/>
      <c r="G16" s="4"/>
      <c r="H16" s="4"/>
      <c r="I16" s="4"/>
    </row>
    <row r="17" spans="3:9" ht="18.75" x14ac:dyDescent="0.3">
      <c r="C17" s="10" t="s">
        <v>56</v>
      </c>
      <c r="D17" s="45">
        <f>(1-D10)*D14+D10*D15</f>
        <v>961.53390275703157</v>
      </c>
      <c r="E17" s="9"/>
      <c r="F17" s="4"/>
      <c r="G17" s="4"/>
      <c r="H17" s="4"/>
      <c r="I17" s="4"/>
    </row>
    <row r="18" spans="3:9" ht="18.75" x14ac:dyDescent="0.3">
      <c r="C18" s="16" t="s">
        <v>40</v>
      </c>
      <c r="D18" s="1"/>
      <c r="E1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22"/>
  <sheetViews>
    <sheetView zoomScale="110" zoomScaleNormal="110" workbookViewId="0">
      <selection activeCell="E19" sqref="E19"/>
    </sheetView>
  </sheetViews>
  <sheetFormatPr defaultRowHeight="15" x14ac:dyDescent="0.25"/>
  <cols>
    <col min="3" max="3" width="17.5703125" customWidth="1"/>
    <col min="4" max="4" width="15.7109375" customWidth="1"/>
    <col min="5" max="5" width="11.42578125" customWidth="1"/>
    <col min="6" max="6" width="9.85546875" bestFit="1" customWidth="1"/>
    <col min="7" max="7" width="9.28515625" bestFit="1" customWidth="1"/>
    <col min="8" max="8" width="14.28515625" customWidth="1"/>
    <col min="9" max="9" width="18.28515625" customWidth="1"/>
    <col min="10" max="10" width="14.140625" customWidth="1"/>
    <col min="12" max="12" width="10.5703125" bestFit="1" customWidth="1"/>
    <col min="13" max="13" width="11.7109375" bestFit="1" customWidth="1"/>
    <col min="14" max="14" width="10.5703125" bestFit="1" customWidth="1"/>
  </cols>
  <sheetData>
    <row r="1" spans="3:14" ht="18.75" x14ac:dyDescent="0.3">
      <c r="C1" s="3" t="s">
        <v>59</v>
      </c>
      <c r="D1" s="4"/>
      <c r="E1" s="4"/>
      <c r="F1" s="4"/>
      <c r="G1" s="4"/>
      <c r="H1" s="4"/>
      <c r="I1" s="4"/>
    </row>
    <row r="2" spans="3:14" ht="18.75" x14ac:dyDescent="0.3">
      <c r="C2" s="4" t="s">
        <v>1</v>
      </c>
      <c r="D2" s="4">
        <v>1000</v>
      </c>
      <c r="E2" s="4"/>
      <c r="F2" s="4"/>
      <c r="G2" s="5" t="s">
        <v>0</v>
      </c>
      <c r="H2" s="5" t="s">
        <v>11</v>
      </c>
      <c r="I2" s="6" t="s">
        <v>12</v>
      </c>
      <c r="J2" s="6" t="s">
        <v>53</v>
      </c>
    </row>
    <row r="3" spans="3:14" ht="18.75" x14ac:dyDescent="0.3">
      <c r="C3" s="4" t="s">
        <v>2</v>
      </c>
      <c r="D3" s="4">
        <v>5</v>
      </c>
      <c r="E3" s="4"/>
      <c r="F3" s="4"/>
      <c r="G3" s="5">
        <v>50</v>
      </c>
      <c r="H3" s="24">
        <v>34558.037483921449</v>
      </c>
      <c r="I3" s="24">
        <v>872691.32522475102</v>
      </c>
      <c r="J3" s="23">
        <v>18705.819525389055</v>
      </c>
      <c r="L3" s="47">
        <f>[1]!dx(1,G3,2%)</f>
        <v>35817.654469648238</v>
      </c>
      <c r="M3" s="47">
        <f>[1]!nx(1,G3,2%)</f>
        <v>872691.32522475102</v>
      </c>
      <c r="N3" s="47">
        <f>[1]!Mx(1,G3,2%)</f>
        <v>18705.819525389055</v>
      </c>
    </row>
    <row r="4" spans="3:14" ht="18.75" x14ac:dyDescent="0.3">
      <c r="C4" s="4" t="s">
        <v>21</v>
      </c>
      <c r="D4" s="4">
        <v>5</v>
      </c>
      <c r="E4" s="4"/>
      <c r="F4" s="4"/>
      <c r="G4" s="5">
        <f>G3+1</f>
        <v>51</v>
      </c>
      <c r="H4" s="24">
        <v>33725.261378564086</v>
      </c>
      <c r="I4" s="24">
        <v>836873.67075510276</v>
      </c>
      <c r="J4" s="23">
        <v>18637.170643090558</v>
      </c>
      <c r="L4" s="47">
        <f>[1]!dx(1,G4,2%)</f>
        <v>35046.69863696448</v>
      </c>
      <c r="M4" s="47">
        <f>[1]!nx(1,G4,2%)</f>
        <v>836873.67075510276</v>
      </c>
      <c r="N4" s="47">
        <f>[1]!Mx(1,G4,2%)</f>
        <v>18637.170643090558</v>
      </c>
    </row>
    <row r="5" spans="3:14" ht="18.75" x14ac:dyDescent="0.3">
      <c r="C5" s="4" t="s">
        <v>10</v>
      </c>
      <c r="D5" s="4">
        <v>50</v>
      </c>
      <c r="E5" s="4"/>
      <c r="F5" s="4"/>
      <c r="G5" s="5">
        <f t="shared" ref="G5:G8" si="0">G4+1</f>
        <v>52</v>
      </c>
      <c r="H5" s="24">
        <v>32899.715282926722</v>
      </c>
      <c r="I5" s="24">
        <v>801826.97211813822</v>
      </c>
      <c r="J5" s="23">
        <v>18566.150395880439</v>
      </c>
      <c r="L5" s="47">
        <f>[1]!dx(1,G5,2%)</f>
        <v>34288.488220402112</v>
      </c>
      <c r="M5" s="47">
        <f>[1]!nx(1,G5,2%)</f>
        <v>801826.97211813822</v>
      </c>
      <c r="N5" s="47">
        <f>[1]!Mx(1,G5,2%)</f>
        <v>18566.150395880439</v>
      </c>
    </row>
    <row r="6" spans="3:14" ht="18.75" x14ac:dyDescent="0.3">
      <c r="C6" s="4" t="s">
        <v>3</v>
      </c>
      <c r="D6" s="4" t="s">
        <v>18</v>
      </c>
      <c r="E6" s="4"/>
      <c r="F6" s="4"/>
      <c r="G6" s="5">
        <f t="shared" si="0"/>
        <v>53</v>
      </c>
      <c r="H6" s="24">
        <v>32077.822820674974</v>
      </c>
      <c r="I6" s="24">
        <v>767538.48389773606</v>
      </c>
      <c r="J6" s="23">
        <v>18492.226987546623</v>
      </c>
      <c r="L6" s="47">
        <f>[1]!dx(1,G6,2%)</f>
        <v>33542.241513629044</v>
      </c>
      <c r="M6" s="47">
        <f>[1]!nx(1,G6,2%)</f>
        <v>767538.48389773606</v>
      </c>
      <c r="N6" s="47">
        <f>[1]!Mx(1,G6,2%)</f>
        <v>18492.226987546623</v>
      </c>
    </row>
    <row r="7" spans="3:14" ht="18.75" x14ac:dyDescent="0.3">
      <c r="C7" s="4" t="s">
        <v>4</v>
      </c>
      <c r="D7" s="7">
        <v>0.02</v>
      </c>
      <c r="E7" s="4"/>
      <c r="F7" s="4"/>
      <c r="G7" s="5">
        <f t="shared" si="0"/>
        <v>54</v>
      </c>
      <c r="H7" s="24">
        <v>31254.575269270441</v>
      </c>
      <c r="I7" s="24">
        <v>733996.24238410697</v>
      </c>
      <c r="J7" s="23">
        <v>18414.71781011983</v>
      </c>
      <c r="L7" s="47">
        <f>[1]!dx(1,G7,2%)</f>
        <v>32807.04132613109</v>
      </c>
      <c r="M7" s="47">
        <f>[1]!nx(1,G7,2%)</f>
        <v>733996.24238410697</v>
      </c>
      <c r="N7" s="47">
        <f>[1]!Mx(1,G7,2%)</f>
        <v>18414.71781011983</v>
      </c>
    </row>
    <row r="8" spans="3:14" ht="18.75" x14ac:dyDescent="0.3">
      <c r="C8" s="4" t="s">
        <v>5</v>
      </c>
      <c r="D8" s="4" t="s">
        <v>6</v>
      </c>
      <c r="E8" s="8"/>
      <c r="F8" s="4"/>
      <c r="G8" s="5">
        <f t="shared" si="0"/>
        <v>55</v>
      </c>
      <c r="H8" s="24">
        <v>30430.41579134962</v>
      </c>
      <c r="I8" s="24">
        <v>701189.201057976</v>
      </c>
      <c r="J8" s="23">
        <v>18332.893436798462</v>
      </c>
      <c r="L8" s="47">
        <f>[1]!dx(1,G8,2%)</f>
        <v>32081.941632689504</v>
      </c>
      <c r="M8" s="47">
        <f>[1]!nx(1,G8,2%)</f>
        <v>701189.201057976</v>
      </c>
      <c r="N8" s="47">
        <f>[1]!Mx(1,G8,2%)</f>
        <v>18332.893436798462</v>
      </c>
    </row>
    <row r="9" spans="3:14" ht="18.75" x14ac:dyDescent="0.3">
      <c r="C9" s="4"/>
      <c r="D9" s="4"/>
      <c r="E9" s="8"/>
      <c r="F9" s="4"/>
      <c r="G9" s="12"/>
      <c r="H9" s="13"/>
      <c r="I9" s="13"/>
    </row>
    <row r="10" spans="3:14" ht="18.75" x14ac:dyDescent="0.3">
      <c r="C10" s="4" t="s">
        <v>19</v>
      </c>
      <c r="D10" s="4"/>
      <c r="E10" s="8"/>
      <c r="F10" s="4"/>
      <c r="G10" s="12"/>
      <c r="H10" s="13"/>
      <c r="I10" s="13"/>
    </row>
    <row r="11" spans="3:14" ht="18.75" x14ac:dyDescent="0.3">
      <c r="C11" s="4" t="s">
        <v>20</v>
      </c>
      <c r="D11" s="25">
        <f>D2*(H8+J3-J8)/(I3-I8)</f>
        <v>179.60909831056028</v>
      </c>
      <c r="E11" s="8"/>
      <c r="F11" s="4"/>
      <c r="G11" s="12"/>
      <c r="H11" s="13"/>
      <c r="I11" s="13"/>
    </row>
    <row r="12" spans="3:14" ht="18.75" x14ac:dyDescent="0.3">
      <c r="C12" s="4"/>
      <c r="D12" s="4"/>
      <c r="E12" s="8"/>
      <c r="F12" s="4"/>
      <c r="G12" s="4"/>
      <c r="H12" s="4"/>
      <c r="I12" s="4"/>
    </row>
    <row r="13" spans="3:14" ht="18.75" x14ac:dyDescent="0.3">
      <c r="C13" s="4" t="s">
        <v>8</v>
      </c>
      <c r="D13" s="32">
        <v>3.35</v>
      </c>
      <c r="E13" s="8"/>
      <c r="F13" s="4"/>
      <c r="G13" s="4"/>
      <c r="H13" s="4"/>
      <c r="I13" s="4"/>
    </row>
    <row r="14" spans="3:14" ht="18.75" x14ac:dyDescent="0.3">
      <c r="C14" s="4" t="s">
        <v>16</v>
      </c>
      <c r="D14" s="10">
        <v>0.35</v>
      </c>
      <c r="E14" s="8"/>
      <c r="F14" s="4"/>
      <c r="G14" s="4"/>
      <c r="H14" s="4"/>
      <c r="I14" s="4"/>
    </row>
    <row r="15" spans="3:14" ht="18.75" x14ac:dyDescent="0.3">
      <c r="C15" s="4"/>
      <c r="D15" s="4"/>
      <c r="E15" s="8"/>
      <c r="F15" s="4"/>
      <c r="G15" s="4"/>
      <c r="H15" s="4"/>
      <c r="I15" s="4"/>
    </row>
    <row r="16" spans="3:14" ht="18.75" x14ac:dyDescent="0.3">
      <c r="C16" s="4" t="s">
        <v>13</v>
      </c>
      <c r="D16" s="9"/>
      <c r="E16" s="9"/>
      <c r="F16" s="4"/>
      <c r="G16" s="4"/>
      <c r="H16" s="4"/>
      <c r="I16" s="4"/>
    </row>
    <row r="17" spans="3:9" ht="18.75" x14ac:dyDescent="0.3">
      <c r="C17" s="4" t="s">
        <v>14</v>
      </c>
      <c r="D17" s="23">
        <f>$D$2*(H8+J6-J8)/H6-D11*(I6-I8)/H6</f>
        <v>582.10978288903834</v>
      </c>
      <c r="E17" s="9"/>
      <c r="F17" s="4"/>
      <c r="G17" s="4"/>
      <c r="H17" s="4"/>
      <c r="I17" s="4"/>
    </row>
    <row r="18" spans="3:9" ht="18.75" x14ac:dyDescent="0.3">
      <c r="C18" s="4" t="s">
        <v>15</v>
      </c>
      <c r="D18" s="23">
        <f>$D$2*(H8+J7-J8)/H7-D11*(I7-I8)/H7</f>
        <v>787.71817699450708</v>
      </c>
      <c r="E18" s="9"/>
      <c r="F18" s="4"/>
      <c r="G18" s="4"/>
      <c r="H18" s="4"/>
      <c r="I18" s="4"/>
    </row>
    <row r="19" spans="3:9" ht="18.75" x14ac:dyDescent="0.3">
      <c r="C19" s="4" t="s">
        <v>17</v>
      </c>
      <c r="D19" s="23">
        <f>(1-D14)*D11</f>
        <v>116.74591390186418</v>
      </c>
      <c r="E19" s="9"/>
      <c r="F19" s="4"/>
      <c r="G19" s="4"/>
      <c r="H19" s="4"/>
      <c r="I19" s="4"/>
    </row>
    <row r="20" spans="3:9" ht="18.75" x14ac:dyDescent="0.3">
      <c r="C20" s="4"/>
      <c r="D20" s="9"/>
      <c r="E20" s="9"/>
      <c r="F20" s="4"/>
      <c r="G20" s="4"/>
      <c r="H20" s="4"/>
      <c r="I20" s="4"/>
    </row>
    <row r="21" spans="3:9" ht="18.75" x14ac:dyDescent="0.3">
      <c r="C21" s="10" t="s">
        <v>56</v>
      </c>
      <c r="D21" s="46">
        <f>(1-D14)*D17+D14*D18+D19</f>
        <v>770.81863472781652</v>
      </c>
      <c r="E21" s="1"/>
    </row>
    <row r="22" spans="3:9" ht="18.75" x14ac:dyDescent="0.3">
      <c r="C22" s="16" t="s">
        <v>39</v>
      </c>
      <c r="D22" s="1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J30"/>
  <sheetViews>
    <sheetView topLeftCell="A6" zoomScale="110" zoomScaleNormal="110" workbookViewId="0">
      <selection activeCell="D26" sqref="D26"/>
    </sheetView>
  </sheetViews>
  <sheetFormatPr defaultRowHeight="15" x14ac:dyDescent="0.25"/>
  <cols>
    <col min="3" max="3" width="17.5703125" customWidth="1"/>
    <col min="4" max="4" width="15.7109375" customWidth="1"/>
    <col min="5" max="5" width="11.42578125" customWidth="1"/>
    <col min="6" max="6" width="19.5703125" customWidth="1"/>
    <col min="7" max="7" width="13.28515625" customWidth="1"/>
    <col min="8" max="8" width="15.7109375" customWidth="1"/>
    <col min="9" max="9" width="17.5703125" customWidth="1"/>
    <col min="10" max="10" width="14.85546875" customWidth="1"/>
  </cols>
  <sheetData>
    <row r="1" spans="3:10" ht="18.75" x14ac:dyDescent="0.3">
      <c r="C1" s="3" t="s">
        <v>59</v>
      </c>
      <c r="D1" s="4"/>
      <c r="E1" s="4"/>
      <c r="F1" s="4"/>
      <c r="G1" s="4"/>
      <c r="H1" s="4"/>
      <c r="I1" s="4"/>
    </row>
    <row r="2" spans="3:10" ht="18.75" x14ac:dyDescent="0.3">
      <c r="C2" s="4" t="s">
        <v>1</v>
      </c>
      <c r="D2" s="4">
        <v>1000</v>
      </c>
      <c r="E2" s="4"/>
      <c r="F2" s="4"/>
      <c r="G2" s="5" t="s">
        <v>0</v>
      </c>
      <c r="H2" s="5" t="s">
        <v>11</v>
      </c>
      <c r="I2" s="6" t="s">
        <v>12</v>
      </c>
      <c r="J2" s="6" t="s">
        <v>53</v>
      </c>
    </row>
    <row r="3" spans="3:10" ht="18.75" x14ac:dyDescent="0.3">
      <c r="C3" s="4" t="s">
        <v>2</v>
      </c>
      <c r="D3" s="4">
        <v>5</v>
      </c>
      <c r="E3" s="4"/>
      <c r="F3" s="4"/>
      <c r="G3" s="5">
        <v>50</v>
      </c>
      <c r="H3" s="24">
        <v>34558.037483921449</v>
      </c>
      <c r="I3" s="24">
        <v>872691.32522475102</v>
      </c>
      <c r="J3" s="23">
        <v>18705.819525389055</v>
      </c>
    </row>
    <row r="4" spans="3:10" ht="18.75" x14ac:dyDescent="0.3">
      <c r="C4" s="4" t="s">
        <v>21</v>
      </c>
      <c r="D4" s="4">
        <v>5</v>
      </c>
      <c r="E4" s="4"/>
      <c r="F4" s="4"/>
      <c r="G4" s="5">
        <f>G3+1</f>
        <v>51</v>
      </c>
      <c r="H4" s="24">
        <v>33725.261378564086</v>
      </c>
      <c r="I4" s="24">
        <v>836873.67075510276</v>
      </c>
      <c r="J4" s="23">
        <v>18637.170643090558</v>
      </c>
    </row>
    <row r="5" spans="3:10" ht="18.75" x14ac:dyDescent="0.3">
      <c r="C5" s="4" t="s">
        <v>10</v>
      </c>
      <c r="D5" s="4">
        <v>50</v>
      </c>
      <c r="E5" s="4"/>
      <c r="F5" s="4"/>
      <c r="G5" s="5">
        <f t="shared" ref="G5:G8" si="0">G4+1</f>
        <v>52</v>
      </c>
      <c r="H5" s="24">
        <v>32899.715282926722</v>
      </c>
      <c r="I5" s="24">
        <v>801826.97211813822</v>
      </c>
      <c r="J5" s="23">
        <v>18566.150395880439</v>
      </c>
    </row>
    <row r="6" spans="3:10" ht="18.75" x14ac:dyDescent="0.3">
      <c r="C6" s="4" t="s">
        <v>3</v>
      </c>
      <c r="D6" s="4" t="s">
        <v>50</v>
      </c>
      <c r="E6" s="4"/>
      <c r="F6" s="4"/>
      <c r="G6" s="5">
        <f t="shared" si="0"/>
        <v>53</v>
      </c>
      <c r="H6" s="24">
        <v>32077.822820674974</v>
      </c>
      <c r="I6" s="24">
        <v>767538.48389773606</v>
      </c>
      <c r="J6" s="23">
        <v>18492.226987546623</v>
      </c>
    </row>
    <row r="7" spans="3:10" ht="18.75" x14ac:dyDescent="0.3">
      <c r="C7" s="4" t="s">
        <v>4</v>
      </c>
      <c r="D7" s="7">
        <v>0.02</v>
      </c>
      <c r="E7" s="4"/>
      <c r="F7" s="4"/>
      <c r="G7" s="5">
        <f t="shared" si="0"/>
        <v>54</v>
      </c>
      <c r="H7" s="24">
        <v>31254.575269270441</v>
      </c>
      <c r="I7" s="24">
        <v>733996.24238410697</v>
      </c>
      <c r="J7" s="23">
        <v>18414.71781011983</v>
      </c>
    </row>
    <row r="8" spans="3:10" ht="18.75" x14ac:dyDescent="0.3">
      <c r="C8" s="4" t="s">
        <v>5</v>
      </c>
      <c r="D8" s="4" t="s">
        <v>6</v>
      </c>
      <c r="E8" s="8"/>
      <c r="F8" s="4"/>
      <c r="G8" s="5">
        <f t="shared" si="0"/>
        <v>55</v>
      </c>
      <c r="H8" s="24">
        <v>30430.41579134962</v>
      </c>
      <c r="I8" s="24">
        <v>701189.201057976</v>
      </c>
      <c r="J8" s="23">
        <v>18332.893436798462</v>
      </c>
    </row>
    <row r="9" spans="3:10" ht="18.75" x14ac:dyDescent="0.3">
      <c r="C9" s="4"/>
      <c r="D9" s="4"/>
      <c r="E9" s="8"/>
      <c r="F9" s="4"/>
      <c r="G9" s="12"/>
      <c r="H9" s="13"/>
      <c r="I9" s="13"/>
    </row>
    <row r="10" spans="3:10" ht="18.75" x14ac:dyDescent="0.3">
      <c r="C10" s="4" t="s">
        <v>24</v>
      </c>
      <c r="D10" s="4"/>
      <c r="E10" s="8"/>
      <c r="F10" s="4"/>
      <c r="G10" s="12"/>
      <c r="H10" s="13"/>
      <c r="I10" s="13"/>
    </row>
    <row r="11" spans="3:10" ht="18.75" x14ac:dyDescent="0.3">
      <c r="C11" s="4" t="s">
        <v>37</v>
      </c>
      <c r="D11" s="42">
        <f>(I3-I8)/H3</f>
        <v>4.9627275347035695</v>
      </c>
      <c r="E11" s="8"/>
      <c r="F11" s="4"/>
      <c r="G11" s="12"/>
      <c r="H11" s="13"/>
      <c r="I11" s="13"/>
    </row>
    <row r="12" spans="3:10" ht="18.75" x14ac:dyDescent="0.3">
      <c r="C12" s="4" t="s">
        <v>20</v>
      </c>
      <c r="D12" s="29">
        <f>D2*(H8+J3-J8)/(I3-I8)</f>
        <v>179.60909831056028</v>
      </c>
      <c r="E12" s="8" t="s">
        <v>28</v>
      </c>
      <c r="F12" s="4"/>
      <c r="G12" s="12"/>
      <c r="H12" s="13"/>
      <c r="I12" s="13"/>
    </row>
    <row r="13" spans="3:10" ht="18.75" x14ac:dyDescent="0.3">
      <c r="C13" s="4" t="s">
        <v>23</v>
      </c>
      <c r="D13" s="30">
        <v>2</v>
      </c>
      <c r="E13" s="8"/>
      <c r="F13" s="4"/>
      <c r="G13" s="12"/>
      <c r="H13" s="13"/>
      <c r="I13" s="13"/>
    </row>
    <row r="14" spans="3:10" ht="18.75" x14ac:dyDescent="0.3">
      <c r="C14" s="4" t="s">
        <v>38</v>
      </c>
      <c r="D14" s="31">
        <f>D11-(D13-1)/(2*D13)</f>
        <v>4.7127275347035695</v>
      </c>
      <c r="E14" s="8"/>
      <c r="F14" s="4"/>
      <c r="G14" s="12"/>
      <c r="H14" s="13"/>
      <c r="I14" s="13"/>
    </row>
    <row r="15" spans="3:10" ht="18.75" x14ac:dyDescent="0.3">
      <c r="C15" s="4" t="s">
        <v>22</v>
      </c>
      <c r="D15" s="29">
        <f>D12*D11/D14</f>
        <v>189.13697240194131</v>
      </c>
      <c r="E15" s="8" t="s">
        <v>27</v>
      </c>
      <c r="F15" s="4"/>
      <c r="G15" s="12"/>
      <c r="H15" s="13"/>
      <c r="I15" s="13"/>
    </row>
    <row r="16" spans="3:10" ht="18.75" x14ac:dyDescent="0.3">
      <c r="C16" s="4" t="s">
        <v>25</v>
      </c>
      <c r="D16" s="29">
        <f>D15/2</f>
        <v>94.568486200970653</v>
      </c>
      <c r="E16" s="8" t="s">
        <v>26</v>
      </c>
      <c r="F16" s="4"/>
      <c r="G16" s="12"/>
      <c r="H16" s="13"/>
      <c r="I16" s="13"/>
    </row>
    <row r="17" spans="3:9" ht="18.75" x14ac:dyDescent="0.3">
      <c r="C17" s="4"/>
      <c r="D17" s="17"/>
      <c r="E17" s="8"/>
      <c r="F17" s="4"/>
      <c r="G17" s="12"/>
      <c r="H17" s="13"/>
      <c r="I17" s="13"/>
    </row>
    <row r="18" spans="3:9" ht="18.75" x14ac:dyDescent="0.3">
      <c r="C18" s="4" t="s">
        <v>8</v>
      </c>
      <c r="D18" s="32">
        <v>3.35</v>
      </c>
      <c r="E18" s="8"/>
      <c r="F18" s="4"/>
      <c r="G18" s="4"/>
      <c r="H18" s="4"/>
      <c r="I18" s="4"/>
    </row>
    <row r="19" spans="3:9" ht="18.75" x14ac:dyDescent="0.3">
      <c r="C19" s="4" t="s">
        <v>16</v>
      </c>
      <c r="D19" s="10">
        <f>D18-3</f>
        <v>0.35000000000000009</v>
      </c>
      <c r="E19" s="14" t="s">
        <v>55</v>
      </c>
      <c r="F19" s="4"/>
      <c r="G19" s="4"/>
      <c r="H19" s="4"/>
      <c r="I19" s="4"/>
    </row>
    <row r="20" spans="3:9" ht="18.75" x14ac:dyDescent="0.3">
      <c r="C20" s="4" t="s">
        <v>34</v>
      </c>
      <c r="D20" s="28">
        <v>0</v>
      </c>
      <c r="E20" s="14"/>
      <c r="F20" s="4"/>
      <c r="G20" s="4"/>
      <c r="H20" s="4"/>
      <c r="I20" s="4"/>
    </row>
    <row r="21" spans="3:9" ht="18.75" x14ac:dyDescent="0.3">
      <c r="C21" s="4" t="s">
        <v>31</v>
      </c>
      <c r="D21" s="33">
        <f>D19/D13</f>
        <v>0.17500000000000004</v>
      </c>
      <c r="E21" s="8"/>
      <c r="F21" s="15"/>
      <c r="G21" s="4"/>
      <c r="H21" s="4"/>
      <c r="I21" s="4"/>
    </row>
    <row r="22" spans="3:9" ht="18.75" x14ac:dyDescent="0.3">
      <c r="C22" s="4" t="s">
        <v>32</v>
      </c>
      <c r="D22" s="34">
        <f>1-D21</f>
        <v>0.82499999999999996</v>
      </c>
      <c r="E22" s="8"/>
      <c r="F22" s="4"/>
      <c r="G22" s="4"/>
      <c r="H22" s="4"/>
      <c r="I22" s="4"/>
    </row>
    <row r="23" spans="3:9" ht="18.75" x14ac:dyDescent="0.3">
      <c r="C23" s="4"/>
      <c r="D23" s="4"/>
      <c r="E23" s="8"/>
      <c r="F23" s="4"/>
      <c r="G23" s="4"/>
      <c r="H23" s="4"/>
      <c r="I23" s="4"/>
    </row>
    <row r="24" spans="3:9" ht="18.75" x14ac:dyDescent="0.3">
      <c r="C24" s="4" t="s">
        <v>13</v>
      </c>
      <c r="D24" s="9"/>
      <c r="E24" s="9"/>
      <c r="F24" s="4" t="s">
        <v>13</v>
      </c>
      <c r="G24" s="4"/>
      <c r="H24" s="4"/>
      <c r="I24" s="4"/>
    </row>
    <row r="25" spans="3:9" ht="18.75" x14ac:dyDescent="0.3">
      <c r="C25" s="4" t="s">
        <v>29</v>
      </c>
      <c r="D25" s="23">
        <f>D2*(H8+J6-J8)/H6-D15*((I6-I8)/H6-(D13-1)/(2*D13))</f>
        <v>609.68671553754325</v>
      </c>
      <c r="E25" s="9"/>
      <c r="F25" s="4" t="s">
        <v>29</v>
      </c>
      <c r="G25" s="42">
        <f>D25</f>
        <v>609.68671553754325</v>
      </c>
      <c r="H25" s="4"/>
      <c r="I25" s="4"/>
    </row>
    <row r="26" spans="3:9" ht="18.75" x14ac:dyDescent="0.3">
      <c r="C26" s="4" t="s">
        <v>30</v>
      </c>
      <c r="D26" s="23">
        <f>D2*(H8+J7-J8)/H7-D15*((I7-I8)/H7-(D13-1)/(2*D13))</f>
        <v>825.00128085783763</v>
      </c>
      <c r="E26" s="9"/>
      <c r="F26" s="4" t="s">
        <v>30</v>
      </c>
      <c r="G26" s="42">
        <f>D26</f>
        <v>825.00128085783763</v>
      </c>
      <c r="H26" s="4"/>
      <c r="I26" s="4"/>
    </row>
    <row r="27" spans="3:9" ht="56.25" x14ac:dyDescent="0.3">
      <c r="C27" s="21" t="s">
        <v>60</v>
      </c>
      <c r="D27" s="25">
        <f>(1-D19)*D16</f>
        <v>61.469516030630913</v>
      </c>
      <c r="E27" s="9"/>
      <c r="F27" s="3" t="s">
        <v>33</v>
      </c>
      <c r="G27" s="27">
        <f>(D13-D20-1)*D16</f>
        <v>94.568486200970653</v>
      </c>
      <c r="H27" s="4"/>
      <c r="I27" s="4"/>
    </row>
    <row r="28" spans="3:9" ht="18.75" x14ac:dyDescent="0.3">
      <c r="C28" s="4"/>
      <c r="D28" s="9"/>
      <c r="E28" s="9"/>
      <c r="F28" s="4"/>
      <c r="G28" s="4"/>
      <c r="H28" s="4"/>
      <c r="I28" s="4"/>
    </row>
    <row r="29" spans="3:9" ht="18.75" x14ac:dyDescent="0.3">
      <c r="C29" s="10" t="s">
        <v>56</v>
      </c>
      <c r="D29" s="11">
        <f>D22*D25+D21*D26+D27</f>
        <v>708.83628049922561</v>
      </c>
      <c r="E29" s="9"/>
      <c r="F29" s="10" t="s">
        <v>56</v>
      </c>
      <c r="G29" s="48">
        <f>D22*(G25+D15)+D21*G26-G27</f>
        <v>708.83628049922572</v>
      </c>
    </row>
    <row r="30" spans="3:9" ht="18.75" x14ac:dyDescent="0.3">
      <c r="C30" s="16" t="s">
        <v>35</v>
      </c>
      <c r="D30" s="1"/>
      <c r="F30" s="16" t="s">
        <v>36</v>
      </c>
    </row>
  </sheetData>
  <pageMargins left="0.7" right="0.7" top="0.75" bottom="0.75" header="0.3" footer="0.3"/>
  <pageSetup paperSize="9" scale="8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K37"/>
  <sheetViews>
    <sheetView tabSelected="1" topLeftCell="A8" zoomScale="90" zoomScaleNormal="90" workbookViewId="0">
      <selection activeCell="G34" sqref="G34"/>
    </sheetView>
  </sheetViews>
  <sheetFormatPr defaultRowHeight="15" x14ac:dyDescent="0.25"/>
  <cols>
    <col min="3" max="3" width="17.5703125" customWidth="1"/>
    <col min="4" max="5" width="15.7109375" customWidth="1"/>
    <col min="6" max="6" width="24.28515625" customWidth="1"/>
    <col min="7" max="7" width="13" customWidth="1"/>
    <col min="8" max="8" width="18.140625" customWidth="1"/>
    <col min="9" max="9" width="17.5703125" customWidth="1"/>
    <col min="10" max="10" width="14.42578125" customWidth="1"/>
    <col min="11" max="11" width="12" bestFit="1" customWidth="1"/>
  </cols>
  <sheetData>
    <row r="1" spans="3:11" ht="63.75" customHeight="1" x14ac:dyDescent="0.3">
      <c r="C1" s="43" t="s">
        <v>57</v>
      </c>
      <c r="D1" s="44"/>
      <c r="E1" s="44"/>
      <c r="F1" s="44"/>
      <c r="G1" s="44"/>
      <c r="H1" s="44"/>
      <c r="I1" s="44"/>
    </row>
    <row r="2" spans="3:11" ht="18.75" x14ac:dyDescent="0.3">
      <c r="C2" s="4" t="s">
        <v>1</v>
      </c>
      <c r="D2" s="4">
        <v>1000</v>
      </c>
      <c r="E2" s="4"/>
      <c r="F2" s="4"/>
      <c r="G2" s="5" t="s">
        <v>0</v>
      </c>
      <c r="H2" s="5" t="s">
        <v>11</v>
      </c>
      <c r="I2" s="6" t="s">
        <v>12</v>
      </c>
      <c r="J2" s="6" t="s">
        <v>53</v>
      </c>
    </row>
    <row r="3" spans="3:11" ht="18.75" x14ac:dyDescent="0.3">
      <c r="C3" s="4" t="s">
        <v>2</v>
      </c>
      <c r="D3" s="4">
        <v>5</v>
      </c>
      <c r="E3" s="4"/>
      <c r="F3" s="4"/>
      <c r="G3" s="5">
        <v>50</v>
      </c>
      <c r="H3" s="24">
        <v>34558.037483921449</v>
      </c>
      <c r="I3" s="24">
        <v>872691.32522475102</v>
      </c>
      <c r="J3" s="23">
        <v>18705.819525389055</v>
      </c>
    </row>
    <row r="4" spans="3:11" ht="18.75" x14ac:dyDescent="0.3">
      <c r="C4" s="4" t="s">
        <v>21</v>
      </c>
      <c r="D4" s="4">
        <v>5</v>
      </c>
      <c r="E4" s="4"/>
      <c r="F4" s="4"/>
      <c r="G4" s="5">
        <f>G3+1</f>
        <v>51</v>
      </c>
      <c r="H4" s="24">
        <v>33725.261378564086</v>
      </c>
      <c r="I4" s="24">
        <v>836873.67075510276</v>
      </c>
      <c r="J4" s="23">
        <v>18637.170643090558</v>
      </c>
    </row>
    <row r="5" spans="3:11" ht="18.75" x14ac:dyDescent="0.3">
      <c r="C5" s="4" t="s">
        <v>10</v>
      </c>
      <c r="D5" s="4">
        <v>50</v>
      </c>
      <c r="E5" s="4"/>
      <c r="F5" s="4"/>
      <c r="G5" s="5">
        <f t="shared" ref="G5:G8" si="0">G4+1</f>
        <v>52</v>
      </c>
      <c r="H5" s="24">
        <v>32899.715282926722</v>
      </c>
      <c r="I5" s="24">
        <v>801826.97211813822</v>
      </c>
      <c r="J5" s="23">
        <v>18566.150395880439</v>
      </c>
    </row>
    <row r="6" spans="3:11" ht="18.75" x14ac:dyDescent="0.3">
      <c r="C6" s="4" t="s">
        <v>3</v>
      </c>
      <c r="D6" s="4" t="s">
        <v>50</v>
      </c>
      <c r="E6" s="4"/>
      <c r="F6" s="4"/>
      <c r="G6" s="5">
        <f t="shared" si="0"/>
        <v>53</v>
      </c>
      <c r="H6" s="24">
        <v>32077.822820674974</v>
      </c>
      <c r="I6" s="24">
        <v>767538.48389773606</v>
      </c>
      <c r="J6" s="23">
        <v>18492.226987546623</v>
      </c>
    </row>
    <row r="7" spans="3:11" ht="18.75" x14ac:dyDescent="0.3">
      <c r="C7" s="4" t="s">
        <v>4</v>
      </c>
      <c r="D7" s="7">
        <v>0.02</v>
      </c>
      <c r="E7" s="4"/>
      <c r="F7" s="4"/>
      <c r="G7" s="5">
        <f t="shared" si="0"/>
        <v>54</v>
      </c>
      <c r="H7" s="24">
        <v>31254.575269270441</v>
      </c>
      <c r="I7" s="24">
        <v>733996.24238410697</v>
      </c>
      <c r="J7" s="23">
        <v>18414.71781011983</v>
      </c>
    </row>
    <row r="8" spans="3:11" ht="18.75" x14ac:dyDescent="0.3">
      <c r="C8" s="4" t="s">
        <v>5</v>
      </c>
      <c r="D8" s="4" t="s">
        <v>6</v>
      </c>
      <c r="E8" s="8"/>
      <c r="F8" s="4"/>
      <c r="G8" s="5">
        <f t="shared" si="0"/>
        <v>55</v>
      </c>
      <c r="H8" s="24">
        <v>30430.41579134962</v>
      </c>
      <c r="I8" s="24">
        <v>701189.201057976</v>
      </c>
      <c r="J8" s="23">
        <v>18332.893436798462</v>
      </c>
    </row>
    <row r="9" spans="3:11" ht="18.75" x14ac:dyDescent="0.3">
      <c r="C9" s="4"/>
      <c r="D9" s="4"/>
      <c r="E9" s="8"/>
      <c r="F9" s="4"/>
      <c r="G9" s="12"/>
      <c r="H9" s="13"/>
      <c r="I9" s="13"/>
    </row>
    <row r="10" spans="3:11" ht="18.75" x14ac:dyDescent="0.3">
      <c r="C10" s="4" t="s">
        <v>24</v>
      </c>
      <c r="D10" s="4"/>
      <c r="E10" s="8"/>
      <c r="F10" s="4"/>
      <c r="G10" s="12"/>
      <c r="H10" s="13"/>
      <c r="I10" s="13"/>
    </row>
    <row r="11" spans="3:11" ht="18.75" x14ac:dyDescent="0.3">
      <c r="C11" s="4" t="s">
        <v>37</v>
      </c>
      <c r="D11" s="49">
        <f>(I3-I8)/H3</f>
        <v>4.9627275347035695</v>
      </c>
      <c r="E11" s="8"/>
      <c r="F11" s="4"/>
      <c r="G11" s="12"/>
      <c r="H11" s="13"/>
      <c r="I11" s="13"/>
    </row>
    <row r="12" spans="3:11" ht="18.75" x14ac:dyDescent="0.3">
      <c r="C12" s="4" t="s">
        <v>20</v>
      </c>
      <c r="D12" s="17">
        <f>D2*(H8+J3-J8)/(I3-I8)</f>
        <v>179.60909831056028</v>
      </c>
      <c r="E12" s="8" t="s">
        <v>28</v>
      </c>
      <c r="F12" s="4"/>
      <c r="G12" s="12"/>
      <c r="H12" s="13"/>
      <c r="I12" s="13"/>
    </row>
    <row r="13" spans="3:11" ht="18.75" x14ac:dyDescent="0.3">
      <c r="C13" s="4" t="s">
        <v>23</v>
      </c>
      <c r="D13" s="18">
        <v>2</v>
      </c>
      <c r="E13" s="8"/>
      <c r="F13" s="4"/>
      <c r="G13" s="12"/>
      <c r="H13" s="13"/>
      <c r="I13" s="13"/>
      <c r="K13" s="19"/>
    </row>
    <row r="14" spans="3:11" ht="18.75" x14ac:dyDescent="0.3">
      <c r="C14" s="4" t="s">
        <v>38</v>
      </c>
      <c r="D14" s="20">
        <f>D11-(D13-1)/(2*D13)</f>
        <v>4.7127275347035695</v>
      </c>
      <c r="E14" s="8"/>
      <c r="F14" s="4"/>
      <c r="G14" s="12"/>
      <c r="H14" s="13"/>
      <c r="I14" s="13"/>
      <c r="K14" s="19"/>
    </row>
    <row r="15" spans="3:11" ht="18.75" x14ac:dyDescent="0.3">
      <c r="C15" s="4" t="s">
        <v>22</v>
      </c>
      <c r="D15" s="17">
        <f>D12*D11/D14</f>
        <v>189.13697240194131</v>
      </c>
      <c r="E15" s="8" t="s">
        <v>27</v>
      </c>
      <c r="F15" s="4"/>
      <c r="G15" s="12"/>
      <c r="H15" s="13"/>
      <c r="I15" s="13"/>
    </row>
    <row r="16" spans="3:11" ht="18.75" x14ac:dyDescent="0.3">
      <c r="C16" s="4" t="s">
        <v>25</v>
      </c>
      <c r="D16" s="17">
        <f>D15/D13</f>
        <v>94.568486200970653</v>
      </c>
      <c r="E16" s="8" t="s">
        <v>26</v>
      </c>
      <c r="F16" s="4"/>
      <c r="G16" s="12"/>
      <c r="H16" s="13"/>
      <c r="I16" s="13"/>
    </row>
    <row r="17" spans="3:9" ht="18.75" x14ac:dyDescent="0.3">
      <c r="C17" s="4"/>
      <c r="D17" s="17"/>
      <c r="E17" s="8"/>
      <c r="F17" s="4"/>
      <c r="G17" s="12"/>
      <c r="H17" s="13"/>
      <c r="I17" s="13"/>
    </row>
    <row r="18" spans="3:9" ht="18.75" x14ac:dyDescent="0.3">
      <c r="C18" s="4"/>
      <c r="D18" s="17" t="s">
        <v>44</v>
      </c>
      <c r="E18" s="8" t="s">
        <v>45</v>
      </c>
      <c r="F18" s="4"/>
      <c r="G18" s="12"/>
      <c r="H18" s="13"/>
      <c r="I18" s="13"/>
    </row>
    <row r="19" spans="3:9" ht="18.75" x14ac:dyDescent="0.3">
      <c r="C19" s="4" t="s">
        <v>43</v>
      </c>
      <c r="D19" s="39">
        <v>43928</v>
      </c>
      <c r="E19" s="8">
        <f>0</f>
        <v>0</v>
      </c>
      <c r="F19" s="4"/>
      <c r="G19" s="12"/>
      <c r="H19" s="13"/>
      <c r="I19" s="13"/>
    </row>
    <row r="20" spans="3:9" ht="18.75" x14ac:dyDescent="0.3">
      <c r="C20" s="4" t="s">
        <v>7</v>
      </c>
      <c r="D20" s="40">
        <v>45023</v>
      </c>
      <c r="E20" s="8">
        <f>(D20-D19)/365</f>
        <v>3</v>
      </c>
      <c r="F20" s="4" t="s">
        <v>46</v>
      </c>
      <c r="G20" s="12"/>
      <c r="H20" s="13"/>
      <c r="I20" s="13"/>
    </row>
    <row r="21" spans="3:9" ht="18.75" x14ac:dyDescent="0.3">
      <c r="C21" s="4" t="s">
        <v>41</v>
      </c>
      <c r="D21" s="40">
        <v>45389</v>
      </c>
      <c r="E21" s="8">
        <f>(D21-D19)/365</f>
        <v>4.0027397260273974</v>
      </c>
      <c r="F21" s="4" t="s">
        <v>46</v>
      </c>
      <c r="G21" s="12"/>
      <c r="H21" s="13"/>
      <c r="I21" s="13"/>
    </row>
    <row r="22" spans="3:9" ht="18.75" x14ac:dyDescent="0.3">
      <c r="C22" s="4" t="s">
        <v>47</v>
      </c>
      <c r="D22" s="39">
        <v>45206</v>
      </c>
      <c r="E22" s="8"/>
      <c r="F22" s="4"/>
      <c r="G22" s="12"/>
      <c r="H22" s="13"/>
      <c r="I22" s="13"/>
    </row>
    <row r="23" spans="3:9" ht="18.75" x14ac:dyDescent="0.3">
      <c r="C23" s="4" t="s">
        <v>48</v>
      </c>
      <c r="D23" s="39"/>
      <c r="E23" s="36">
        <f>D22-D20</f>
        <v>183</v>
      </c>
      <c r="F23" s="4" t="s">
        <v>42</v>
      </c>
      <c r="G23" s="12"/>
      <c r="H23" s="13"/>
      <c r="I23" s="13"/>
    </row>
    <row r="24" spans="3:9" ht="18.75" x14ac:dyDescent="0.3">
      <c r="C24" s="4" t="s">
        <v>8</v>
      </c>
      <c r="D24" s="40">
        <v>45169</v>
      </c>
      <c r="E24" s="37"/>
      <c r="F24" s="4" t="s">
        <v>46</v>
      </c>
      <c r="G24" s="12"/>
      <c r="H24" s="13"/>
      <c r="I24" s="13"/>
    </row>
    <row r="25" spans="3:9" ht="18.75" x14ac:dyDescent="0.3">
      <c r="C25" s="4" t="s">
        <v>49</v>
      </c>
      <c r="D25" s="39"/>
      <c r="E25" s="38">
        <f>D24-D20</f>
        <v>146</v>
      </c>
      <c r="F25" s="4" t="s">
        <v>42</v>
      </c>
      <c r="G25" s="12"/>
      <c r="H25" s="13"/>
      <c r="I25" s="13"/>
    </row>
    <row r="26" spans="3:9" ht="18.75" x14ac:dyDescent="0.3">
      <c r="C26" s="4" t="s">
        <v>16</v>
      </c>
      <c r="D26" s="41">
        <f>E25/E23</f>
        <v>0.79781420765027322</v>
      </c>
      <c r="E26" s="14"/>
      <c r="F26" s="4"/>
      <c r="G26" s="4"/>
      <c r="H26" s="4"/>
      <c r="I26" s="4"/>
    </row>
    <row r="27" spans="3:9" ht="18.75" x14ac:dyDescent="0.3">
      <c r="C27" s="4" t="s">
        <v>34</v>
      </c>
      <c r="D27" s="28">
        <v>0</v>
      </c>
      <c r="E27" s="14"/>
      <c r="F27" s="4"/>
      <c r="G27" s="4"/>
      <c r="H27" s="4"/>
      <c r="I27" s="4"/>
    </row>
    <row r="28" spans="3:9" ht="18.75" x14ac:dyDescent="0.3">
      <c r="C28" s="4" t="s">
        <v>31</v>
      </c>
      <c r="D28" s="33">
        <f>D26/D13</f>
        <v>0.39890710382513661</v>
      </c>
      <c r="E28" s="8"/>
      <c r="F28" s="15"/>
      <c r="G28" s="4"/>
      <c r="H28" s="4"/>
      <c r="I28" s="4"/>
    </row>
    <row r="29" spans="3:9" ht="18.75" x14ac:dyDescent="0.3">
      <c r="C29" s="4" t="s">
        <v>32</v>
      </c>
      <c r="D29" s="34">
        <f>1-D28</f>
        <v>0.60109289617486339</v>
      </c>
      <c r="E29" s="8"/>
      <c r="F29" s="4"/>
      <c r="G29" s="4"/>
      <c r="H29" s="4"/>
      <c r="I29" s="4"/>
    </row>
    <row r="30" spans="3:9" ht="18.75" x14ac:dyDescent="0.3">
      <c r="C30" s="4"/>
      <c r="D30" s="4"/>
      <c r="E30" s="8"/>
      <c r="F30" s="4"/>
      <c r="G30" s="4"/>
      <c r="H30" s="4"/>
      <c r="I30" s="4"/>
    </row>
    <row r="31" spans="3:9" ht="18.75" x14ac:dyDescent="0.3">
      <c r="C31" s="4" t="s">
        <v>13</v>
      </c>
      <c r="D31" s="9"/>
      <c r="E31" s="9"/>
      <c r="F31" s="4" t="s">
        <v>13</v>
      </c>
      <c r="G31" s="4"/>
      <c r="H31" s="4"/>
      <c r="I31" s="4"/>
    </row>
    <row r="32" spans="3:9" ht="18.75" x14ac:dyDescent="0.3">
      <c r="C32" s="4" t="s">
        <v>29</v>
      </c>
      <c r="D32" s="23">
        <f>D2*(H8+J6-J8)/H6-D15*((I6-I8)/H6-(D13-1)/(2*D13))</f>
        <v>609.68671553754325</v>
      </c>
      <c r="E32" s="9"/>
      <c r="F32" s="4" t="s">
        <v>29</v>
      </c>
      <c r="G32" s="42">
        <f>D32</f>
        <v>609.68671553754325</v>
      </c>
      <c r="H32" s="4"/>
      <c r="I32" s="4"/>
    </row>
    <row r="33" spans="3:9" ht="18.75" x14ac:dyDescent="0.3">
      <c r="C33" s="4" t="s">
        <v>30</v>
      </c>
      <c r="D33" s="23">
        <f>D2*(H8+J7-J8)/H7-D15*((I7-I8)/H7-(D13-1)/(2*D13))</f>
        <v>825.00128085783763</v>
      </c>
      <c r="E33" s="9"/>
      <c r="F33" s="4" t="s">
        <v>30</v>
      </c>
      <c r="G33" s="42">
        <f>D33</f>
        <v>825.00128085783763</v>
      </c>
      <c r="H33" s="4"/>
      <c r="I33" s="4"/>
    </row>
    <row r="34" spans="3:9" ht="56.25" x14ac:dyDescent="0.3">
      <c r="C34" s="21" t="s">
        <v>51</v>
      </c>
      <c r="D34" s="25">
        <f>(1-D26)*D16</f>
        <v>19.120404313857456</v>
      </c>
      <c r="E34" s="9"/>
      <c r="F34" s="3" t="s">
        <v>33</v>
      </c>
      <c r="G34" s="35">
        <f>(D13-D27-1)*D16</f>
        <v>94.568486200970653</v>
      </c>
      <c r="H34" s="4"/>
      <c r="I34" s="4"/>
    </row>
    <row r="35" spans="3:9" ht="18.75" x14ac:dyDescent="0.3">
      <c r="C35" s="4"/>
      <c r="D35" s="9"/>
      <c r="E35" s="9"/>
      <c r="F35" s="4"/>
      <c r="G35" s="4"/>
      <c r="H35" s="4"/>
      <c r="I35" s="4"/>
    </row>
    <row r="36" spans="3:9" ht="18.75" x14ac:dyDescent="0.3">
      <c r="C36" s="10" t="s">
        <v>58</v>
      </c>
      <c r="D36" s="11">
        <f>D29*D32+D28*D33+D34</f>
        <v>714.69762951468749</v>
      </c>
      <c r="E36" s="9"/>
      <c r="F36" s="10" t="s">
        <v>58</v>
      </c>
      <c r="G36" s="11">
        <f>D29*(G32+D15)+D28*G33-(D13-D27-1)*D16</f>
        <v>714.69762951468761</v>
      </c>
    </row>
    <row r="37" spans="3:9" ht="18.75" x14ac:dyDescent="0.3">
      <c r="C37" s="16" t="s">
        <v>35</v>
      </c>
      <c r="D37" s="1"/>
      <c r="F37" s="16" t="s">
        <v>36</v>
      </c>
    </row>
  </sheetData>
  <mergeCells count="1">
    <mergeCell ref="C1:I1"/>
  </mergeCells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4</vt:i4>
      </vt:variant>
    </vt:vector>
  </HeadingPairs>
  <TitlesOfParts>
    <vt:vector size="9" baseType="lpstr">
      <vt:lpstr>Foglio2</vt:lpstr>
      <vt:lpstr>MS_U</vt:lpstr>
      <vt:lpstr>MS_P</vt:lpstr>
      <vt:lpstr>MS_Pk</vt:lpstr>
      <vt:lpstr>MS_Pk (4)</vt:lpstr>
      <vt:lpstr>MS_P!Area_stampa</vt:lpstr>
      <vt:lpstr>MS_Pk!Area_stampa</vt:lpstr>
      <vt:lpstr>'MS_Pk (4)'!Area_stampa</vt:lpstr>
      <vt:lpstr>MS_U!Area_stampa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nedort</dc:creator>
  <cp:lastModifiedBy>nedort</cp:lastModifiedBy>
  <cp:lastPrinted>2020-04-24T15:43:10Z</cp:lastPrinted>
  <dcterms:created xsi:type="dcterms:W3CDTF">2020-04-23T13:01:08Z</dcterms:created>
  <dcterms:modified xsi:type="dcterms:W3CDTF">2020-05-05T15:43:32Z</dcterms:modified>
</cp:coreProperties>
</file>